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9510"/>
  </bookViews>
  <sheets>
    <sheet name="Payment Comparison" sheetId="5" r:id="rId1"/>
    <sheet name="Payment Schedule" sheetId="1" r:id="rId2"/>
    <sheet name="Loan Calculator Data" sheetId="2" r:id="rId3"/>
  </sheets>
  <externalReferences>
    <externalReference r:id="rId4"/>
    <externalReference r:id="rId5"/>
  </externalReferences>
  <definedNames>
    <definedName name="Beg_Bal">'Payment Schedule'!$D$13:$D$732</definedName>
    <definedName name="ColumnTitle1">[2]!Wine[[#Headers],[Wine Name]]</definedName>
    <definedName name="ColumnTitle2">'Payment Schedule'!$B$12</definedName>
    <definedName name="ColumnTitle3">LoanLookup[[#Headers],[FREQUENCY]]</definedName>
    <definedName name="Cum_Int">'Payment Schedule'!$K$13:$K$732</definedName>
    <definedName name="Data">'Payment Schedule'!$B$13:$K$732</definedName>
    <definedName name="End_Bal">'Payment Schedule'!$J$13:$J$732</definedName>
    <definedName name="Extra_Pay">'Payment Schedule'!$F$13:$F$732</definedName>
    <definedName name="Full_Print">'Payment Schedule'!$B$1:$K$719</definedName>
    <definedName name="Header_Row">ROW('Payment Schedule'!$13:$13)</definedName>
    <definedName name="Int">'Payment Schedule'!$I$13:$I$732</definedName>
    <definedName name="Interest_Rate">'Payment Schedule'!$E$10</definedName>
    <definedName name="Interval">'Payment Schedule'!$E$9</definedName>
    <definedName name="Last_Row">IF(Values_Entered,Header_Row+Number_of_Payments,Header_Row)</definedName>
    <definedName name="Loan_Amount">'Payment Schedule'!$E$7</definedName>
    <definedName name="Loan_Start">'Payment Schedule'!$E$5</definedName>
    <definedName name="Loan_Years">'Payment Schedule'!$E$8</definedName>
    <definedName name="LoanAmount">'Payment Comparison'!$B$3</definedName>
    <definedName name="Mileage_Total">[1]!Expense[[#Totals],[Mileage]]</definedName>
    <definedName name="Num_Pmt_Per_Year">'Payment Schedule'!$E$9</definedName>
    <definedName name="Number_of_Payments">IF(scheduled_no_payments=1,1,MATCH(0.01,End_Bal,-1)+1)</definedName>
    <definedName name="Number_of_Pmts">'Payment Schedule'!$I$7</definedName>
    <definedName name="Pay_Date">'Payment Schedule'!$C$13:$C$732</definedName>
    <definedName name="Pay_Num">'Payment Schedule'!$B$13:$B$732</definedName>
    <definedName name="Payment_Date">DATE(YEAR(Loan_Start),MONTH(Loan_Start)+Payment_Number,DAY(Loan_Start))</definedName>
    <definedName name="Payment_Frequency">LoanLookup[FREQUENCY]</definedName>
    <definedName name="PaymentComparison">'Payment Comparison'!$B$3:$E$9</definedName>
    <definedName name="Princ">'Payment Schedule'!$H$13:$H$732</definedName>
    <definedName name="Print_Area_Reset">OFFSET(Full_Print,0,0,Last_Row)</definedName>
    <definedName name="_xlnm.Print_Titles" localSheetId="2">'Loan Calculator Data'!$4:$4</definedName>
    <definedName name="_xlnm.Print_Titles" localSheetId="1">'Payment Schedule'!$12:$12</definedName>
    <definedName name="Reimbursement_Total">[1]!Expense[[#Totals],[Reimbursement]]</definedName>
    <definedName name="RowTitle2..C2.2">'Payment Schedule'!$B$2</definedName>
    <definedName name="RowTitleRegion1..E10.2">'Payment Schedule'!$C$5:$D$5</definedName>
    <definedName name="RowTitleRegion2..I10.2">'Payment Schedule'!$G$5:$H$5</definedName>
    <definedName name="S1Cost_of_Loan">LoanComparisonInfo[[#Totals],[Column2]]</definedName>
    <definedName name="S1Interest">'Payment Comparison'!$C$6</definedName>
    <definedName name="S1LoanPeriod">'Payment Comparison'!$C$4</definedName>
    <definedName name="S1PaymentFrequency">'Payment Comparison'!$C$5</definedName>
    <definedName name="S1ScheduledPayment">'Payment Comparison'!$C$7</definedName>
    <definedName name="S1TotalInterest">'Payment Comparison'!$C$9</definedName>
    <definedName name="S1TotalPayments">'Payment Comparison'!$C$8</definedName>
    <definedName name="S2Cost_of_Loan">LoanComparisonInfo[[#Totals],[Column3]]</definedName>
    <definedName name="S2Interest">'Payment Comparison'!$D$6</definedName>
    <definedName name="S2LoanPeriod">'Payment Comparison'!$D$4</definedName>
    <definedName name="S2PaymentFrequency">'Payment Comparison'!$D$5</definedName>
    <definedName name="S2ScheduledPayment">'Payment Comparison'!$D$7</definedName>
    <definedName name="S2TotalInterest">'Payment Comparison'!$D$9</definedName>
    <definedName name="S2TotalPayments">'Payment Comparison'!$D$8</definedName>
    <definedName name="S3Cost_of_Loan">LoanComparisonInfo[[#Totals],[Column4]]</definedName>
    <definedName name="S3Interest">'Payment Comparison'!$E$6</definedName>
    <definedName name="S3LoanPeriod">'Payment Comparison'!$E$4</definedName>
    <definedName name="S3PaymentFrequency">'Payment Comparison'!$E$5</definedName>
    <definedName name="S3ScheduledPayment">'Payment Comparison'!$E$7</definedName>
    <definedName name="S3TotalInterest">'Payment Comparison'!$E$9</definedName>
    <definedName name="S3TotalPayments">'Payment Comparison'!$E$8</definedName>
    <definedName name="Scenario">'Payment Schedule'!$C$2</definedName>
    <definedName name="Sched_Pay">'Payment Schedule'!$E$13:$E$732</definedName>
    <definedName name="Scheduled_Extra_Payments">'Payment Schedule'!$E$6</definedName>
    <definedName name="Scheduled_Interest_Rate">'Payment Schedule'!$E$10</definedName>
    <definedName name="Scheduled_Monthly_Payment">'Payment Schedule'!$I$5</definedName>
    <definedName name="scheduled_no_payments">'Payment Schedule'!$I$6</definedName>
    <definedName name="Title1">'Payment Comparison'!$B$3</definedName>
    <definedName name="Total_Interest">'Payment Schedule'!$I$9</definedName>
    <definedName name="Total_Pay">'Payment Schedule'!$G$13:$G$732</definedName>
    <definedName name="Total_Payment">Sched_Pay+Extra_Pay</definedName>
    <definedName name="Values_Entered">IF(Loan_Amount*Interest_Rate*Loan_Years*Loan_Start&gt;0,1,0)</definedName>
  </definedNames>
  <calcPr calcId="162913"/>
</workbook>
</file>

<file path=xl/calcChain.xml><?xml version="1.0" encoding="utf-8"?>
<calcChain xmlns="http://schemas.openxmlformats.org/spreadsheetml/2006/main">
  <c r="E5" i="1" l="1"/>
  <c r="C8" i="5" l="1"/>
  <c r="E10" i="1" l="1"/>
  <c r="E9" i="1"/>
  <c r="E8" i="1"/>
  <c r="E7" i="1"/>
  <c r="B13" i="1" l="1"/>
  <c r="I5" i="1"/>
  <c r="I6" i="1"/>
  <c r="E8" i="5"/>
  <c r="D8" i="5"/>
  <c r="E7" i="5"/>
  <c r="D7" i="5"/>
  <c r="C7" i="5"/>
  <c r="C9" i="5" s="1"/>
  <c r="B14" i="1" l="1"/>
  <c r="B15" i="1" s="1"/>
  <c r="D9" i="5"/>
  <c r="D10" i="5" s="1"/>
  <c r="C10" i="5"/>
  <c r="E9" i="5"/>
  <c r="E10" i="5" s="1"/>
  <c r="B16" i="1" l="1"/>
  <c r="D13" i="1"/>
  <c r="B17" i="1" l="1"/>
  <c r="E13" i="1"/>
  <c r="C13" i="1"/>
  <c r="I13" i="1"/>
  <c r="B18" i="1" l="1"/>
  <c r="F13" i="1"/>
  <c r="K13" i="1"/>
  <c r="C14" i="1"/>
  <c r="E14" i="1"/>
  <c r="B19" i="1" l="1"/>
  <c r="G13" i="1"/>
  <c r="H13" i="1" s="1"/>
  <c r="J13" i="1" s="1"/>
  <c r="E16" i="1"/>
  <c r="C15" i="1"/>
  <c r="C16" i="1" s="1"/>
  <c r="E15" i="1"/>
  <c r="D14" i="1" l="1"/>
  <c r="F14" i="1" s="1"/>
  <c r="G14" i="1" s="1"/>
  <c r="B20" i="1"/>
  <c r="C17" i="1"/>
  <c r="E17" i="1"/>
  <c r="I14" i="1" l="1"/>
  <c r="H14" i="1" s="1"/>
  <c r="J14" i="1" s="1"/>
  <c r="D15" i="1" s="1"/>
  <c r="F15" i="1" s="1"/>
  <c r="B21" i="1"/>
  <c r="E18" i="1"/>
  <c r="C18" i="1"/>
  <c r="K14" i="1" l="1"/>
  <c r="B22" i="1"/>
  <c r="G15" i="1"/>
  <c r="C19" i="1"/>
  <c r="E19" i="1"/>
  <c r="I15" i="1"/>
  <c r="K15" i="1" l="1"/>
  <c r="B23" i="1"/>
  <c r="C20" i="1"/>
  <c r="E20" i="1"/>
  <c r="H15" i="1"/>
  <c r="J15" i="1" s="1"/>
  <c r="B24" i="1" l="1"/>
  <c r="C21" i="1"/>
  <c r="E21" i="1"/>
  <c r="D16" i="1"/>
  <c r="F16" i="1" s="1"/>
  <c r="G16" i="1" l="1"/>
  <c r="B25" i="1"/>
  <c r="I16" i="1"/>
  <c r="E22" i="1"/>
  <c r="C22" i="1"/>
  <c r="K16" i="1" l="1"/>
  <c r="B26" i="1"/>
  <c r="C23" i="1"/>
  <c r="E23" i="1"/>
  <c r="H16" i="1"/>
  <c r="J16" i="1" s="1"/>
  <c r="B27" i="1" l="1"/>
  <c r="D17" i="1"/>
  <c r="F17" i="1" s="1"/>
  <c r="C24" i="1"/>
  <c r="E24" i="1"/>
  <c r="B28" i="1" l="1"/>
  <c r="G17" i="1"/>
  <c r="I17" i="1"/>
  <c r="C25" i="1"/>
  <c r="E25" i="1"/>
  <c r="K17" i="1" l="1"/>
  <c r="B29" i="1"/>
  <c r="H17" i="1"/>
  <c r="J17" i="1" s="1"/>
  <c r="C26" i="1"/>
  <c r="E26" i="1"/>
  <c r="B30" i="1" l="1"/>
  <c r="D18" i="1"/>
  <c r="F18" i="1" s="1"/>
  <c r="C27" i="1"/>
  <c r="E27" i="1"/>
  <c r="B31" i="1" l="1"/>
  <c r="G18" i="1"/>
  <c r="C28" i="1"/>
  <c r="E28" i="1"/>
  <c r="I18" i="1"/>
  <c r="K18" i="1" s="1"/>
  <c r="B32" i="1" l="1"/>
  <c r="E29" i="1"/>
  <c r="C29" i="1"/>
  <c r="H18" i="1"/>
  <c r="J18" i="1" s="1"/>
  <c r="B33" i="1" l="1"/>
  <c r="D19" i="1"/>
  <c r="F19" i="1" s="1"/>
  <c r="E30" i="1"/>
  <c r="C30" i="1"/>
  <c r="B34" i="1" l="1"/>
  <c r="G19" i="1"/>
  <c r="C31" i="1"/>
  <c r="E31" i="1"/>
  <c r="I19" i="1"/>
  <c r="K19" i="1" s="1"/>
  <c r="B35" i="1" l="1"/>
  <c r="E32" i="1"/>
  <c r="C32" i="1"/>
  <c r="H19" i="1"/>
  <c r="J19" i="1" l="1"/>
  <c r="D20" i="1" s="1"/>
  <c r="B36" i="1"/>
  <c r="E33" i="1"/>
  <c r="C33" i="1"/>
  <c r="F20" i="1" l="1"/>
  <c r="I20" i="1"/>
  <c r="K20" i="1" s="1"/>
  <c r="B37" i="1"/>
  <c r="E34" i="1"/>
  <c r="C34" i="1"/>
  <c r="G20" i="1" l="1"/>
  <c r="H20" i="1" s="1"/>
  <c r="B38" i="1"/>
  <c r="E35" i="1"/>
  <c r="C35" i="1"/>
  <c r="J20" i="1" l="1"/>
  <c r="D21" i="1" s="1"/>
  <c r="B39" i="1"/>
  <c r="C36" i="1"/>
  <c r="E36" i="1"/>
  <c r="F21" i="1" l="1"/>
  <c r="I21" i="1"/>
  <c r="K21" i="1" s="1"/>
  <c r="B40" i="1"/>
  <c r="C37" i="1"/>
  <c r="E37" i="1"/>
  <c r="G21" i="1" l="1"/>
  <c r="H21" i="1" s="1"/>
  <c r="J21" i="1" s="1"/>
  <c r="B41" i="1"/>
  <c r="C38" i="1"/>
  <c r="E38" i="1"/>
  <c r="D22" i="1" l="1"/>
  <c r="B42" i="1"/>
  <c r="C39" i="1"/>
  <c r="E39" i="1"/>
  <c r="F22" i="1" l="1"/>
  <c r="I22" i="1"/>
  <c r="K22" i="1" s="1"/>
  <c r="B43" i="1"/>
  <c r="C40" i="1"/>
  <c r="E40" i="1"/>
  <c r="G22" i="1" l="1"/>
  <c r="H22" i="1" s="1"/>
  <c r="B44" i="1"/>
  <c r="E41" i="1"/>
  <c r="C41" i="1"/>
  <c r="J22" i="1" l="1"/>
  <c r="D23" i="1" s="1"/>
  <c r="B45" i="1"/>
  <c r="E42" i="1"/>
  <c r="C42" i="1"/>
  <c r="F23" i="1" l="1"/>
  <c r="I23" i="1"/>
  <c r="K23" i="1" s="1"/>
  <c r="B46" i="1"/>
  <c r="E43" i="1"/>
  <c r="C43" i="1"/>
  <c r="G23" i="1" l="1"/>
  <c r="H23" i="1" s="1"/>
  <c r="B47" i="1"/>
  <c r="E44" i="1"/>
  <c r="C44" i="1"/>
  <c r="J23" i="1" l="1"/>
  <c r="D24" i="1" s="1"/>
  <c r="B48" i="1"/>
  <c r="E45" i="1"/>
  <c r="C45" i="1"/>
  <c r="F24" i="1" l="1"/>
  <c r="I24" i="1"/>
  <c r="K24" i="1" s="1"/>
  <c r="B49" i="1"/>
  <c r="E46" i="1"/>
  <c r="C46" i="1"/>
  <c r="G24" i="1" l="1"/>
  <c r="H24" i="1" s="1"/>
  <c r="J24" i="1" s="1"/>
  <c r="B50" i="1"/>
  <c r="E47" i="1"/>
  <c r="C47" i="1"/>
  <c r="D25" i="1" l="1"/>
  <c r="B51" i="1"/>
  <c r="C48" i="1"/>
  <c r="E48" i="1"/>
  <c r="F25" i="1" l="1"/>
  <c r="I25" i="1"/>
  <c r="K25" i="1" s="1"/>
  <c r="B52" i="1"/>
  <c r="C49" i="1"/>
  <c r="E49" i="1"/>
  <c r="G25" i="1" l="1"/>
  <c r="H25" i="1" s="1"/>
  <c r="J25" i="1" s="1"/>
  <c r="B53" i="1"/>
  <c r="E50" i="1"/>
  <c r="C50" i="1"/>
  <c r="D26" i="1" l="1"/>
  <c r="B54" i="1"/>
  <c r="C51" i="1"/>
  <c r="E51" i="1"/>
  <c r="F26" i="1" l="1"/>
  <c r="I26" i="1"/>
  <c r="K26" i="1" s="1"/>
  <c r="B55" i="1"/>
  <c r="E52" i="1"/>
  <c r="C52" i="1"/>
  <c r="G26" i="1" l="1"/>
  <c r="H26" i="1" s="1"/>
  <c r="J26" i="1" s="1"/>
  <c r="B56" i="1"/>
  <c r="C53" i="1"/>
  <c r="E53" i="1"/>
  <c r="D27" i="1" l="1"/>
  <c r="F27" i="1" s="1"/>
  <c r="B57" i="1"/>
  <c r="C54" i="1"/>
  <c r="E54" i="1"/>
  <c r="I27" i="1" l="1"/>
  <c r="K27" i="1" s="1"/>
  <c r="G27" i="1"/>
  <c r="B58" i="1"/>
  <c r="E55" i="1"/>
  <c r="C55" i="1"/>
  <c r="H27" i="1" l="1"/>
  <c r="J27" i="1" s="1"/>
  <c r="D28" i="1" s="1"/>
  <c r="B59" i="1"/>
  <c r="E56" i="1"/>
  <c r="C56" i="1"/>
  <c r="F28" i="1" l="1"/>
  <c r="G28" i="1" s="1"/>
  <c r="I28" i="1"/>
  <c r="K28" i="1" s="1"/>
  <c r="B60" i="1"/>
  <c r="E57" i="1"/>
  <c r="C57" i="1"/>
  <c r="H28" i="1" l="1"/>
  <c r="B61" i="1"/>
  <c r="C58" i="1"/>
  <c r="E58" i="1"/>
  <c r="J28" i="1" l="1"/>
  <c r="D29" i="1" s="1"/>
  <c r="B62" i="1"/>
  <c r="C59" i="1"/>
  <c r="E59" i="1"/>
  <c r="F29" i="1" l="1"/>
  <c r="I29" i="1"/>
  <c r="K29" i="1" s="1"/>
  <c r="B63" i="1"/>
  <c r="E60" i="1"/>
  <c r="C60" i="1"/>
  <c r="G29" i="1" l="1"/>
  <c r="H29" i="1" s="1"/>
  <c r="J29" i="1" s="1"/>
  <c r="D30" i="1" s="1"/>
  <c r="F30" i="1" s="1"/>
  <c r="B64" i="1"/>
  <c r="C61" i="1"/>
  <c r="E61" i="1"/>
  <c r="I30" i="1" l="1"/>
  <c r="K30" i="1" s="1"/>
  <c r="G30" i="1"/>
  <c r="B65" i="1"/>
  <c r="C62" i="1"/>
  <c r="E62" i="1"/>
  <c r="H30" i="1" l="1"/>
  <c r="B66" i="1"/>
  <c r="C63" i="1"/>
  <c r="E63" i="1"/>
  <c r="J30" i="1" l="1"/>
  <c r="D31" i="1" s="1"/>
  <c r="B67" i="1"/>
  <c r="C64" i="1"/>
  <c r="E64" i="1"/>
  <c r="F31" i="1" l="1"/>
  <c r="I31" i="1"/>
  <c r="K31" i="1" s="1"/>
  <c r="B68" i="1"/>
  <c r="E65" i="1"/>
  <c r="C65" i="1"/>
  <c r="G31" i="1" l="1"/>
  <c r="H31" i="1" s="1"/>
  <c r="J31" i="1" s="1"/>
  <c r="B69" i="1"/>
  <c r="C66" i="1"/>
  <c r="E66" i="1"/>
  <c r="D32" i="1" l="1"/>
  <c r="B70" i="1"/>
  <c r="C67" i="1"/>
  <c r="E67" i="1"/>
  <c r="F32" i="1" l="1"/>
  <c r="I32" i="1"/>
  <c r="K32" i="1" s="1"/>
  <c r="B71" i="1"/>
  <c r="E68" i="1"/>
  <c r="C68" i="1"/>
  <c r="G32" i="1" l="1"/>
  <c r="H32" i="1" s="1"/>
  <c r="J32" i="1" s="1"/>
  <c r="D33" i="1" s="1"/>
  <c r="B72" i="1"/>
  <c r="E69" i="1"/>
  <c r="C69" i="1"/>
  <c r="F33" i="1" l="1"/>
  <c r="I33" i="1"/>
  <c r="K33" i="1" s="1"/>
  <c r="B73" i="1"/>
  <c r="E70" i="1"/>
  <c r="C70" i="1"/>
  <c r="G33" i="1" l="1"/>
  <c r="H33" i="1" s="1"/>
  <c r="J33" i="1" s="1"/>
  <c r="D34" i="1" s="1"/>
  <c r="B74" i="1"/>
  <c r="E71" i="1"/>
  <c r="C71" i="1"/>
  <c r="F34" i="1" l="1"/>
  <c r="G34" i="1" s="1"/>
  <c r="I34" i="1"/>
  <c r="K34" i="1" s="1"/>
  <c r="B75" i="1"/>
  <c r="E72" i="1"/>
  <c r="C72" i="1"/>
  <c r="H34" i="1" l="1"/>
  <c r="B76" i="1"/>
  <c r="C73" i="1"/>
  <c r="E73" i="1"/>
  <c r="J34" i="1" l="1"/>
  <c r="D35" i="1" s="1"/>
  <c r="B77" i="1"/>
  <c r="C74" i="1"/>
  <c r="E74" i="1"/>
  <c r="F35" i="1" l="1"/>
  <c r="I35" i="1"/>
  <c r="K35" i="1" s="1"/>
  <c r="B78" i="1"/>
  <c r="E75" i="1"/>
  <c r="C75" i="1"/>
  <c r="G35" i="1" l="1"/>
  <c r="H35" i="1" s="1"/>
  <c r="B79" i="1"/>
  <c r="E76" i="1"/>
  <c r="C76" i="1"/>
  <c r="J35" i="1" l="1"/>
  <c r="D36" i="1" s="1"/>
  <c r="B80" i="1"/>
  <c r="C77" i="1"/>
  <c r="E77" i="1"/>
  <c r="F36" i="1" l="1"/>
  <c r="I36" i="1"/>
  <c r="K36" i="1" s="1"/>
  <c r="B81" i="1"/>
  <c r="E78" i="1"/>
  <c r="C78" i="1"/>
  <c r="G36" i="1" l="1"/>
  <c r="H36" i="1" s="1"/>
  <c r="J36" i="1" s="1"/>
  <c r="D37" i="1" s="1"/>
  <c r="B82" i="1"/>
  <c r="C79" i="1"/>
  <c r="E79" i="1"/>
  <c r="F37" i="1" l="1"/>
  <c r="I37" i="1"/>
  <c r="K37" i="1" s="1"/>
  <c r="B83" i="1"/>
  <c r="E80" i="1"/>
  <c r="C80" i="1"/>
  <c r="G37" i="1" l="1"/>
  <c r="H37" i="1" s="1"/>
  <c r="J37" i="1" s="1"/>
  <c r="D38" i="1" s="1"/>
  <c r="B84" i="1"/>
  <c r="C81" i="1"/>
  <c r="E81" i="1"/>
  <c r="F38" i="1" l="1"/>
  <c r="G38" i="1" s="1"/>
  <c r="I38" i="1"/>
  <c r="K38" i="1" s="1"/>
  <c r="B85" i="1"/>
  <c r="C82" i="1"/>
  <c r="E82" i="1"/>
  <c r="H38" i="1" l="1"/>
  <c r="J38" i="1" s="1"/>
  <c r="D39" i="1" s="1"/>
  <c r="B86" i="1"/>
  <c r="E83" i="1"/>
  <c r="C83" i="1"/>
  <c r="F39" i="1" l="1"/>
  <c r="I39" i="1"/>
  <c r="K39" i="1" s="1"/>
  <c r="B87" i="1"/>
  <c r="E84" i="1"/>
  <c r="C84" i="1"/>
  <c r="G39" i="1" l="1"/>
  <c r="H39" i="1" s="1"/>
  <c r="J39" i="1" s="1"/>
  <c r="B88" i="1"/>
  <c r="E85" i="1"/>
  <c r="C85" i="1"/>
  <c r="D40" i="1" l="1"/>
  <c r="B89" i="1"/>
  <c r="E86" i="1"/>
  <c r="C86" i="1"/>
  <c r="F40" i="1" l="1"/>
  <c r="I40" i="1"/>
  <c r="K40" i="1" s="1"/>
  <c r="B90" i="1"/>
  <c r="E87" i="1"/>
  <c r="C87" i="1"/>
  <c r="G40" i="1" l="1"/>
  <c r="H40" i="1" s="1"/>
  <c r="J40" i="1" s="1"/>
  <c r="B91" i="1"/>
  <c r="C88" i="1"/>
  <c r="E88" i="1"/>
  <c r="D41" i="1" l="1"/>
  <c r="B92" i="1"/>
  <c r="E89" i="1"/>
  <c r="C89" i="1"/>
  <c r="F41" i="1" l="1"/>
  <c r="I41" i="1"/>
  <c r="K41" i="1" s="1"/>
  <c r="B93" i="1"/>
  <c r="E90" i="1"/>
  <c r="C90" i="1"/>
  <c r="G41" i="1" l="1"/>
  <c r="H41" i="1" s="1"/>
  <c r="J41" i="1" s="1"/>
  <c r="B94" i="1"/>
  <c r="E91" i="1"/>
  <c r="C91" i="1"/>
  <c r="D42" i="1" l="1"/>
  <c r="F42" i="1" s="1"/>
  <c r="B95" i="1"/>
  <c r="C92" i="1"/>
  <c r="E92" i="1"/>
  <c r="I42" i="1" l="1"/>
  <c r="K42" i="1" s="1"/>
  <c r="G42" i="1"/>
  <c r="B96" i="1"/>
  <c r="C93" i="1"/>
  <c r="E93" i="1"/>
  <c r="H42" i="1" l="1"/>
  <c r="J42" i="1" s="1"/>
  <c r="D43" i="1" s="1"/>
  <c r="F43" i="1" s="1"/>
  <c r="B97" i="1"/>
  <c r="E94" i="1"/>
  <c r="C94" i="1"/>
  <c r="I43" i="1" l="1"/>
  <c r="K43" i="1" s="1"/>
  <c r="G43" i="1"/>
  <c r="B98" i="1"/>
  <c r="E95" i="1"/>
  <c r="C95" i="1"/>
  <c r="H43" i="1" l="1"/>
  <c r="J43" i="1" s="1"/>
  <c r="D44" i="1" s="1"/>
  <c r="B99" i="1"/>
  <c r="E96" i="1"/>
  <c r="C96" i="1"/>
  <c r="F44" i="1" l="1"/>
  <c r="I44" i="1"/>
  <c r="K44" i="1" s="1"/>
  <c r="B100" i="1"/>
  <c r="E97" i="1"/>
  <c r="C97" i="1"/>
  <c r="G44" i="1" l="1"/>
  <c r="H44" i="1" s="1"/>
  <c r="J44" i="1" s="1"/>
  <c r="B101" i="1"/>
  <c r="C98" i="1"/>
  <c r="E98" i="1"/>
  <c r="D45" i="1" l="1"/>
  <c r="B102" i="1"/>
  <c r="C99" i="1"/>
  <c r="E99" i="1"/>
  <c r="F45" i="1" l="1"/>
  <c r="I45" i="1"/>
  <c r="K45" i="1" s="1"/>
  <c r="B103" i="1"/>
  <c r="C100" i="1"/>
  <c r="E100" i="1"/>
  <c r="G45" i="1" l="1"/>
  <c r="H45" i="1" s="1"/>
  <c r="J45" i="1" s="1"/>
  <c r="B104" i="1"/>
  <c r="C101" i="1"/>
  <c r="E101" i="1"/>
  <c r="D46" i="1" l="1"/>
  <c r="B105" i="1"/>
  <c r="E102" i="1"/>
  <c r="C102" i="1"/>
  <c r="F46" i="1" l="1"/>
  <c r="I46" i="1"/>
  <c r="K46" i="1" s="1"/>
  <c r="B106" i="1"/>
  <c r="E103" i="1"/>
  <c r="C103" i="1"/>
  <c r="G46" i="1" l="1"/>
  <c r="H46" i="1" s="1"/>
  <c r="J46" i="1" s="1"/>
  <c r="B107" i="1"/>
  <c r="C104" i="1"/>
  <c r="E104" i="1"/>
  <c r="D47" i="1" l="1"/>
  <c r="B108" i="1"/>
  <c r="E105" i="1"/>
  <c r="C105" i="1"/>
  <c r="F47" i="1" l="1"/>
  <c r="I47" i="1"/>
  <c r="K47" i="1" s="1"/>
  <c r="B109" i="1"/>
  <c r="E106" i="1"/>
  <c r="C106" i="1"/>
  <c r="G47" i="1" l="1"/>
  <c r="H47" i="1" s="1"/>
  <c r="B110" i="1"/>
  <c r="C107" i="1"/>
  <c r="E107" i="1"/>
  <c r="J47" i="1" l="1"/>
  <c r="D48" i="1" s="1"/>
  <c r="B111" i="1"/>
  <c r="C108" i="1"/>
  <c r="E108" i="1"/>
  <c r="I48" i="1" l="1"/>
  <c r="K48" i="1" s="1"/>
  <c r="F48" i="1"/>
  <c r="G48" i="1" s="1"/>
  <c r="B112" i="1"/>
  <c r="C109" i="1"/>
  <c r="E109" i="1"/>
  <c r="H48" i="1" l="1"/>
  <c r="J48" i="1" s="1"/>
  <c r="D49" i="1" s="1"/>
  <c r="B113" i="1"/>
  <c r="E110" i="1"/>
  <c r="C110" i="1"/>
  <c r="F49" i="1" l="1"/>
  <c r="G49" i="1" s="1"/>
  <c r="I49" i="1"/>
  <c r="K49" i="1" s="1"/>
  <c r="B114" i="1"/>
  <c r="E111" i="1"/>
  <c r="C111" i="1"/>
  <c r="H49" i="1" l="1"/>
  <c r="J49" i="1" s="1"/>
  <c r="D50" i="1" s="1"/>
  <c r="B115" i="1"/>
  <c r="C112" i="1"/>
  <c r="E112" i="1"/>
  <c r="F50" i="1" l="1"/>
  <c r="G50" i="1" s="1"/>
  <c r="I50" i="1"/>
  <c r="K50" i="1" s="1"/>
  <c r="B116" i="1"/>
  <c r="E113" i="1"/>
  <c r="C113" i="1"/>
  <c r="H50" i="1" l="1"/>
  <c r="J50" i="1" s="1"/>
  <c r="D51" i="1" s="1"/>
  <c r="B117" i="1"/>
  <c r="E114" i="1"/>
  <c r="C114" i="1"/>
  <c r="F51" i="1" l="1"/>
  <c r="G51" i="1" s="1"/>
  <c r="I51" i="1"/>
  <c r="K51" i="1" s="1"/>
  <c r="B118" i="1"/>
  <c r="E115" i="1"/>
  <c r="C115" i="1"/>
  <c r="H51" i="1" l="1"/>
  <c r="J51" i="1" s="1"/>
  <c r="D52" i="1" s="1"/>
  <c r="B119" i="1"/>
  <c r="E116" i="1"/>
  <c r="C116" i="1"/>
  <c r="F52" i="1" l="1"/>
  <c r="I52" i="1"/>
  <c r="K52" i="1" s="1"/>
  <c r="B120" i="1"/>
  <c r="E117" i="1"/>
  <c r="C117" i="1"/>
  <c r="G52" i="1" l="1"/>
  <c r="H52" i="1" s="1"/>
  <c r="J52" i="1" s="1"/>
  <c r="B121" i="1"/>
  <c r="E118" i="1"/>
  <c r="C118" i="1"/>
  <c r="D53" i="1" l="1"/>
  <c r="F53" i="1" s="1"/>
  <c r="B122" i="1"/>
  <c r="C119" i="1"/>
  <c r="E119" i="1"/>
  <c r="I53" i="1" l="1"/>
  <c r="K53" i="1" s="1"/>
  <c r="G53" i="1"/>
  <c r="B123" i="1"/>
  <c r="C120" i="1"/>
  <c r="E120" i="1"/>
  <c r="H53" i="1" l="1"/>
  <c r="J53" i="1" s="1"/>
  <c r="D54" i="1" s="1"/>
  <c r="B124" i="1"/>
  <c r="C121" i="1"/>
  <c r="E121" i="1"/>
  <c r="F54" i="1" l="1"/>
  <c r="I54" i="1"/>
  <c r="K54" i="1" s="1"/>
  <c r="B125" i="1"/>
  <c r="E122" i="1"/>
  <c r="C122" i="1"/>
  <c r="G54" i="1" l="1"/>
  <c r="H54" i="1" s="1"/>
  <c r="J54" i="1" s="1"/>
  <c r="B126" i="1"/>
  <c r="E123" i="1"/>
  <c r="C123" i="1"/>
  <c r="D55" i="1" l="1"/>
  <c r="F55" i="1" s="1"/>
  <c r="B127" i="1"/>
  <c r="C124" i="1"/>
  <c r="E124" i="1"/>
  <c r="I55" i="1" l="1"/>
  <c r="K55" i="1" s="1"/>
  <c r="G55" i="1"/>
  <c r="B128" i="1"/>
  <c r="E125" i="1"/>
  <c r="C125" i="1"/>
  <c r="H55" i="1" l="1"/>
  <c r="J55" i="1" s="1"/>
  <c r="D56" i="1" s="1"/>
  <c r="B129" i="1"/>
  <c r="E126" i="1"/>
  <c r="C126" i="1"/>
  <c r="I56" i="1" l="1"/>
  <c r="K56" i="1" s="1"/>
  <c r="F56" i="1"/>
  <c r="G56" i="1" s="1"/>
  <c r="B130" i="1"/>
  <c r="E127" i="1"/>
  <c r="C127" i="1"/>
  <c r="H56" i="1" l="1"/>
  <c r="J56" i="1" s="1"/>
  <c r="D57" i="1" s="1"/>
  <c r="B131" i="1"/>
  <c r="E128" i="1"/>
  <c r="C128" i="1"/>
  <c r="F57" i="1" l="1"/>
  <c r="I57" i="1"/>
  <c r="K57" i="1" s="1"/>
  <c r="B132" i="1"/>
  <c r="E129" i="1"/>
  <c r="C129" i="1"/>
  <c r="G57" i="1" l="1"/>
  <c r="H57" i="1" s="1"/>
  <c r="J57" i="1" s="1"/>
  <c r="B133" i="1"/>
  <c r="C130" i="1"/>
  <c r="E130" i="1"/>
  <c r="D58" i="1" l="1"/>
  <c r="F58" i="1" s="1"/>
  <c r="B134" i="1"/>
  <c r="C131" i="1"/>
  <c r="E131" i="1"/>
  <c r="I58" i="1" l="1"/>
  <c r="K58" i="1" s="1"/>
  <c r="G58" i="1"/>
  <c r="B135" i="1"/>
  <c r="C132" i="1"/>
  <c r="E132" i="1"/>
  <c r="H58" i="1" l="1"/>
  <c r="J58" i="1" s="1"/>
  <c r="D59" i="1" s="1"/>
  <c r="B136" i="1"/>
  <c r="C133" i="1"/>
  <c r="E133" i="1"/>
  <c r="F59" i="1" l="1"/>
  <c r="G59" i="1" s="1"/>
  <c r="I59" i="1"/>
  <c r="K59" i="1" s="1"/>
  <c r="B137" i="1"/>
  <c r="C134" i="1"/>
  <c r="E134" i="1"/>
  <c r="H59" i="1" l="1"/>
  <c r="J59" i="1" s="1"/>
  <c r="D60" i="1" s="1"/>
  <c r="B138" i="1"/>
  <c r="E135" i="1"/>
  <c r="C135" i="1"/>
  <c r="F60" i="1" l="1"/>
  <c r="G60" i="1" s="1"/>
  <c r="I60" i="1"/>
  <c r="K60" i="1" s="1"/>
  <c r="B139" i="1"/>
  <c r="C136" i="1"/>
  <c r="E136" i="1"/>
  <c r="H60" i="1" l="1"/>
  <c r="J60" i="1" s="1"/>
  <c r="D61" i="1" s="1"/>
  <c r="B140" i="1"/>
  <c r="E137" i="1"/>
  <c r="C137" i="1"/>
  <c r="F61" i="1" l="1"/>
  <c r="G61" i="1" s="1"/>
  <c r="I61" i="1"/>
  <c r="K61" i="1" s="1"/>
  <c r="B141" i="1"/>
  <c r="E138" i="1"/>
  <c r="C138" i="1"/>
  <c r="H61" i="1" l="1"/>
  <c r="J61" i="1" s="1"/>
  <c r="D62" i="1" s="1"/>
  <c r="B142" i="1"/>
  <c r="E139" i="1"/>
  <c r="C139" i="1"/>
  <c r="F62" i="1" l="1"/>
  <c r="G62" i="1" s="1"/>
  <c r="I62" i="1"/>
  <c r="K62" i="1" s="1"/>
  <c r="B143" i="1"/>
  <c r="C140" i="1"/>
  <c r="E140" i="1"/>
  <c r="H62" i="1" l="1"/>
  <c r="B144" i="1"/>
  <c r="E141" i="1"/>
  <c r="C141" i="1"/>
  <c r="J62" i="1" l="1"/>
  <c r="D63" i="1" s="1"/>
  <c r="B145" i="1"/>
  <c r="C142" i="1"/>
  <c r="E142" i="1"/>
  <c r="F63" i="1" l="1"/>
  <c r="I63" i="1"/>
  <c r="K63" i="1" s="1"/>
  <c r="B146" i="1"/>
  <c r="C143" i="1"/>
  <c r="E143" i="1"/>
  <c r="G63" i="1" l="1"/>
  <c r="H63" i="1" s="1"/>
  <c r="J63" i="1" s="1"/>
  <c r="D64" i="1" s="1"/>
  <c r="B147" i="1"/>
  <c r="E144" i="1"/>
  <c r="C144" i="1"/>
  <c r="F64" i="1" l="1"/>
  <c r="G64" i="1" s="1"/>
  <c r="I64" i="1"/>
  <c r="K64" i="1" s="1"/>
  <c r="B148" i="1"/>
  <c r="C145" i="1"/>
  <c r="E145" i="1"/>
  <c r="H64" i="1" l="1"/>
  <c r="J64" i="1" s="1"/>
  <c r="D65" i="1" s="1"/>
  <c r="B149" i="1"/>
  <c r="E146" i="1"/>
  <c r="C146" i="1"/>
  <c r="I65" i="1" l="1"/>
  <c r="K65" i="1" s="1"/>
  <c r="F65" i="1"/>
  <c r="G65" i="1" s="1"/>
  <c r="B150" i="1"/>
  <c r="C147" i="1"/>
  <c r="E147" i="1"/>
  <c r="H65" i="1" l="1"/>
  <c r="J65" i="1" s="1"/>
  <c r="D66" i="1" s="1"/>
  <c r="B151" i="1"/>
  <c r="E148" i="1"/>
  <c r="C148" i="1"/>
  <c r="F66" i="1" l="1"/>
  <c r="I66" i="1"/>
  <c r="K66" i="1" s="1"/>
  <c r="B152" i="1"/>
  <c r="C149" i="1"/>
  <c r="E149" i="1"/>
  <c r="G66" i="1" l="1"/>
  <c r="H66" i="1" s="1"/>
  <c r="J66" i="1" s="1"/>
  <c r="B153" i="1"/>
  <c r="C150" i="1"/>
  <c r="E150" i="1"/>
  <c r="D67" i="1" l="1"/>
  <c r="F67" i="1" s="1"/>
  <c r="B154" i="1"/>
  <c r="C151" i="1"/>
  <c r="E151" i="1"/>
  <c r="I67" i="1" l="1"/>
  <c r="K67" i="1" s="1"/>
  <c r="G67" i="1"/>
  <c r="B155" i="1"/>
  <c r="C152" i="1"/>
  <c r="E152" i="1"/>
  <c r="H67" i="1" l="1"/>
  <c r="J67" i="1" s="1"/>
  <c r="D68" i="1" s="1"/>
  <c r="B156" i="1"/>
  <c r="E153" i="1"/>
  <c r="C153" i="1"/>
  <c r="F68" i="1" l="1"/>
  <c r="I68" i="1"/>
  <c r="K68" i="1" s="1"/>
  <c r="B157" i="1"/>
  <c r="E154" i="1"/>
  <c r="C154" i="1"/>
  <c r="G68" i="1" l="1"/>
  <c r="H68" i="1" s="1"/>
  <c r="B158" i="1"/>
  <c r="E155" i="1"/>
  <c r="C155" i="1"/>
  <c r="J68" i="1" l="1"/>
  <c r="D69" i="1" s="1"/>
  <c r="B159" i="1"/>
  <c r="C156" i="1"/>
  <c r="E156" i="1"/>
  <c r="F69" i="1" l="1"/>
  <c r="G69" i="1" s="1"/>
  <c r="I69" i="1"/>
  <c r="K69" i="1" s="1"/>
  <c r="B160" i="1"/>
  <c r="C157" i="1"/>
  <c r="E157" i="1"/>
  <c r="H69" i="1" l="1"/>
  <c r="J69" i="1" s="1"/>
  <c r="D70" i="1" s="1"/>
  <c r="B161" i="1"/>
  <c r="C158" i="1"/>
  <c r="E158" i="1"/>
  <c r="F70" i="1" l="1"/>
  <c r="I70" i="1"/>
  <c r="K70" i="1" s="1"/>
  <c r="B162" i="1"/>
  <c r="C159" i="1"/>
  <c r="E159" i="1"/>
  <c r="G70" i="1" l="1"/>
  <c r="H70" i="1" s="1"/>
  <c r="B163" i="1"/>
  <c r="E160" i="1"/>
  <c r="C160" i="1"/>
  <c r="J70" i="1" l="1"/>
  <c r="D71" i="1" s="1"/>
  <c r="B164" i="1"/>
  <c r="E161" i="1"/>
  <c r="C161" i="1"/>
  <c r="F71" i="1" l="1"/>
  <c r="G71" i="1" s="1"/>
  <c r="I71" i="1"/>
  <c r="K71" i="1" s="1"/>
  <c r="B165" i="1"/>
  <c r="E162" i="1"/>
  <c r="C162" i="1"/>
  <c r="H71" i="1" l="1"/>
  <c r="B166" i="1"/>
  <c r="C163" i="1"/>
  <c r="E163" i="1"/>
  <c r="J71" i="1" l="1"/>
  <c r="D72" i="1" s="1"/>
  <c r="B167" i="1"/>
  <c r="E164" i="1"/>
  <c r="C164" i="1"/>
  <c r="F72" i="1" l="1"/>
  <c r="I72" i="1"/>
  <c r="K72" i="1" s="1"/>
  <c r="B168" i="1"/>
  <c r="C165" i="1"/>
  <c r="E165" i="1"/>
  <c r="G72" i="1" l="1"/>
  <c r="H72" i="1" s="1"/>
  <c r="J72" i="1" s="1"/>
  <c r="B169" i="1"/>
  <c r="C166" i="1"/>
  <c r="E166" i="1"/>
  <c r="D73" i="1" l="1"/>
  <c r="B170" i="1"/>
  <c r="E167" i="1"/>
  <c r="C167" i="1"/>
  <c r="F73" i="1" l="1"/>
  <c r="I73" i="1"/>
  <c r="K73" i="1" s="1"/>
  <c r="B171" i="1"/>
  <c r="C168" i="1"/>
  <c r="E168" i="1"/>
  <c r="G73" i="1" l="1"/>
  <c r="H73" i="1" s="1"/>
  <c r="J73" i="1" s="1"/>
  <c r="D74" i="1" s="1"/>
  <c r="B172" i="1"/>
  <c r="E169" i="1"/>
  <c r="C169" i="1"/>
  <c r="F74" i="1" l="1"/>
  <c r="I74" i="1"/>
  <c r="K74" i="1" s="1"/>
  <c r="B173" i="1"/>
  <c r="C170" i="1"/>
  <c r="E170" i="1"/>
  <c r="G74" i="1" l="1"/>
  <c r="H74" i="1" s="1"/>
  <c r="B174" i="1"/>
  <c r="E171" i="1"/>
  <c r="C171" i="1"/>
  <c r="J74" i="1" l="1"/>
  <c r="D75" i="1" s="1"/>
  <c r="B175" i="1"/>
  <c r="E172" i="1"/>
  <c r="C172" i="1"/>
  <c r="F75" i="1" l="1"/>
  <c r="I75" i="1"/>
  <c r="K75" i="1" s="1"/>
  <c r="B176" i="1"/>
  <c r="E173" i="1"/>
  <c r="C173" i="1"/>
  <c r="G75" i="1" l="1"/>
  <c r="H75" i="1" s="1"/>
  <c r="J75" i="1" s="1"/>
  <c r="B177" i="1"/>
  <c r="C174" i="1"/>
  <c r="E174" i="1"/>
  <c r="D76" i="1" l="1"/>
  <c r="B178" i="1"/>
  <c r="C175" i="1"/>
  <c r="E175" i="1"/>
  <c r="F76" i="1" l="1"/>
  <c r="I76" i="1"/>
  <c r="K76" i="1" s="1"/>
  <c r="B179" i="1"/>
  <c r="E176" i="1"/>
  <c r="C176" i="1"/>
  <c r="G76" i="1" l="1"/>
  <c r="H76" i="1" s="1"/>
  <c r="B180" i="1"/>
  <c r="C177" i="1"/>
  <c r="E177" i="1"/>
  <c r="J76" i="1" l="1"/>
  <c r="D77" i="1" s="1"/>
  <c r="B181" i="1"/>
  <c r="C178" i="1"/>
  <c r="E178" i="1"/>
  <c r="F77" i="1" l="1"/>
  <c r="I77" i="1"/>
  <c r="K77" i="1" s="1"/>
  <c r="B182" i="1"/>
  <c r="E179" i="1"/>
  <c r="C179" i="1"/>
  <c r="G77" i="1" l="1"/>
  <c r="H77" i="1" s="1"/>
  <c r="B183" i="1"/>
  <c r="C180" i="1"/>
  <c r="E180" i="1"/>
  <c r="J77" i="1" l="1"/>
  <c r="D78" i="1" s="1"/>
  <c r="B184" i="1"/>
  <c r="E181" i="1"/>
  <c r="C181" i="1"/>
  <c r="F78" i="1" l="1"/>
  <c r="I78" i="1"/>
  <c r="K78" i="1" s="1"/>
  <c r="B185" i="1"/>
  <c r="C182" i="1"/>
  <c r="E182" i="1"/>
  <c r="G78" i="1" l="1"/>
  <c r="H78" i="1" s="1"/>
  <c r="J78" i="1" s="1"/>
  <c r="B186" i="1"/>
  <c r="E183" i="1"/>
  <c r="C183" i="1"/>
  <c r="D79" i="1" l="1"/>
  <c r="B187" i="1"/>
  <c r="C184" i="1"/>
  <c r="E184" i="1"/>
  <c r="F79" i="1" l="1"/>
  <c r="I79" i="1"/>
  <c r="K79" i="1" s="1"/>
  <c r="B188" i="1"/>
  <c r="C185" i="1"/>
  <c r="E185" i="1"/>
  <c r="G79" i="1" l="1"/>
  <c r="H79" i="1" s="1"/>
  <c r="J79" i="1" s="1"/>
  <c r="B189" i="1"/>
  <c r="C186" i="1"/>
  <c r="E186" i="1"/>
  <c r="D80" i="1" l="1"/>
  <c r="B190" i="1"/>
  <c r="C187" i="1"/>
  <c r="E187" i="1"/>
  <c r="F80" i="1" l="1"/>
  <c r="I80" i="1"/>
  <c r="K80" i="1" s="1"/>
  <c r="B191" i="1"/>
  <c r="E188" i="1"/>
  <c r="C188" i="1"/>
  <c r="G80" i="1" l="1"/>
  <c r="H80" i="1" s="1"/>
  <c r="J80" i="1" s="1"/>
  <c r="D81" i="1" s="1"/>
  <c r="B192" i="1"/>
  <c r="C189" i="1"/>
  <c r="E189" i="1"/>
  <c r="F81" i="1" l="1"/>
  <c r="I81" i="1"/>
  <c r="K81" i="1" s="1"/>
  <c r="B193" i="1"/>
  <c r="E190" i="1"/>
  <c r="C190" i="1"/>
  <c r="G81" i="1" l="1"/>
  <c r="H81" i="1" s="1"/>
  <c r="J81" i="1" s="1"/>
  <c r="B194" i="1"/>
  <c r="E191" i="1"/>
  <c r="C191" i="1"/>
  <c r="D82" i="1" l="1"/>
  <c r="F82" i="1" s="1"/>
  <c r="B195" i="1"/>
  <c r="C192" i="1"/>
  <c r="E192" i="1"/>
  <c r="I82" i="1" l="1"/>
  <c r="K82" i="1" s="1"/>
  <c r="G82" i="1"/>
  <c r="B196" i="1"/>
  <c r="E193" i="1"/>
  <c r="C193" i="1"/>
  <c r="H82" i="1" l="1"/>
  <c r="J82" i="1" s="1"/>
  <c r="D83" i="1" s="1"/>
  <c r="B197" i="1"/>
  <c r="E194" i="1"/>
  <c r="C194" i="1"/>
  <c r="F83" i="1" l="1"/>
  <c r="I83" i="1"/>
  <c r="K83" i="1" s="1"/>
  <c r="B198" i="1"/>
  <c r="E195" i="1"/>
  <c r="C195" i="1"/>
  <c r="G83" i="1" l="1"/>
  <c r="H83" i="1" s="1"/>
  <c r="J83" i="1" s="1"/>
  <c r="B199" i="1"/>
  <c r="C196" i="1"/>
  <c r="E196" i="1"/>
  <c r="D84" i="1" l="1"/>
  <c r="B200" i="1"/>
  <c r="C197" i="1"/>
  <c r="E197" i="1"/>
  <c r="F84" i="1" l="1"/>
  <c r="I84" i="1"/>
  <c r="K84" i="1" s="1"/>
  <c r="B201" i="1"/>
  <c r="C198" i="1"/>
  <c r="E198" i="1"/>
  <c r="G84" i="1" l="1"/>
  <c r="H84" i="1" s="1"/>
  <c r="J84" i="1" s="1"/>
  <c r="B202" i="1"/>
  <c r="E199" i="1"/>
  <c r="C199" i="1"/>
  <c r="D85" i="1" l="1"/>
  <c r="B203" i="1"/>
  <c r="C200" i="1"/>
  <c r="E200" i="1"/>
  <c r="F85" i="1" l="1"/>
  <c r="I85" i="1"/>
  <c r="K85" i="1" s="1"/>
  <c r="B204" i="1"/>
  <c r="C201" i="1"/>
  <c r="E201" i="1"/>
  <c r="G85" i="1" l="1"/>
  <c r="H85" i="1" s="1"/>
  <c r="J85" i="1" s="1"/>
  <c r="B205" i="1"/>
  <c r="C202" i="1"/>
  <c r="E202" i="1"/>
  <c r="D86" i="1" l="1"/>
  <c r="B206" i="1"/>
  <c r="C203" i="1"/>
  <c r="E203" i="1"/>
  <c r="F86" i="1" l="1"/>
  <c r="I86" i="1"/>
  <c r="K86" i="1" s="1"/>
  <c r="B207" i="1"/>
  <c r="C204" i="1"/>
  <c r="E204" i="1"/>
  <c r="G86" i="1" l="1"/>
  <c r="H86" i="1" s="1"/>
  <c r="J86" i="1" s="1"/>
  <c r="D87" i="1" s="1"/>
  <c r="B208" i="1"/>
  <c r="C205" i="1"/>
  <c r="E205" i="1"/>
  <c r="F87" i="1" l="1"/>
  <c r="I87" i="1"/>
  <c r="K87" i="1" s="1"/>
  <c r="B209" i="1"/>
  <c r="E206" i="1"/>
  <c r="C206" i="1"/>
  <c r="G87" i="1" l="1"/>
  <c r="H87" i="1" s="1"/>
  <c r="J87" i="1" s="1"/>
  <c r="B210" i="1"/>
  <c r="C207" i="1"/>
  <c r="E207" i="1"/>
  <c r="D88" i="1" l="1"/>
  <c r="B211" i="1"/>
  <c r="C208" i="1"/>
  <c r="E208" i="1"/>
  <c r="F88" i="1" l="1"/>
  <c r="I88" i="1"/>
  <c r="K88" i="1" s="1"/>
  <c r="B212" i="1"/>
  <c r="C209" i="1"/>
  <c r="E209" i="1"/>
  <c r="G88" i="1" l="1"/>
  <c r="H88" i="1" s="1"/>
  <c r="B213" i="1"/>
  <c r="C210" i="1"/>
  <c r="E210" i="1"/>
  <c r="J88" i="1" l="1"/>
  <c r="D89" i="1" s="1"/>
  <c r="B214" i="1"/>
  <c r="C211" i="1"/>
  <c r="E211" i="1"/>
  <c r="F89" i="1" l="1"/>
  <c r="I89" i="1"/>
  <c r="K89" i="1" s="1"/>
  <c r="B215" i="1"/>
  <c r="E212" i="1"/>
  <c r="C212" i="1"/>
  <c r="G89" i="1" l="1"/>
  <c r="H89" i="1" s="1"/>
  <c r="J89" i="1" s="1"/>
  <c r="D90" i="1" s="1"/>
  <c r="B216" i="1"/>
  <c r="C213" i="1"/>
  <c r="E213" i="1"/>
  <c r="F90" i="1" l="1"/>
  <c r="I90" i="1"/>
  <c r="K90" i="1" s="1"/>
  <c r="B217" i="1"/>
  <c r="E214" i="1"/>
  <c r="C214" i="1"/>
  <c r="G90" i="1" l="1"/>
  <c r="H90" i="1" s="1"/>
  <c r="J90" i="1" s="1"/>
  <c r="D91" i="1" s="1"/>
  <c r="B218" i="1"/>
  <c r="C215" i="1"/>
  <c r="E215" i="1"/>
  <c r="F91" i="1" l="1"/>
  <c r="I91" i="1"/>
  <c r="K91" i="1" s="1"/>
  <c r="B219" i="1"/>
  <c r="C216" i="1"/>
  <c r="E216" i="1"/>
  <c r="G91" i="1" l="1"/>
  <c r="H91" i="1" s="1"/>
  <c r="J91" i="1" s="1"/>
  <c r="B220" i="1"/>
  <c r="C217" i="1"/>
  <c r="E217" i="1"/>
  <c r="D92" i="1" l="1"/>
  <c r="B221" i="1"/>
  <c r="E218" i="1"/>
  <c r="C218" i="1"/>
  <c r="F92" i="1" l="1"/>
  <c r="I92" i="1"/>
  <c r="K92" i="1" s="1"/>
  <c r="B222" i="1"/>
  <c r="E219" i="1"/>
  <c r="C219" i="1"/>
  <c r="G92" i="1" l="1"/>
  <c r="H92" i="1" s="1"/>
  <c r="B223" i="1"/>
  <c r="C220" i="1"/>
  <c r="E220" i="1"/>
  <c r="J92" i="1" l="1"/>
  <c r="D93" i="1" s="1"/>
  <c r="B224" i="1"/>
  <c r="E221" i="1"/>
  <c r="C221" i="1"/>
  <c r="F93" i="1" l="1"/>
  <c r="I93" i="1"/>
  <c r="K93" i="1" s="1"/>
  <c r="B225" i="1"/>
  <c r="E222" i="1"/>
  <c r="C222" i="1"/>
  <c r="G93" i="1" l="1"/>
  <c r="H93" i="1" s="1"/>
  <c r="J93" i="1" s="1"/>
  <c r="B226" i="1"/>
  <c r="C223" i="1"/>
  <c r="E223" i="1"/>
  <c r="D94" i="1" l="1"/>
  <c r="B227" i="1"/>
  <c r="C224" i="1"/>
  <c r="E224" i="1"/>
  <c r="I94" i="1" l="1"/>
  <c r="K94" i="1" s="1"/>
  <c r="F94" i="1"/>
  <c r="B228" i="1"/>
  <c r="E225" i="1"/>
  <c r="C225" i="1"/>
  <c r="G94" i="1" l="1"/>
  <c r="H94" i="1" s="1"/>
  <c r="J94" i="1" s="1"/>
  <c r="B229" i="1"/>
  <c r="E226" i="1"/>
  <c r="C226" i="1"/>
  <c r="D95" i="1" l="1"/>
  <c r="B230" i="1"/>
  <c r="E227" i="1"/>
  <c r="C227" i="1"/>
  <c r="F95" i="1" l="1"/>
  <c r="I95" i="1"/>
  <c r="K95" i="1" s="1"/>
  <c r="B231" i="1"/>
  <c r="E228" i="1"/>
  <c r="C228" i="1"/>
  <c r="G95" i="1" l="1"/>
  <c r="H95" i="1" s="1"/>
  <c r="J95" i="1" s="1"/>
  <c r="B232" i="1"/>
  <c r="C229" i="1"/>
  <c r="E229" i="1"/>
  <c r="D96" i="1" l="1"/>
  <c r="B233" i="1"/>
  <c r="E230" i="1"/>
  <c r="C230" i="1"/>
  <c r="F96" i="1" l="1"/>
  <c r="I96" i="1"/>
  <c r="K96" i="1" s="1"/>
  <c r="B234" i="1"/>
  <c r="E231" i="1"/>
  <c r="C231" i="1"/>
  <c r="G96" i="1" l="1"/>
  <c r="H96" i="1" s="1"/>
  <c r="J96" i="1" s="1"/>
  <c r="D97" i="1" s="1"/>
  <c r="B235" i="1"/>
  <c r="E232" i="1"/>
  <c r="C232" i="1"/>
  <c r="F97" i="1" l="1"/>
  <c r="I97" i="1"/>
  <c r="K97" i="1" s="1"/>
  <c r="B236" i="1"/>
  <c r="C233" i="1"/>
  <c r="E233" i="1"/>
  <c r="G97" i="1" l="1"/>
  <c r="H97" i="1" s="1"/>
  <c r="J97" i="1" s="1"/>
  <c r="B237" i="1"/>
  <c r="E234" i="1"/>
  <c r="C234" i="1"/>
  <c r="D98" i="1" l="1"/>
  <c r="B238" i="1"/>
  <c r="E235" i="1"/>
  <c r="C235" i="1"/>
  <c r="F98" i="1" l="1"/>
  <c r="I98" i="1"/>
  <c r="K98" i="1" s="1"/>
  <c r="B239" i="1"/>
  <c r="C236" i="1"/>
  <c r="E236" i="1"/>
  <c r="G98" i="1" l="1"/>
  <c r="H98" i="1" s="1"/>
  <c r="J98" i="1" s="1"/>
  <c r="B240" i="1"/>
  <c r="C237" i="1"/>
  <c r="E237" i="1"/>
  <c r="D99" i="1" l="1"/>
  <c r="B241" i="1"/>
  <c r="C238" i="1"/>
  <c r="E238" i="1"/>
  <c r="F99" i="1" l="1"/>
  <c r="I99" i="1"/>
  <c r="K99" i="1" s="1"/>
  <c r="B242" i="1"/>
  <c r="E239" i="1"/>
  <c r="C239" i="1"/>
  <c r="G99" i="1" l="1"/>
  <c r="H99" i="1" s="1"/>
  <c r="J99" i="1" s="1"/>
  <c r="D100" i="1" s="1"/>
  <c r="B243" i="1"/>
  <c r="C240" i="1"/>
  <c r="E240" i="1"/>
  <c r="F100" i="1" l="1"/>
  <c r="I100" i="1"/>
  <c r="K100" i="1" s="1"/>
  <c r="B244" i="1"/>
  <c r="C241" i="1"/>
  <c r="E241" i="1"/>
  <c r="G100" i="1" l="1"/>
  <c r="H100" i="1" s="1"/>
  <c r="J100" i="1" s="1"/>
  <c r="B245" i="1"/>
  <c r="C242" i="1"/>
  <c r="E242" i="1"/>
  <c r="D101" i="1" l="1"/>
  <c r="B246" i="1"/>
  <c r="E243" i="1"/>
  <c r="C243" i="1"/>
  <c r="I101" i="1" l="1"/>
  <c r="K101" i="1" s="1"/>
  <c r="F101" i="1"/>
  <c r="B247" i="1"/>
  <c r="E244" i="1"/>
  <c r="C244" i="1"/>
  <c r="G101" i="1" l="1"/>
  <c r="H101" i="1" s="1"/>
  <c r="J101" i="1" s="1"/>
  <c r="B248" i="1"/>
  <c r="E245" i="1"/>
  <c r="C245" i="1"/>
  <c r="D102" i="1" l="1"/>
  <c r="B249" i="1"/>
  <c r="C246" i="1"/>
  <c r="E246" i="1"/>
  <c r="F102" i="1" l="1"/>
  <c r="I102" i="1"/>
  <c r="K102" i="1" s="1"/>
  <c r="B250" i="1"/>
  <c r="E247" i="1"/>
  <c r="C247" i="1"/>
  <c r="G102" i="1" l="1"/>
  <c r="H102" i="1" s="1"/>
  <c r="J102" i="1" s="1"/>
  <c r="D103" i="1" s="1"/>
  <c r="B251" i="1"/>
  <c r="C248" i="1"/>
  <c r="E248" i="1"/>
  <c r="F103" i="1" l="1"/>
  <c r="I103" i="1"/>
  <c r="K103" i="1" s="1"/>
  <c r="B252" i="1"/>
  <c r="C249" i="1"/>
  <c r="E249" i="1"/>
  <c r="G103" i="1" l="1"/>
  <c r="H103" i="1" s="1"/>
  <c r="J103" i="1" s="1"/>
  <c r="B253" i="1"/>
  <c r="E250" i="1"/>
  <c r="C250" i="1"/>
  <c r="D104" i="1" l="1"/>
  <c r="B254" i="1"/>
  <c r="E251" i="1"/>
  <c r="C251" i="1"/>
  <c r="F104" i="1" l="1"/>
  <c r="I104" i="1"/>
  <c r="K104" i="1" s="1"/>
  <c r="B255" i="1"/>
  <c r="C252" i="1"/>
  <c r="E252" i="1"/>
  <c r="G104" i="1" l="1"/>
  <c r="H104" i="1" s="1"/>
  <c r="J104" i="1" s="1"/>
  <c r="B256" i="1"/>
  <c r="E253" i="1"/>
  <c r="C253" i="1"/>
  <c r="D105" i="1" l="1"/>
  <c r="B257" i="1"/>
  <c r="E254" i="1"/>
  <c r="C254" i="1"/>
  <c r="F105" i="1" l="1"/>
  <c r="I105" i="1"/>
  <c r="K105" i="1" s="1"/>
  <c r="B258" i="1"/>
  <c r="E255" i="1"/>
  <c r="C255" i="1"/>
  <c r="G105" i="1" l="1"/>
  <c r="H105" i="1" s="1"/>
  <c r="J105" i="1" s="1"/>
  <c r="B259" i="1"/>
  <c r="C256" i="1"/>
  <c r="E256" i="1"/>
  <c r="D106" i="1" l="1"/>
  <c r="F106" i="1" s="1"/>
  <c r="B260" i="1"/>
  <c r="C257" i="1"/>
  <c r="E257" i="1"/>
  <c r="I106" i="1" l="1"/>
  <c r="K106" i="1" s="1"/>
  <c r="G106" i="1"/>
  <c r="B261" i="1"/>
  <c r="C258" i="1"/>
  <c r="E258" i="1"/>
  <c r="H106" i="1" l="1"/>
  <c r="J106" i="1" s="1"/>
  <c r="D107" i="1" s="1"/>
  <c r="B262" i="1"/>
  <c r="C259" i="1"/>
  <c r="E259" i="1"/>
  <c r="F107" i="1" l="1"/>
  <c r="I107" i="1"/>
  <c r="K107" i="1" s="1"/>
  <c r="B263" i="1"/>
  <c r="C260" i="1"/>
  <c r="E260" i="1"/>
  <c r="G107" i="1" l="1"/>
  <c r="H107" i="1" s="1"/>
  <c r="J107" i="1" s="1"/>
  <c r="B264" i="1"/>
  <c r="C261" i="1"/>
  <c r="E261" i="1"/>
  <c r="D108" i="1" l="1"/>
  <c r="B265" i="1"/>
  <c r="C262" i="1"/>
  <c r="E262" i="1"/>
  <c r="F108" i="1" l="1"/>
  <c r="I108" i="1"/>
  <c r="K108" i="1" s="1"/>
  <c r="B266" i="1"/>
  <c r="C263" i="1"/>
  <c r="E263" i="1"/>
  <c r="G108" i="1" l="1"/>
  <c r="H108" i="1" s="1"/>
  <c r="J108" i="1" s="1"/>
  <c r="B267" i="1"/>
  <c r="C264" i="1"/>
  <c r="E264" i="1"/>
  <c r="D109" i="1" l="1"/>
  <c r="B268" i="1"/>
  <c r="C265" i="1"/>
  <c r="E265" i="1"/>
  <c r="F109" i="1" l="1"/>
  <c r="I109" i="1"/>
  <c r="K109" i="1" s="1"/>
  <c r="B269" i="1"/>
  <c r="C266" i="1"/>
  <c r="E266" i="1"/>
  <c r="G109" i="1" l="1"/>
  <c r="H109" i="1" s="1"/>
  <c r="J109" i="1" s="1"/>
  <c r="D110" i="1" s="1"/>
  <c r="B270" i="1"/>
  <c r="C267" i="1"/>
  <c r="E267" i="1"/>
  <c r="F110" i="1" l="1"/>
  <c r="I110" i="1"/>
  <c r="K110" i="1" s="1"/>
  <c r="B271" i="1"/>
  <c r="C268" i="1"/>
  <c r="E268" i="1"/>
  <c r="G110" i="1" l="1"/>
  <c r="H110" i="1" s="1"/>
  <c r="J110" i="1" s="1"/>
  <c r="D111" i="1" s="1"/>
  <c r="B272" i="1"/>
  <c r="E269" i="1"/>
  <c r="C269" i="1"/>
  <c r="F111" i="1" l="1"/>
  <c r="I111" i="1"/>
  <c r="K111" i="1" s="1"/>
  <c r="B273" i="1"/>
  <c r="C270" i="1"/>
  <c r="E270" i="1"/>
  <c r="G111" i="1" l="1"/>
  <c r="H111" i="1" s="1"/>
  <c r="J111" i="1" s="1"/>
  <c r="D112" i="1" s="1"/>
  <c r="B274" i="1"/>
  <c r="C271" i="1"/>
  <c r="E271" i="1"/>
  <c r="F112" i="1" l="1"/>
  <c r="I112" i="1"/>
  <c r="K112" i="1" s="1"/>
  <c r="B275" i="1"/>
  <c r="C272" i="1"/>
  <c r="E272" i="1"/>
  <c r="G112" i="1" l="1"/>
  <c r="H112" i="1" s="1"/>
  <c r="J112" i="1" s="1"/>
  <c r="B276" i="1"/>
  <c r="C273" i="1"/>
  <c r="E273" i="1"/>
  <c r="D113" i="1" l="1"/>
  <c r="B277" i="1"/>
  <c r="E274" i="1"/>
  <c r="C274" i="1"/>
  <c r="I113" i="1" l="1"/>
  <c r="K113" i="1" s="1"/>
  <c r="F113" i="1"/>
  <c r="B278" i="1"/>
  <c r="E275" i="1"/>
  <c r="C275" i="1"/>
  <c r="G113" i="1" l="1"/>
  <c r="H113" i="1" s="1"/>
  <c r="J113" i="1" s="1"/>
  <c r="B279" i="1"/>
  <c r="E276" i="1"/>
  <c r="C276" i="1"/>
  <c r="D114" i="1" l="1"/>
  <c r="B280" i="1"/>
  <c r="C277" i="1"/>
  <c r="E277" i="1"/>
  <c r="F114" i="1" l="1"/>
  <c r="I114" i="1"/>
  <c r="K114" i="1" s="1"/>
  <c r="B281" i="1"/>
  <c r="C278" i="1"/>
  <c r="E278" i="1"/>
  <c r="G114" i="1" l="1"/>
  <c r="H114" i="1" s="1"/>
  <c r="J114" i="1" s="1"/>
  <c r="D115" i="1" s="1"/>
  <c r="B282" i="1"/>
  <c r="E279" i="1"/>
  <c r="C279" i="1"/>
  <c r="F115" i="1" l="1"/>
  <c r="I115" i="1"/>
  <c r="K115" i="1" s="1"/>
  <c r="B283" i="1"/>
  <c r="E280" i="1"/>
  <c r="C280" i="1"/>
  <c r="G115" i="1" l="1"/>
  <c r="H115" i="1" s="1"/>
  <c r="J115" i="1" s="1"/>
  <c r="D116" i="1" s="1"/>
  <c r="B284" i="1"/>
  <c r="C281" i="1"/>
  <c r="E281" i="1"/>
  <c r="F116" i="1" l="1"/>
  <c r="I116" i="1"/>
  <c r="K116" i="1" s="1"/>
  <c r="B285" i="1"/>
  <c r="C282" i="1"/>
  <c r="E282" i="1"/>
  <c r="G116" i="1" l="1"/>
  <c r="H116" i="1" s="1"/>
  <c r="J116" i="1" s="1"/>
  <c r="D117" i="1" s="1"/>
  <c r="B286" i="1"/>
  <c r="C283" i="1"/>
  <c r="E283" i="1"/>
  <c r="F117" i="1" l="1"/>
  <c r="I117" i="1"/>
  <c r="K117" i="1" s="1"/>
  <c r="B287" i="1"/>
  <c r="C284" i="1"/>
  <c r="E284" i="1"/>
  <c r="G117" i="1" l="1"/>
  <c r="H117" i="1" s="1"/>
  <c r="J117" i="1" s="1"/>
  <c r="B288" i="1"/>
  <c r="C285" i="1"/>
  <c r="E285" i="1"/>
  <c r="D118" i="1" l="1"/>
  <c r="B289" i="1"/>
  <c r="C286" i="1"/>
  <c r="E286" i="1"/>
  <c r="F118" i="1" l="1"/>
  <c r="I118" i="1"/>
  <c r="K118" i="1" s="1"/>
  <c r="B290" i="1"/>
  <c r="C287" i="1"/>
  <c r="E287" i="1"/>
  <c r="G118" i="1" l="1"/>
  <c r="H118" i="1" s="1"/>
  <c r="J118" i="1" s="1"/>
  <c r="B291" i="1"/>
  <c r="E288" i="1"/>
  <c r="C288" i="1"/>
  <c r="D119" i="1" l="1"/>
  <c r="B292" i="1"/>
  <c r="C289" i="1"/>
  <c r="E289" i="1"/>
  <c r="I119" i="1" l="1"/>
  <c r="K119" i="1" s="1"/>
  <c r="F119" i="1"/>
  <c r="B293" i="1"/>
  <c r="C290" i="1"/>
  <c r="E290" i="1"/>
  <c r="G119" i="1" l="1"/>
  <c r="H119" i="1" s="1"/>
  <c r="J119" i="1" s="1"/>
  <c r="B294" i="1"/>
  <c r="E291" i="1"/>
  <c r="C291" i="1"/>
  <c r="D120" i="1" l="1"/>
  <c r="B295" i="1"/>
  <c r="C292" i="1"/>
  <c r="E292" i="1"/>
  <c r="F120" i="1" l="1"/>
  <c r="I120" i="1"/>
  <c r="K120" i="1" s="1"/>
  <c r="B296" i="1"/>
  <c r="C293" i="1"/>
  <c r="E293" i="1"/>
  <c r="G120" i="1" l="1"/>
  <c r="H120" i="1" s="1"/>
  <c r="J120" i="1" s="1"/>
  <c r="D121" i="1" s="1"/>
  <c r="B297" i="1"/>
  <c r="C294" i="1"/>
  <c r="E294" i="1"/>
  <c r="F121" i="1" l="1"/>
  <c r="I121" i="1"/>
  <c r="K121" i="1" s="1"/>
  <c r="B298" i="1"/>
  <c r="C295" i="1"/>
  <c r="E295" i="1"/>
  <c r="G121" i="1" l="1"/>
  <c r="H121" i="1" s="1"/>
  <c r="J121" i="1" s="1"/>
  <c r="B299" i="1"/>
  <c r="E296" i="1"/>
  <c r="C296" i="1"/>
  <c r="D122" i="1" l="1"/>
  <c r="B300" i="1"/>
  <c r="C297" i="1"/>
  <c r="E297" i="1"/>
  <c r="F122" i="1" l="1"/>
  <c r="I122" i="1"/>
  <c r="K122" i="1" s="1"/>
  <c r="B301" i="1"/>
  <c r="C298" i="1"/>
  <c r="E298" i="1"/>
  <c r="G122" i="1" l="1"/>
  <c r="H122" i="1" s="1"/>
  <c r="J122" i="1" s="1"/>
  <c r="D123" i="1" s="1"/>
  <c r="B302" i="1"/>
  <c r="C299" i="1"/>
  <c r="E299" i="1"/>
  <c r="I123" i="1" l="1"/>
  <c r="K123" i="1" s="1"/>
  <c r="F123" i="1"/>
  <c r="B303" i="1"/>
  <c r="C300" i="1"/>
  <c r="E300" i="1"/>
  <c r="G123" i="1" l="1"/>
  <c r="H123" i="1" s="1"/>
  <c r="J123" i="1" s="1"/>
  <c r="B304" i="1"/>
  <c r="C301" i="1"/>
  <c r="E301" i="1"/>
  <c r="D124" i="1" l="1"/>
  <c r="B305" i="1"/>
  <c r="E302" i="1"/>
  <c r="C302" i="1"/>
  <c r="F124" i="1" l="1"/>
  <c r="I124" i="1"/>
  <c r="K124" i="1" s="1"/>
  <c r="B306" i="1"/>
  <c r="C303" i="1"/>
  <c r="E303" i="1"/>
  <c r="G124" i="1" l="1"/>
  <c r="H124" i="1" s="1"/>
  <c r="B307" i="1"/>
  <c r="E304" i="1"/>
  <c r="C304" i="1"/>
  <c r="J124" i="1" l="1"/>
  <c r="D125" i="1" s="1"/>
  <c r="B308" i="1"/>
  <c r="E305" i="1"/>
  <c r="C305" i="1"/>
  <c r="F125" i="1" l="1"/>
  <c r="I125" i="1"/>
  <c r="K125" i="1" s="1"/>
  <c r="B309" i="1"/>
  <c r="C306" i="1"/>
  <c r="E306" i="1"/>
  <c r="G125" i="1" l="1"/>
  <c r="H125" i="1" s="1"/>
  <c r="J125" i="1" s="1"/>
  <c r="D126" i="1" s="1"/>
  <c r="B310" i="1"/>
  <c r="C307" i="1"/>
  <c r="E307" i="1"/>
  <c r="F126" i="1" l="1"/>
  <c r="I126" i="1"/>
  <c r="K126" i="1" s="1"/>
  <c r="B311" i="1"/>
  <c r="E308" i="1"/>
  <c r="C308" i="1"/>
  <c r="G126" i="1" l="1"/>
  <c r="H126" i="1" s="1"/>
  <c r="B312" i="1"/>
  <c r="C309" i="1"/>
  <c r="E309" i="1"/>
  <c r="J126" i="1" l="1"/>
  <c r="D127" i="1" s="1"/>
  <c r="B313" i="1"/>
  <c r="E310" i="1"/>
  <c r="C310" i="1"/>
  <c r="F127" i="1" l="1"/>
  <c r="I127" i="1"/>
  <c r="K127" i="1" s="1"/>
  <c r="B314" i="1"/>
  <c r="E311" i="1"/>
  <c r="C311" i="1"/>
  <c r="G127" i="1" l="1"/>
  <c r="H127" i="1" s="1"/>
  <c r="J127" i="1" s="1"/>
  <c r="D128" i="1" s="1"/>
  <c r="B315" i="1"/>
  <c r="C312" i="1"/>
  <c r="E312" i="1"/>
  <c r="F128" i="1" l="1"/>
  <c r="I128" i="1"/>
  <c r="K128" i="1" s="1"/>
  <c r="B316" i="1"/>
  <c r="C313" i="1"/>
  <c r="E313" i="1"/>
  <c r="G128" i="1" l="1"/>
  <c r="H128" i="1" s="1"/>
  <c r="J128" i="1" s="1"/>
  <c r="D129" i="1" s="1"/>
  <c r="B317" i="1"/>
  <c r="C314" i="1"/>
  <c r="E314" i="1"/>
  <c r="F129" i="1" l="1"/>
  <c r="I129" i="1"/>
  <c r="K129" i="1" s="1"/>
  <c r="B318" i="1"/>
  <c r="E315" i="1"/>
  <c r="C315" i="1"/>
  <c r="G129" i="1" l="1"/>
  <c r="H129" i="1" s="1"/>
  <c r="J129" i="1" s="1"/>
  <c r="D130" i="1" s="1"/>
  <c r="B319" i="1"/>
  <c r="C316" i="1"/>
  <c r="E316" i="1"/>
  <c r="F130" i="1" l="1"/>
  <c r="I130" i="1"/>
  <c r="K130" i="1" s="1"/>
  <c r="B320" i="1"/>
  <c r="C317" i="1"/>
  <c r="E317" i="1"/>
  <c r="G130" i="1" l="1"/>
  <c r="H130" i="1" s="1"/>
  <c r="J130" i="1" s="1"/>
  <c r="B321" i="1"/>
  <c r="C318" i="1"/>
  <c r="E318" i="1"/>
  <c r="D131" i="1" l="1"/>
  <c r="B322" i="1"/>
  <c r="E319" i="1"/>
  <c r="C319" i="1"/>
  <c r="F131" i="1" l="1"/>
  <c r="I131" i="1"/>
  <c r="K131" i="1" s="1"/>
  <c r="B323" i="1"/>
  <c r="C320" i="1"/>
  <c r="E320" i="1"/>
  <c r="G131" i="1" l="1"/>
  <c r="H131" i="1" s="1"/>
  <c r="J131" i="1" s="1"/>
  <c r="B324" i="1"/>
  <c r="C321" i="1"/>
  <c r="E321" i="1"/>
  <c r="D132" i="1" l="1"/>
  <c r="B325" i="1"/>
  <c r="E322" i="1"/>
  <c r="C322" i="1"/>
  <c r="F132" i="1" l="1"/>
  <c r="I132" i="1"/>
  <c r="K132" i="1" s="1"/>
  <c r="B326" i="1"/>
  <c r="E323" i="1"/>
  <c r="C323" i="1"/>
  <c r="G132" i="1" l="1"/>
  <c r="H132" i="1" s="1"/>
  <c r="J132" i="1" s="1"/>
  <c r="B327" i="1"/>
  <c r="E324" i="1"/>
  <c r="C324" i="1"/>
  <c r="D133" i="1" l="1"/>
  <c r="B328" i="1"/>
  <c r="C325" i="1"/>
  <c r="E325" i="1"/>
  <c r="F133" i="1" l="1"/>
  <c r="I133" i="1"/>
  <c r="K133" i="1" s="1"/>
  <c r="B329" i="1"/>
  <c r="C326" i="1"/>
  <c r="E326" i="1"/>
  <c r="G133" i="1" l="1"/>
  <c r="H133" i="1" s="1"/>
  <c r="B330" i="1"/>
  <c r="C327" i="1"/>
  <c r="E327" i="1"/>
  <c r="J133" i="1" l="1"/>
  <c r="D134" i="1" s="1"/>
  <c r="B331" i="1"/>
  <c r="C328" i="1"/>
  <c r="E328" i="1"/>
  <c r="F134" i="1" l="1"/>
  <c r="I134" i="1"/>
  <c r="K134" i="1" s="1"/>
  <c r="B332" i="1"/>
  <c r="E329" i="1"/>
  <c r="C329" i="1"/>
  <c r="G134" i="1" l="1"/>
  <c r="H134" i="1" s="1"/>
  <c r="J134" i="1" s="1"/>
  <c r="D135" i="1" s="1"/>
  <c r="B333" i="1"/>
  <c r="E330" i="1"/>
  <c r="C330" i="1"/>
  <c r="F135" i="1" l="1"/>
  <c r="I135" i="1"/>
  <c r="K135" i="1" s="1"/>
  <c r="B334" i="1"/>
  <c r="E331" i="1"/>
  <c r="C331" i="1"/>
  <c r="G135" i="1" l="1"/>
  <c r="H135" i="1" s="1"/>
  <c r="J135" i="1" s="1"/>
  <c r="B335" i="1"/>
  <c r="E332" i="1"/>
  <c r="C332" i="1"/>
  <c r="D136" i="1" l="1"/>
  <c r="B336" i="1"/>
  <c r="C333" i="1"/>
  <c r="E333" i="1"/>
  <c r="F136" i="1" l="1"/>
  <c r="I136" i="1"/>
  <c r="K136" i="1" s="1"/>
  <c r="B337" i="1"/>
  <c r="C334" i="1"/>
  <c r="E334" i="1"/>
  <c r="G136" i="1" l="1"/>
  <c r="H136" i="1" s="1"/>
  <c r="J136" i="1" s="1"/>
  <c r="D137" i="1" s="1"/>
  <c r="B338" i="1"/>
  <c r="E335" i="1"/>
  <c r="C335" i="1"/>
  <c r="F137" i="1" l="1"/>
  <c r="I137" i="1"/>
  <c r="K137" i="1" s="1"/>
  <c r="B339" i="1"/>
  <c r="E336" i="1"/>
  <c r="C336" i="1"/>
  <c r="G137" i="1" l="1"/>
  <c r="H137" i="1" s="1"/>
  <c r="J137" i="1" s="1"/>
  <c r="D138" i="1" s="1"/>
  <c r="B340" i="1"/>
  <c r="E337" i="1"/>
  <c r="C337" i="1"/>
  <c r="F138" i="1" l="1"/>
  <c r="I138" i="1"/>
  <c r="K138" i="1" s="1"/>
  <c r="B341" i="1"/>
  <c r="E338" i="1"/>
  <c r="C338" i="1"/>
  <c r="G138" i="1" l="1"/>
  <c r="H138" i="1" s="1"/>
  <c r="B342" i="1"/>
  <c r="E339" i="1"/>
  <c r="C339" i="1"/>
  <c r="J138" i="1" l="1"/>
  <c r="D139" i="1" s="1"/>
  <c r="B343" i="1"/>
  <c r="E340" i="1"/>
  <c r="C340" i="1"/>
  <c r="F139" i="1" l="1"/>
  <c r="I139" i="1"/>
  <c r="K139" i="1" s="1"/>
  <c r="B344" i="1"/>
  <c r="C341" i="1"/>
  <c r="E341" i="1"/>
  <c r="G139" i="1" l="1"/>
  <c r="H139" i="1" s="1"/>
  <c r="B345" i="1"/>
  <c r="C342" i="1"/>
  <c r="E342" i="1"/>
  <c r="J139" i="1" l="1"/>
  <c r="D140" i="1" s="1"/>
  <c r="B346" i="1"/>
  <c r="E343" i="1"/>
  <c r="C343" i="1"/>
  <c r="F140" i="1" l="1"/>
  <c r="G140" i="1" s="1"/>
  <c r="I140" i="1"/>
  <c r="K140" i="1" s="1"/>
  <c r="B347" i="1"/>
  <c r="E344" i="1"/>
  <c r="C344" i="1"/>
  <c r="H140" i="1" l="1"/>
  <c r="J140" i="1" s="1"/>
  <c r="D141" i="1" s="1"/>
  <c r="B348" i="1"/>
  <c r="C345" i="1"/>
  <c r="E345" i="1"/>
  <c r="F141" i="1" l="1"/>
  <c r="I141" i="1"/>
  <c r="K141" i="1" s="1"/>
  <c r="B349" i="1"/>
  <c r="E346" i="1"/>
  <c r="C346" i="1"/>
  <c r="G141" i="1" l="1"/>
  <c r="H141" i="1" s="1"/>
  <c r="B350" i="1"/>
  <c r="E347" i="1"/>
  <c r="C347" i="1"/>
  <c r="J141" i="1" l="1"/>
  <c r="D142" i="1" s="1"/>
  <c r="B351" i="1"/>
  <c r="C348" i="1"/>
  <c r="E348" i="1"/>
  <c r="F142" i="1" l="1"/>
  <c r="I142" i="1"/>
  <c r="K142" i="1" s="1"/>
  <c r="B352" i="1"/>
  <c r="E349" i="1"/>
  <c r="C349" i="1"/>
  <c r="G142" i="1" l="1"/>
  <c r="H142" i="1" s="1"/>
  <c r="J142" i="1" s="1"/>
  <c r="D143" i="1" s="1"/>
  <c r="B353" i="1"/>
  <c r="C350" i="1"/>
  <c r="E350" i="1"/>
  <c r="F143" i="1" l="1"/>
  <c r="I143" i="1"/>
  <c r="K143" i="1" s="1"/>
  <c r="B354" i="1"/>
  <c r="C351" i="1"/>
  <c r="E351" i="1"/>
  <c r="G143" i="1" l="1"/>
  <c r="H143" i="1" s="1"/>
  <c r="B355" i="1"/>
  <c r="E352" i="1"/>
  <c r="C352" i="1"/>
  <c r="J143" i="1" l="1"/>
  <c r="D144" i="1" s="1"/>
  <c r="B356" i="1"/>
  <c r="E353" i="1"/>
  <c r="C353" i="1"/>
  <c r="F144" i="1" l="1"/>
  <c r="I144" i="1"/>
  <c r="K144" i="1" s="1"/>
  <c r="B357" i="1"/>
  <c r="E354" i="1"/>
  <c r="C354" i="1"/>
  <c r="G144" i="1" l="1"/>
  <c r="H144" i="1" s="1"/>
  <c r="J144" i="1" s="1"/>
  <c r="D145" i="1" s="1"/>
  <c r="B358" i="1"/>
  <c r="C355" i="1"/>
  <c r="E355" i="1"/>
  <c r="F145" i="1" l="1"/>
  <c r="I145" i="1"/>
  <c r="K145" i="1" s="1"/>
  <c r="B359" i="1"/>
  <c r="E356" i="1"/>
  <c r="C356" i="1"/>
  <c r="G145" i="1" l="1"/>
  <c r="H145" i="1" s="1"/>
  <c r="B360" i="1"/>
  <c r="E357" i="1"/>
  <c r="C357" i="1"/>
  <c r="J145" i="1" l="1"/>
  <c r="D146" i="1" s="1"/>
  <c r="B361" i="1"/>
  <c r="C358" i="1"/>
  <c r="E358" i="1"/>
  <c r="F146" i="1" l="1"/>
  <c r="I146" i="1"/>
  <c r="K146" i="1" s="1"/>
  <c r="B362" i="1"/>
  <c r="C359" i="1"/>
  <c r="E359" i="1"/>
  <c r="G146" i="1" l="1"/>
  <c r="H146" i="1" s="1"/>
  <c r="J146" i="1" s="1"/>
  <c r="D147" i="1" s="1"/>
  <c r="B363" i="1"/>
  <c r="E360" i="1"/>
  <c r="C360" i="1"/>
  <c r="F147" i="1" l="1"/>
  <c r="I147" i="1"/>
  <c r="K147" i="1" s="1"/>
  <c r="B364" i="1"/>
  <c r="E361" i="1"/>
  <c r="C361" i="1"/>
  <c r="G147" i="1" l="1"/>
  <c r="H147" i="1" s="1"/>
  <c r="B365" i="1"/>
  <c r="E362" i="1"/>
  <c r="C362" i="1"/>
  <c r="J147" i="1" l="1"/>
  <c r="D148" i="1" s="1"/>
  <c r="B366" i="1"/>
  <c r="E363" i="1"/>
  <c r="C363" i="1"/>
  <c r="F148" i="1" l="1"/>
  <c r="I148" i="1"/>
  <c r="K148" i="1" s="1"/>
  <c r="B367" i="1"/>
  <c r="C364" i="1"/>
  <c r="E364" i="1"/>
  <c r="G148" i="1" l="1"/>
  <c r="H148" i="1" s="1"/>
  <c r="J148" i="1" s="1"/>
  <c r="B368" i="1"/>
  <c r="E365" i="1"/>
  <c r="C365" i="1"/>
  <c r="D149" i="1" l="1"/>
  <c r="B369" i="1"/>
  <c r="E366" i="1"/>
  <c r="C366" i="1"/>
  <c r="F149" i="1" l="1"/>
  <c r="I149" i="1"/>
  <c r="K149" i="1" s="1"/>
  <c r="B370" i="1"/>
  <c r="C367" i="1"/>
  <c r="E367" i="1"/>
  <c r="G149" i="1" l="1"/>
  <c r="H149" i="1" s="1"/>
  <c r="J149" i="1" s="1"/>
  <c r="B371" i="1"/>
  <c r="E368" i="1"/>
  <c r="C368" i="1"/>
  <c r="D150" i="1" l="1"/>
  <c r="B372" i="1"/>
  <c r="E369" i="1"/>
  <c r="C369" i="1"/>
  <c r="F150" i="1" l="1"/>
  <c r="I150" i="1"/>
  <c r="K150" i="1" s="1"/>
  <c r="B373" i="1"/>
  <c r="E370" i="1"/>
  <c r="C370" i="1"/>
  <c r="G150" i="1" l="1"/>
  <c r="H150" i="1" s="1"/>
  <c r="J150" i="1" s="1"/>
  <c r="D151" i="1" s="1"/>
  <c r="B374" i="1"/>
  <c r="C371" i="1"/>
  <c r="E371" i="1"/>
  <c r="F151" i="1" l="1"/>
  <c r="I151" i="1"/>
  <c r="K151" i="1" s="1"/>
  <c r="B375" i="1"/>
  <c r="E372" i="1"/>
  <c r="C372" i="1"/>
  <c r="G151" i="1" l="1"/>
  <c r="H151" i="1" s="1"/>
  <c r="J151" i="1" s="1"/>
  <c r="B376" i="1"/>
  <c r="E373" i="1"/>
  <c r="C373" i="1"/>
  <c r="D152" i="1" l="1"/>
  <c r="B377" i="1"/>
  <c r="C374" i="1"/>
  <c r="E374" i="1"/>
  <c r="F152" i="1" l="1"/>
  <c r="I152" i="1"/>
  <c r="K152" i="1" s="1"/>
  <c r="B378" i="1"/>
  <c r="E375" i="1"/>
  <c r="C375" i="1"/>
  <c r="G152" i="1" l="1"/>
  <c r="H152" i="1" s="1"/>
  <c r="J152" i="1" s="1"/>
  <c r="D153" i="1" s="1"/>
  <c r="B379" i="1"/>
  <c r="C376" i="1"/>
  <c r="E376" i="1"/>
  <c r="I153" i="1" l="1"/>
  <c r="K153" i="1" s="1"/>
  <c r="F153" i="1"/>
  <c r="B380" i="1"/>
  <c r="E377" i="1"/>
  <c r="C377" i="1"/>
  <c r="G153" i="1" l="1"/>
  <c r="H153" i="1" s="1"/>
  <c r="J153" i="1" s="1"/>
  <c r="B381" i="1"/>
  <c r="C378" i="1"/>
  <c r="E378" i="1"/>
  <c r="D154" i="1" l="1"/>
  <c r="B382" i="1"/>
  <c r="C379" i="1"/>
  <c r="E379" i="1"/>
  <c r="F154" i="1" l="1"/>
  <c r="I154" i="1"/>
  <c r="K154" i="1" s="1"/>
  <c r="B383" i="1"/>
  <c r="E380" i="1"/>
  <c r="C380" i="1"/>
  <c r="G154" i="1" l="1"/>
  <c r="H154" i="1" s="1"/>
  <c r="B384" i="1"/>
  <c r="C381" i="1"/>
  <c r="E381" i="1"/>
  <c r="J154" i="1" l="1"/>
  <c r="D155" i="1" s="1"/>
  <c r="B385" i="1"/>
  <c r="C382" i="1"/>
  <c r="E382" i="1"/>
  <c r="I155" i="1" l="1"/>
  <c r="K155" i="1" s="1"/>
  <c r="F155" i="1"/>
  <c r="G155" i="1" s="1"/>
  <c r="B386" i="1"/>
  <c r="E383" i="1"/>
  <c r="C383" i="1"/>
  <c r="H155" i="1" l="1"/>
  <c r="J155" i="1" s="1"/>
  <c r="D156" i="1" s="1"/>
  <c r="B387" i="1"/>
  <c r="E384" i="1"/>
  <c r="C384" i="1"/>
  <c r="F156" i="1" l="1"/>
  <c r="G156" i="1" s="1"/>
  <c r="I156" i="1"/>
  <c r="K156" i="1" s="1"/>
  <c r="B388" i="1"/>
  <c r="C385" i="1"/>
  <c r="E385" i="1"/>
  <c r="H156" i="1" l="1"/>
  <c r="J156" i="1" s="1"/>
  <c r="D157" i="1" s="1"/>
  <c r="B389" i="1"/>
  <c r="E386" i="1"/>
  <c r="C386" i="1"/>
  <c r="F157" i="1" l="1"/>
  <c r="I157" i="1"/>
  <c r="K157" i="1" s="1"/>
  <c r="B390" i="1"/>
  <c r="C387" i="1"/>
  <c r="E387" i="1"/>
  <c r="G157" i="1" l="1"/>
  <c r="H157" i="1" s="1"/>
  <c r="B391" i="1"/>
  <c r="E388" i="1"/>
  <c r="C388" i="1"/>
  <c r="J157" i="1" l="1"/>
  <c r="D158" i="1" s="1"/>
  <c r="B392" i="1"/>
  <c r="C389" i="1"/>
  <c r="E389" i="1"/>
  <c r="F158" i="1" l="1"/>
  <c r="G158" i="1" s="1"/>
  <c r="I158" i="1"/>
  <c r="K158" i="1" s="1"/>
  <c r="B393" i="1"/>
  <c r="E390" i="1"/>
  <c r="C390" i="1"/>
  <c r="H158" i="1" l="1"/>
  <c r="J158" i="1" s="1"/>
  <c r="D159" i="1" s="1"/>
  <c r="F159" i="1" s="1"/>
  <c r="B394" i="1"/>
  <c r="E391" i="1"/>
  <c r="C391" i="1"/>
  <c r="I159" i="1" l="1"/>
  <c r="K159" i="1" s="1"/>
  <c r="G159" i="1"/>
  <c r="B395" i="1"/>
  <c r="E392" i="1"/>
  <c r="C392" i="1"/>
  <c r="H159" i="1" l="1"/>
  <c r="J159" i="1" s="1"/>
  <c r="D160" i="1" s="1"/>
  <c r="F160" i="1" s="1"/>
  <c r="B396" i="1"/>
  <c r="E393" i="1"/>
  <c r="C393" i="1"/>
  <c r="I160" i="1" l="1"/>
  <c r="K160" i="1" s="1"/>
  <c r="G160" i="1"/>
  <c r="B397" i="1"/>
  <c r="E394" i="1"/>
  <c r="C394" i="1"/>
  <c r="H160" i="1" l="1"/>
  <c r="J160" i="1" s="1"/>
  <c r="D161" i="1" s="1"/>
  <c r="B398" i="1"/>
  <c r="E395" i="1"/>
  <c r="C395" i="1"/>
  <c r="F161" i="1" l="1"/>
  <c r="I161" i="1"/>
  <c r="K161" i="1" s="1"/>
  <c r="B399" i="1"/>
  <c r="C396" i="1"/>
  <c r="E396" i="1"/>
  <c r="G161" i="1" l="1"/>
  <c r="H161" i="1" s="1"/>
  <c r="J161" i="1" s="1"/>
  <c r="B400" i="1"/>
  <c r="E397" i="1"/>
  <c r="C397" i="1"/>
  <c r="D162" i="1" l="1"/>
  <c r="B401" i="1"/>
  <c r="E398" i="1"/>
  <c r="C398" i="1"/>
  <c r="F162" i="1" l="1"/>
  <c r="I162" i="1"/>
  <c r="K162" i="1" s="1"/>
  <c r="B402" i="1"/>
  <c r="E399" i="1"/>
  <c r="C399" i="1"/>
  <c r="G162" i="1" l="1"/>
  <c r="H162" i="1" s="1"/>
  <c r="J162" i="1" s="1"/>
  <c r="B403" i="1"/>
  <c r="C400" i="1"/>
  <c r="E400" i="1"/>
  <c r="D163" i="1" l="1"/>
  <c r="B404" i="1"/>
  <c r="C401" i="1"/>
  <c r="E401" i="1"/>
  <c r="F163" i="1" l="1"/>
  <c r="I163" i="1"/>
  <c r="K163" i="1" s="1"/>
  <c r="B405" i="1"/>
  <c r="C402" i="1"/>
  <c r="E402" i="1"/>
  <c r="G163" i="1" l="1"/>
  <c r="H163" i="1" s="1"/>
  <c r="J163" i="1" s="1"/>
  <c r="B406" i="1"/>
  <c r="C403" i="1"/>
  <c r="E403" i="1"/>
  <c r="D164" i="1" l="1"/>
  <c r="B407" i="1"/>
  <c r="C404" i="1"/>
  <c r="E404" i="1"/>
  <c r="F164" i="1" l="1"/>
  <c r="I164" i="1"/>
  <c r="K164" i="1" s="1"/>
  <c r="B408" i="1"/>
  <c r="C405" i="1"/>
  <c r="E405" i="1"/>
  <c r="G164" i="1" l="1"/>
  <c r="H164" i="1" s="1"/>
  <c r="J164" i="1" s="1"/>
  <c r="B409" i="1"/>
  <c r="C406" i="1"/>
  <c r="E406" i="1"/>
  <c r="D165" i="1" l="1"/>
  <c r="B410" i="1"/>
  <c r="C407" i="1"/>
  <c r="E407" i="1"/>
  <c r="F165" i="1" l="1"/>
  <c r="I165" i="1"/>
  <c r="K165" i="1" s="1"/>
  <c r="B411" i="1"/>
  <c r="C408" i="1"/>
  <c r="E408" i="1"/>
  <c r="G165" i="1" l="1"/>
  <c r="H165" i="1" s="1"/>
  <c r="J165" i="1" s="1"/>
  <c r="B412" i="1"/>
  <c r="C409" i="1"/>
  <c r="E409" i="1"/>
  <c r="D166" i="1" l="1"/>
  <c r="B413" i="1"/>
  <c r="E410" i="1"/>
  <c r="C410" i="1"/>
  <c r="F166" i="1" l="1"/>
  <c r="I166" i="1"/>
  <c r="K166" i="1" s="1"/>
  <c r="B414" i="1"/>
  <c r="C411" i="1"/>
  <c r="E411" i="1"/>
  <c r="G166" i="1" l="1"/>
  <c r="H166" i="1" s="1"/>
  <c r="J166" i="1" s="1"/>
  <c r="D167" i="1" s="1"/>
  <c r="B415" i="1"/>
  <c r="C412" i="1"/>
  <c r="E412" i="1"/>
  <c r="F167" i="1" l="1"/>
  <c r="I167" i="1"/>
  <c r="K167" i="1" s="1"/>
  <c r="B416" i="1"/>
  <c r="C413" i="1"/>
  <c r="E413" i="1"/>
  <c r="G167" i="1" l="1"/>
  <c r="H167" i="1" s="1"/>
  <c r="J167" i="1" s="1"/>
  <c r="D168" i="1" s="1"/>
  <c r="B417" i="1"/>
  <c r="C414" i="1"/>
  <c r="E414" i="1"/>
  <c r="F168" i="1" l="1"/>
  <c r="I168" i="1"/>
  <c r="K168" i="1" s="1"/>
  <c r="B418" i="1"/>
  <c r="C415" i="1"/>
  <c r="E415" i="1"/>
  <c r="G168" i="1" l="1"/>
  <c r="H168" i="1" s="1"/>
  <c r="J168" i="1" s="1"/>
  <c r="D169" i="1" s="1"/>
  <c r="B419" i="1"/>
  <c r="C416" i="1"/>
  <c r="E416" i="1"/>
  <c r="F169" i="1" l="1"/>
  <c r="I169" i="1"/>
  <c r="K169" i="1" s="1"/>
  <c r="B420" i="1"/>
  <c r="C417" i="1"/>
  <c r="E417" i="1"/>
  <c r="G169" i="1" l="1"/>
  <c r="H169" i="1" s="1"/>
  <c r="J169" i="1" s="1"/>
  <c r="D170" i="1" s="1"/>
  <c r="B421" i="1"/>
  <c r="E418" i="1"/>
  <c r="C418" i="1"/>
  <c r="F170" i="1" l="1"/>
  <c r="I170" i="1"/>
  <c r="K170" i="1" s="1"/>
  <c r="B422" i="1"/>
  <c r="C419" i="1"/>
  <c r="E419" i="1"/>
  <c r="G170" i="1" l="1"/>
  <c r="H170" i="1" s="1"/>
  <c r="J170" i="1" s="1"/>
  <c r="D171" i="1" s="1"/>
  <c r="B423" i="1"/>
  <c r="E420" i="1"/>
  <c r="C420" i="1"/>
  <c r="F171" i="1" l="1"/>
  <c r="I171" i="1"/>
  <c r="K171" i="1" s="1"/>
  <c r="B424" i="1"/>
  <c r="E421" i="1"/>
  <c r="C421" i="1"/>
  <c r="G171" i="1" l="1"/>
  <c r="H171" i="1" s="1"/>
  <c r="B425" i="1"/>
  <c r="C422" i="1"/>
  <c r="E422" i="1"/>
  <c r="J171" i="1" l="1"/>
  <c r="D172" i="1" s="1"/>
  <c r="B426" i="1"/>
  <c r="E423" i="1"/>
  <c r="C423" i="1"/>
  <c r="F172" i="1" l="1"/>
  <c r="I172" i="1"/>
  <c r="K172" i="1" s="1"/>
  <c r="B427" i="1"/>
  <c r="E424" i="1"/>
  <c r="C424" i="1"/>
  <c r="G172" i="1" l="1"/>
  <c r="H172" i="1" s="1"/>
  <c r="J172" i="1" s="1"/>
  <c r="D173" i="1" s="1"/>
  <c r="B428" i="1"/>
  <c r="E425" i="1"/>
  <c r="C425" i="1"/>
  <c r="F173" i="1" l="1"/>
  <c r="I173" i="1"/>
  <c r="K173" i="1" s="1"/>
  <c r="B429" i="1"/>
  <c r="C426" i="1"/>
  <c r="E426" i="1"/>
  <c r="G173" i="1" l="1"/>
  <c r="H173" i="1" s="1"/>
  <c r="B430" i="1"/>
  <c r="E427" i="1"/>
  <c r="C427" i="1"/>
  <c r="J173" i="1" l="1"/>
  <c r="D174" i="1" s="1"/>
  <c r="B431" i="1"/>
  <c r="E428" i="1"/>
  <c r="C428" i="1"/>
  <c r="F174" i="1" l="1"/>
  <c r="I174" i="1"/>
  <c r="K174" i="1" s="1"/>
  <c r="B432" i="1"/>
  <c r="E429" i="1"/>
  <c r="C429" i="1"/>
  <c r="G174" i="1" l="1"/>
  <c r="H174" i="1" s="1"/>
  <c r="J174" i="1" s="1"/>
  <c r="D175" i="1" s="1"/>
  <c r="B433" i="1"/>
  <c r="E430" i="1"/>
  <c r="C430" i="1"/>
  <c r="F175" i="1" l="1"/>
  <c r="I175" i="1"/>
  <c r="K175" i="1" s="1"/>
  <c r="B434" i="1"/>
  <c r="C431" i="1"/>
  <c r="E431" i="1"/>
  <c r="G175" i="1" l="1"/>
  <c r="H175" i="1" s="1"/>
  <c r="J175" i="1" s="1"/>
  <c r="B435" i="1"/>
  <c r="E432" i="1"/>
  <c r="C432" i="1"/>
  <c r="D176" i="1" l="1"/>
  <c r="B436" i="1"/>
  <c r="C433" i="1"/>
  <c r="E433" i="1"/>
  <c r="F176" i="1" l="1"/>
  <c r="I176" i="1"/>
  <c r="K176" i="1" s="1"/>
  <c r="B437" i="1"/>
  <c r="C434" i="1"/>
  <c r="E434" i="1"/>
  <c r="G176" i="1" l="1"/>
  <c r="H176" i="1" s="1"/>
  <c r="B438" i="1"/>
  <c r="E435" i="1"/>
  <c r="C435" i="1"/>
  <c r="J176" i="1" l="1"/>
  <c r="D177" i="1" s="1"/>
  <c r="B439" i="1"/>
  <c r="C436" i="1"/>
  <c r="E436" i="1"/>
  <c r="F177" i="1" l="1"/>
  <c r="I177" i="1"/>
  <c r="K177" i="1" s="1"/>
  <c r="B440" i="1"/>
  <c r="C437" i="1"/>
  <c r="E437" i="1"/>
  <c r="G177" i="1" l="1"/>
  <c r="H177" i="1" s="1"/>
  <c r="B441" i="1"/>
  <c r="E438" i="1"/>
  <c r="C438" i="1"/>
  <c r="J177" i="1" l="1"/>
  <c r="D178" i="1" s="1"/>
  <c r="B442" i="1"/>
  <c r="E439" i="1"/>
  <c r="C439" i="1"/>
  <c r="F178" i="1" l="1"/>
  <c r="G178" i="1" s="1"/>
  <c r="I178" i="1"/>
  <c r="K178" i="1" s="1"/>
  <c r="B443" i="1"/>
  <c r="C440" i="1"/>
  <c r="E440" i="1"/>
  <c r="H178" i="1" l="1"/>
  <c r="J178" i="1" s="1"/>
  <c r="D179" i="1" s="1"/>
  <c r="F179" i="1" s="1"/>
  <c r="B444" i="1"/>
  <c r="C441" i="1"/>
  <c r="E441" i="1"/>
  <c r="I179" i="1" l="1"/>
  <c r="K179" i="1" s="1"/>
  <c r="G179" i="1"/>
  <c r="B445" i="1"/>
  <c r="C442" i="1"/>
  <c r="E442" i="1"/>
  <c r="H179" i="1" l="1"/>
  <c r="J179" i="1" s="1"/>
  <c r="D180" i="1" s="1"/>
  <c r="F180" i="1" s="1"/>
  <c r="B446" i="1"/>
  <c r="E443" i="1"/>
  <c r="C443" i="1"/>
  <c r="I180" i="1" l="1"/>
  <c r="K180" i="1" s="1"/>
  <c r="G180" i="1"/>
  <c r="B447" i="1"/>
  <c r="C444" i="1"/>
  <c r="E444" i="1"/>
  <c r="H180" i="1" l="1"/>
  <c r="J180" i="1" s="1"/>
  <c r="D181" i="1" s="1"/>
  <c r="B448" i="1"/>
  <c r="E445" i="1"/>
  <c r="C445" i="1"/>
  <c r="F181" i="1" l="1"/>
  <c r="I181" i="1"/>
  <c r="K181" i="1" s="1"/>
  <c r="B449" i="1"/>
  <c r="C446" i="1"/>
  <c r="E446" i="1"/>
  <c r="G181" i="1" l="1"/>
  <c r="H181" i="1" s="1"/>
  <c r="J181" i="1" s="1"/>
  <c r="B450" i="1"/>
  <c r="E447" i="1"/>
  <c r="C447" i="1"/>
  <c r="D182" i="1" l="1"/>
  <c r="B451" i="1"/>
  <c r="E448" i="1"/>
  <c r="C448" i="1"/>
  <c r="F182" i="1" l="1"/>
  <c r="I182" i="1"/>
  <c r="K182" i="1" s="1"/>
  <c r="B452" i="1"/>
  <c r="E449" i="1"/>
  <c r="C449" i="1"/>
  <c r="G182" i="1" l="1"/>
  <c r="H182" i="1" s="1"/>
  <c r="B453" i="1"/>
  <c r="E450" i="1"/>
  <c r="C450" i="1"/>
  <c r="J182" i="1" l="1"/>
  <c r="D183" i="1" s="1"/>
  <c r="B454" i="1"/>
  <c r="E451" i="1"/>
  <c r="C451" i="1"/>
  <c r="F183" i="1" l="1"/>
  <c r="G183" i="1" s="1"/>
  <c r="I183" i="1"/>
  <c r="K183" i="1" s="1"/>
  <c r="B455" i="1"/>
  <c r="C452" i="1"/>
  <c r="E452" i="1"/>
  <c r="H183" i="1" l="1"/>
  <c r="J183" i="1" s="1"/>
  <c r="D184" i="1" s="1"/>
  <c r="B456" i="1"/>
  <c r="E453" i="1"/>
  <c r="C453" i="1"/>
  <c r="F184" i="1" l="1"/>
  <c r="I184" i="1"/>
  <c r="K184" i="1" s="1"/>
  <c r="B457" i="1"/>
  <c r="C454" i="1"/>
  <c r="E454" i="1"/>
  <c r="G184" i="1" l="1"/>
  <c r="H184" i="1" s="1"/>
  <c r="J184" i="1" s="1"/>
  <c r="B458" i="1"/>
  <c r="E455" i="1"/>
  <c r="C455" i="1"/>
  <c r="D185" i="1" l="1"/>
  <c r="B459" i="1"/>
  <c r="C456" i="1"/>
  <c r="E456" i="1"/>
  <c r="F185" i="1" l="1"/>
  <c r="I185" i="1"/>
  <c r="K185" i="1" s="1"/>
  <c r="B460" i="1"/>
  <c r="E457" i="1"/>
  <c r="C457" i="1"/>
  <c r="G185" i="1" l="1"/>
  <c r="H185" i="1" s="1"/>
  <c r="J185" i="1" s="1"/>
  <c r="B461" i="1"/>
  <c r="C458" i="1"/>
  <c r="E458" i="1"/>
  <c r="D186" i="1" l="1"/>
  <c r="F186" i="1" s="1"/>
  <c r="B462" i="1"/>
  <c r="E459" i="1"/>
  <c r="C459" i="1"/>
  <c r="I186" i="1" l="1"/>
  <c r="K186" i="1" s="1"/>
  <c r="G186" i="1"/>
  <c r="B463" i="1"/>
  <c r="C460" i="1"/>
  <c r="E460" i="1"/>
  <c r="H186" i="1" l="1"/>
  <c r="J186" i="1" s="1"/>
  <c r="D187" i="1" s="1"/>
  <c r="B464" i="1"/>
  <c r="E461" i="1"/>
  <c r="C461" i="1"/>
  <c r="F187" i="1" l="1"/>
  <c r="I187" i="1"/>
  <c r="K187" i="1" s="1"/>
  <c r="B465" i="1"/>
  <c r="C462" i="1"/>
  <c r="E462" i="1"/>
  <c r="G187" i="1" l="1"/>
  <c r="H187" i="1" s="1"/>
  <c r="J187" i="1" s="1"/>
  <c r="B466" i="1"/>
  <c r="E463" i="1"/>
  <c r="C463" i="1"/>
  <c r="D188" i="1" l="1"/>
  <c r="B467" i="1"/>
  <c r="C464" i="1"/>
  <c r="E464" i="1"/>
  <c r="F188" i="1" l="1"/>
  <c r="I188" i="1"/>
  <c r="K188" i="1" s="1"/>
  <c r="B468" i="1"/>
  <c r="C465" i="1"/>
  <c r="E465" i="1"/>
  <c r="G188" i="1" l="1"/>
  <c r="H188" i="1" s="1"/>
  <c r="J188" i="1" s="1"/>
  <c r="D189" i="1" s="1"/>
  <c r="B469" i="1"/>
  <c r="C466" i="1"/>
  <c r="E466" i="1"/>
  <c r="F189" i="1" l="1"/>
  <c r="I189" i="1"/>
  <c r="K189" i="1" s="1"/>
  <c r="B470" i="1"/>
  <c r="C467" i="1"/>
  <c r="E467" i="1"/>
  <c r="G189" i="1" l="1"/>
  <c r="H189" i="1" s="1"/>
  <c r="J189" i="1" s="1"/>
  <c r="B471" i="1"/>
  <c r="C468" i="1"/>
  <c r="E468" i="1"/>
  <c r="D190" i="1" l="1"/>
  <c r="B472" i="1"/>
  <c r="C469" i="1"/>
  <c r="E469" i="1"/>
  <c r="F190" i="1" l="1"/>
  <c r="I190" i="1"/>
  <c r="K190" i="1" s="1"/>
  <c r="B473" i="1"/>
  <c r="C470" i="1"/>
  <c r="E470" i="1"/>
  <c r="G190" i="1" l="1"/>
  <c r="H190" i="1" s="1"/>
  <c r="J190" i="1" s="1"/>
  <c r="B474" i="1"/>
  <c r="C471" i="1"/>
  <c r="E471" i="1"/>
  <c r="D191" i="1" l="1"/>
  <c r="B475" i="1"/>
  <c r="C472" i="1"/>
  <c r="E472" i="1"/>
  <c r="F191" i="1" l="1"/>
  <c r="I191" i="1"/>
  <c r="K191" i="1" s="1"/>
  <c r="B476" i="1"/>
  <c r="C473" i="1"/>
  <c r="E473" i="1"/>
  <c r="G191" i="1" l="1"/>
  <c r="H191" i="1" s="1"/>
  <c r="B477" i="1"/>
  <c r="C474" i="1"/>
  <c r="E474" i="1"/>
  <c r="J191" i="1" l="1"/>
  <c r="D192" i="1" s="1"/>
  <c r="B478" i="1"/>
  <c r="E475" i="1"/>
  <c r="C475" i="1"/>
  <c r="F192" i="1" l="1"/>
  <c r="I192" i="1"/>
  <c r="K192" i="1" s="1"/>
  <c r="B479" i="1"/>
  <c r="C476" i="1"/>
  <c r="E476" i="1"/>
  <c r="G192" i="1" l="1"/>
  <c r="H192" i="1" s="1"/>
  <c r="J192" i="1" s="1"/>
  <c r="D193" i="1" s="1"/>
  <c r="B480" i="1"/>
  <c r="C477" i="1"/>
  <c r="E477" i="1"/>
  <c r="F193" i="1" l="1"/>
  <c r="I193" i="1"/>
  <c r="K193" i="1" s="1"/>
  <c r="B481" i="1"/>
  <c r="E478" i="1"/>
  <c r="C478" i="1"/>
  <c r="G193" i="1" l="1"/>
  <c r="H193" i="1" s="1"/>
  <c r="J193" i="1" s="1"/>
  <c r="B482" i="1"/>
  <c r="E479" i="1"/>
  <c r="C479" i="1"/>
  <c r="D194" i="1" l="1"/>
  <c r="B483" i="1"/>
  <c r="E480" i="1"/>
  <c r="C480" i="1"/>
  <c r="F194" i="1" l="1"/>
  <c r="I194" i="1"/>
  <c r="K194" i="1" s="1"/>
  <c r="B484" i="1"/>
  <c r="C481" i="1"/>
  <c r="E481" i="1"/>
  <c r="G194" i="1" l="1"/>
  <c r="H194" i="1" s="1"/>
  <c r="J194" i="1" s="1"/>
  <c r="B485" i="1"/>
  <c r="C482" i="1"/>
  <c r="E482" i="1"/>
  <c r="D195" i="1" l="1"/>
  <c r="B486" i="1"/>
  <c r="C483" i="1"/>
  <c r="E483" i="1"/>
  <c r="F195" i="1" l="1"/>
  <c r="I195" i="1"/>
  <c r="K195" i="1" s="1"/>
  <c r="B487" i="1"/>
  <c r="C484" i="1"/>
  <c r="E484" i="1"/>
  <c r="G195" i="1" l="1"/>
  <c r="H195" i="1" s="1"/>
  <c r="J195" i="1" s="1"/>
  <c r="D196" i="1" s="1"/>
  <c r="B488" i="1"/>
  <c r="E485" i="1"/>
  <c r="C485" i="1"/>
  <c r="F196" i="1" l="1"/>
  <c r="I196" i="1"/>
  <c r="K196" i="1" s="1"/>
  <c r="B489" i="1"/>
  <c r="E486" i="1"/>
  <c r="C486" i="1"/>
  <c r="G196" i="1" l="1"/>
  <c r="H196" i="1" s="1"/>
  <c r="J196" i="1" s="1"/>
  <c r="D197" i="1" s="1"/>
  <c r="B490" i="1"/>
  <c r="E487" i="1"/>
  <c r="C487" i="1"/>
  <c r="F197" i="1" l="1"/>
  <c r="I197" i="1"/>
  <c r="K197" i="1" s="1"/>
  <c r="B491" i="1"/>
  <c r="C488" i="1"/>
  <c r="E488" i="1"/>
  <c r="G197" i="1" l="1"/>
  <c r="H197" i="1" s="1"/>
  <c r="J197" i="1" s="1"/>
  <c r="B492" i="1"/>
  <c r="E489" i="1"/>
  <c r="C489" i="1"/>
  <c r="D198" i="1" l="1"/>
  <c r="B493" i="1"/>
  <c r="E490" i="1"/>
  <c r="C490" i="1"/>
  <c r="F198" i="1" l="1"/>
  <c r="I198" i="1"/>
  <c r="K198" i="1" s="1"/>
  <c r="B494" i="1"/>
  <c r="C491" i="1"/>
  <c r="E491" i="1"/>
  <c r="G198" i="1" l="1"/>
  <c r="H198" i="1" s="1"/>
  <c r="B495" i="1"/>
  <c r="E492" i="1"/>
  <c r="C492" i="1"/>
  <c r="J198" i="1" l="1"/>
  <c r="D199" i="1" s="1"/>
  <c r="B496" i="1"/>
  <c r="C493" i="1"/>
  <c r="E493" i="1"/>
  <c r="F199" i="1" l="1"/>
  <c r="I199" i="1"/>
  <c r="K199" i="1" s="1"/>
  <c r="B497" i="1"/>
  <c r="C494" i="1"/>
  <c r="E494" i="1"/>
  <c r="G199" i="1" l="1"/>
  <c r="H199" i="1" s="1"/>
  <c r="J199" i="1" s="1"/>
  <c r="D200" i="1" s="1"/>
  <c r="B498" i="1"/>
  <c r="C495" i="1"/>
  <c r="E495" i="1"/>
  <c r="F200" i="1" l="1"/>
  <c r="I200" i="1"/>
  <c r="K200" i="1" s="1"/>
  <c r="B499" i="1"/>
  <c r="E496" i="1"/>
  <c r="C496" i="1"/>
  <c r="G200" i="1" l="1"/>
  <c r="H200" i="1" s="1"/>
  <c r="J200" i="1" s="1"/>
  <c r="B500" i="1"/>
  <c r="C497" i="1"/>
  <c r="E497" i="1"/>
  <c r="D201" i="1" l="1"/>
  <c r="B501" i="1"/>
  <c r="E498" i="1"/>
  <c r="C498" i="1"/>
  <c r="F201" i="1" l="1"/>
  <c r="I201" i="1"/>
  <c r="K201" i="1" s="1"/>
  <c r="B502" i="1"/>
  <c r="E499" i="1"/>
  <c r="C499" i="1"/>
  <c r="G201" i="1" l="1"/>
  <c r="H201" i="1" s="1"/>
  <c r="J201" i="1" s="1"/>
  <c r="B503" i="1"/>
  <c r="C500" i="1"/>
  <c r="E500" i="1"/>
  <c r="D202" i="1" l="1"/>
  <c r="B504" i="1"/>
  <c r="E501" i="1"/>
  <c r="C501" i="1"/>
  <c r="F202" i="1" l="1"/>
  <c r="I202" i="1"/>
  <c r="K202" i="1" s="1"/>
  <c r="B505" i="1"/>
  <c r="C502" i="1"/>
  <c r="E502" i="1"/>
  <c r="G202" i="1" l="1"/>
  <c r="H202" i="1" s="1"/>
  <c r="J202" i="1" s="1"/>
  <c r="B506" i="1"/>
  <c r="C503" i="1"/>
  <c r="E503" i="1"/>
  <c r="D203" i="1" l="1"/>
  <c r="B507" i="1"/>
  <c r="C504" i="1"/>
  <c r="E504" i="1"/>
  <c r="F203" i="1" l="1"/>
  <c r="I203" i="1"/>
  <c r="K203" i="1" s="1"/>
  <c r="B508" i="1"/>
  <c r="C505" i="1"/>
  <c r="E505" i="1"/>
  <c r="G203" i="1" l="1"/>
  <c r="H203" i="1" s="1"/>
  <c r="J203" i="1" s="1"/>
  <c r="D204" i="1" s="1"/>
  <c r="B509" i="1"/>
  <c r="C506" i="1"/>
  <c r="E506" i="1"/>
  <c r="F204" i="1" l="1"/>
  <c r="I204" i="1"/>
  <c r="K204" i="1" s="1"/>
  <c r="B510" i="1"/>
  <c r="E507" i="1"/>
  <c r="C507" i="1"/>
  <c r="G204" i="1" l="1"/>
  <c r="H204" i="1" s="1"/>
  <c r="J204" i="1" s="1"/>
  <c r="B511" i="1"/>
  <c r="E508" i="1"/>
  <c r="C508" i="1"/>
  <c r="D205" i="1" l="1"/>
  <c r="B512" i="1"/>
  <c r="E509" i="1"/>
  <c r="C509" i="1"/>
  <c r="F205" i="1" l="1"/>
  <c r="I205" i="1"/>
  <c r="K205" i="1" s="1"/>
  <c r="B513" i="1"/>
  <c r="E510" i="1"/>
  <c r="C510" i="1"/>
  <c r="G205" i="1" l="1"/>
  <c r="H205" i="1" s="1"/>
  <c r="J205" i="1" s="1"/>
  <c r="D206" i="1" s="1"/>
  <c r="B514" i="1"/>
  <c r="E511" i="1"/>
  <c r="C511" i="1"/>
  <c r="I206" i="1" l="1"/>
  <c r="K206" i="1" s="1"/>
  <c r="F206" i="1"/>
  <c r="B515" i="1"/>
  <c r="E512" i="1"/>
  <c r="C512" i="1"/>
  <c r="G206" i="1" l="1"/>
  <c r="H206" i="1" s="1"/>
  <c r="J206" i="1" s="1"/>
  <c r="B516" i="1"/>
  <c r="E513" i="1"/>
  <c r="C513" i="1"/>
  <c r="D207" i="1" l="1"/>
  <c r="B517" i="1"/>
  <c r="C514" i="1"/>
  <c r="E514" i="1"/>
  <c r="F207" i="1" l="1"/>
  <c r="I207" i="1"/>
  <c r="K207" i="1" s="1"/>
  <c r="B518" i="1"/>
  <c r="E515" i="1"/>
  <c r="C515" i="1"/>
  <c r="G207" i="1" l="1"/>
  <c r="H207" i="1" s="1"/>
  <c r="J207" i="1" s="1"/>
  <c r="B519" i="1"/>
  <c r="C516" i="1"/>
  <c r="E516" i="1"/>
  <c r="D208" i="1" l="1"/>
  <c r="B520" i="1"/>
  <c r="E517" i="1"/>
  <c r="C517" i="1"/>
  <c r="F208" i="1" l="1"/>
  <c r="I208" i="1"/>
  <c r="K208" i="1" s="1"/>
  <c r="B521" i="1"/>
  <c r="C518" i="1"/>
  <c r="E518" i="1"/>
  <c r="G208" i="1" l="1"/>
  <c r="H208" i="1" s="1"/>
  <c r="J208" i="1" s="1"/>
  <c r="B522" i="1"/>
  <c r="C519" i="1"/>
  <c r="E519" i="1"/>
  <c r="D209" i="1" l="1"/>
  <c r="B523" i="1"/>
  <c r="C520" i="1"/>
  <c r="E520" i="1"/>
  <c r="F209" i="1" l="1"/>
  <c r="I209" i="1"/>
  <c r="K209" i="1" s="1"/>
  <c r="B524" i="1"/>
  <c r="E521" i="1"/>
  <c r="C521" i="1"/>
  <c r="G209" i="1" l="1"/>
  <c r="H209" i="1" s="1"/>
  <c r="J209" i="1" s="1"/>
  <c r="D210" i="1" s="1"/>
  <c r="B525" i="1"/>
  <c r="C522" i="1"/>
  <c r="E522" i="1"/>
  <c r="I210" i="1" l="1"/>
  <c r="K210" i="1" s="1"/>
  <c r="F210" i="1"/>
  <c r="B526" i="1"/>
  <c r="E523" i="1"/>
  <c r="C523" i="1"/>
  <c r="G210" i="1" l="1"/>
  <c r="H210" i="1" s="1"/>
  <c r="J210" i="1" s="1"/>
  <c r="D211" i="1" s="1"/>
  <c r="B527" i="1"/>
  <c r="C524" i="1"/>
  <c r="E524" i="1"/>
  <c r="I211" i="1" l="1"/>
  <c r="K211" i="1" s="1"/>
  <c r="F211" i="1"/>
  <c r="B528" i="1"/>
  <c r="E525" i="1"/>
  <c r="C525" i="1"/>
  <c r="G211" i="1" l="1"/>
  <c r="H211" i="1" s="1"/>
  <c r="J211" i="1" s="1"/>
  <c r="B529" i="1"/>
  <c r="C526" i="1"/>
  <c r="E526" i="1"/>
  <c r="D212" i="1" l="1"/>
  <c r="B530" i="1"/>
  <c r="E527" i="1"/>
  <c r="C527" i="1"/>
  <c r="F212" i="1" l="1"/>
  <c r="I212" i="1"/>
  <c r="K212" i="1" s="1"/>
  <c r="B531" i="1"/>
  <c r="E528" i="1"/>
  <c r="C528" i="1"/>
  <c r="G212" i="1" l="1"/>
  <c r="H212" i="1" s="1"/>
  <c r="J212" i="1" s="1"/>
  <c r="D213" i="1" s="1"/>
  <c r="B532" i="1"/>
  <c r="E529" i="1"/>
  <c r="C529" i="1"/>
  <c r="F213" i="1" l="1"/>
  <c r="I213" i="1"/>
  <c r="K213" i="1" s="1"/>
  <c r="B533" i="1"/>
  <c r="C530" i="1"/>
  <c r="E530" i="1"/>
  <c r="G213" i="1" l="1"/>
  <c r="H213" i="1" s="1"/>
  <c r="J213" i="1" s="1"/>
  <c r="D214" i="1" s="1"/>
  <c r="B534" i="1"/>
  <c r="E531" i="1"/>
  <c r="C531" i="1"/>
  <c r="F214" i="1" l="1"/>
  <c r="I214" i="1"/>
  <c r="K214" i="1" s="1"/>
  <c r="B535" i="1"/>
  <c r="C532" i="1"/>
  <c r="E532" i="1"/>
  <c r="G214" i="1" l="1"/>
  <c r="H214" i="1" s="1"/>
  <c r="J214" i="1" s="1"/>
  <c r="D215" i="1" s="1"/>
  <c r="B536" i="1"/>
  <c r="E533" i="1"/>
  <c r="C533" i="1"/>
  <c r="F215" i="1" l="1"/>
  <c r="I215" i="1"/>
  <c r="K215" i="1" s="1"/>
  <c r="B537" i="1"/>
  <c r="C534" i="1"/>
  <c r="E534" i="1"/>
  <c r="G215" i="1" l="1"/>
  <c r="H215" i="1" s="1"/>
  <c r="J215" i="1" s="1"/>
  <c r="D216" i="1" s="1"/>
  <c r="B538" i="1"/>
  <c r="C535" i="1"/>
  <c r="E535" i="1"/>
  <c r="F216" i="1" l="1"/>
  <c r="I216" i="1"/>
  <c r="K216" i="1" s="1"/>
  <c r="B539" i="1"/>
  <c r="C536" i="1"/>
  <c r="E536" i="1"/>
  <c r="G216" i="1" l="1"/>
  <c r="H216" i="1" s="1"/>
  <c r="B540" i="1"/>
  <c r="E537" i="1"/>
  <c r="C537" i="1"/>
  <c r="J216" i="1" l="1"/>
  <c r="D217" i="1" s="1"/>
  <c r="B541" i="1"/>
  <c r="E538" i="1"/>
  <c r="C538" i="1"/>
  <c r="F217" i="1" l="1"/>
  <c r="I217" i="1"/>
  <c r="K217" i="1" s="1"/>
  <c r="B542" i="1"/>
  <c r="E539" i="1"/>
  <c r="C539" i="1"/>
  <c r="G217" i="1" l="1"/>
  <c r="H217" i="1" s="1"/>
  <c r="J217" i="1" s="1"/>
  <c r="B543" i="1"/>
  <c r="C540" i="1"/>
  <c r="E540" i="1"/>
  <c r="D218" i="1" l="1"/>
  <c r="F218" i="1" s="1"/>
  <c r="B544" i="1"/>
  <c r="E541" i="1"/>
  <c r="C541" i="1"/>
  <c r="I218" i="1" l="1"/>
  <c r="K218" i="1" s="1"/>
  <c r="G218" i="1"/>
  <c r="B545" i="1"/>
  <c r="C542" i="1"/>
  <c r="E542" i="1"/>
  <c r="H218" i="1" l="1"/>
  <c r="B546" i="1"/>
  <c r="E543" i="1"/>
  <c r="C543" i="1"/>
  <c r="J218" i="1" l="1"/>
  <c r="D219" i="1" s="1"/>
  <c r="B547" i="1"/>
  <c r="E544" i="1"/>
  <c r="C544" i="1"/>
  <c r="I219" i="1" l="1"/>
  <c r="K219" i="1" s="1"/>
  <c r="F219" i="1"/>
  <c r="G219" i="1" s="1"/>
  <c r="B548" i="1"/>
  <c r="E545" i="1"/>
  <c r="C545" i="1"/>
  <c r="H219" i="1" l="1"/>
  <c r="J219" i="1" s="1"/>
  <c r="D220" i="1" s="1"/>
  <c r="F220" i="1" s="1"/>
  <c r="G220" i="1" s="1"/>
  <c r="B549" i="1"/>
  <c r="C546" i="1"/>
  <c r="E546" i="1"/>
  <c r="I220" i="1" l="1"/>
  <c r="K220" i="1" s="1"/>
  <c r="B550" i="1"/>
  <c r="C547" i="1"/>
  <c r="E547" i="1"/>
  <c r="H220" i="1" l="1"/>
  <c r="J220" i="1" s="1"/>
  <c r="D221" i="1" s="1"/>
  <c r="F221" i="1" s="1"/>
  <c r="B551" i="1"/>
  <c r="C548" i="1"/>
  <c r="E548" i="1"/>
  <c r="G221" i="1" l="1"/>
  <c r="I221" i="1"/>
  <c r="K221" i="1" s="1"/>
  <c r="B552" i="1"/>
  <c r="E549" i="1"/>
  <c r="C549" i="1"/>
  <c r="H221" i="1" l="1"/>
  <c r="J221" i="1" s="1"/>
  <c r="D222" i="1" s="1"/>
  <c r="I222" i="1" s="1"/>
  <c r="K222" i="1" s="1"/>
  <c r="B553" i="1"/>
  <c r="E550" i="1"/>
  <c r="C550" i="1"/>
  <c r="F222" i="1" l="1"/>
  <c r="G222" i="1" s="1"/>
  <c r="H222" i="1" s="1"/>
  <c r="B554" i="1"/>
  <c r="E551" i="1"/>
  <c r="C551" i="1"/>
  <c r="J222" i="1" l="1"/>
  <c r="D223" i="1" s="1"/>
  <c r="F223" i="1" s="1"/>
  <c r="G223" i="1" s="1"/>
  <c r="B555" i="1"/>
  <c r="C552" i="1"/>
  <c r="E552" i="1"/>
  <c r="I223" i="1" l="1"/>
  <c r="K223" i="1" s="1"/>
  <c r="B556" i="1"/>
  <c r="E553" i="1"/>
  <c r="C553" i="1"/>
  <c r="H223" i="1" l="1"/>
  <c r="J223" i="1" s="1"/>
  <c r="D224" i="1" s="1"/>
  <c r="F224" i="1" s="1"/>
  <c r="G224" i="1" s="1"/>
  <c r="B557" i="1"/>
  <c r="C554" i="1"/>
  <c r="E554" i="1"/>
  <c r="I224" i="1" l="1"/>
  <c r="K224" i="1" s="1"/>
  <c r="B558" i="1"/>
  <c r="C555" i="1"/>
  <c r="E555" i="1"/>
  <c r="H224" i="1" l="1"/>
  <c r="J224" i="1" s="1"/>
  <c r="D225" i="1" s="1"/>
  <c r="B559" i="1"/>
  <c r="C556" i="1"/>
  <c r="E556" i="1"/>
  <c r="I225" i="1" l="1"/>
  <c r="K225" i="1" s="1"/>
  <c r="F225" i="1"/>
  <c r="B560" i="1"/>
  <c r="E557" i="1"/>
  <c r="C557" i="1"/>
  <c r="G225" i="1" l="1"/>
  <c r="H225" i="1" s="1"/>
  <c r="J225" i="1" s="1"/>
  <c r="D226" i="1" s="1"/>
  <c r="B561" i="1"/>
  <c r="E558" i="1"/>
  <c r="C558" i="1"/>
  <c r="F226" i="1" l="1"/>
  <c r="G226" i="1" s="1"/>
  <c r="I226" i="1"/>
  <c r="K226" i="1" s="1"/>
  <c r="B562" i="1"/>
  <c r="E559" i="1"/>
  <c r="C559" i="1"/>
  <c r="H226" i="1" l="1"/>
  <c r="J226" i="1" s="1"/>
  <c r="D227" i="1" s="1"/>
  <c r="F227" i="1" s="1"/>
  <c r="G227" i="1" s="1"/>
  <c r="B563" i="1"/>
  <c r="E560" i="1"/>
  <c r="C560" i="1"/>
  <c r="I227" i="1" l="1"/>
  <c r="K227" i="1" s="1"/>
  <c r="B564" i="1"/>
  <c r="C561" i="1"/>
  <c r="E561" i="1"/>
  <c r="H227" i="1" l="1"/>
  <c r="J227" i="1" s="1"/>
  <c r="D228" i="1" s="1"/>
  <c r="F228" i="1" s="1"/>
  <c r="G228" i="1" s="1"/>
  <c r="B565" i="1"/>
  <c r="C562" i="1"/>
  <c r="E562" i="1"/>
  <c r="I228" i="1" l="1"/>
  <c r="K228" i="1" s="1"/>
  <c r="B566" i="1"/>
  <c r="E563" i="1"/>
  <c r="C563" i="1"/>
  <c r="H228" i="1" l="1"/>
  <c r="J228" i="1" s="1"/>
  <c r="D229" i="1" s="1"/>
  <c r="F229" i="1" s="1"/>
  <c r="G229" i="1" s="1"/>
  <c r="B567" i="1"/>
  <c r="E564" i="1"/>
  <c r="C564" i="1"/>
  <c r="I229" i="1" l="1"/>
  <c r="K229" i="1" s="1"/>
  <c r="B568" i="1"/>
  <c r="E565" i="1"/>
  <c r="C565" i="1"/>
  <c r="H229" i="1" l="1"/>
  <c r="J229" i="1" s="1"/>
  <c r="D230" i="1" s="1"/>
  <c r="I230" i="1" s="1"/>
  <c r="K230" i="1" s="1"/>
  <c r="B569" i="1"/>
  <c r="E566" i="1"/>
  <c r="C566" i="1"/>
  <c r="F230" i="1" l="1"/>
  <c r="G230" i="1" s="1"/>
  <c r="H230" i="1" s="1"/>
  <c r="J230" i="1" s="1"/>
  <c r="D231" i="1" s="1"/>
  <c r="F231" i="1" s="1"/>
  <c r="B570" i="1"/>
  <c r="C567" i="1"/>
  <c r="E567" i="1"/>
  <c r="I231" i="1" l="1"/>
  <c r="K231" i="1" s="1"/>
  <c r="G231" i="1"/>
  <c r="B571" i="1"/>
  <c r="C568" i="1"/>
  <c r="E568" i="1"/>
  <c r="H231" i="1" l="1"/>
  <c r="B572" i="1"/>
  <c r="E569" i="1"/>
  <c r="C569" i="1"/>
  <c r="J231" i="1" l="1"/>
  <c r="D232" i="1" s="1"/>
  <c r="B573" i="1"/>
  <c r="C570" i="1"/>
  <c r="E570" i="1"/>
  <c r="F232" i="1" l="1"/>
  <c r="I232" i="1"/>
  <c r="K232" i="1" s="1"/>
  <c r="B574" i="1"/>
  <c r="E571" i="1"/>
  <c r="C571" i="1"/>
  <c r="G232" i="1" l="1"/>
  <c r="H232" i="1" s="1"/>
  <c r="J232" i="1" s="1"/>
  <c r="D233" i="1" s="1"/>
  <c r="B575" i="1"/>
  <c r="E572" i="1"/>
  <c r="C572" i="1"/>
  <c r="I233" i="1" l="1"/>
  <c r="K233" i="1" s="1"/>
  <c r="F233" i="1"/>
  <c r="B576" i="1"/>
  <c r="E573" i="1"/>
  <c r="C573" i="1"/>
  <c r="G233" i="1" l="1"/>
  <c r="H233" i="1" s="1"/>
  <c r="J233" i="1" s="1"/>
  <c r="D234" i="1" s="1"/>
  <c r="I234" i="1" s="1"/>
  <c r="K234" i="1" s="1"/>
  <c r="B577" i="1"/>
  <c r="C574" i="1"/>
  <c r="E574" i="1"/>
  <c r="F234" i="1" l="1"/>
  <c r="G234" i="1" s="1"/>
  <c r="H234" i="1" s="1"/>
  <c r="B578" i="1"/>
  <c r="E575" i="1"/>
  <c r="C575" i="1"/>
  <c r="J234" i="1" l="1"/>
  <c r="D235" i="1" s="1"/>
  <c r="F235" i="1" s="1"/>
  <c r="B579" i="1"/>
  <c r="E576" i="1"/>
  <c r="C576" i="1"/>
  <c r="I235" i="1" l="1"/>
  <c r="K235" i="1" s="1"/>
  <c r="G235" i="1"/>
  <c r="B580" i="1"/>
  <c r="E577" i="1"/>
  <c r="C577" i="1"/>
  <c r="H235" i="1" l="1"/>
  <c r="J235" i="1" s="1"/>
  <c r="D236" i="1" s="1"/>
  <c r="F236" i="1" s="1"/>
  <c r="B581" i="1"/>
  <c r="C578" i="1"/>
  <c r="E578" i="1"/>
  <c r="I236" i="1" l="1"/>
  <c r="K236" i="1" s="1"/>
  <c r="G236" i="1"/>
  <c r="B582" i="1"/>
  <c r="C579" i="1"/>
  <c r="E579" i="1"/>
  <c r="H236" i="1" l="1"/>
  <c r="J236" i="1" s="1"/>
  <c r="D237" i="1" s="1"/>
  <c r="F237" i="1" s="1"/>
  <c r="B583" i="1"/>
  <c r="C580" i="1"/>
  <c r="E580" i="1"/>
  <c r="I237" i="1" l="1"/>
  <c r="K237" i="1" s="1"/>
  <c r="G237" i="1"/>
  <c r="B584" i="1"/>
  <c r="C581" i="1"/>
  <c r="E581" i="1"/>
  <c r="H237" i="1" l="1"/>
  <c r="J237" i="1" s="1"/>
  <c r="D238" i="1" s="1"/>
  <c r="I238" i="1" s="1"/>
  <c r="K238" i="1" s="1"/>
  <c r="B585" i="1"/>
  <c r="E582" i="1"/>
  <c r="C582" i="1"/>
  <c r="F238" i="1" l="1"/>
  <c r="B586" i="1"/>
  <c r="C583" i="1"/>
  <c r="E583" i="1"/>
  <c r="G238" i="1" l="1"/>
  <c r="H238" i="1" s="1"/>
  <c r="J238" i="1" s="1"/>
  <c r="D239" i="1" s="1"/>
  <c r="F239" i="1" s="1"/>
  <c r="B587" i="1"/>
  <c r="C584" i="1"/>
  <c r="E584" i="1"/>
  <c r="I239" i="1" l="1"/>
  <c r="K239" i="1" s="1"/>
  <c r="G239" i="1"/>
  <c r="B588" i="1"/>
  <c r="C585" i="1"/>
  <c r="E585" i="1"/>
  <c r="H239" i="1" l="1"/>
  <c r="B589" i="1"/>
  <c r="E586" i="1"/>
  <c r="C586" i="1"/>
  <c r="J239" i="1" l="1"/>
  <c r="D240" i="1" s="1"/>
  <c r="B590" i="1"/>
  <c r="C587" i="1"/>
  <c r="E587" i="1"/>
  <c r="F240" i="1" l="1"/>
  <c r="I240" i="1"/>
  <c r="K240" i="1" s="1"/>
  <c r="B591" i="1"/>
  <c r="E588" i="1"/>
  <c r="C588" i="1"/>
  <c r="G240" i="1" l="1"/>
  <c r="H240" i="1" s="1"/>
  <c r="J240" i="1" s="1"/>
  <c r="B592" i="1"/>
  <c r="E589" i="1"/>
  <c r="C589" i="1"/>
  <c r="D241" i="1" l="1"/>
  <c r="B593" i="1"/>
  <c r="E590" i="1"/>
  <c r="C590" i="1"/>
  <c r="I241" i="1" l="1"/>
  <c r="K241" i="1" s="1"/>
  <c r="F241" i="1"/>
  <c r="B594" i="1"/>
  <c r="E591" i="1"/>
  <c r="C591" i="1"/>
  <c r="G241" i="1" l="1"/>
  <c r="H241" i="1" s="1"/>
  <c r="J241" i="1" s="1"/>
  <c r="D242" i="1" s="1"/>
  <c r="B595" i="1"/>
  <c r="C592" i="1"/>
  <c r="E592" i="1"/>
  <c r="I242" i="1" l="1"/>
  <c r="K242" i="1" s="1"/>
  <c r="F242" i="1"/>
  <c r="B596" i="1"/>
  <c r="E593" i="1"/>
  <c r="C593" i="1"/>
  <c r="G242" i="1" l="1"/>
  <c r="H242" i="1" s="1"/>
  <c r="J242" i="1" s="1"/>
  <c r="D243" i="1" s="1"/>
  <c r="B597" i="1"/>
  <c r="E594" i="1"/>
  <c r="C594" i="1"/>
  <c r="F243" i="1" l="1"/>
  <c r="I243" i="1"/>
  <c r="K243" i="1" s="1"/>
  <c r="B598" i="1"/>
  <c r="C595" i="1"/>
  <c r="E595" i="1"/>
  <c r="G243" i="1" l="1"/>
  <c r="H243" i="1" s="1"/>
  <c r="J243" i="1" s="1"/>
  <c r="D244" i="1" s="1"/>
  <c r="B599" i="1"/>
  <c r="E596" i="1"/>
  <c r="C596" i="1"/>
  <c r="F244" i="1" l="1"/>
  <c r="I244" i="1"/>
  <c r="K244" i="1" s="1"/>
  <c r="B600" i="1"/>
  <c r="E597" i="1"/>
  <c r="C597" i="1"/>
  <c r="G244" i="1" l="1"/>
  <c r="H244" i="1" s="1"/>
  <c r="J244" i="1" s="1"/>
  <c r="D245" i="1" s="1"/>
  <c r="B601" i="1"/>
  <c r="C598" i="1"/>
  <c r="E598" i="1"/>
  <c r="F245" i="1" l="1"/>
  <c r="I245" i="1"/>
  <c r="K245" i="1" s="1"/>
  <c r="B602" i="1"/>
  <c r="E599" i="1"/>
  <c r="C599" i="1"/>
  <c r="G245" i="1" l="1"/>
  <c r="H245" i="1" s="1"/>
  <c r="J245" i="1" s="1"/>
  <c r="D246" i="1" s="1"/>
  <c r="I246" i="1" s="1"/>
  <c r="K246" i="1" s="1"/>
  <c r="B603" i="1"/>
  <c r="E600" i="1"/>
  <c r="C600" i="1"/>
  <c r="F246" i="1" l="1"/>
  <c r="G246" i="1" s="1"/>
  <c r="H246" i="1" s="1"/>
  <c r="B604" i="1"/>
  <c r="E601" i="1"/>
  <c r="C601" i="1"/>
  <c r="J246" i="1" l="1"/>
  <c r="D247" i="1" s="1"/>
  <c r="B605" i="1"/>
  <c r="C602" i="1"/>
  <c r="E602" i="1"/>
  <c r="I247" i="1" l="1"/>
  <c r="K247" i="1" s="1"/>
  <c r="F247" i="1"/>
  <c r="B606" i="1"/>
  <c r="E603" i="1"/>
  <c r="C603" i="1"/>
  <c r="G247" i="1" l="1"/>
  <c r="H247" i="1" s="1"/>
  <c r="J247" i="1" s="1"/>
  <c r="D248" i="1" s="1"/>
  <c r="B607" i="1"/>
  <c r="C604" i="1"/>
  <c r="E604" i="1"/>
  <c r="F248" i="1" l="1"/>
  <c r="I248" i="1"/>
  <c r="K248" i="1" s="1"/>
  <c r="B608" i="1"/>
  <c r="C605" i="1"/>
  <c r="E605" i="1"/>
  <c r="G248" i="1" l="1"/>
  <c r="H248" i="1" s="1"/>
  <c r="J248" i="1" s="1"/>
  <c r="D249" i="1" s="1"/>
  <c r="B609" i="1"/>
  <c r="C606" i="1"/>
  <c r="E606" i="1"/>
  <c r="F249" i="1" l="1"/>
  <c r="I249" i="1"/>
  <c r="K249" i="1" s="1"/>
  <c r="B610" i="1"/>
  <c r="C607" i="1"/>
  <c r="E607" i="1"/>
  <c r="G249" i="1" l="1"/>
  <c r="H249" i="1" s="1"/>
  <c r="J249" i="1" s="1"/>
  <c r="D250" i="1" s="1"/>
  <c r="B611" i="1"/>
  <c r="C608" i="1"/>
  <c r="E608" i="1"/>
  <c r="F250" i="1" l="1"/>
  <c r="I250" i="1"/>
  <c r="K250" i="1" s="1"/>
  <c r="B612" i="1"/>
  <c r="E609" i="1"/>
  <c r="C609" i="1"/>
  <c r="G250" i="1" l="1"/>
  <c r="H250" i="1" s="1"/>
  <c r="J250" i="1" s="1"/>
  <c r="D251" i="1" s="1"/>
  <c r="B613" i="1"/>
  <c r="E610" i="1"/>
  <c r="C610" i="1"/>
  <c r="I251" i="1" l="1"/>
  <c r="K251" i="1" s="1"/>
  <c r="F251" i="1"/>
  <c r="G251" i="1" s="1"/>
  <c r="B614" i="1"/>
  <c r="C611" i="1"/>
  <c r="E611" i="1"/>
  <c r="H251" i="1" l="1"/>
  <c r="J251" i="1" s="1"/>
  <c r="D252" i="1" s="1"/>
  <c r="F252" i="1" s="1"/>
  <c r="G252" i="1" s="1"/>
  <c r="B615" i="1"/>
  <c r="E612" i="1"/>
  <c r="C612" i="1"/>
  <c r="I252" i="1" l="1"/>
  <c r="K252" i="1" s="1"/>
  <c r="B616" i="1"/>
  <c r="C613" i="1"/>
  <c r="E613" i="1"/>
  <c r="H252" i="1" l="1"/>
  <c r="J252" i="1" s="1"/>
  <c r="D253" i="1" s="1"/>
  <c r="I253" i="1" s="1"/>
  <c r="K253" i="1" s="1"/>
  <c r="B617" i="1"/>
  <c r="E614" i="1"/>
  <c r="C614" i="1"/>
  <c r="F253" i="1" l="1"/>
  <c r="G253" i="1" s="1"/>
  <c r="H253" i="1" s="1"/>
  <c r="B618" i="1"/>
  <c r="C615" i="1"/>
  <c r="E615" i="1"/>
  <c r="J253" i="1" l="1"/>
  <c r="D254" i="1" s="1"/>
  <c r="F254" i="1" s="1"/>
  <c r="G254" i="1" s="1"/>
  <c r="B619" i="1"/>
  <c r="C616" i="1"/>
  <c r="E616" i="1"/>
  <c r="I254" i="1" l="1"/>
  <c r="K254" i="1" s="1"/>
  <c r="B620" i="1"/>
  <c r="C617" i="1"/>
  <c r="E617" i="1"/>
  <c r="H254" i="1" l="1"/>
  <c r="J254" i="1" s="1"/>
  <c r="D255" i="1" s="1"/>
  <c r="F255" i="1" s="1"/>
  <c r="G255" i="1" s="1"/>
  <c r="B621" i="1"/>
  <c r="C618" i="1"/>
  <c r="E618" i="1"/>
  <c r="I255" i="1" l="1"/>
  <c r="K255" i="1" s="1"/>
  <c r="B622" i="1"/>
  <c r="E619" i="1"/>
  <c r="C619" i="1"/>
  <c r="H255" i="1" l="1"/>
  <c r="J255" i="1" s="1"/>
  <c r="D256" i="1" s="1"/>
  <c r="F256" i="1" s="1"/>
  <c r="G256" i="1" s="1"/>
  <c r="B623" i="1"/>
  <c r="C620" i="1"/>
  <c r="E620" i="1"/>
  <c r="I256" i="1" l="1"/>
  <c r="K256" i="1" s="1"/>
  <c r="B624" i="1"/>
  <c r="E621" i="1"/>
  <c r="C621" i="1"/>
  <c r="H256" i="1" l="1"/>
  <c r="J256" i="1" s="1"/>
  <c r="D257" i="1" s="1"/>
  <c r="F257" i="1" s="1"/>
  <c r="G257" i="1" s="1"/>
  <c r="B625" i="1"/>
  <c r="C622" i="1"/>
  <c r="E622" i="1"/>
  <c r="I257" i="1" l="1"/>
  <c r="K257" i="1" s="1"/>
  <c r="B626" i="1"/>
  <c r="E623" i="1"/>
  <c r="C623" i="1"/>
  <c r="H257" i="1" l="1"/>
  <c r="J257" i="1" s="1"/>
  <c r="D258" i="1" s="1"/>
  <c r="F258" i="1" s="1"/>
  <c r="G258" i="1" s="1"/>
  <c r="B627" i="1"/>
  <c r="E624" i="1"/>
  <c r="C624" i="1"/>
  <c r="I258" i="1" l="1"/>
  <c r="K258" i="1" s="1"/>
  <c r="B628" i="1"/>
  <c r="E625" i="1"/>
  <c r="C625" i="1"/>
  <c r="H258" i="1" l="1"/>
  <c r="J258" i="1"/>
  <c r="D259" i="1" s="1"/>
  <c r="F259" i="1" s="1"/>
  <c r="G259" i="1" s="1"/>
  <c r="B629" i="1"/>
  <c r="E626" i="1"/>
  <c r="C626" i="1"/>
  <c r="I259" i="1" l="1"/>
  <c r="K259" i="1" s="1"/>
  <c r="B630" i="1"/>
  <c r="E627" i="1"/>
  <c r="C627" i="1"/>
  <c r="H259" i="1" l="1"/>
  <c r="B631" i="1"/>
  <c r="E628" i="1"/>
  <c r="C628" i="1"/>
  <c r="J259" i="1" l="1"/>
  <c r="D260" i="1" s="1"/>
  <c r="B632" i="1"/>
  <c r="C629" i="1"/>
  <c r="E629" i="1"/>
  <c r="F260" i="1" l="1"/>
  <c r="I260" i="1"/>
  <c r="K260" i="1" s="1"/>
  <c r="B633" i="1"/>
  <c r="E630" i="1"/>
  <c r="C630" i="1"/>
  <c r="J260" i="1" l="1"/>
  <c r="D261" i="1" s="1"/>
  <c r="G260" i="1"/>
  <c r="H260" i="1" s="1"/>
  <c r="B634" i="1"/>
  <c r="C631" i="1"/>
  <c r="E631" i="1"/>
  <c r="I261" i="1" l="1"/>
  <c r="K261" i="1" s="1"/>
  <c r="F261" i="1"/>
  <c r="B635" i="1"/>
  <c r="C632" i="1"/>
  <c r="E632" i="1"/>
  <c r="J261" i="1" l="1"/>
  <c r="D262" i="1" s="1"/>
  <c r="G261" i="1"/>
  <c r="H261" i="1" s="1"/>
  <c r="B636" i="1"/>
  <c r="E633" i="1"/>
  <c r="C633" i="1"/>
  <c r="F262" i="1" l="1"/>
  <c r="I262" i="1"/>
  <c r="K262" i="1" s="1"/>
  <c r="B637" i="1"/>
  <c r="E634" i="1"/>
  <c r="C634" i="1"/>
  <c r="G262" i="1" l="1"/>
  <c r="H262" i="1" s="1"/>
  <c r="J262" i="1" s="1"/>
  <c r="B638" i="1"/>
  <c r="E635" i="1"/>
  <c r="C635" i="1"/>
  <c r="D263" i="1" l="1"/>
  <c r="B639" i="1"/>
  <c r="E636" i="1"/>
  <c r="C636" i="1"/>
  <c r="F263" i="1" l="1"/>
  <c r="I263" i="1"/>
  <c r="K263" i="1" s="1"/>
  <c r="B640" i="1"/>
  <c r="C637" i="1"/>
  <c r="E637" i="1"/>
  <c r="G263" i="1" l="1"/>
  <c r="H263" i="1" s="1"/>
  <c r="B641" i="1"/>
  <c r="C638" i="1"/>
  <c r="E638" i="1"/>
  <c r="J263" i="1" l="1"/>
  <c r="D264" i="1" s="1"/>
  <c r="B642" i="1"/>
  <c r="E639" i="1"/>
  <c r="C639" i="1"/>
  <c r="I264" i="1" l="1"/>
  <c r="K264" i="1" s="1"/>
  <c r="F264" i="1"/>
  <c r="B643" i="1"/>
  <c r="E640" i="1"/>
  <c r="C640" i="1"/>
  <c r="G264" i="1" l="1"/>
  <c r="H264" i="1" s="1"/>
  <c r="J264" i="1" s="1"/>
  <c r="D265" i="1" s="1"/>
  <c r="B644" i="1"/>
  <c r="C641" i="1"/>
  <c r="E641" i="1"/>
  <c r="F265" i="1" l="1"/>
  <c r="I265" i="1"/>
  <c r="K265" i="1" s="1"/>
  <c r="B645" i="1"/>
  <c r="E642" i="1"/>
  <c r="C642" i="1"/>
  <c r="G265" i="1" l="1"/>
  <c r="H265" i="1" s="1"/>
  <c r="J265" i="1" s="1"/>
  <c r="D266" i="1" s="1"/>
  <c r="B646" i="1"/>
  <c r="C643" i="1"/>
  <c r="E643" i="1"/>
  <c r="I266" i="1" l="1"/>
  <c r="K266" i="1" s="1"/>
  <c r="F266" i="1"/>
  <c r="B647" i="1"/>
  <c r="C644" i="1"/>
  <c r="E644" i="1"/>
  <c r="J266" i="1" l="1"/>
  <c r="D267" i="1" s="1"/>
  <c r="G266" i="1"/>
  <c r="H266" i="1" s="1"/>
  <c r="B648" i="1"/>
  <c r="E645" i="1"/>
  <c r="C645" i="1"/>
  <c r="F267" i="1" l="1"/>
  <c r="I267" i="1"/>
  <c r="K267" i="1" s="1"/>
  <c r="B649" i="1"/>
  <c r="C646" i="1"/>
  <c r="E646" i="1"/>
  <c r="G267" i="1" l="1"/>
  <c r="H267" i="1" s="1"/>
  <c r="J267" i="1"/>
  <c r="D268" i="1" s="1"/>
  <c r="B650" i="1"/>
  <c r="C647" i="1"/>
  <c r="E647" i="1"/>
  <c r="I268" i="1" l="1"/>
  <c r="K268" i="1" s="1"/>
  <c r="F268" i="1"/>
  <c r="B651" i="1"/>
  <c r="C648" i="1"/>
  <c r="E648" i="1"/>
  <c r="G268" i="1" l="1"/>
  <c r="H268" i="1" s="1"/>
  <c r="J268" i="1" s="1"/>
  <c r="D269" i="1" s="1"/>
  <c r="B652" i="1"/>
  <c r="C649" i="1"/>
  <c r="E649" i="1"/>
  <c r="I269" i="1" l="1"/>
  <c r="K269" i="1" s="1"/>
  <c r="F269" i="1"/>
  <c r="B653" i="1"/>
  <c r="E650" i="1"/>
  <c r="C650" i="1"/>
  <c r="G269" i="1" l="1"/>
  <c r="H269" i="1" s="1"/>
  <c r="J269" i="1" s="1"/>
  <c r="D270" i="1" s="1"/>
  <c r="B654" i="1"/>
  <c r="E651" i="1"/>
  <c r="C651" i="1"/>
  <c r="F270" i="1" l="1"/>
  <c r="I270" i="1"/>
  <c r="K270" i="1" s="1"/>
  <c r="B655" i="1"/>
  <c r="E652" i="1"/>
  <c r="C652" i="1"/>
  <c r="G270" i="1" l="1"/>
  <c r="H270" i="1" s="1"/>
  <c r="J270" i="1"/>
  <c r="D271" i="1" s="1"/>
  <c r="B656" i="1"/>
  <c r="E653" i="1"/>
  <c r="C653" i="1"/>
  <c r="F271" i="1" l="1"/>
  <c r="I271" i="1"/>
  <c r="K271" i="1" s="1"/>
  <c r="B657" i="1"/>
  <c r="C654" i="1"/>
  <c r="E654" i="1"/>
  <c r="J271" i="1" l="1"/>
  <c r="D272" i="1" s="1"/>
  <c r="G271" i="1"/>
  <c r="H271" i="1" s="1"/>
  <c r="B658" i="1"/>
  <c r="E655" i="1"/>
  <c r="C655" i="1"/>
  <c r="I272" i="1" l="1"/>
  <c r="K272" i="1" s="1"/>
  <c r="F272" i="1"/>
  <c r="B659" i="1"/>
  <c r="E656" i="1"/>
  <c r="C656" i="1"/>
  <c r="G272" i="1" l="1"/>
  <c r="H272" i="1" s="1"/>
  <c r="J272" i="1"/>
  <c r="D273" i="1" s="1"/>
  <c r="B660" i="1"/>
  <c r="E657" i="1"/>
  <c r="C657" i="1"/>
  <c r="F273" i="1" l="1"/>
  <c r="I273" i="1"/>
  <c r="K273" i="1" s="1"/>
  <c r="B661" i="1"/>
  <c r="C658" i="1"/>
  <c r="E658" i="1"/>
  <c r="J273" i="1" l="1"/>
  <c r="D274" i="1" s="1"/>
  <c r="G273" i="1"/>
  <c r="H273" i="1" s="1"/>
  <c r="B662" i="1"/>
  <c r="C659" i="1"/>
  <c r="E659" i="1"/>
  <c r="F274" i="1" l="1"/>
  <c r="I274" i="1"/>
  <c r="K274" i="1" s="1"/>
  <c r="B663" i="1"/>
  <c r="E660" i="1"/>
  <c r="C660" i="1"/>
  <c r="G274" i="1" l="1"/>
  <c r="H274" i="1" s="1"/>
  <c r="J274" i="1"/>
  <c r="D275" i="1" s="1"/>
  <c r="B664" i="1"/>
  <c r="C661" i="1"/>
  <c r="E661" i="1"/>
  <c r="I275" i="1" l="1"/>
  <c r="K275" i="1" s="1"/>
  <c r="F275" i="1"/>
  <c r="B665" i="1"/>
  <c r="C662" i="1"/>
  <c r="E662" i="1"/>
  <c r="G275" i="1" l="1"/>
  <c r="H275" i="1" s="1"/>
  <c r="J275" i="1" s="1"/>
  <c r="D276" i="1" s="1"/>
  <c r="B666" i="1"/>
  <c r="C663" i="1"/>
  <c r="E663" i="1"/>
  <c r="I276" i="1" l="1"/>
  <c r="K276" i="1" s="1"/>
  <c r="F276" i="1"/>
  <c r="B667" i="1"/>
  <c r="C664" i="1"/>
  <c r="E664" i="1"/>
  <c r="G276" i="1" l="1"/>
  <c r="H276" i="1" s="1"/>
  <c r="J276" i="1"/>
  <c r="D277" i="1" s="1"/>
  <c r="B668" i="1"/>
  <c r="C665" i="1"/>
  <c r="E665" i="1"/>
  <c r="F277" i="1" l="1"/>
  <c r="I277" i="1"/>
  <c r="K277" i="1" s="1"/>
  <c r="B669" i="1"/>
  <c r="E666" i="1"/>
  <c r="C666" i="1"/>
  <c r="G277" i="1" l="1"/>
  <c r="H277" i="1" s="1"/>
  <c r="J277" i="1" s="1"/>
  <c r="D278" i="1" s="1"/>
  <c r="B670" i="1"/>
  <c r="E667" i="1"/>
  <c r="C667" i="1"/>
  <c r="F278" i="1" l="1"/>
  <c r="I278" i="1"/>
  <c r="K278" i="1" s="1"/>
  <c r="B671" i="1"/>
  <c r="C668" i="1"/>
  <c r="E668" i="1"/>
  <c r="J278" i="1" l="1"/>
  <c r="D279" i="1" s="1"/>
  <c r="G278" i="1"/>
  <c r="H278" i="1" s="1"/>
  <c r="B672" i="1"/>
  <c r="C669" i="1"/>
  <c r="E669" i="1"/>
  <c r="F279" i="1" l="1"/>
  <c r="I279" i="1"/>
  <c r="K279" i="1" s="1"/>
  <c r="B673" i="1"/>
  <c r="C670" i="1"/>
  <c r="E670" i="1"/>
  <c r="G279" i="1" l="1"/>
  <c r="H279" i="1" s="1"/>
  <c r="J279" i="1" s="1"/>
  <c r="D280" i="1" s="1"/>
  <c r="B674" i="1"/>
  <c r="C671" i="1"/>
  <c r="E671" i="1"/>
  <c r="F280" i="1" l="1"/>
  <c r="I280" i="1"/>
  <c r="K280" i="1" s="1"/>
  <c r="B675" i="1"/>
  <c r="E672" i="1"/>
  <c r="C672" i="1"/>
  <c r="G280" i="1" l="1"/>
  <c r="H280" i="1" s="1"/>
  <c r="J280" i="1"/>
  <c r="D281" i="1" s="1"/>
  <c r="B676" i="1"/>
  <c r="C673" i="1"/>
  <c r="E673" i="1"/>
  <c r="F281" i="1" l="1"/>
  <c r="I281" i="1"/>
  <c r="K281" i="1" s="1"/>
  <c r="B677" i="1"/>
  <c r="E674" i="1"/>
  <c r="C674" i="1"/>
  <c r="J281" i="1" l="1"/>
  <c r="D282" i="1" s="1"/>
  <c r="G281" i="1"/>
  <c r="H281" i="1" s="1"/>
  <c r="B678" i="1"/>
  <c r="E675" i="1"/>
  <c r="C675" i="1"/>
  <c r="F282" i="1" l="1"/>
  <c r="I282" i="1"/>
  <c r="K282" i="1" s="1"/>
  <c r="B679" i="1"/>
  <c r="E676" i="1"/>
  <c r="C676" i="1"/>
  <c r="G282" i="1" l="1"/>
  <c r="H282" i="1" s="1"/>
  <c r="J282" i="1"/>
  <c r="D283" i="1" s="1"/>
  <c r="B680" i="1"/>
  <c r="C677" i="1"/>
  <c r="E677" i="1"/>
  <c r="I283" i="1" l="1"/>
  <c r="K283" i="1" s="1"/>
  <c r="F283" i="1"/>
  <c r="B681" i="1"/>
  <c r="E678" i="1"/>
  <c r="C678" i="1"/>
  <c r="J283" i="1" l="1"/>
  <c r="D284" i="1" s="1"/>
  <c r="G283" i="1"/>
  <c r="H283" i="1" s="1"/>
  <c r="B682" i="1"/>
  <c r="C679" i="1"/>
  <c r="E679" i="1"/>
  <c r="F284" i="1" l="1"/>
  <c r="I284" i="1"/>
  <c r="K284" i="1" s="1"/>
  <c r="B683" i="1"/>
  <c r="C680" i="1"/>
  <c r="E680" i="1"/>
  <c r="G284" i="1" l="1"/>
  <c r="H284" i="1" s="1"/>
  <c r="B684" i="1"/>
  <c r="C681" i="1"/>
  <c r="E681" i="1"/>
  <c r="J284" i="1" l="1"/>
  <c r="D285" i="1" s="1"/>
  <c r="B685" i="1"/>
  <c r="E682" i="1"/>
  <c r="C682" i="1"/>
  <c r="F285" i="1" l="1"/>
  <c r="I285" i="1"/>
  <c r="K285" i="1" s="1"/>
  <c r="B686" i="1"/>
  <c r="C683" i="1"/>
  <c r="E683" i="1"/>
  <c r="G285" i="1" l="1"/>
  <c r="H285" i="1" s="1"/>
  <c r="J285" i="1" s="1"/>
  <c r="D286" i="1" s="1"/>
  <c r="B687" i="1"/>
  <c r="C684" i="1"/>
  <c r="E684" i="1"/>
  <c r="F286" i="1" l="1"/>
  <c r="I286" i="1"/>
  <c r="K286" i="1" s="1"/>
  <c r="B688" i="1"/>
  <c r="C685" i="1"/>
  <c r="E685" i="1"/>
  <c r="G286" i="1" l="1"/>
  <c r="H286" i="1" s="1"/>
  <c r="J286" i="1"/>
  <c r="D287" i="1" s="1"/>
  <c r="B689" i="1"/>
  <c r="C686" i="1"/>
  <c r="E686" i="1"/>
  <c r="I287" i="1" l="1"/>
  <c r="K287" i="1" s="1"/>
  <c r="F287" i="1"/>
  <c r="B690" i="1"/>
  <c r="E687" i="1"/>
  <c r="C687" i="1"/>
  <c r="J287" i="1" l="1"/>
  <c r="D288" i="1" s="1"/>
  <c r="G287" i="1"/>
  <c r="H287" i="1" s="1"/>
  <c r="B691" i="1"/>
  <c r="E688" i="1"/>
  <c r="C688" i="1"/>
  <c r="F288" i="1" l="1"/>
  <c r="I288" i="1"/>
  <c r="K288" i="1" s="1"/>
  <c r="B692" i="1"/>
  <c r="C689" i="1"/>
  <c r="E689" i="1"/>
  <c r="G288" i="1" l="1"/>
  <c r="H288" i="1" s="1"/>
  <c r="J288" i="1" s="1"/>
  <c r="D289" i="1" s="1"/>
  <c r="B693" i="1"/>
  <c r="C690" i="1"/>
  <c r="E690" i="1"/>
  <c r="I289" i="1" l="1"/>
  <c r="K289" i="1" s="1"/>
  <c r="F289" i="1"/>
  <c r="B694" i="1"/>
  <c r="E691" i="1"/>
  <c r="C691" i="1"/>
  <c r="G289" i="1" l="1"/>
  <c r="H289" i="1" s="1"/>
  <c r="J289" i="1" s="1"/>
  <c r="D290" i="1" s="1"/>
  <c r="B695" i="1"/>
  <c r="C692" i="1"/>
  <c r="E692" i="1"/>
  <c r="I290" i="1" l="1"/>
  <c r="K290" i="1" s="1"/>
  <c r="F290" i="1"/>
  <c r="B696" i="1"/>
  <c r="C693" i="1"/>
  <c r="E693" i="1"/>
  <c r="G290" i="1" l="1"/>
  <c r="H290" i="1" s="1"/>
  <c r="J290" i="1" s="1"/>
  <c r="D291" i="1" s="1"/>
  <c r="B697" i="1"/>
  <c r="C694" i="1"/>
  <c r="E694" i="1"/>
  <c r="F291" i="1" l="1"/>
  <c r="I291" i="1"/>
  <c r="K291" i="1" s="1"/>
  <c r="B698" i="1"/>
  <c r="E695" i="1"/>
  <c r="C695" i="1"/>
  <c r="G291" i="1" l="1"/>
  <c r="H291" i="1" s="1"/>
  <c r="J291" i="1" s="1"/>
  <c r="D292" i="1" s="1"/>
  <c r="B699" i="1"/>
  <c r="E696" i="1"/>
  <c r="C696" i="1"/>
  <c r="F292" i="1" l="1"/>
  <c r="I292" i="1"/>
  <c r="K292" i="1" s="1"/>
  <c r="B700" i="1"/>
  <c r="E697" i="1"/>
  <c r="C697" i="1"/>
  <c r="G292" i="1" l="1"/>
  <c r="H292" i="1" s="1"/>
  <c r="J292" i="1" s="1"/>
  <c r="D293" i="1" s="1"/>
  <c r="B701" i="1"/>
  <c r="C698" i="1"/>
  <c r="E698" i="1"/>
  <c r="I293" i="1" l="1"/>
  <c r="K293" i="1" s="1"/>
  <c r="F293" i="1"/>
  <c r="B702" i="1"/>
  <c r="E699" i="1"/>
  <c r="C699" i="1"/>
  <c r="G293" i="1" l="1"/>
  <c r="H293" i="1" s="1"/>
  <c r="J293" i="1" s="1"/>
  <c r="D294" i="1" s="1"/>
  <c r="B703" i="1"/>
  <c r="E700" i="1"/>
  <c r="C700" i="1"/>
  <c r="I294" i="1" l="1"/>
  <c r="K294" i="1" s="1"/>
  <c r="F294" i="1"/>
  <c r="B704" i="1"/>
  <c r="C701" i="1"/>
  <c r="E701" i="1"/>
  <c r="G294" i="1" l="1"/>
  <c r="H294" i="1" s="1"/>
  <c r="J294" i="1" s="1"/>
  <c r="D295" i="1" s="1"/>
  <c r="B705" i="1"/>
  <c r="C702" i="1"/>
  <c r="E702" i="1"/>
  <c r="F295" i="1" l="1"/>
  <c r="I295" i="1"/>
  <c r="K295" i="1" s="1"/>
  <c r="B706" i="1"/>
  <c r="E703" i="1"/>
  <c r="C703" i="1"/>
  <c r="G295" i="1" l="1"/>
  <c r="H295" i="1" s="1"/>
  <c r="J295" i="1" s="1"/>
  <c r="D296" i="1" s="1"/>
  <c r="B707" i="1"/>
  <c r="C704" i="1"/>
  <c r="E704" i="1"/>
  <c r="F296" i="1" l="1"/>
  <c r="I296" i="1"/>
  <c r="K296" i="1" s="1"/>
  <c r="B708" i="1"/>
  <c r="E705" i="1"/>
  <c r="C705" i="1"/>
  <c r="G296" i="1" l="1"/>
  <c r="H296" i="1" s="1"/>
  <c r="J296" i="1"/>
  <c r="D297" i="1" s="1"/>
  <c r="B709" i="1"/>
  <c r="E706" i="1"/>
  <c r="C706" i="1"/>
  <c r="I297" i="1" l="1"/>
  <c r="K297" i="1" s="1"/>
  <c r="F297" i="1"/>
  <c r="B710" i="1"/>
  <c r="E707" i="1"/>
  <c r="C707" i="1"/>
  <c r="G297" i="1" l="1"/>
  <c r="H297" i="1" s="1"/>
  <c r="J297" i="1"/>
  <c r="D298" i="1" s="1"/>
  <c r="B711" i="1"/>
  <c r="C708" i="1"/>
  <c r="E708" i="1"/>
  <c r="F298" i="1" l="1"/>
  <c r="I298" i="1"/>
  <c r="K298" i="1" s="1"/>
  <c r="B712" i="1"/>
  <c r="E709" i="1"/>
  <c r="C709" i="1"/>
  <c r="G298" i="1" l="1"/>
  <c r="H298" i="1" s="1"/>
  <c r="J298" i="1"/>
  <c r="D299" i="1" s="1"/>
  <c r="B713" i="1"/>
  <c r="C710" i="1"/>
  <c r="E710" i="1"/>
  <c r="I299" i="1" l="1"/>
  <c r="K299" i="1" s="1"/>
  <c r="F299" i="1"/>
  <c r="B714" i="1"/>
  <c r="C711" i="1"/>
  <c r="E711" i="1"/>
  <c r="J299" i="1" l="1"/>
  <c r="D300" i="1" s="1"/>
  <c r="G299" i="1"/>
  <c r="H299" i="1" s="1"/>
  <c r="B715" i="1"/>
  <c r="C712" i="1"/>
  <c r="E712" i="1"/>
  <c r="I300" i="1" l="1"/>
  <c r="K300" i="1" s="1"/>
  <c r="F300" i="1"/>
  <c r="B716" i="1"/>
  <c r="E713" i="1"/>
  <c r="C713" i="1"/>
  <c r="G300" i="1" l="1"/>
  <c r="H300" i="1" s="1"/>
  <c r="J300" i="1" s="1"/>
  <c r="D301" i="1" s="1"/>
  <c r="B717" i="1"/>
  <c r="C714" i="1"/>
  <c r="E714" i="1"/>
  <c r="F301" i="1" l="1"/>
  <c r="I301" i="1"/>
  <c r="K301" i="1" s="1"/>
  <c r="B718" i="1"/>
  <c r="C715" i="1"/>
  <c r="E715" i="1"/>
  <c r="G301" i="1" l="1"/>
  <c r="H301" i="1" s="1"/>
  <c r="J301" i="1" s="1"/>
  <c r="D302" i="1" s="1"/>
  <c r="B719" i="1"/>
  <c r="C716" i="1"/>
  <c r="E716" i="1"/>
  <c r="F302" i="1" l="1"/>
  <c r="I302" i="1"/>
  <c r="K302" i="1" s="1"/>
  <c r="B720" i="1"/>
  <c r="C717" i="1"/>
  <c r="E717" i="1"/>
  <c r="J302" i="1" l="1"/>
  <c r="D303" i="1" s="1"/>
  <c r="G302" i="1"/>
  <c r="H302" i="1" s="1"/>
  <c r="B721" i="1"/>
  <c r="C718" i="1"/>
  <c r="E718" i="1"/>
  <c r="F303" i="1" l="1"/>
  <c r="I303" i="1"/>
  <c r="K303" i="1" s="1"/>
  <c r="B722" i="1"/>
  <c r="C719" i="1"/>
  <c r="E719" i="1"/>
  <c r="G303" i="1" l="1"/>
  <c r="H303" i="1" s="1"/>
  <c r="J303" i="1" s="1"/>
  <c r="D304" i="1" s="1"/>
  <c r="B723" i="1"/>
  <c r="C720" i="1"/>
  <c r="E720" i="1"/>
  <c r="F304" i="1" l="1"/>
  <c r="I304" i="1"/>
  <c r="K304" i="1" s="1"/>
  <c r="B724" i="1"/>
  <c r="C721" i="1"/>
  <c r="E721" i="1"/>
  <c r="G304" i="1" l="1"/>
  <c r="H304" i="1" s="1"/>
  <c r="J304" i="1" s="1"/>
  <c r="D305" i="1" s="1"/>
  <c r="B725" i="1"/>
  <c r="E722" i="1"/>
  <c r="C722" i="1"/>
  <c r="F305" i="1" l="1"/>
  <c r="I305" i="1"/>
  <c r="K305" i="1" s="1"/>
  <c r="B726" i="1"/>
  <c r="C723" i="1"/>
  <c r="E723" i="1"/>
  <c r="J305" i="1" l="1"/>
  <c r="D306" i="1" s="1"/>
  <c r="I306" i="1" s="1"/>
  <c r="K306" i="1" s="1"/>
  <c r="G305" i="1"/>
  <c r="H305" i="1" s="1"/>
  <c r="B727" i="1"/>
  <c r="C724" i="1"/>
  <c r="E724" i="1"/>
  <c r="F306" i="1" l="1"/>
  <c r="G306" i="1" s="1"/>
  <c r="H306" i="1" s="1"/>
  <c r="J306" i="1" s="1"/>
  <c r="D307" i="1" s="1"/>
  <c r="B728" i="1"/>
  <c r="C725" i="1"/>
  <c r="E725" i="1"/>
  <c r="F307" i="1" l="1"/>
  <c r="I307" i="1"/>
  <c r="K307" i="1" s="1"/>
  <c r="B729" i="1"/>
  <c r="E726" i="1"/>
  <c r="C726" i="1"/>
  <c r="J307" i="1" l="1"/>
  <c r="G307" i="1"/>
  <c r="H307" i="1" s="1"/>
  <c r="B730" i="1"/>
  <c r="E727" i="1"/>
  <c r="C727" i="1"/>
  <c r="D308" i="1" l="1"/>
  <c r="B731" i="1"/>
  <c r="E728" i="1"/>
  <c r="C728" i="1"/>
  <c r="F308" i="1" l="1"/>
  <c r="I308" i="1"/>
  <c r="K308" i="1" s="1"/>
  <c r="B732" i="1"/>
  <c r="C729" i="1"/>
  <c r="E729" i="1"/>
  <c r="G308" i="1" l="1"/>
  <c r="H308" i="1" s="1"/>
  <c r="J308" i="1"/>
  <c r="C730" i="1"/>
  <c r="E730" i="1"/>
  <c r="D309" i="1" l="1"/>
  <c r="F309" i="1" s="1"/>
  <c r="E731" i="1"/>
  <c r="C731" i="1"/>
  <c r="I309" i="1" l="1"/>
  <c r="K309" i="1" s="1"/>
  <c r="G309" i="1"/>
  <c r="E732" i="1"/>
  <c r="C732" i="1"/>
  <c r="H309" i="1" l="1"/>
  <c r="J309" i="1" s="1"/>
  <c r="D310" i="1" s="1"/>
  <c r="I310" i="1" s="1"/>
  <c r="K310" i="1" s="1"/>
  <c r="F310" i="1" l="1"/>
  <c r="G310" i="1" s="1"/>
  <c r="H310" i="1" s="1"/>
  <c r="J310" i="1" s="1"/>
  <c r="D311" i="1" s="1"/>
  <c r="F311" i="1" l="1"/>
  <c r="I311" i="1"/>
  <c r="K311" i="1" s="1"/>
  <c r="G311" i="1" l="1"/>
  <c r="H311" i="1" s="1"/>
  <c r="J311" i="1" s="1"/>
  <c r="D312" i="1" l="1"/>
  <c r="F312" i="1" s="1"/>
  <c r="I312" i="1" l="1"/>
  <c r="K312" i="1" s="1"/>
  <c r="G312" i="1"/>
  <c r="H312" i="1" l="1"/>
  <c r="J312" i="1" s="1"/>
  <c r="D313" i="1" s="1"/>
  <c r="F313" i="1" s="1"/>
  <c r="I313" i="1" l="1"/>
  <c r="K313" i="1" s="1"/>
  <c r="G313" i="1"/>
  <c r="H313" i="1" l="1"/>
  <c r="J313" i="1" s="1"/>
  <c r="D314" i="1" s="1"/>
  <c r="F314" i="1" s="1"/>
  <c r="I314" i="1" l="1"/>
  <c r="K314" i="1" s="1"/>
  <c r="G314" i="1"/>
  <c r="H314" i="1" l="1"/>
  <c r="J314" i="1" s="1"/>
  <c r="D315" i="1" s="1"/>
  <c r="F315" i="1" s="1"/>
  <c r="I315" i="1" l="1"/>
  <c r="K315" i="1" s="1"/>
  <c r="G315" i="1"/>
  <c r="H315" i="1" l="1"/>
  <c r="J315" i="1" s="1"/>
  <c r="D316" i="1" s="1"/>
  <c r="I316" i="1" s="1"/>
  <c r="K316" i="1" s="1"/>
  <c r="F316" i="1" l="1"/>
  <c r="G316" i="1" s="1"/>
  <c r="H316" i="1" s="1"/>
  <c r="J316" i="1" l="1"/>
  <c r="D317" i="1" s="1"/>
  <c r="F317" i="1" s="1"/>
  <c r="I317" i="1" l="1"/>
  <c r="K317" i="1" s="1"/>
  <c r="G317" i="1"/>
  <c r="H317" i="1" l="1"/>
  <c r="J317" i="1" s="1"/>
  <c r="D318" i="1" s="1"/>
  <c r="I318" i="1" s="1"/>
  <c r="K318" i="1" s="1"/>
  <c r="F318" i="1" l="1"/>
  <c r="G318" i="1" s="1"/>
  <c r="H318" i="1" s="1"/>
  <c r="J318" i="1" l="1"/>
  <c r="D319" i="1" s="1"/>
  <c r="F319" i="1" l="1"/>
  <c r="I319" i="1"/>
  <c r="K319" i="1" s="1"/>
  <c r="J319" i="1" l="1"/>
  <c r="D320" i="1" s="1"/>
  <c r="G319" i="1"/>
  <c r="H319" i="1" s="1"/>
  <c r="I320" i="1" l="1"/>
  <c r="K320" i="1" s="1"/>
  <c r="F320" i="1"/>
  <c r="G320" i="1" l="1"/>
  <c r="H320" i="1" s="1"/>
  <c r="J320" i="1" s="1"/>
  <c r="D321" i="1" l="1"/>
  <c r="I321" i="1" s="1"/>
  <c r="K321" i="1" s="1"/>
  <c r="F321" i="1" l="1"/>
  <c r="G321" i="1" l="1"/>
  <c r="H321" i="1" s="1"/>
  <c r="J321" i="1" s="1"/>
  <c r="D322" i="1" s="1"/>
  <c r="I322" i="1" l="1"/>
  <c r="K322" i="1" s="1"/>
  <c r="F322" i="1"/>
  <c r="G322" i="1" l="1"/>
  <c r="H322" i="1" s="1"/>
  <c r="J322" i="1" l="1"/>
  <c r="D323" i="1" s="1"/>
  <c r="F323" i="1" l="1"/>
  <c r="G323" i="1" s="1"/>
  <c r="I323" i="1"/>
  <c r="K323" i="1" s="1"/>
  <c r="H323" i="1" l="1"/>
  <c r="J323" i="1" l="1"/>
  <c r="D324" i="1" s="1"/>
  <c r="I324" i="1" l="1"/>
  <c r="K324" i="1" s="1"/>
  <c r="F324" i="1"/>
  <c r="G324" i="1" l="1"/>
  <c r="H324" i="1" s="1"/>
  <c r="J324" i="1" s="1"/>
  <c r="D325" i="1" s="1"/>
  <c r="F325" i="1" l="1"/>
  <c r="I325" i="1"/>
  <c r="K325" i="1" s="1"/>
  <c r="G325" i="1" l="1"/>
  <c r="H325" i="1" s="1"/>
  <c r="J325" i="1" s="1"/>
  <c r="D326" i="1" s="1"/>
  <c r="F326" i="1" l="1"/>
  <c r="I326" i="1"/>
  <c r="K326" i="1" s="1"/>
  <c r="G326" i="1" l="1"/>
  <c r="H326" i="1" s="1"/>
  <c r="J326" i="1"/>
  <c r="D327" i="1" s="1"/>
  <c r="F327" i="1" l="1"/>
  <c r="I327" i="1"/>
  <c r="K327" i="1" s="1"/>
  <c r="G327" i="1" l="1"/>
  <c r="H327" i="1" s="1"/>
  <c r="J327" i="1" s="1"/>
  <c r="D328" i="1" s="1"/>
  <c r="F328" i="1" l="1"/>
  <c r="I328" i="1"/>
  <c r="K328" i="1" s="1"/>
  <c r="J328" i="1" l="1"/>
  <c r="D329" i="1" s="1"/>
  <c r="G328" i="1"/>
  <c r="H328" i="1" s="1"/>
  <c r="F329" i="1" l="1"/>
  <c r="I329" i="1"/>
  <c r="K329" i="1" s="1"/>
  <c r="J329" i="1" l="1"/>
  <c r="D330" i="1" s="1"/>
  <c r="I330" i="1" s="1"/>
  <c r="K330" i="1" s="1"/>
  <c r="G329" i="1"/>
  <c r="H329" i="1" s="1"/>
  <c r="F330" i="1" l="1"/>
  <c r="J330" i="1" l="1"/>
  <c r="D331" i="1" s="1"/>
  <c r="G330" i="1"/>
  <c r="H330" i="1" s="1"/>
  <c r="F331" i="1" l="1"/>
  <c r="I331" i="1"/>
  <c r="K331" i="1" s="1"/>
  <c r="G331" i="1" l="1"/>
  <c r="H331" i="1" s="1"/>
  <c r="J331" i="1"/>
  <c r="D332" i="1" l="1"/>
  <c r="I332" i="1" l="1"/>
  <c r="K332" i="1" s="1"/>
  <c r="F332" i="1"/>
  <c r="G332" i="1" l="1"/>
  <c r="H332" i="1" s="1"/>
  <c r="J332" i="1" s="1"/>
  <c r="D333" i="1" s="1"/>
  <c r="F333" i="1" l="1"/>
  <c r="I333" i="1"/>
  <c r="K333" i="1" s="1"/>
  <c r="G333" i="1" l="1"/>
  <c r="H333" i="1" s="1"/>
  <c r="J333" i="1" l="1"/>
  <c r="D334" i="1" s="1"/>
  <c r="F334" i="1" l="1"/>
  <c r="I334" i="1"/>
  <c r="K334" i="1" s="1"/>
  <c r="G334" i="1" l="1"/>
  <c r="H334" i="1" s="1"/>
  <c r="J334" i="1" s="1"/>
  <c r="D335" i="1" s="1"/>
  <c r="I335" i="1" l="1"/>
  <c r="K335" i="1" s="1"/>
  <c r="F335" i="1"/>
  <c r="G335" i="1" l="1"/>
  <c r="H335" i="1" s="1"/>
  <c r="J335" i="1"/>
  <c r="D336" i="1" s="1"/>
  <c r="I336" i="1" l="1"/>
  <c r="K336" i="1" s="1"/>
  <c r="F336" i="1"/>
  <c r="G336" i="1" l="1"/>
  <c r="H336" i="1" s="1"/>
  <c r="J336" i="1"/>
  <c r="D337" i="1" s="1"/>
  <c r="F337" i="1" l="1"/>
  <c r="I337" i="1"/>
  <c r="K337" i="1" s="1"/>
  <c r="J337" i="1" l="1"/>
  <c r="D338" i="1" s="1"/>
  <c r="G337" i="1"/>
  <c r="H337" i="1" s="1"/>
  <c r="F338" i="1" l="1"/>
  <c r="I338" i="1"/>
  <c r="K338" i="1" s="1"/>
  <c r="G338" i="1" l="1"/>
  <c r="H338" i="1" s="1"/>
  <c r="J338" i="1" s="1"/>
  <c r="D339" i="1" s="1"/>
  <c r="I339" i="1" l="1"/>
  <c r="K339" i="1" s="1"/>
  <c r="F339" i="1"/>
  <c r="G339" i="1" l="1"/>
  <c r="H339" i="1" s="1"/>
  <c r="J339" i="1" s="1"/>
  <c r="D340" i="1" s="1"/>
  <c r="I340" i="1" l="1"/>
  <c r="K340" i="1" s="1"/>
  <c r="F340" i="1"/>
  <c r="G340" i="1" l="1"/>
  <c r="H340" i="1" s="1"/>
  <c r="J340" i="1" s="1"/>
  <c r="D341" i="1" s="1"/>
  <c r="I341" i="1" l="1"/>
  <c r="K341" i="1" s="1"/>
  <c r="F341" i="1"/>
  <c r="G341" i="1" s="1"/>
  <c r="H341" i="1" l="1"/>
  <c r="J341" i="1" s="1"/>
  <c r="D342" i="1" s="1"/>
  <c r="I342" i="1" s="1"/>
  <c r="K342" i="1" s="1"/>
  <c r="F342" i="1" l="1"/>
  <c r="G342" i="1" s="1"/>
  <c r="H342" i="1" s="1"/>
  <c r="J342" i="1" l="1"/>
  <c r="D343" i="1" s="1"/>
  <c r="I343" i="1" s="1"/>
  <c r="K343" i="1" s="1"/>
  <c r="F343" i="1" l="1"/>
  <c r="G343" i="1" s="1"/>
  <c r="H343" i="1" s="1"/>
  <c r="J343" i="1" l="1"/>
  <c r="D344" i="1" s="1"/>
  <c r="I344" i="1" l="1"/>
  <c r="K344" i="1" s="1"/>
  <c r="F344" i="1"/>
  <c r="G344" i="1" l="1"/>
  <c r="H344" i="1" s="1"/>
  <c r="J344" i="1"/>
  <c r="D345" i="1" l="1"/>
  <c r="I345" i="1" s="1"/>
  <c r="K345" i="1" s="1"/>
  <c r="F345" i="1" l="1"/>
  <c r="G345" i="1" s="1"/>
  <c r="H345" i="1" s="1"/>
  <c r="J345" i="1" l="1"/>
  <c r="D346" i="1" s="1"/>
  <c r="I346" i="1" s="1"/>
  <c r="K346" i="1" s="1"/>
  <c r="F346" i="1" l="1"/>
  <c r="G346" i="1" s="1"/>
  <c r="H346" i="1" s="1"/>
  <c r="J346" i="1" l="1"/>
  <c r="D347" i="1" s="1"/>
  <c r="I347" i="1" s="1"/>
  <c r="K347" i="1" s="1"/>
  <c r="F347" i="1" l="1"/>
  <c r="G347" i="1" s="1"/>
  <c r="H347" i="1" s="1"/>
  <c r="J347" i="1" l="1"/>
  <c r="D348" i="1" s="1"/>
  <c r="F348" i="1" s="1"/>
  <c r="I348" i="1" l="1"/>
  <c r="K348" i="1" s="1"/>
  <c r="G348" i="1"/>
  <c r="H348" i="1" l="1"/>
  <c r="J348" i="1" s="1"/>
  <c r="D349" i="1" s="1"/>
  <c r="I349" i="1" s="1"/>
  <c r="K349" i="1" s="1"/>
  <c r="F349" i="1" l="1"/>
  <c r="J349" i="1" s="1"/>
  <c r="G349" i="1" l="1"/>
  <c r="H349" i="1" s="1"/>
  <c r="D350" i="1"/>
  <c r="I350" i="1" s="1"/>
  <c r="K350" i="1" s="1"/>
  <c r="F350" i="1" l="1"/>
  <c r="G350" i="1" s="1"/>
  <c r="H350" i="1" s="1"/>
  <c r="J350" i="1" l="1"/>
  <c r="D351" i="1" s="1"/>
  <c r="F351" i="1" s="1"/>
  <c r="I351" i="1" l="1"/>
  <c r="K351" i="1" s="1"/>
  <c r="G351" i="1"/>
  <c r="H351" i="1" l="1"/>
  <c r="J351" i="1" s="1"/>
  <c r="D352" i="1" s="1"/>
  <c r="I352" i="1" s="1"/>
  <c r="K352" i="1" s="1"/>
  <c r="F352" i="1" l="1"/>
  <c r="G352" i="1" s="1"/>
  <c r="H352" i="1" s="1"/>
  <c r="J352" i="1" l="1"/>
  <c r="D353" i="1" s="1"/>
  <c r="F353" i="1" s="1"/>
  <c r="I353" i="1" l="1"/>
  <c r="K353" i="1" s="1"/>
  <c r="G353" i="1"/>
  <c r="H353" i="1" l="1"/>
  <c r="J353" i="1" s="1"/>
  <c r="D354" i="1" s="1"/>
  <c r="F354" i="1" l="1"/>
  <c r="I354" i="1"/>
  <c r="K354" i="1" s="1"/>
  <c r="G354" i="1" l="1"/>
  <c r="H354" i="1" s="1"/>
  <c r="J354" i="1" s="1"/>
  <c r="D355" i="1" s="1"/>
  <c r="F355" i="1" l="1"/>
  <c r="I355" i="1"/>
  <c r="K355" i="1" s="1"/>
  <c r="G355" i="1" l="1"/>
  <c r="H355" i="1" s="1"/>
  <c r="J355" i="1" s="1"/>
  <c r="D356" i="1" s="1"/>
  <c r="I356" i="1" l="1"/>
  <c r="K356" i="1" s="1"/>
  <c r="F356" i="1"/>
  <c r="G356" i="1" l="1"/>
  <c r="H356" i="1" s="1"/>
  <c r="J356" i="1" s="1"/>
  <c r="D357" i="1" l="1"/>
  <c r="I357" i="1" l="1"/>
  <c r="K357" i="1" s="1"/>
  <c r="F357" i="1"/>
  <c r="G357" i="1" l="1"/>
  <c r="H357" i="1" s="1"/>
  <c r="J357" i="1"/>
  <c r="D358" i="1" s="1"/>
  <c r="F358" i="1" l="1"/>
  <c r="I358" i="1"/>
  <c r="K358" i="1" s="1"/>
  <c r="G358" i="1" l="1"/>
  <c r="H358" i="1" s="1"/>
  <c r="J358" i="1"/>
  <c r="D359" i="1" l="1"/>
  <c r="I359" i="1" s="1"/>
  <c r="K359" i="1" s="1"/>
  <c r="F359" i="1" l="1"/>
  <c r="G359" i="1" l="1"/>
  <c r="H359" i="1" s="1"/>
  <c r="J359" i="1" s="1"/>
  <c r="D360" i="1" s="1"/>
  <c r="F360" i="1" l="1"/>
  <c r="J360" i="1" s="1"/>
  <c r="I360" i="1"/>
  <c r="K360" i="1" s="1"/>
  <c r="G360" i="1" l="1"/>
  <c r="H360" i="1" s="1"/>
  <c r="D361" i="1"/>
  <c r="I361" i="1" l="1"/>
  <c r="K361" i="1" s="1"/>
  <c r="F361" i="1"/>
  <c r="G361" i="1" l="1"/>
  <c r="H361" i="1" s="1"/>
  <c r="J361" i="1" s="1"/>
  <c r="D362" i="1" s="1"/>
  <c r="I362" i="1" l="1"/>
  <c r="K362" i="1" s="1"/>
  <c r="F362" i="1"/>
  <c r="G362" i="1" l="1"/>
  <c r="H362" i="1" s="1"/>
  <c r="J362" i="1" s="1"/>
  <c r="D363" i="1" l="1"/>
  <c r="I363" i="1" s="1"/>
  <c r="K363" i="1" s="1"/>
  <c r="F363" i="1" l="1"/>
  <c r="G363" i="1" l="1"/>
  <c r="H363" i="1" s="1"/>
  <c r="J363" i="1" s="1"/>
  <c r="D364" i="1" s="1"/>
  <c r="I364" i="1" l="1"/>
  <c r="K364" i="1" s="1"/>
  <c r="F364" i="1"/>
  <c r="G364" i="1" s="1"/>
  <c r="H364" i="1" l="1"/>
  <c r="J364" i="1" s="1"/>
  <c r="D365" i="1" s="1"/>
  <c r="F365" i="1" s="1"/>
  <c r="I365" i="1" l="1"/>
  <c r="K365" i="1" s="1"/>
  <c r="G365" i="1"/>
  <c r="H365" i="1" l="1"/>
  <c r="J365" i="1" s="1"/>
  <c r="D366" i="1" s="1"/>
  <c r="F366" i="1" s="1"/>
  <c r="I366" i="1" l="1"/>
  <c r="K366" i="1" s="1"/>
  <c r="G366" i="1"/>
  <c r="H366" i="1" l="1"/>
  <c r="J366" i="1" s="1"/>
  <c r="D367" i="1" s="1"/>
  <c r="I367" i="1" s="1"/>
  <c r="K367" i="1" s="1"/>
  <c r="F367" i="1" l="1"/>
  <c r="G367" i="1" s="1"/>
  <c r="H367" i="1" s="1"/>
  <c r="J367" i="1" l="1"/>
  <c r="D368" i="1" s="1"/>
  <c r="I368" i="1" s="1"/>
  <c r="K368" i="1" s="1"/>
  <c r="F368" i="1" l="1"/>
  <c r="G368" i="1" s="1"/>
  <c r="H368" i="1" s="1"/>
  <c r="J368" i="1" l="1"/>
  <c r="D369" i="1" s="1"/>
  <c r="F369" i="1" s="1"/>
  <c r="I369" i="1" l="1"/>
  <c r="K369" i="1" s="1"/>
  <c r="G369" i="1"/>
  <c r="H369" i="1" l="1"/>
  <c r="J369" i="1" l="1"/>
  <c r="D370" i="1" s="1"/>
  <c r="F370" i="1" l="1"/>
  <c r="I370" i="1"/>
  <c r="K370" i="1" s="1"/>
  <c r="G370" i="1" l="1"/>
  <c r="H370" i="1" s="1"/>
  <c r="J370" i="1"/>
  <c r="D371" i="1" l="1"/>
  <c r="F371" i="1" l="1"/>
  <c r="I371" i="1"/>
  <c r="K371" i="1" s="1"/>
  <c r="G371" i="1" l="1"/>
  <c r="H371" i="1" s="1"/>
  <c r="J371" i="1" s="1"/>
  <c r="D372" i="1" s="1"/>
  <c r="F372" i="1" l="1"/>
  <c r="I372" i="1"/>
  <c r="K372" i="1" s="1"/>
  <c r="G372" i="1" l="1"/>
  <c r="H372" i="1" s="1"/>
  <c r="J372" i="1" s="1"/>
  <c r="D373" i="1" s="1"/>
  <c r="F373" i="1" l="1"/>
  <c r="I373" i="1"/>
  <c r="K373" i="1" s="1"/>
  <c r="J373" i="1" l="1"/>
  <c r="D374" i="1" s="1"/>
  <c r="G373" i="1"/>
  <c r="H373" i="1" s="1"/>
  <c r="F374" i="1" l="1"/>
  <c r="I374" i="1"/>
  <c r="K374" i="1" s="1"/>
  <c r="G374" i="1" l="1"/>
  <c r="H374" i="1" s="1"/>
  <c r="J374" i="1" s="1"/>
  <c r="D375" i="1" s="1"/>
  <c r="F375" i="1" l="1"/>
  <c r="I375" i="1"/>
  <c r="K375" i="1" s="1"/>
  <c r="G375" i="1" l="1"/>
  <c r="H375" i="1" s="1"/>
  <c r="J375" i="1" s="1"/>
  <c r="D376" i="1" s="1"/>
  <c r="F376" i="1" l="1"/>
  <c r="I376" i="1"/>
  <c r="K376" i="1" s="1"/>
  <c r="J376" i="1" l="1"/>
  <c r="D377" i="1" s="1"/>
  <c r="G376" i="1"/>
  <c r="H376" i="1" s="1"/>
  <c r="F377" i="1" l="1"/>
  <c r="I377" i="1"/>
  <c r="K377" i="1" s="1"/>
  <c r="G377" i="1" l="1"/>
  <c r="H377" i="1" s="1"/>
  <c r="J377" i="1" s="1"/>
  <c r="D378" i="1" s="1"/>
  <c r="F378" i="1" l="1"/>
  <c r="I378" i="1"/>
  <c r="K378" i="1" s="1"/>
  <c r="J378" i="1" l="1"/>
  <c r="D379" i="1" s="1"/>
  <c r="G378" i="1"/>
  <c r="H378" i="1" s="1"/>
  <c r="F379" i="1" l="1"/>
  <c r="I379" i="1"/>
  <c r="K379" i="1" s="1"/>
  <c r="G379" i="1" l="1"/>
  <c r="H379" i="1" s="1"/>
  <c r="J379" i="1" s="1"/>
  <c r="D380" i="1" s="1"/>
  <c r="F380" i="1" l="1"/>
  <c r="I380" i="1"/>
  <c r="K380" i="1" s="1"/>
  <c r="G380" i="1" l="1"/>
  <c r="H380" i="1" s="1"/>
  <c r="J380" i="1" s="1"/>
  <c r="D381" i="1" s="1"/>
  <c r="F381" i="1" l="1"/>
  <c r="I381" i="1"/>
  <c r="K381" i="1" s="1"/>
  <c r="J381" i="1" l="1"/>
  <c r="D382" i="1" s="1"/>
  <c r="G381" i="1"/>
  <c r="H381" i="1" s="1"/>
  <c r="F382" i="1" l="1"/>
  <c r="I382" i="1"/>
  <c r="K382" i="1" s="1"/>
  <c r="J382" i="1" l="1"/>
  <c r="D383" i="1" s="1"/>
  <c r="G382" i="1"/>
  <c r="H382" i="1" s="1"/>
  <c r="F383" i="1" l="1"/>
  <c r="I383" i="1"/>
  <c r="K383" i="1" s="1"/>
  <c r="G383" i="1" l="1"/>
  <c r="H383" i="1" s="1"/>
  <c r="J383" i="1" s="1"/>
  <c r="D384" i="1" s="1"/>
  <c r="F384" i="1" l="1"/>
  <c r="I384" i="1"/>
  <c r="K384" i="1" s="1"/>
  <c r="G384" i="1" l="1"/>
  <c r="H384" i="1" s="1"/>
  <c r="J384" i="1" s="1"/>
  <c r="D385" i="1" s="1"/>
  <c r="I385" i="1" l="1"/>
  <c r="K385" i="1" s="1"/>
  <c r="F385" i="1"/>
  <c r="G385" i="1" l="1"/>
  <c r="H385" i="1" s="1"/>
  <c r="J385" i="1" s="1"/>
  <c r="D386" i="1" s="1"/>
  <c r="F386" i="1" l="1"/>
  <c r="I386" i="1"/>
  <c r="K386" i="1" s="1"/>
  <c r="G386" i="1" l="1"/>
  <c r="H386" i="1" s="1"/>
  <c r="J386" i="1" s="1"/>
  <c r="D387" i="1" s="1"/>
  <c r="F387" i="1" l="1"/>
  <c r="I387" i="1"/>
  <c r="K387" i="1" s="1"/>
  <c r="G387" i="1" l="1"/>
  <c r="H387" i="1" s="1"/>
  <c r="J387" i="1" s="1"/>
  <c r="D388" i="1" s="1"/>
  <c r="I388" i="1" l="1"/>
  <c r="K388" i="1" s="1"/>
  <c r="F388" i="1"/>
  <c r="J388" i="1" l="1"/>
  <c r="D389" i="1" s="1"/>
  <c r="G388" i="1"/>
  <c r="H388" i="1" s="1"/>
  <c r="F389" i="1" l="1"/>
  <c r="I389" i="1"/>
  <c r="K389" i="1" s="1"/>
  <c r="G389" i="1" l="1"/>
  <c r="H389" i="1" s="1"/>
  <c r="J389" i="1" s="1"/>
  <c r="D390" i="1" s="1"/>
  <c r="F390" i="1" l="1"/>
  <c r="I390" i="1"/>
  <c r="K390" i="1" s="1"/>
  <c r="J390" i="1" l="1"/>
  <c r="D391" i="1" s="1"/>
  <c r="G390" i="1"/>
  <c r="H390" i="1" s="1"/>
  <c r="I391" i="1" l="1"/>
  <c r="K391" i="1" s="1"/>
  <c r="F391" i="1"/>
  <c r="G391" i="1" l="1"/>
  <c r="H391" i="1" s="1"/>
  <c r="J391" i="1"/>
  <c r="D392" i="1" s="1"/>
  <c r="F392" i="1" l="1"/>
  <c r="I392" i="1"/>
  <c r="K392" i="1" s="1"/>
  <c r="G392" i="1" l="1"/>
  <c r="H392" i="1" s="1"/>
  <c r="J392" i="1" s="1"/>
  <c r="D393" i="1" s="1"/>
  <c r="F393" i="1" l="1"/>
  <c r="I393" i="1"/>
  <c r="K393" i="1" s="1"/>
  <c r="J393" i="1" l="1"/>
  <c r="D394" i="1" s="1"/>
  <c r="G393" i="1"/>
  <c r="H393" i="1" s="1"/>
  <c r="F394" i="1" l="1"/>
  <c r="I394" i="1"/>
  <c r="K394" i="1" s="1"/>
  <c r="G394" i="1" l="1"/>
  <c r="H394" i="1" s="1"/>
  <c r="J394" i="1"/>
  <c r="D395" i="1" s="1"/>
  <c r="F395" i="1" l="1"/>
  <c r="I395" i="1"/>
  <c r="K395" i="1" s="1"/>
  <c r="G395" i="1" l="1"/>
  <c r="H395" i="1" s="1"/>
  <c r="J395" i="1" s="1"/>
  <c r="D396" i="1" s="1"/>
  <c r="F396" i="1" l="1"/>
  <c r="I396" i="1"/>
  <c r="K396" i="1" s="1"/>
  <c r="J396" i="1" l="1"/>
  <c r="D397" i="1" s="1"/>
  <c r="G396" i="1"/>
  <c r="H396" i="1" s="1"/>
  <c r="F397" i="1" l="1"/>
  <c r="I397" i="1"/>
  <c r="K397" i="1" s="1"/>
  <c r="G397" i="1" l="1"/>
  <c r="H397" i="1" s="1"/>
  <c r="J397" i="1" s="1"/>
  <c r="D398" i="1" s="1"/>
  <c r="F398" i="1" l="1"/>
  <c r="I398" i="1"/>
  <c r="K398" i="1" s="1"/>
  <c r="J398" i="1" l="1"/>
  <c r="D399" i="1" s="1"/>
  <c r="G398" i="1"/>
  <c r="H398" i="1" s="1"/>
  <c r="F399" i="1" l="1"/>
  <c r="I399" i="1"/>
  <c r="K399" i="1" s="1"/>
  <c r="G399" i="1" l="1"/>
  <c r="H399" i="1" s="1"/>
  <c r="J399" i="1" s="1"/>
  <c r="D400" i="1" s="1"/>
  <c r="F400" i="1" l="1"/>
  <c r="I400" i="1"/>
  <c r="K400" i="1" s="1"/>
  <c r="G400" i="1" l="1"/>
  <c r="H400" i="1" s="1"/>
  <c r="J400" i="1" s="1"/>
  <c r="D401" i="1" s="1"/>
  <c r="I401" i="1" l="1"/>
  <c r="K401" i="1" s="1"/>
  <c r="F401" i="1"/>
  <c r="G401" i="1" l="1"/>
  <c r="H401" i="1" s="1"/>
  <c r="J401" i="1" s="1"/>
  <c r="D402" i="1" s="1"/>
  <c r="F402" i="1" l="1"/>
  <c r="I402" i="1"/>
  <c r="K402" i="1" s="1"/>
  <c r="G402" i="1" l="1"/>
  <c r="H402" i="1" s="1"/>
  <c r="J402" i="1" s="1"/>
  <c r="D403" i="1" s="1"/>
  <c r="F403" i="1" l="1"/>
  <c r="I403" i="1"/>
  <c r="K403" i="1" s="1"/>
  <c r="G403" i="1" l="1"/>
  <c r="H403" i="1" s="1"/>
  <c r="J403" i="1" s="1"/>
  <c r="D404" i="1" s="1"/>
  <c r="F404" i="1" l="1"/>
  <c r="I404" i="1"/>
  <c r="K404" i="1" s="1"/>
  <c r="G404" i="1" l="1"/>
  <c r="H404" i="1" s="1"/>
  <c r="J404" i="1" s="1"/>
  <c r="D405" i="1" s="1"/>
  <c r="F405" i="1" l="1"/>
  <c r="I405" i="1"/>
  <c r="K405" i="1" s="1"/>
  <c r="G405" i="1" l="1"/>
  <c r="H405" i="1" s="1"/>
  <c r="J405" i="1"/>
  <c r="D406" i="1" s="1"/>
  <c r="F406" i="1" l="1"/>
  <c r="I406" i="1"/>
  <c r="K406" i="1" s="1"/>
  <c r="J406" i="1" l="1"/>
  <c r="D407" i="1" s="1"/>
  <c r="G406" i="1"/>
  <c r="H406" i="1" s="1"/>
  <c r="F407" i="1" l="1"/>
  <c r="I407" i="1"/>
  <c r="K407" i="1" s="1"/>
  <c r="G407" i="1" l="1"/>
  <c r="H407" i="1" s="1"/>
  <c r="J407" i="1" s="1"/>
  <c r="D408" i="1" s="1"/>
  <c r="F408" i="1" l="1"/>
  <c r="I408" i="1"/>
  <c r="K408" i="1" s="1"/>
  <c r="G408" i="1" l="1"/>
  <c r="H408" i="1" s="1"/>
  <c r="J408" i="1" s="1"/>
  <c r="D409" i="1" s="1"/>
  <c r="I409" i="1" l="1"/>
  <c r="K409" i="1" s="1"/>
  <c r="F409" i="1"/>
  <c r="G409" i="1" l="1"/>
  <c r="H409" i="1" s="1"/>
  <c r="J409" i="1" s="1"/>
  <c r="D410" i="1" s="1"/>
  <c r="I410" i="1" l="1"/>
  <c r="K410" i="1" s="1"/>
  <c r="F410" i="1"/>
  <c r="G410" i="1" l="1"/>
  <c r="H410" i="1" s="1"/>
  <c r="J410" i="1"/>
  <c r="D411" i="1" s="1"/>
  <c r="F411" i="1" l="1"/>
  <c r="I411" i="1"/>
  <c r="K411" i="1" s="1"/>
  <c r="G411" i="1" l="1"/>
  <c r="H411" i="1" s="1"/>
  <c r="J411" i="1" s="1"/>
  <c r="D412" i="1" s="1"/>
  <c r="F412" i="1" l="1"/>
  <c r="I412" i="1"/>
  <c r="K412" i="1" s="1"/>
  <c r="G412" i="1" l="1"/>
  <c r="H412" i="1" s="1"/>
  <c r="J412" i="1" s="1"/>
  <c r="D413" i="1" s="1"/>
  <c r="F413" i="1" l="1"/>
  <c r="I413" i="1"/>
  <c r="K413" i="1" s="1"/>
  <c r="G413" i="1" l="1"/>
  <c r="H413" i="1" s="1"/>
  <c r="J413" i="1"/>
  <c r="D414" i="1" s="1"/>
  <c r="F414" i="1" l="1"/>
  <c r="I414" i="1"/>
  <c r="K414" i="1" s="1"/>
  <c r="G414" i="1" l="1"/>
  <c r="H414" i="1" s="1"/>
  <c r="J414" i="1"/>
  <c r="D415" i="1" s="1"/>
  <c r="F415" i="1" l="1"/>
  <c r="I415" i="1"/>
  <c r="K415" i="1" s="1"/>
  <c r="J415" i="1" l="1"/>
  <c r="D416" i="1" s="1"/>
  <c r="G415" i="1"/>
  <c r="H415" i="1" s="1"/>
  <c r="F416" i="1" l="1"/>
  <c r="I416" i="1"/>
  <c r="K416" i="1" s="1"/>
  <c r="G416" i="1" l="1"/>
  <c r="H416" i="1" s="1"/>
  <c r="J416" i="1" s="1"/>
  <c r="D417" i="1" s="1"/>
  <c r="F417" i="1" l="1"/>
  <c r="I417" i="1"/>
  <c r="K417" i="1" s="1"/>
  <c r="G417" i="1" l="1"/>
  <c r="H417" i="1" s="1"/>
  <c r="J417" i="1" s="1"/>
  <c r="D418" i="1" s="1"/>
  <c r="I418" i="1" l="1"/>
  <c r="K418" i="1" s="1"/>
  <c r="F418" i="1"/>
  <c r="G418" i="1" l="1"/>
  <c r="H418" i="1" s="1"/>
  <c r="J418" i="1" s="1"/>
  <c r="D419" i="1" s="1"/>
  <c r="F419" i="1" l="1"/>
  <c r="I419" i="1"/>
  <c r="K419" i="1" s="1"/>
  <c r="G419" i="1" l="1"/>
  <c r="H419" i="1" s="1"/>
  <c r="J419" i="1" s="1"/>
  <c r="D420" i="1" s="1"/>
  <c r="F420" i="1" l="1"/>
  <c r="I420" i="1"/>
  <c r="K420" i="1" s="1"/>
  <c r="G420" i="1" l="1"/>
  <c r="H420" i="1" s="1"/>
  <c r="J420" i="1" s="1"/>
  <c r="D421" i="1" s="1"/>
  <c r="F421" i="1" l="1"/>
  <c r="I421" i="1"/>
  <c r="K421" i="1" s="1"/>
  <c r="G421" i="1" l="1"/>
  <c r="H421" i="1" s="1"/>
  <c r="J421" i="1" s="1"/>
  <c r="D422" i="1" s="1"/>
  <c r="I422" i="1" l="1"/>
  <c r="K422" i="1" s="1"/>
  <c r="F422" i="1"/>
  <c r="G422" i="1" l="1"/>
  <c r="H422" i="1" s="1"/>
  <c r="J422" i="1" s="1"/>
  <c r="D423" i="1" s="1"/>
  <c r="F423" i="1" l="1"/>
  <c r="I423" i="1"/>
  <c r="K423" i="1" s="1"/>
  <c r="G423" i="1" l="1"/>
  <c r="H423" i="1" s="1"/>
  <c r="J423" i="1" s="1"/>
  <c r="D424" i="1" s="1"/>
  <c r="I424" i="1" l="1"/>
  <c r="K424" i="1" s="1"/>
  <c r="F424" i="1"/>
  <c r="G424" i="1" l="1"/>
  <c r="H424" i="1" s="1"/>
  <c r="J424" i="1" s="1"/>
  <c r="D425" i="1" s="1"/>
  <c r="F425" i="1" l="1"/>
  <c r="I425" i="1"/>
  <c r="K425" i="1" s="1"/>
  <c r="J425" i="1" l="1"/>
  <c r="D426" i="1" s="1"/>
  <c r="G425" i="1"/>
  <c r="H425" i="1" s="1"/>
  <c r="F426" i="1" l="1"/>
  <c r="I426" i="1"/>
  <c r="K426" i="1" s="1"/>
  <c r="J426" i="1" l="1"/>
  <c r="D427" i="1" s="1"/>
  <c r="G426" i="1"/>
  <c r="H426" i="1" s="1"/>
  <c r="F427" i="1" l="1"/>
  <c r="I427" i="1"/>
  <c r="K427" i="1" s="1"/>
  <c r="G427" i="1" l="1"/>
  <c r="H427" i="1" s="1"/>
  <c r="J427" i="1"/>
  <c r="D428" i="1" s="1"/>
  <c r="F428" i="1" l="1"/>
  <c r="I428" i="1"/>
  <c r="K428" i="1" s="1"/>
  <c r="G428" i="1" l="1"/>
  <c r="H428" i="1" s="1"/>
  <c r="J428" i="1" s="1"/>
  <c r="D429" i="1" s="1"/>
  <c r="F429" i="1" l="1"/>
  <c r="I429" i="1"/>
  <c r="K429" i="1" s="1"/>
  <c r="G429" i="1" l="1"/>
  <c r="H429" i="1" s="1"/>
  <c r="J429" i="1" s="1"/>
  <c r="D430" i="1" s="1"/>
  <c r="F430" i="1" l="1"/>
  <c r="I430" i="1"/>
  <c r="K430" i="1" s="1"/>
  <c r="G430" i="1" l="1"/>
  <c r="H430" i="1" s="1"/>
  <c r="J430" i="1" s="1"/>
  <c r="D431" i="1" s="1"/>
  <c r="F431" i="1" l="1"/>
  <c r="I431" i="1"/>
  <c r="K431" i="1" s="1"/>
  <c r="G431" i="1" l="1"/>
  <c r="H431" i="1" s="1"/>
  <c r="J431" i="1" s="1"/>
  <c r="D432" i="1" s="1"/>
  <c r="F432" i="1" l="1"/>
  <c r="I432" i="1"/>
  <c r="K432" i="1" s="1"/>
  <c r="G432" i="1" l="1"/>
  <c r="H432" i="1" s="1"/>
  <c r="J432" i="1" s="1"/>
  <c r="D433" i="1" s="1"/>
  <c r="F433" i="1" l="1"/>
  <c r="I433" i="1"/>
  <c r="K433" i="1" s="1"/>
  <c r="G433" i="1" l="1"/>
  <c r="H433" i="1" s="1"/>
  <c r="J433" i="1"/>
  <c r="D434" i="1" s="1"/>
  <c r="F434" i="1" l="1"/>
  <c r="I434" i="1"/>
  <c r="K434" i="1" s="1"/>
  <c r="J434" i="1" l="1"/>
  <c r="D435" i="1" s="1"/>
  <c r="G434" i="1"/>
  <c r="H434" i="1" s="1"/>
  <c r="F435" i="1" l="1"/>
  <c r="I435" i="1"/>
  <c r="K435" i="1" s="1"/>
  <c r="G435" i="1" l="1"/>
  <c r="H435" i="1" s="1"/>
  <c r="J435" i="1" s="1"/>
  <c r="D436" i="1" s="1"/>
  <c r="F436" i="1" l="1"/>
  <c r="I436" i="1"/>
  <c r="K436" i="1" s="1"/>
  <c r="J436" i="1" l="1"/>
  <c r="D437" i="1" s="1"/>
  <c r="G436" i="1"/>
  <c r="H436" i="1" s="1"/>
  <c r="F437" i="1" l="1"/>
  <c r="I437" i="1"/>
  <c r="K437" i="1" s="1"/>
  <c r="G437" i="1" l="1"/>
  <c r="H437" i="1" s="1"/>
  <c r="J437" i="1"/>
  <c r="D438" i="1" s="1"/>
  <c r="F438" i="1" l="1"/>
  <c r="I438" i="1"/>
  <c r="K438" i="1" s="1"/>
  <c r="J438" i="1" l="1"/>
  <c r="D439" i="1" s="1"/>
  <c r="G438" i="1"/>
  <c r="H438" i="1" s="1"/>
  <c r="F439" i="1" l="1"/>
  <c r="I439" i="1"/>
  <c r="K439" i="1" s="1"/>
  <c r="G439" i="1" l="1"/>
  <c r="H439" i="1" s="1"/>
  <c r="J439" i="1" s="1"/>
  <c r="D440" i="1" s="1"/>
  <c r="F440" i="1" l="1"/>
  <c r="I440" i="1"/>
  <c r="K440" i="1" s="1"/>
  <c r="G440" i="1" l="1"/>
  <c r="H440" i="1" s="1"/>
  <c r="J440" i="1" s="1"/>
  <c r="D441" i="1" s="1"/>
  <c r="I441" i="1" l="1"/>
  <c r="K441" i="1" s="1"/>
  <c r="F441" i="1"/>
  <c r="G441" i="1" l="1"/>
  <c r="H441" i="1" s="1"/>
  <c r="J441" i="1" s="1"/>
  <c r="D442" i="1" s="1"/>
  <c r="I442" i="1" l="1"/>
  <c r="K442" i="1" s="1"/>
  <c r="F442" i="1"/>
  <c r="G442" i="1" l="1"/>
  <c r="H442" i="1" s="1"/>
  <c r="J442" i="1"/>
  <c r="D443" i="1" s="1"/>
  <c r="F443" i="1" l="1"/>
  <c r="I443" i="1"/>
  <c r="K443" i="1" s="1"/>
  <c r="G443" i="1" l="1"/>
  <c r="H443" i="1" s="1"/>
  <c r="J443" i="1" s="1"/>
  <c r="D444" i="1" s="1"/>
  <c r="F444" i="1" l="1"/>
  <c r="I444" i="1"/>
  <c r="K444" i="1" s="1"/>
  <c r="G444" i="1" l="1"/>
  <c r="H444" i="1" s="1"/>
  <c r="J444" i="1"/>
  <c r="D445" i="1" s="1"/>
  <c r="F445" i="1" l="1"/>
  <c r="I445" i="1"/>
  <c r="K445" i="1" s="1"/>
  <c r="J445" i="1" l="1"/>
  <c r="D446" i="1" s="1"/>
  <c r="G445" i="1"/>
  <c r="H445" i="1" s="1"/>
  <c r="F446" i="1" l="1"/>
  <c r="I446" i="1"/>
  <c r="K446" i="1" s="1"/>
  <c r="G446" i="1" l="1"/>
  <c r="H446" i="1" s="1"/>
  <c r="J446" i="1" s="1"/>
  <c r="D447" i="1" s="1"/>
  <c r="F447" i="1" l="1"/>
  <c r="I447" i="1"/>
  <c r="K447" i="1" s="1"/>
  <c r="G447" i="1" l="1"/>
  <c r="H447" i="1" s="1"/>
  <c r="J447" i="1" s="1"/>
  <c r="D448" i="1" s="1"/>
  <c r="F448" i="1" l="1"/>
  <c r="I448" i="1"/>
  <c r="K448" i="1" s="1"/>
  <c r="G448" i="1" l="1"/>
  <c r="H448" i="1" s="1"/>
  <c r="J448" i="1" s="1"/>
  <c r="D449" i="1" s="1"/>
  <c r="F449" i="1" l="1"/>
  <c r="I449" i="1"/>
  <c r="K449" i="1" s="1"/>
  <c r="G449" i="1" l="1"/>
  <c r="H449" i="1" s="1"/>
  <c r="J449" i="1" s="1"/>
  <c r="D450" i="1" s="1"/>
  <c r="F450" i="1" l="1"/>
  <c r="I450" i="1"/>
  <c r="K450" i="1" s="1"/>
  <c r="G450" i="1" l="1"/>
  <c r="H450" i="1" s="1"/>
  <c r="J450" i="1" s="1"/>
  <c r="D451" i="1" s="1"/>
  <c r="F451" i="1" l="1"/>
  <c r="I451" i="1"/>
  <c r="K451" i="1" s="1"/>
  <c r="J451" i="1" l="1"/>
  <c r="D452" i="1" s="1"/>
  <c r="G451" i="1"/>
  <c r="H451" i="1" s="1"/>
  <c r="F452" i="1" l="1"/>
  <c r="I452" i="1"/>
  <c r="K452" i="1" s="1"/>
  <c r="G452" i="1" l="1"/>
  <c r="H452" i="1" s="1"/>
  <c r="J452" i="1" s="1"/>
  <c r="D453" i="1" s="1"/>
  <c r="F453" i="1" l="1"/>
  <c r="I453" i="1"/>
  <c r="K453" i="1" s="1"/>
  <c r="G453" i="1" l="1"/>
  <c r="H453" i="1" s="1"/>
  <c r="J453" i="1" s="1"/>
  <c r="D454" i="1" s="1"/>
  <c r="I454" i="1" l="1"/>
  <c r="K454" i="1" s="1"/>
  <c r="F454" i="1"/>
  <c r="G454" i="1" l="1"/>
  <c r="H454" i="1" s="1"/>
  <c r="J454" i="1"/>
  <c r="D455" i="1" s="1"/>
  <c r="F455" i="1" l="1"/>
  <c r="I455" i="1"/>
  <c r="K455" i="1" s="1"/>
  <c r="G455" i="1" l="1"/>
  <c r="H455" i="1" s="1"/>
  <c r="J455" i="1"/>
  <c r="D456" i="1" s="1"/>
  <c r="F456" i="1" l="1"/>
  <c r="I456" i="1"/>
  <c r="K456" i="1" s="1"/>
  <c r="G456" i="1" l="1"/>
  <c r="H456" i="1" s="1"/>
  <c r="J456" i="1" s="1"/>
  <c r="D457" i="1" s="1"/>
  <c r="F457" i="1" l="1"/>
  <c r="I457" i="1"/>
  <c r="K457" i="1" s="1"/>
  <c r="J457" i="1" l="1"/>
  <c r="D458" i="1" s="1"/>
  <c r="G457" i="1"/>
  <c r="H457" i="1" s="1"/>
  <c r="F458" i="1" l="1"/>
  <c r="I458" i="1"/>
  <c r="K458" i="1" s="1"/>
  <c r="G458" i="1" l="1"/>
  <c r="H458" i="1" s="1"/>
  <c r="J458" i="1" s="1"/>
  <c r="D459" i="1" s="1"/>
  <c r="F459" i="1" l="1"/>
  <c r="I459" i="1"/>
  <c r="K459" i="1" s="1"/>
  <c r="J459" i="1" l="1"/>
  <c r="D460" i="1" s="1"/>
  <c r="G459" i="1"/>
  <c r="H459" i="1" s="1"/>
  <c r="I460" i="1" l="1"/>
  <c r="K460" i="1" s="1"/>
  <c r="F460" i="1"/>
  <c r="J460" i="1" l="1"/>
  <c r="D461" i="1" s="1"/>
  <c r="G460" i="1"/>
  <c r="H460" i="1" s="1"/>
  <c r="F461" i="1" l="1"/>
  <c r="I461" i="1"/>
  <c r="K461" i="1" s="1"/>
  <c r="J461" i="1" l="1"/>
  <c r="D462" i="1" s="1"/>
  <c r="G461" i="1"/>
  <c r="H461" i="1" s="1"/>
  <c r="F462" i="1" l="1"/>
  <c r="I462" i="1"/>
  <c r="K462" i="1" s="1"/>
  <c r="G462" i="1" l="1"/>
  <c r="H462" i="1" s="1"/>
  <c r="J462" i="1" s="1"/>
  <c r="D463" i="1" s="1"/>
  <c r="F463" i="1" l="1"/>
  <c r="I463" i="1"/>
  <c r="K463" i="1" s="1"/>
  <c r="G463" i="1" l="1"/>
  <c r="H463" i="1" s="1"/>
  <c r="J463" i="1" s="1"/>
  <c r="D464" i="1" s="1"/>
  <c r="F464" i="1" l="1"/>
  <c r="I464" i="1"/>
  <c r="K464" i="1" s="1"/>
  <c r="G464" i="1" l="1"/>
  <c r="H464" i="1" s="1"/>
  <c r="J464" i="1"/>
  <c r="D465" i="1" s="1"/>
  <c r="F465" i="1" l="1"/>
  <c r="I465" i="1"/>
  <c r="K465" i="1" s="1"/>
  <c r="G465" i="1" l="1"/>
  <c r="H465" i="1" s="1"/>
  <c r="J465" i="1" s="1"/>
  <c r="D466" i="1" s="1"/>
  <c r="F466" i="1" l="1"/>
  <c r="I466" i="1"/>
  <c r="K466" i="1" s="1"/>
  <c r="J466" i="1" l="1"/>
  <c r="D467" i="1" s="1"/>
  <c r="G466" i="1"/>
  <c r="H466" i="1" s="1"/>
  <c r="I467" i="1" l="1"/>
  <c r="K467" i="1" s="1"/>
  <c r="F467" i="1"/>
  <c r="G467" i="1" l="1"/>
  <c r="H467" i="1" s="1"/>
  <c r="J467" i="1" s="1"/>
  <c r="D468" i="1" s="1"/>
  <c r="F468" i="1" l="1"/>
  <c r="I468" i="1"/>
  <c r="K468" i="1" s="1"/>
  <c r="G468" i="1" l="1"/>
  <c r="H468" i="1" s="1"/>
  <c r="J468" i="1" s="1"/>
  <c r="D469" i="1" s="1"/>
  <c r="F469" i="1" l="1"/>
  <c r="I469" i="1"/>
  <c r="K469" i="1" s="1"/>
  <c r="G469" i="1" l="1"/>
  <c r="H469" i="1" s="1"/>
  <c r="J469" i="1" s="1"/>
  <c r="D470" i="1" s="1"/>
  <c r="F470" i="1" l="1"/>
  <c r="I470" i="1"/>
  <c r="K470" i="1" s="1"/>
  <c r="G470" i="1" l="1"/>
  <c r="H470" i="1" s="1"/>
  <c r="J470" i="1" s="1"/>
  <c r="D471" i="1" s="1"/>
  <c r="F471" i="1" l="1"/>
  <c r="I471" i="1"/>
  <c r="K471" i="1" s="1"/>
  <c r="J471" i="1" l="1"/>
  <c r="D472" i="1" s="1"/>
  <c r="G471" i="1"/>
  <c r="H471" i="1" s="1"/>
  <c r="F472" i="1" l="1"/>
  <c r="I472" i="1"/>
  <c r="K472" i="1" s="1"/>
  <c r="G472" i="1" l="1"/>
  <c r="H472" i="1" s="1"/>
  <c r="J472" i="1" s="1"/>
  <c r="D473" i="1" s="1"/>
  <c r="F473" i="1" l="1"/>
  <c r="I473" i="1"/>
  <c r="K473" i="1" s="1"/>
  <c r="G473" i="1" l="1"/>
  <c r="H473" i="1" s="1"/>
  <c r="J473" i="1" s="1"/>
  <c r="D474" i="1" s="1"/>
  <c r="F474" i="1" l="1"/>
  <c r="I474" i="1"/>
  <c r="K474" i="1" s="1"/>
  <c r="G474" i="1" l="1"/>
  <c r="H474" i="1" s="1"/>
  <c r="J474" i="1" s="1"/>
  <c r="D475" i="1" s="1"/>
  <c r="F475" i="1" l="1"/>
  <c r="I475" i="1"/>
  <c r="K475" i="1" s="1"/>
  <c r="G475" i="1" l="1"/>
  <c r="H475" i="1" s="1"/>
  <c r="J475" i="1" s="1"/>
  <c r="D476" i="1" s="1"/>
  <c r="F476" i="1" l="1"/>
  <c r="I476" i="1"/>
  <c r="K476" i="1" s="1"/>
  <c r="G476" i="1" l="1"/>
  <c r="H476" i="1" s="1"/>
  <c r="J476" i="1" s="1"/>
  <c r="D477" i="1" s="1"/>
  <c r="I477" i="1" l="1"/>
  <c r="K477" i="1" s="1"/>
  <c r="F477" i="1"/>
  <c r="J477" i="1" l="1"/>
  <c r="D478" i="1" s="1"/>
  <c r="G477" i="1"/>
  <c r="H477" i="1" s="1"/>
  <c r="F478" i="1" l="1"/>
  <c r="I478" i="1"/>
  <c r="K478" i="1" s="1"/>
  <c r="G478" i="1" l="1"/>
  <c r="H478" i="1" s="1"/>
  <c r="J478" i="1" s="1"/>
  <c r="D479" i="1" s="1"/>
  <c r="F479" i="1" l="1"/>
  <c r="I479" i="1"/>
  <c r="K479" i="1" s="1"/>
  <c r="G479" i="1" l="1"/>
  <c r="H479" i="1" s="1"/>
  <c r="J479" i="1" s="1"/>
  <c r="D480" i="1" s="1"/>
  <c r="F480" i="1" l="1"/>
  <c r="I480" i="1"/>
  <c r="K480" i="1" s="1"/>
  <c r="G480" i="1" l="1"/>
  <c r="H480" i="1" s="1"/>
  <c r="J480" i="1" s="1"/>
  <c r="D481" i="1" s="1"/>
  <c r="F481" i="1" l="1"/>
  <c r="I481" i="1"/>
  <c r="K481" i="1" s="1"/>
  <c r="G481" i="1" l="1"/>
  <c r="H481" i="1" s="1"/>
  <c r="J481" i="1" s="1"/>
  <c r="D482" i="1" s="1"/>
  <c r="I482" i="1" l="1"/>
  <c r="K482" i="1" s="1"/>
  <c r="F482" i="1"/>
  <c r="G482" i="1" l="1"/>
  <c r="H482" i="1" s="1"/>
  <c r="J482" i="1" s="1"/>
  <c r="D483" i="1" s="1"/>
  <c r="F483" i="1" l="1"/>
  <c r="I483" i="1"/>
  <c r="K483" i="1" s="1"/>
  <c r="G483" i="1" l="1"/>
  <c r="H483" i="1" s="1"/>
  <c r="J483" i="1" s="1"/>
  <c r="D484" i="1" s="1"/>
  <c r="I484" i="1" l="1"/>
  <c r="K484" i="1" s="1"/>
  <c r="F484" i="1"/>
  <c r="G484" i="1" l="1"/>
  <c r="H484" i="1" s="1"/>
  <c r="J484" i="1" s="1"/>
  <c r="D485" i="1" s="1"/>
  <c r="F485" i="1" l="1"/>
  <c r="I485" i="1"/>
  <c r="K485" i="1" s="1"/>
  <c r="G485" i="1" l="1"/>
  <c r="H485" i="1" s="1"/>
  <c r="J485" i="1"/>
  <c r="D486" i="1" s="1"/>
  <c r="I486" i="1" l="1"/>
  <c r="K486" i="1" s="1"/>
  <c r="F486" i="1"/>
  <c r="J486" i="1" l="1"/>
  <c r="D487" i="1" s="1"/>
  <c r="G486" i="1"/>
  <c r="H486" i="1" s="1"/>
  <c r="F487" i="1" l="1"/>
  <c r="I487" i="1"/>
  <c r="K487" i="1" s="1"/>
  <c r="G487" i="1" l="1"/>
  <c r="H487" i="1" s="1"/>
  <c r="J487" i="1"/>
  <c r="D488" i="1" s="1"/>
  <c r="F488" i="1" l="1"/>
  <c r="I488" i="1"/>
  <c r="K488" i="1" s="1"/>
  <c r="G488" i="1" l="1"/>
  <c r="H488" i="1" s="1"/>
  <c r="J488" i="1"/>
  <c r="D489" i="1" s="1"/>
  <c r="I489" i="1" l="1"/>
  <c r="K489" i="1" s="1"/>
  <c r="F489" i="1"/>
  <c r="G489" i="1" l="1"/>
  <c r="H489" i="1" s="1"/>
  <c r="J489" i="1"/>
  <c r="D490" i="1" s="1"/>
  <c r="F490" i="1" l="1"/>
  <c r="I490" i="1"/>
  <c r="K490" i="1" s="1"/>
  <c r="G490" i="1" l="1"/>
  <c r="H490" i="1" s="1"/>
  <c r="J490" i="1" s="1"/>
  <c r="D491" i="1" s="1"/>
  <c r="F491" i="1" l="1"/>
  <c r="I491" i="1"/>
  <c r="K491" i="1" s="1"/>
  <c r="G491" i="1" l="1"/>
  <c r="H491" i="1" s="1"/>
  <c r="J491" i="1" s="1"/>
  <c r="D492" i="1" s="1"/>
  <c r="F492" i="1" l="1"/>
  <c r="I492" i="1"/>
  <c r="K492" i="1" s="1"/>
  <c r="J492" i="1" l="1"/>
  <c r="D493" i="1" s="1"/>
  <c r="G492" i="1"/>
  <c r="H492" i="1" s="1"/>
  <c r="I493" i="1" l="1"/>
  <c r="K493" i="1" s="1"/>
  <c r="F493" i="1"/>
  <c r="G493" i="1" l="1"/>
  <c r="H493" i="1" s="1"/>
  <c r="J493" i="1" s="1"/>
  <c r="D494" i="1" s="1"/>
  <c r="I494" i="1" l="1"/>
  <c r="K494" i="1" s="1"/>
  <c r="F494" i="1"/>
  <c r="G494" i="1" l="1"/>
  <c r="H494" i="1" s="1"/>
  <c r="J494" i="1" s="1"/>
  <c r="D495" i="1" s="1"/>
  <c r="I495" i="1" l="1"/>
  <c r="K495" i="1" s="1"/>
  <c r="F495" i="1"/>
  <c r="G495" i="1" l="1"/>
  <c r="H495" i="1" s="1"/>
  <c r="J495" i="1" s="1"/>
  <c r="D496" i="1" s="1"/>
  <c r="F496" i="1" l="1"/>
  <c r="I496" i="1"/>
  <c r="K496" i="1" s="1"/>
  <c r="G496" i="1" l="1"/>
  <c r="H496" i="1" s="1"/>
  <c r="J496" i="1" s="1"/>
  <c r="D497" i="1" s="1"/>
  <c r="I497" i="1" l="1"/>
  <c r="K497" i="1" s="1"/>
  <c r="F497" i="1"/>
  <c r="G497" i="1" l="1"/>
  <c r="H497" i="1" s="1"/>
  <c r="J497" i="1" s="1"/>
  <c r="D498" i="1" s="1"/>
  <c r="I498" i="1" l="1"/>
  <c r="K498" i="1" s="1"/>
  <c r="F498" i="1"/>
  <c r="G498" i="1" l="1"/>
  <c r="H498" i="1" s="1"/>
  <c r="J498" i="1" s="1"/>
  <c r="D499" i="1" s="1"/>
  <c r="I499" i="1" l="1"/>
  <c r="K499" i="1" s="1"/>
  <c r="F499" i="1"/>
  <c r="J499" i="1" l="1"/>
  <c r="D500" i="1" s="1"/>
  <c r="G499" i="1"/>
  <c r="H499" i="1" s="1"/>
  <c r="F500" i="1" l="1"/>
  <c r="I500" i="1"/>
  <c r="K500" i="1" s="1"/>
  <c r="J500" i="1" l="1"/>
  <c r="D501" i="1" s="1"/>
  <c r="G500" i="1"/>
  <c r="H500" i="1" s="1"/>
  <c r="F501" i="1" l="1"/>
  <c r="I501" i="1"/>
  <c r="K501" i="1" s="1"/>
  <c r="G501" i="1" l="1"/>
  <c r="H501" i="1" s="1"/>
  <c r="J501" i="1" s="1"/>
  <c r="D502" i="1" s="1"/>
  <c r="F502" i="1" l="1"/>
  <c r="I502" i="1"/>
  <c r="K502" i="1" s="1"/>
  <c r="J502" i="1" l="1"/>
  <c r="D503" i="1" s="1"/>
  <c r="G502" i="1"/>
  <c r="H502" i="1" s="1"/>
  <c r="F503" i="1" l="1"/>
  <c r="I503" i="1"/>
  <c r="K503" i="1" s="1"/>
  <c r="G503" i="1" l="1"/>
  <c r="H503" i="1" s="1"/>
  <c r="J503" i="1" s="1"/>
  <c r="D504" i="1" s="1"/>
  <c r="F504" i="1" l="1"/>
  <c r="I504" i="1"/>
  <c r="K504" i="1" s="1"/>
  <c r="J504" i="1" l="1"/>
  <c r="D505" i="1" s="1"/>
  <c r="G504" i="1"/>
  <c r="H504" i="1" s="1"/>
  <c r="F505" i="1" l="1"/>
  <c r="I505" i="1"/>
  <c r="K505" i="1" s="1"/>
  <c r="G505" i="1" l="1"/>
  <c r="H505" i="1" s="1"/>
  <c r="J505" i="1"/>
  <c r="D506" i="1" s="1"/>
  <c r="F506" i="1" l="1"/>
  <c r="I506" i="1"/>
  <c r="K506" i="1" s="1"/>
  <c r="G506" i="1" l="1"/>
  <c r="H506" i="1" s="1"/>
  <c r="J506" i="1" s="1"/>
  <c r="D507" i="1" s="1"/>
  <c r="F507" i="1" l="1"/>
  <c r="I507" i="1"/>
  <c r="K507" i="1" s="1"/>
  <c r="G507" i="1" l="1"/>
  <c r="H507" i="1" s="1"/>
  <c r="J507" i="1" s="1"/>
  <c r="D508" i="1" s="1"/>
  <c r="F508" i="1" l="1"/>
  <c r="I508" i="1"/>
  <c r="K508" i="1" s="1"/>
  <c r="G508" i="1" l="1"/>
  <c r="H508" i="1" s="1"/>
  <c r="J508" i="1" s="1"/>
  <c r="D509" i="1" s="1"/>
  <c r="F509" i="1" l="1"/>
  <c r="I509" i="1"/>
  <c r="K509" i="1" s="1"/>
  <c r="G509" i="1" l="1"/>
  <c r="H509" i="1" s="1"/>
  <c r="J509" i="1" s="1"/>
  <c r="D510" i="1" s="1"/>
  <c r="F510" i="1" l="1"/>
  <c r="I510" i="1"/>
  <c r="K510" i="1" s="1"/>
  <c r="G510" i="1" l="1"/>
  <c r="H510" i="1" s="1"/>
  <c r="J510" i="1" s="1"/>
  <c r="D511" i="1" s="1"/>
  <c r="F511" i="1" l="1"/>
  <c r="I511" i="1"/>
  <c r="K511" i="1" s="1"/>
  <c r="G511" i="1" l="1"/>
  <c r="H511" i="1" s="1"/>
  <c r="J511" i="1" s="1"/>
  <c r="D512" i="1" s="1"/>
  <c r="F512" i="1" l="1"/>
  <c r="I512" i="1"/>
  <c r="K512" i="1" s="1"/>
  <c r="G512" i="1" l="1"/>
  <c r="H512" i="1" s="1"/>
  <c r="J512" i="1" s="1"/>
  <c r="D513" i="1" s="1"/>
  <c r="F513" i="1" l="1"/>
  <c r="I513" i="1"/>
  <c r="K513" i="1" s="1"/>
  <c r="G513" i="1" l="1"/>
  <c r="H513" i="1" s="1"/>
  <c r="J513" i="1" s="1"/>
  <c r="D514" i="1" s="1"/>
  <c r="I514" i="1" l="1"/>
  <c r="K514" i="1" s="1"/>
  <c r="F514" i="1"/>
  <c r="J514" i="1" l="1"/>
  <c r="D515" i="1" s="1"/>
  <c r="G514" i="1"/>
  <c r="H514" i="1" s="1"/>
  <c r="I515" i="1" l="1"/>
  <c r="K515" i="1" s="1"/>
  <c r="F515" i="1"/>
  <c r="G515" i="1" l="1"/>
  <c r="H515" i="1" s="1"/>
  <c r="J515" i="1"/>
  <c r="D516" i="1" s="1"/>
  <c r="I516" i="1" l="1"/>
  <c r="K516" i="1" s="1"/>
  <c r="F516" i="1"/>
  <c r="J516" i="1" l="1"/>
  <c r="D517" i="1" s="1"/>
  <c r="G516" i="1"/>
  <c r="H516" i="1" s="1"/>
  <c r="F517" i="1" l="1"/>
  <c r="I517" i="1"/>
  <c r="K517" i="1" s="1"/>
  <c r="G517" i="1" l="1"/>
  <c r="H517" i="1" s="1"/>
  <c r="J517" i="1" s="1"/>
  <c r="D518" i="1" s="1"/>
  <c r="F518" i="1" l="1"/>
  <c r="I518" i="1"/>
  <c r="K518" i="1" s="1"/>
  <c r="G518" i="1" l="1"/>
  <c r="H518" i="1" s="1"/>
  <c r="J518" i="1" s="1"/>
  <c r="D519" i="1" s="1"/>
  <c r="F519" i="1" l="1"/>
  <c r="I519" i="1"/>
  <c r="K519" i="1" s="1"/>
  <c r="G519" i="1" l="1"/>
  <c r="H519" i="1" s="1"/>
  <c r="J519" i="1" s="1"/>
  <c r="D520" i="1" s="1"/>
  <c r="F520" i="1" l="1"/>
  <c r="I520" i="1"/>
  <c r="K520" i="1" s="1"/>
  <c r="G520" i="1" l="1"/>
  <c r="H520" i="1" s="1"/>
  <c r="J520" i="1" s="1"/>
  <c r="D521" i="1" s="1"/>
  <c r="I521" i="1" l="1"/>
  <c r="K521" i="1" s="1"/>
  <c r="F521" i="1"/>
  <c r="J521" i="1" l="1"/>
  <c r="D522" i="1" s="1"/>
  <c r="G521" i="1"/>
  <c r="H521" i="1" s="1"/>
  <c r="I522" i="1" l="1"/>
  <c r="K522" i="1" s="1"/>
  <c r="F522" i="1"/>
  <c r="G522" i="1" l="1"/>
  <c r="H522" i="1" s="1"/>
  <c r="J522" i="1"/>
  <c r="D523" i="1" s="1"/>
  <c r="F523" i="1" l="1"/>
  <c r="I523" i="1"/>
  <c r="K523" i="1" s="1"/>
  <c r="G523" i="1" l="1"/>
  <c r="H523" i="1" s="1"/>
  <c r="J523" i="1" s="1"/>
  <c r="D524" i="1" s="1"/>
  <c r="F524" i="1" l="1"/>
  <c r="I524" i="1"/>
  <c r="K524" i="1" s="1"/>
  <c r="J524" i="1" l="1"/>
  <c r="D525" i="1" s="1"/>
  <c r="G524" i="1"/>
  <c r="H524" i="1" s="1"/>
  <c r="F525" i="1" l="1"/>
  <c r="I525" i="1"/>
  <c r="K525" i="1" s="1"/>
  <c r="J525" i="1" l="1"/>
  <c r="D526" i="1" s="1"/>
  <c r="G525" i="1"/>
  <c r="H525" i="1" s="1"/>
  <c r="F526" i="1" l="1"/>
  <c r="I526" i="1"/>
  <c r="K526" i="1" s="1"/>
  <c r="G526" i="1" l="1"/>
  <c r="H526" i="1" s="1"/>
  <c r="J526" i="1"/>
  <c r="D527" i="1" s="1"/>
  <c r="F527" i="1" l="1"/>
  <c r="I527" i="1"/>
  <c r="K527" i="1" s="1"/>
  <c r="J527" i="1" l="1"/>
  <c r="D528" i="1" s="1"/>
  <c r="G527" i="1"/>
  <c r="H527" i="1" s="1"/>
  <c r="I528" i="1" l="1"/>
  <c r="K528" i="1" s="1"/>
  <c r="F528" i="1"/>
  <c r="G528" i="1" l="1"/>
  <c r="H528" i="1" s="1"/>
  <c r="J528" i="1" s="1"/>
  <c r="D529" i="1" s="1"/>
  <c r="F529" i="1" l="1"/>
  <c r="I529" i="1"/>
  <c r="K529" i="1" s="1"/>
  <c r="G529" i="1" l="1"/>
  <c r="H529" i="1" s="1"/>
  <c r="J529" i="1"/>
  <c r="D530" i="1" s="1"/>
  <c r="I530" i="1" l="1"/>
  <c r="K530" i="1" s="1"/>
  <c r="F530" i="1"/>
  <c r="G530" i="1" l="1"/>
  <c r="H530" i="1" s="1"/>
  <c r="J530" i="1" s="1"/>
  <c r="D531" i="1" s="1"/>
  <c r="F531" i="1" l="1"/>
  <c r="I531" i="1"/>
  <c r="K531" i="1" s="1"/>
  <c r="G531" i="1" l="1"/>
  <c r="H531" i="1" s="1"/>
  <c r="J531" i="1" s="1"/>
  <c r="D532" i="1" s="1"/>
  <c r="F532" i="1" l="1"/>
  <c r="I532" i="1"/>
  <c r="K532" i="1" s="1"/>
  <c r="G532" i="1" l="1"/>
  <c r="H532" i="1" s="1"/>
  <c r="J532" i="1"/>
  <c r="D533" i="1" s="1"/>
  <c r="I533" i="1" l="1"/>
  <c r="K533" i="1" s="1"/>
  <c r="F533" i="1"/>
  <c r="G533" i="1" l="1"/>
  <c r="H533" i="1" s="1"/>
  <c r="J533" i="1"/>
  <c r="D534" i="1" s="1"/>
  <c r="F534" i="1" l="1"/>
  <c r="I534" i="1"/>
  <c r="K534" i="1" s="1"/>
  <c r="G534" i="1" l="1"/>
  <c r="H534" i="1" s="1"/>
  <c r="J534" i="1" s="1"/>
  <c r="D535" i="1" s="1"/>
  <c r="F535" i="1" l="1"/>
  <c r="I535" i="1"/>
  <c r="K535" i="1" s="1"/>
  <c r="J535" i="1" l="1"/>
  <c r="D536" i="1" s="1"/>
  <c r="G535" i="1"/>
  <c r="H535" i="1" s="1"/>
  <c r="F536" i="1" l="1"/>
  <c r="I536" i="1"/>
  <c r="K536" i="1" s="1"/>
  <c r="G536" i="1" l="1"/>
  <c r="H536" i="1" s="1"/>
  <c r="J536" i="1" s="1"/>
  <c r="D537" i="1" s="1"/>
  <c r="F537" i="1" l="1"/>
  <c r="I537" i="1"/>
  <c r="K537" i="1" s="1"/>
  <c r="G537" i="1" l="1"/>
  <c r="H537" i="1" s="1"/>
  <c r="J537" i="1" s="1"/>
  <c r="D538" i="1" s="1"/>
  <c r="F538" i="1" l="1"/>
  <c r="I538" i="1"/>
  <c r="K538" i="1" s="1"/>
  <c r="G538" i="1" l="1"/>
  <c r="H538" i="1" s="1"/>
  <c r="J538" i="1" s="1"/>
  <c r="D539" i="1" s="1"/>
  <c r="I539" i="1" l="1"/>
  <c r="K539" i="1" s="1"/>
  <c r="F539" i="1"/>
  <c r="G539" i="1" l="1"/>
  <c r="H539" i="1" s="1"/>
  <c r="J539" i="1" s="1"/>
  <c r="D540" i="1" s="1"/>
  <c r="F540" i="1" l="1"/>
  <c r="I540" i="1"/>
  <c r="K540" i="1" s="1"/>
  <c r="J540" i="1" l="1"/>
  <c r="D541" i="1" s="1"/>
  <c r="G540" i="1"/>
  <c r="H540" i="1" s="1"/>
  <c r="F541" i="1" l="1"/>
  <c r="I541" i="1"/>
  <c r="K541" i="1" s="1"/>
  <c r="G541" i="1" l="1"/>
  <c r="H541" i="1" s="1"/>
  <c r="J541" i="1"/>
  <c r="D542" i="1" s="1"/>
  <c r="I542" i="1" l="1"/>
  <c r="K542" i="1" s="1"/>
  <c r="F542" i="1"/>
  <c r="G542" i="1" l="1"/>
  <c r="H542" i="1" s="1"/>
  <c r="J542" i="1"/>
  <c r="D543" i="1" s="1"/>
  <c r="F543" i="1" l="1"/>
  <c r="I543" i="1"/>
  <c r="K543" i="1" s="1"/>
  <c r="G543" i="1" l="1"/>
  <c r="H543" i="1" s="1"/>
  <c r="J543" i="1" s="1"/>
  <c r="D544" i="1" s="1"/>
  <c r="F544" i="1" l="1"/>
  <c r="I544" i="1"/>
  <c r="K544" i="1" s="1"/>
  <c r="G544" i="1" l="1"/>
  <c r="H544" i="1" s="1"/>
  <c r="J544" i="1"/>
  <c r="D545" i="1" s="1"/>
  <c r="F545" i="1" l="1"/>
  <c r="I545" i="1"/>
  <c r="K545" i="1" s="1"/>
  <c r="G545" i="1" l="1"/>
  <c r="H545" i="1" s="1"/>
  <c r="J545" i="1" s="1"/>
  <c r="D546" i="1" s="1"/>
  <c r="F546" i="1" l="1"/>
  <c r="I546" i="1"/>
  <c r="K546" i="1" s="1"/>
  <c r="G546" i="1" l="1"/>
  <c r="H546" i="1" s="1"/>
  <c r="J546" i="1"/>
  <c r="D547" i="1" s="1"/>
  <c r="F547" i="1" l="1"/>
  <c r="I547" i="1"/>
  <c r="K547" i="1" s="1"/>
  <c r="G547" i="1" l="1"/>
  <c r="H547" i="1" s="1"/>
  <c r="J547" i="1"/>
  <c r="D548" i="1" s="1"/>
  <c r="F548" i="1" l="1"/>
  <c r="I548" i="1"/>
  <c r="K548" i="1" s="1"/>
  <c r="G548" i="1" l="1"/>
  <c r="H548" i="1" s="1"/>
  <c r="J548" i="1" s="1"/>
  <c r="D549" i="1" s="1"/>
  <c r="I549" i="1" l="1"/>
  <c r="K549" i="1" s="1"/>
  <c r="F549" i="1"/>
  <c r="G549" i="1" l="1"/>
  <c r="H549" i="1" s="1"/>
  <c r="J549" i="1" s="1"/>
  <c r="D550" i="1" s="1"/>
  <c r="F550" i="1" l="1"/>
  <c r="I550" i="1"/>
  <c r="K550" i="1" s="1"/>
  <c r="G550" i="1" l="1"/>
  <c r="H550" i="1" s="1"/>
  <c r="J550" i="1" s="1"/>
  <c r="D551" i="1" s="1"/>
  <c r="F551" i="1" l="1"/>
  <c r="I551" i="1"/>
  <c r="K551" i="1" s="1"/>
  <c r="G551" i="1" l="1"/>
  <c r="H551" i="1" s="1"/>
  <c r="J551" i="1"/>
  <c r="D552" i="1" s="1"/>
  <c r="F552" i="1" l="1"/>
  <c r="I552" i="1"/>
  <c r="K552" i="1" s="1"/>
  <c r="G552" i="1" l="1"/>
  <c r="H552" i="1" s="1"/>
  <c r="J552" i="1" s="1"/>
  <c r="D553" i="1" s="1"/>
  <c r="F553" i="1" l="1"/>
  <c r="I553" i="1"/>
  <c r="K553" i="1" s="1"/>
  <c r="G553" i="1" l="1"/>
  <c r="H553" i="1" s="1"/>
  <c r="J553" i="1" s="1"/>
  <c r="D554" i="1" s="1"/>
  <c r="F554" i="1" l="1"/>
  <c r="I554" i="1"/>
  <c r="K554" i="1" s="1"/>
  <c r="G554" i="1" l="1"/>
  <c r="H554" i="1" s="1"/>
  <c r="J554" i="1" s="1"/>
  <c r="D555" i="1" s="1"/>
  <c r="F555" i="1" l="1"/>
  <c r="I555" i="1"/>
  <c r="K555" i="1" s="1"/>
  <c r="G555" i="1" l="1"/>
  <c r="H555" i="1" s="1"/>
  <c r="J555" i="1" s="1"/>
  <c r="D556" i="1" s="1"/>
  <c r="I556" i="1" l="1"/>
  <c r="K556" i="1" s="1"/>
  <c r="F556" i="1"/>
  <c r="G556" i="1" l="1"/>
  <c r="H556" i="1" s="1"/>
  <c r="J556" i="1" s="1"/>
  <c r="D557" i="1" s="1"/>
  <c r="I557" i="1" l="1"/>
  <c r="K557" i="1" s="1"/>
  <c r="F557" i="1"/>
  <c r="J557" i="1" l="1"/>
  <c r="D558" i="1" s="1"/>
  <c r="G557" i="1"/>
  <c r="H557" i="1" s="1"/>
  <c r="F558" i="1" l="1"/>
  <c r="I558" i="1"/>
  <c r="K558" i="1" s="1"/>
  <c r="G558" i="1" l="1"/>
  <c r="H558" i="1" s="1"/>
  <c r="J558" i="1"/>
  <c r="D559" i="1" s="1"/>
  <c r="F559" i="1" l="1"/>
  <c r="I559" i="1"/>
  <c r="K559" i="1" s="1"/>
  <c r="G559" i="1" l="1"/>
  <c r="H559" i="1" s="1"/>
  <c r="J559" i="1" s="1"/>
  <c r="D560" i="1" s="1"/>
  <c r="F560" i="1" l="1"/>
  <c r="I560" i="1"/>
  <c r="K560" i="1" s="1"/>
  <c r="G560" i="1" l="1"/>
  <c r="H560" i="1" s="1"/>
  <c r="J560" i="1" s="1"/>
  <c r="D561" i="1" s="1"/>
  <c r="F561" i="1" l="1"/>
  <c r="I561" i="1"/>
  <c r="K561" i="1" s="1"/>
  <c r="G561" i="1" l="1"/>
  <c r="H561" i="1" s="1"/>
  <c r="J561" i="1" s="1"/>
  <c r="D562" i="1" s="1"/>
  <c r="F562" i="1" l="1"/>
  <c r="I562" i="1"/>
  <c r="K562" i="1" s="1"/>
  <c r="G562" i="1" l="1"/>
  <c r="H562" i="1" s="1"/>
  <c r="J562" i="1" s="1"/>
  <c r="D563" i="1" s="1"/>
  <c r="I563" i="1" l="1"/>
  <c r="K563" i="1" s="1"/>
  <c r="F563" i="1"/>
  <c r="G563" i="1" l="1"/>
  <c r="H563" i="1" s="1"/>
  <c r="J563" i="1"/>
  <c r="D564" i="1" s="1"/>
  <c r="F564" i="1" l="1"/>
  <c r="I564" i="1"/>
  <c r="K564" i="1" s="1"/>
  <c r="G564" i="1" l="1"/>
  <c r="H564" i="1" s="1"/>
  <c r="J564" i="1" s="1"/>
  <c r="D565" i="1" s="1"/>
  <c r="I565" i="1" l="1"/>
  <c r="K565" i="1" s="1"/>
  <c r="F565" i="1"/>
  <c r="G565" i="1" l="1"/>
  <c r="H565" i="1" s="1"/>
  <c r="J565" i="1" s="1"/>
  <c r="D566" i="1" s="1"/>
  <c r="F566" i="1" l="1"/>
  <c r="I566" i="1"/>
  <c r="K566" i="1" s="1"/>
  <c r="G566" i="1" l="1"/>
  <c r="H566" i="1" s="1"/>
  <c r="J566" i="1" s="1"/>
  <c r="D567" i="1" s="1"/>
  <c r="F567" i="1" l="1"/>
  <c r="I567" i="1"/>
  <c r="K567" i="1" s="1"/>
  <c r="G567" i="1" l="1"/>
  <c r="H567" i="1" s="1"/>
  <c r="J567" i="1" s="1"/>
  <c r="D568" i="1" s="1"/>
  <c r="I568" i="1" l="1"/>
  <c r="K568" i="1" s="1"/>
  <c r="F568" i="1"/>
  <c r="G568" i="1" l="1"/>
  <c r="H568" i="1" s="1"/>
  <c r="J568" i="1"/>
  <c r="D569" i="1" s="1"/>
  <c r="F569" i="1" l="1"/>
  <c r="I569" i="1"/>
  <c r="K569" i="1" s="1"/>
  <c r="G569" i="1" l="1"/>
  <c r="H569" i="1" s="1"/>
  <c r="J569" i="1" s="1"/>
  <c r="D570" i="1" s="1"/>
  <c r="I570" i="1" l="1"/>
  <c r="K570" i="1" s="1"/>
  <c r="F570" i="1"/>
  <c r="G570" i="1" l="1"/>
  <c r="H570" i="1" s="1"/>
  <c r="J570" i="1"/>
  <c r="D571" i="1" s="1"/>
  <c r="F571" i="1" l="1"/>
  <c r="I571" i="1"/>
  <c r="K571" i="1" s="1"/>
  <c r="G571" i="1" l="1"/>
  <c r="H571" i="1" s="1"/>
  <c r="J571" i="1"/>
  <c r="D572" i="1" s="1"/>
  <c r="F572" i="1" l="1"/>
  <c r="I572" i="1"/>
  <c r="K572" i="1" s="1"/>
  <c r="J572" i="1" l="1"/>
  <c r="D573" i="1" s="1"/>
  <c r="G572" i="1"/>
  <c r="H572" i="1" s="1"/>
  <c r="F573" i="1" l="1"/>
  <c r="I573" i="1"/>
  <c r="K573" i="1" s="1"/>
  <c r="G573" i="1" l="1"/>
  <c r="H573" i="1" s="1"/>
  <c r="J573" i="1"/>
  <c r="D574" i="1" s="1"/>
  <c r="F574" i="1" l="1"/>
  <c r="I574" i="1"/>
  <c r="K574" i="1" s="1"/>
  <c r="G574" i="1" l="1"/>
  <c r="H574" i="1" s="1"/>
  <c r="J574" i="1"/>
  <c r="D575" i="1" s="1"/>
  <c r="F575" i="1" l="1"/>
  <c r="I575" i="1"/>
  <c r="K575" i="1" s="1"/>
  <c r="G575" i="1" l="1"/>
  <c r="H575" i="1" s="1"/>
  <c r="J575" i="1" s="1"/>
  <c r="D576" i="1" s="1"/>
  <c r="F576" i="1" l="1"/>
  <c r="I576" i="1"/>
  <c r="K576" i="1" s="1"/>
  <c r="G576" i="1" l="1"/>
  <c r="H576" i="1" s="1"/>
  <c r="J576" i="1" s="1"/>
  <c r="D577" i="1" s="1"/>
  <c r="F577" i="1" l="1"/>
  <c r="I577" i="1"/>
  <c r="K577" i="1" s="1"/>
  <c r="G577" i="1" l="1"/>
  <c r="H577" i="1" s="1"/>
  <c r="J577" i="1" s="1"/>
  <c r="D578" i="1" s="1"/>
  <c r="F578" i="1" l="1"/>
  <c r="I578" i="1"/>
  <c r="K578" i="1" s="1"/>
  <c r="G578" i="1" l="1"/>
  <c r="H578" i="1" s="1"/>
  <c r="J578" i="1" s="1"/>
  <c r="D579" i="1" s="1"/>
  <c r="F579" i="1" l="1"/>
  <c r="I579" i="1"/>
  <c r="K579" i="1" s="1"/>
  <c r="G579" i="1" l="1"/>
  <c r="H579" i="1" s="1"/>
  <c r="J579" i="1" s="1"/>
  <c r="D580" i="1" s="1"/>
  <c r="F580" i="1" l="1"/>
  <c r="I580" i="1"/>
  <c r="K580" i="1" s="1"/>
  <c r="G580" i="1" l="1"/>
  <c r="H580" i="1" s="1"/>
  <c r="J580" i="1" s="1"/>
  <c r="D581" i="1" s="1"/>
  <c r="F581" i="1" l="1"/>
  <c r="I581" i="1"/>
  <c r="K581" i="1" s="1"/>
  <c r="J581" i="1" l="1"/>
  <c r="D582" i="1" s="1"/>
  <c r="G581" i="1"/>
  <c r="H581" i="1" s="1"/>
  <c r="F582" i="1" l="1"/>
  <c r="I582" i="1"/>
  <c r="K582" i="1" s="1"/>
  <c r="G582" i="1" l="1"/>
  <c r="H582" i="1" s="1"/>
  <c r="J582" i="1"/>
  <c r="D583" i="1" s="1"/>
  <c r="F583" i="1" l="1"/>
  <c r="I583" i="1"/>
  <c r="K583" i="1" s="1"/>
  <c r="G583" i="1" l="1"/>
  <c r="H583" i="1" s="1"/>
  <c r="J583" i="1"/>
  <c r="D584" i="1" s="1"/>
  <c r="I584" i="1" l="1"/>
  <c r="K584" i="1" s="1"/>
  <c r="F584" i="1"/>
  <c r="J584" i="1" l="1"/>
  <c r="D585" i="1" s="1"/>
  <c r="G584" i="1"/>
  <c r="H584" i="1" s="1"/>
  <c r="F585" i="1" l="1"/>
  <c r="I585" i="1"/>
  <c r="K585" i="1" s="1"/>
  <c r="G585" i="1" l="1"/>
  <c r="H585" i="1" s="1"/>
  <c r="J585" i="1"/>
  <c r="D586" i="1" s="1"/>
  <c r="F586" i="1" l="1"/>
  <c r="I586" i="1"/>
  <c r="K586" i="1" s="1"/>
  <c r="G586" i="1" l="1"/>
  <c r="H586" i="1" s="1"/>
  <c r="J586" i="1" s="1"/>
  <c r="D587" i="1" s="1"/>
  <c r="F587" i="1" l="1"/>
  <c r="I587" i="1"/>
  <c r="K587" i="1" s="1"/>
  <c r="G587" i="1" l="1"/>
  <c r="H587" i="1" s="1"/>
  <c r="J587" i="1" s="1"/>
  <c r="D588" i="1" s="1"/>
  <c r="I588" i="1" l="1"/>
  <c r="K588" i="1" s="1"/>
  <c r="F588" i="1"/>
  <c r="G588" i="1" l="1"/>
  <c r="H588" i="1" s="1"/>
  <c r="J588" i="1" s="1"/>
  <c r="D589" i="1" s="1"/>
  <c r="F589" i="1" l="1"/>
  <c r="I589" i="1"/>
  <c r="K589" i="1" s="1"/>
  <c r="G589" i="1" l="1"/>
  <c r="H589" i="1" s="1"/>
  <c r="J589" i="1" s="1"/>
  <c r="D590" i="1" s="1"/>
  <c r="F590" i="1" l="1"/>
  <c r="I590" i="1"/>
  <c r="K590" i="1" s="1"/>
  <c r="G590" i="1" l="1"/>
  <c r="H590" i="1" s="1"/>
  <c r="J590" i="1" s="1"/>
  <c r="D591" i="1" s="1"/>
  <c r="F591" i="1" l="1"/>
  <c r="I591" i="1"/>
  <c r="K591" i="1" s="1"/>
  <c r="J591" i="1" l="1"/>
  <c r="D592" i="1" s="1"/>
  <c r="G591" i="1"/>
  <c r="H591" i="1" s="1"/>
  <c r="F592" i="1" l="1"/>
  <c r="I592" i="1"/>
  <c r="K592" i="1" s="1"/>
  <c r="G592" i="1" l="1"/>
  <c r="H592" i="1" s="1"/>
  <c r="J592" i="1" s="1"/>
  <c r="D593" i="1" s="1"/>
  <c r="F593" i="1" l="1"/>
  <c r="I593" i="1"/>
  <c r="K593" i="1" s="1"/>
  <c r="G593" i="1" l="1"/>
  <c r="H593" i="1" s="1"/>
  <c r="J593" i="1" s="1"/>
  <c r="D594" i="1" s="1"/>
  <c r="F594" i="1" l="1"/>
  <c r="I594" i="1"/>
  <c r="K594" i="1" s="1"/>
  <c r="G594" i="1" l="1"/>
  <c r="H594" i="1" s="1"/>
  <c r="J594" i="1" s="1"/>
  <c r="D595" i="1" s="1"/>
  <c r="F595" i="1" l="1"/>
  <c r="I595" i="1"/>
  <c r="K595" i="1" s="1"/>
  <c r="J595" i="1" l="1"/>
  <c r="D596" i="1" s="1"/>
  <c r="G595" i="1"/>
  <c r="H595" i="1" s="1"/>
  <c r="I596" i="1" l="1"/>
  <c r="K596" i="1" s="1"/>
  <c r="F596" i="1"/>
  <c r="G596" i="1" l="1"/>
  <c r="H596" i="1" s="1"/>
  <c r="J596" i="1"/>
  <c r="D597" i="1" s="1"/>
  <c r="I597" i="1" l="1"/>
  <c r="K597" i="1" s="1"/>
  <c r="F597" i="1"/>
  <c r="G597" i="1" l="1"/>
  <c r="H597" i="1" s="1"/>
  <c r="J597" i="1" s="1"/>
  <c r="D598" i="1" s="1"/>
  <c r="F598" i="1" l="1"/>
  <c r="I598" i="1"/>
  <c r="K598" i="1" s="1"/>
  <c r="G598" i="1" l="1"/>
  <c r="H598" i="1" s="1"/>
  <c r="J598" i="1" s="1"/>
  <c r="D599" i="1" s="1"/>
  <c r="I599" i="1" l="1"/>
  <c r="K599" i="1" s="1"/>
  <c r="F599" i="1"/>
  <c r="G599" i="1" l="1"/>
  <c r="H599" i="1" s="1"/>
  <c r="J599" i="1" s="1"/>
  <c r="D600" i="1" s="1"/>
  <c r="F600" i="1" l="1"/>
  <c r="I600" i="1"/>
  <c r="K600" i="1" s="1"/>
  <c r="G600" i="1" l="1"/>
  <c r="H600" i="1" s="1"/>
  <c r="J600" i="1" s="1"/>
  <c r="D601" i="1" s="1"/>
  <c r="F601" i="1" l="1"/>
  <c r="I601" i="1"/>
  <c r="K601" i="1" s="1"/>
  <c r="G601" i="1" l="1"/>
  <c r="H601" i="1" s="1"/>
  <c r="J601" i="1" s="1"/>
  <c r="D602" i="1" s="1"/>
  <c r="F602" i="1" l="1"/>
  <c r="I602" i="1"/>
  <c r="K602" i="1" s="1"/>
  <c r="G602" i="1" l="1"/>
  <c r="H602" i="1" s="1"/>
  <c r="J602" i="1"/>
  <c r="D603" i="1" s="1"/>
  <c r="F603" i="1" l="1"/>
  <c r="I603" i="1"/>
  <c r="K603" i="1" s="1"/>
  <c r="G603" i="1" l="1"/>
  <c r="H603" i="1" s="1"/>
  <c r="J603" i="1" s="1"/>
  <c r="D604" i="1" s="1"/>
  <c r="F604" i="1" l="1"/>
  <c r="I604" i="1"/>
  <c r="K604" i="1" s="1"/>
  <c r="G604" i="1" l="1"/>
  <c r="H604" i="1" s="1"/>
  <c r="J604" i="1" s="1"/>
  <c r="D605" i="1" s="1"/>
  <c r="F605" i="1" l="1"/>
  <c r="I605" i="1"/>
  <c r="K605" i="1" s="1"/>
  <c r="J605" i="1" l="1"/>
  <c r="D606" i="1" s="1"/>
  <c r="G605" i="1"/>
  <c r="H605" i="1" s="1"/>
  <c r="F606" i="1" l="1"/>
  <c r="I606" i="1"/>
  <c r="K606" i="1" s="1"/>
  <c r="G606" i="1" l="1"/>
  <c r="H606" i="1" s="1"/>
  <c r="J606" i="1" s="1"/>
  <c r="D607" i="1" s="1"/>
  <c r="F607" i="1" l="1"/>
  <c r="I607" i="1"/>
  <c r="K607" i="1" s="1"/>
  <c r="G607" i="1" l="1"/>
  <c r="H607" i="1" s="1"/>
  <c r="J607" i="1" s="1"/>
  <c r="D608" i="1" s="1"/>
  <c r="F608" i="1" l="1"/>
  <c r="I608" i="1"/>
  <c r="K608" i="1" s="1"/>
  <c r="G608" i="1" l="1"/>
  <c r="H608" i="1" s="1"/>
  <c r="J608" i="1" s="1"/>
  <c r="D609" i="1" s="1"/>
  <c r="F609" i="1" l="1"/>
  <c r="I609" i="1"/>
  <c r="K609" i="1" s="1"/>
  <c r="G609" i="1" l="1"/>
  <c r="H609" i="1" s="1"/>
  <c r="J609" i="1" s="1"/>
  <c r="D610" i="1" s="1"/>
  <c r="F610" i="1" l="1"/>
  <c r="I610" i="1"/>
  <c r="K610" i="1" s="1"/>
  <c r="G610" i="1" l="1"/>
  <c r="H610" i="1" s="1"/>
  <c r="J610" i="1"/>
  <c r="D611" i="1" s="1"/>
  <c r="F611" i="1" l="1"/>
  <c r="I611" i="1"/>
  <c r="K611" i="1" s="1"/>
  <c r="G611" i="1" l="1"/>
  <c r="H611" i="1" s="1"/>
  <c r="J611" i="1" s="1"/>
  <c r="D612" i="1" s="1"/>
  <c r="F612" i="1" l="1"/>
  <c r="I612" i="1"/>
  <c r="K612" i="1" s="1"/>
  <c r="G612" i="1" l="1"/>
  <c r="H612" i="1" s="1"/>
  <c r="J612" i="1" s="1"/>
  <c r="D613" i="1" s="1"/>
  <c r="F613" i="1" l="1"/>
  <c r="I613" i="1"/>
  <c r="K613" i="1" s="1"/>
  <c r="G613" i="1" l="1"/>
  <c r="H613" i="1" s="1"/>
  <c r="J613" i="1" s="1"/>
  <c r="D614" i="1" s="1"/>
  <c r="I614" i="1" l="1"/>
  <c r="K614" i="1" s="1"/>
  <c r="F614" i="1"/>
  <c r="J614" i="1" l="1"/>
  <c r="D615" i="1" s="1"/>
  <c r="G614" i="1"/>
  <c r="H614" i="1" s="1"/>
  <c r="I615" i="1" l="1"/>
  <c r="K615" i="1" s="1"/>
  <c r="F615" i="1"/>
  <c r="G615" i="1" l="1"/>
  <c r="H615" i="1" s="1"/>
  <c r="J615" i="1" s="1"/>
  <c r="D616" i="1" s="1"/>
  <c r="F616" i="1" l="1"/>
  <c r="I616" i="1"/>
  <c r="K616" i="1" s="1"/>
  <c r="J616" i="1" l="1"/>
  <c r="D617" i="1" s="1"/>
  <c r="G616" i="1"/>
  <c r="H616" i="1" s="1"/>
  <c r="F617" i="1" l="1"/>
  <c r="I617" i="1"/>
  <c r="K617" i="1" s="1"/>
  <c r="G617" i="1" l="1"/>
  <c r="H617" i="1" s="1"/>
  <c r="J617" i="1" s="1"/>
  <c r="D618" i="1" s="1"/>
  <c r="I618" i="1" l="1"/>
  <c r="K618" i="1" s="1"/>
  <c r="F618" i="1"/>
  <c r="G618" i="1" l="1"/>
  <c r="H618" i="1" s="1"/>
  <c r="J618" i="1"/>
  <c r="D619" i="1" s="1"/>
  <c r="F619" i="1" l="1"/>
  <c r="I619" i="1"/>
  <c r="K619" i="1" s="1"/>
  <c r="G619" i="1" l="1"/>
  <c r="H619" i="1" s="1"/>
  <c r="J619" i="1"/>
  <c r="D620" i="1" s="1"/>
  <c r="F620" i="1" l="1"/>
  <c r="I620" i="1"/>
  <c r="K620" i="1" s="1"/>
  <c r="G620" i="1" l="1"/>
  <c r="H620" i="1" s="1"/>
  <c r="J620" i="1" s="1"/>
  <c r="D621" i="1" s="1"/>
  <c r="F621" i="1" l="1"/>
  <c r="I621" i="1"/>
  <c r="K621" i="1" s="1"/>
  <c r="G621" i="1" l="1"/>
  <c r="H621" i="1" s="1"/>
  <c r="J621" i="1"/>
  <c r="D622" i="1" s="1"/>
  <c r="F622" i="1" l="1"/>
  <c r="I622" i="1"/>
  <c r="K622" i="1" s="1"/>
  <c r="G622" i="1" l="1"/>
  <c r="H622" i="1" s="1"/>
  <c r="J622" i="1" s="1"/>
  <c r="D623" i="1" s="1"/>
  <c r="F623" i="1" l="1"/>
  <c r="I623" i="1"/>
  <c r="K623" i="1" s="1"/>
  <c r="G623" i="1" l="1"/>
  <c r="H623" i="1" s="1"/>
  <c r="J623" i="1" s="1"/>
  <c r="D624" i="1" s="1"/>
  <c r="I624" i="1" l="1"/>
  <c r="K624" i="1" s="1"/>
  <c r="F624" i="1"/>
  <c r="J624" i="1" l="1"/>
  <c r="D625" i="1" s="1"/>
  <c r="G624" i="1"/>
  <c r="H624" i="1" s="1"/>
  <c r="I625" i="1" l="1"/>
  <c r="K625" i="1" s="1"/>
  <c r="F625" i="1"/>
  <c r="G625" i="1" l="1"/>
  <c r="H625" i="1" s="1"/>
  <c r="J625" i="1"/>
  <c r="D626" i="1" s="1"/>
  <c r="I626" i="1" l="1"/>
  <c r="K626" i="1" s="1"/>
  <c r="F626" i="1"/>
  <c r="J626" i="1" l="1"/>
  <c r="D627" i="1" s="1"/>
  <c r="G626" i="1"/>
  <c r="H626" i="1" s="1"/>
  <c r="F627" i="1" l="1"/>
  <c r="I627" i="1"/>
  <c r="K627" i="1" s="1"/>
  <c r="J627" i="1" l="1"/>
  <c r="D628" i="1" s="1"/>
  <c r="G627" i="1"/>
  <c r="H627" i="1" s="1"/>
  <c r="F628" i="1" l="1"/>
  <c r="I628" i="1"/>
  <c r="K628" i="1" s="1"/>
  <c r="J628" i="1" l="1"/>
  <c r="D629" i="1" s="1"/>
  <c r="G628" i="1"/>
  <c r="H628" i="1" s="1"/>
  <c r="F629" i="1" l="1"/>
  <c r="I629" i="1"/>
  <c r="K629" i="1" s="1"/>
  <c r="G629" i="1" l="1"/>
  <c r="H629" i="1" s="1"/>
  <c r="J629" i="1" s="1"/>
  <c r="D630" i="1" s="1"/>
  <c r="F630" i="1" l="1"/>
  <c r="I630" i="1"/>
  <c r="K630" i="1" s="1"/>
  <c r="G630" i="1" l="1"/>
  <c r="H630" i="1" s="1"/>
  <c r="J630" i="1" s="1"/>
  <c r="D631" i="1" s="1"/>
  <c r="F631" i="1" l="1"/>
  <c r="I631" i="1"/>
  <c r="K631" i="1" s="1"/>
  <c r="J631" i="1" l="1"/>
  <c r="D632" i="1" s="1"/>
  <c r="G631" i="1"/>
  <c r="H631" i="1" s="1"/>
  <c r="F632" i="1" l="1"/>
  <c r="I632" i="1"/>
  <c r="K632" i="1" s="1"/>
  <c r="G632" i="1" l="1"/>
  <c r="H632" i="1" s="1"/>
  <c r="J632" i="1" s="1"/>
  <c r="D633" i="1" s="1"/>
  <c r="F633" i="1" l="1"/>
  <c r="I633" i="1"/>
  <c r="K633" i="1" s="1"/>
  <c r="G633" i="1" l="1"/>
  <c r="H633" i="1" s="1"/>
  <c r="J633" i="1" s="1"/>
  <c r="D634" i="1" s="1"/>
  <c r="F634" i="1" l="1"/>
  <c r="I634" i="1"/>
  <c r="K634" i="1" s="1"/>
  <c r="G634" i="1" l="1"/>
  <c r="H634" i="1" s="1"/>
  <c r="J634" i="1"/>
  <c r="D635" i="1" s="1"/>
  <c r="F635" i="1" l="1"/>
  <c r="I635" i="1"/>
  <c r="K635" i="1" s="1"/>
  <c r="G635" i="1" l="1"/>
  <c r="H635" i="1" s="1"/>
  <c r="J635" i="1"/>
  <c r="D636" i="1" s="1"/>
  <c r="F636" i="1" l="1"/>
  <c r="I636" i="1"/>
  <c r="K636" i="1" s="1"/>
  <c r="G636" i="1" l="1"/>
  <c r="H636" i="1" s="1"/>
  <c r="J636" i="1" s="1"/>
  <c r="D637" i="1" s="1"/>
  <c r="I637" i="1" l="1"/>
  <c r="K637" i="1" s="1"/>
  <c r="F637" i="1"/>
  <c r="G637" i="1" l="1"/>
  <c r="H637" i="1" s="1"/>
  <c r="J637" i="1" s="1"/>
  <c r="D638" i="1" s="1"/>
  <c r="F638" i="1" l="1"/>
  <c r="I638" i="1"/>
  <c r="K638" i="1" s="1"/>
  <c r="G638" i="1" l="1"/>
  <c r="H638" i="1" s="1"/>
  <c r="J638" i="1"/>
  <c r="D639" i="1" s="1"/>
  <c r="I639" i="1" l="1"/>
  <c r="K639" i="1" s="1"/>
  <c r="F639" i="1"/>
  <c r="G639" i="1" l="1"/>
  <c r="H639" i="1" s="1"/>
  <c r="J639" i="1" s="1"/>
  <c r="D640" i="1" s="1"/>
  <c r="F640" i="1" l="1"/>
  <c r="I640" i="1"/>
  <c r="K640" i="1" s="1"/>
  <c r="G640" i="1" l="1"/>
  <c r="H640" i="1" s="1"/>
  <c r="J640" i="1" s="1"/>
  <c r="D641" i="1" s="1"/>
  <c r="F641" i="1" l="1"/>
  <c r="I641" i="1"/>
  <c r="K641" i="1" s="1"/>
  <c r="G641" i="1" l="1"/>
  <c r="H641" i="1" s="1"/>
  <c r="J641" i="1" s="1"/>
  <c r="D642" i="1" s="1"/>
  <c r="F642" i="1" l="1"/>
  <c r="I642" i="1"/>
  <c r="K642" i="1" s="1"/>
  <c r="G642" i="1" l="1"/>
  <c r="H642" i="1" s="1"/>
  <c r="J642" i="1" s="1"/>
  <c r="D643" i="1" s="1"/>
  <c r="F643" i="1" l="1"/>
  <c r="I643" i="1"/>
  <c r="K643" i="1" s="1"/>
  <c r="G643" i="1" l="1"/>
  <c r="H643" i="1" s="1"/>
  <c r="J643" i="1"/>
  <c r="D644" i="1" s="1"/>
  <c r="I644" i="1" l="1"/>
  <c r="K644" i="1" s="1"/>
  <c r="F644" i="1"/>
  <c r="G644" i="1" l="1"/>
  <c r="H644" i="1" s="1"/>
  <c r="J644" i="1" s="1"/>
  <c r="D645" i="1" s="1"/>
  <c r="F645" i="1" l="1"/>
  <c r="I645" i="1"/>
  <c r="K645" i="1" s="1"/>
  <c r="J645" i="1" l="1"/>
  <c r="D646" i="1" s="1"/>
  <c r="G645" i="1"/>
  <c r="H645" i="1" s="1"/>
  <c r="I646" i="1" l="1"/>
  <c r="K646" i="1" s="1"/>
  <c r="F646" i="1"/>
  <c r="G646" i="1" l="1"/>
  <c r="H646" i="1" s="1"/>
  <c r="J646" i="1"/>
  <c r="D647" i="1" s="1"/>
  <c r="F647" i="1" l="1"/>
  <c r="I647" i="1"/>
  <c r="K647" i="1" s="1"/>
  <c r="J647" i="1" l="1"/>
  <c r="D648" i="1" s="1"/>
  <c r="G647" i="1"/>
  <c r="H647" i="1" s="1"/>
  <c r="F648" i="1" l="1"/>
  <c r="I648" i="1"/>
  <c r="K648" i="1" s="1"/>
  <c r="J648" i="1" l="1"/>
  <c r="D649" i="1" s="1"/>
  <c r="G648" i="1"/>
  <c r="H648" i="1" s="1"/>
  <c r="F649" i="1" l="1"/>
  <c r="I649" i="1"/>
  <c r="K649" i="1" s="1"/>
  <c r="G649" i="1" l="1"/>
  <c r="H649" i="1" s="1"/>
  <c r="J649" i="1" s="1"/>
  <c r="D650" i="1" s="1"/>
  <c r="F650" i="1" l="1"/>
  <c r="I650" i="1"/>
  <c r="K650" i="1" s="1"/>
  <c r="G650" i="1" l="1"/>
  <c r="H650" i="1" s="1"/>
  <c r="J650" i="1" s="1"/>
  <c r="D651" i="1" s="1"/>
  <c r="F651" i="1" l="1"/>
  <c r="I651" i="1"/>
  <c r="K651" i="1" s="1"/>
  <c r="G651" i="1" l="1"/>
  <c r="H651" i="1" s="1"/>
  <c r="J651" i="1" s="1"/>
  <c r="D652" i="1" s="1"/>
  <c r="I652" i="1" l="1"/>
  <c r="K652" i="1" s="1"/>
  <c r="F652" i="1"/>
  <c r="G652" i="1" l="1"/>
  <c r="H652" i="1" s="1"/>
  <c r="J652" i="1" s="1"/>
  <c r="D653" i="1" s="1"/>
  <c r="F653" i="1" l="1"/>
  <c r="I653" i="1"/>
  <c r="K653" i="1" s="1"/>
  <c r="G653" i="1" l="1"/>
  <c r="H653" i="1" s="1"/>
  <c r="J653" i="1" s="1"/>
  <c r="D654" i="1" s="1"/>
  <c r="F654" i="1" l="1"/>
  <c r="I654" i="1"/>
  <c r="K654" i="1" s="1"/>
  <c r="G654" i="1" l="1"/>
  <c r="H654" i="1" s="1"/>
  <c r="J654" i="1" s="1"/>
  <c r="D655" i="1" s="1"/>
  <c r="I655" i="1" l="1"/>
  <c r="K655" i="1" s="1"/>
  <c r="F655" i="1"/>
  <c r="J655" i="1" l="1"/>
  <c r="D656" i="1" s="1"/>
  <c r="G655" i="1"/>
  <c r="H655" i="1" s="1"/>
  <c r="I656" i="1" l="1"/>
  <c r="K656" i="1" s="1"/>
  <c r="F656" i="1"/>
  <c r="G656" i="1" l="1"/>
  <c r="H656" i="1" s="1"/>
  <c r="J656" i="1"/>
  <c r="D657" i="1" s="1"/>
  <c r="F657" i="1" l="1"/>
  <c r="I657" i="1"/>
  <c r="K657" i="1" s="1"/>
  <c r="J657" i="1" l="1"/>
  <c r="D658" i="1" s="1"/>
  <c r="G657" i="1"/>
  <c r="H657" i="1" s="1"/>
  <c r="F658" i="1" l="1"/>
  <c r="I658" i="1"/>
  <c r="K658" i="1" s="1"/>
  <c r="G658" i="1" l="1"/>
  <c r="H658" i="1" s="1"/>
  <c r="J658" i="1" s="1"/>
  <c r="D659" i="1" s="1"/>
  <c r="F659" i="1" l="1"/>
  <c r="I659" i="1"/>
  <c r="K659" i="1" s="1"/>
  <c r="G659" i="1" l="1"/>
  <c r="H659" i="1" s="1"/>
  <c r="J659" i="1"/>
  <c r="D660" i="1" s="1"/>
  <c r="I660" i="1" l="1"/>
  <c r="K660" i="1" s="1"/>
  <c r="F660" i="1"/>
  <c r="G660" i="1" l="1"/>
  <c r="H660" i="1" s="1"/>
  <c r="J660" i="1"/>
  <c r="D661" i="1" s="1"/>
  <c r="F661" i="1" l="1"/>
  <c r="I661" i="1"/>
  <c r="K661" i="1" s="1"/>
  <c r="G661" i="1" l="1"/>
  <c r="H661" i="1" s="1"/>
  <c r="J661" i="1"/>
  <c r="D662" i="1" s="1"/>
  <c r="F662" i="1" l="1"/>
  <c r="I662" i="1"/>
  <c r="K662" i="1" s="1"/>
  <c r="G662" i="1" l="1"/>
  <c r="H662" i="1" s="1"/>
  <c r="J662" i="1"/>
  <c r="D663" i="1" s="1"/>
  <c r="F663" i="1" l="1"/>
  <c r="I663" i="1"/>
  <c r="K663" i="1" s="1"/>
  <c r="G663" i="1" l="1"/>
  <c r="H663" i="1" s="1"/>
  <c r="J663" i="1" s="1"/>
  <c r="D664" i="1" s="1"/>
  <c r="F664" i="1" l="1"/>
  <c r="I664" i="1"/>
  <c r="K664" i="1" s="1"/>
  <c r="G664" i="1" l="1"/>
  <c r="H664" i="1" s="1"/>
  <c r="J664" i="1"/>
  <c r="D665" i="1" s="1"/>
  <c r="F665" i="1" l="1"/>
  <c r="I665" i="1"/>
  <c r="K665" i="1" s="1"/>
  <c r="G665" i="1" l="1"/>
  <c r="H665" i="1" s="1"/>
  <c r="J665" i="1"/>
  <c r="D666" i="1" s="1"/>
  <c r="F666" i="1" l="1"/>
  <c r="I666" i="1"/>
  <c r="K666" i="1" s="1"/>
  <c r="J666" i="1" l="1"/>
  <c r="D667" i="1" s="1"/>
  <c r="G666" i="1"/>
  <c r="H666" i="1" s="1"/>
  <c r="F667" i="1" l="1"/>
  <c r="I667" i="1"/>
  <c r="K667" i="1" s="1"/>
  <c r="J667" i="1" l="1"/>
  <c r="G667" i="1"/>
  <c r="H667" i="1" s="1"/>
  <c r="D668" i="1" l="1"/>
  <c r="F668" i="1" l="1"/>
  <c r="I668" i="1"/>
  <c r="G668" i="1" l="1"/>
  <c r="H668" i="1" s="1"/>
  <c r="J668" i="1" s="1"/>
  <c r="K668" i="1"/>
  <c r="D669" i="1" l="1"/>
  <c r="F669" i="1" l="1"/>
  <c r="I669" i="1"/>
  <c r="G669" i="1" l="1"/>
  <c r="H669" i="1" s="1"/>
  <c r="J669" i="1" s="1"/>
  <c r="K669" i="1"/>
  <c r="D670" i="1" l="1"/>
  <c r="I670" i="1" l="1"/>
  <c r="F670" i="1"/>
  <c r="K670" i="1" l="1"/>
  <c r="G670" i="1"/>
  <c r="H670" i="1" s="1"/>
  <c r="J670" i="1"/>
  <c r="D671" i="1" l="1"/>
  <c r="I671" i="1" l="1"/>
  <c r="F671" i="1"/>
  <c r="K671" i="1" l="1"/>
  <c r="G671" i="1"/>
  <c r="H671" i="1" s="1"/>
  <c r="J671" i="1"/>
  <c r="D672" i="1" l="1"/>
  <c r="F672" i="1" l="1"/>
  <c r="I672" i="1"/>
  <c r="G672" i="1" l="1"/>
  <c r="H672" i="1" s="1"/>
  <c r="J672" i="1" s="1"/>
  <c r="D673" i="1" s="1"/>
  <c r="K672" i="1"/>
  <c r="F673" i="1" l="1"/>
  <c r="I673" i="1"/>
  <c r="K673" i="1" s="1"/>
  <c r="J673" i="1" l="1"/>
  <c r="D674" i="1" s="1"/>
  <c r="G673" i="1"/>
  <c r="H673" i="1" s="1"/>
  <c r="I674" i="1" l="1"/>
  <c r="K674" i="1" s="1"/>
  <c r="F674" i="1"/>
  <c r="J674" i="1" l="1"/>
  <c r="D675" i="1" s="1"/>
  <c r="G674" i="1"/>
  <c r="H674" i="1" s="1"/>
  <c r="F675" i="1" l="1"/>
  <c r="I675" i="1"/>
  <c r="K675" i="1" s="1"/>
  <c r="G675" i="1" l="1"/>
  <c r="H675" i="1" s="1"/>
  <c r="J675" i="1" s="1"/>
  <c r="D676" i="1" s="1"/>
  <c r="I676" i="1" l="1"/>
  <c r="K676" i="1" s="1"/>
  <c r="F676" i="1"/>
  <c r="J676" i="1" l="1"/>
  <c r="D677" i="1" s="1"/>
  <c r="G676" i="1"/>
  <c r="H676" i="1" s="1"/>
  <c r="F677" i="1" l="1"/>
  <c r="I677" i="1"/>
  <c r="K677" i="1" s="1"/>
  <c r="J677" i="1" l="1"/>
  <c r="D678" i="1" s="1"/>
  <c r="G677" i="1"/>
  <c r="H677" i="1" s="1"/>
  <c r="F678" i="1" l="1"/>
  <c r="I678" i="1"/>
  <c r="K678" i="1" s="1"/>
  <c r="J678" i="1" l="1"/>
  <c r="D679" i="1" s="1"/>
  <c r="G678" i="1"/>
  <c r="H678" i="1" s="1"/>
  <c r="I679" i="1" l="1"/>
  <c r="K679" i="1" s="1"/>
  <c r="F679" i="1"/>
  <c r="J679" i="1" l="1"/>
  <c r="D680" i="1" s="1"/>
  <c r="G679" i="1"/>
  <c r="H679" i="1" s="1"/>
  <c r="F680" i="1" l="1"/>
  <c r="I680" i="1"/>
  <c r="K680" i="1" s="1"/>
  <c r="G680" i="1" l="1"/>
  <c r="H680" i="1" s="1"/>
  <c r="J680" i="1" s="1"/>
  <c r="D681" i="1" s="1"/>
  <c r="I681" i="1" l="1"/>
  <c r="K681" i="1" s="1"/>
  <c r="F681" i="1"/>
  <c r="J681" i="1" l="1"/>
  <c r="D682" i="1" s="1"/>
  <c r="G681" i="1"/>
  <c r="H681" i="1" s="1"/>
  <c r="I682" i="1" l="1"/>
  <c r="K682" i="1" s="1"/>
  <c r="F682" i="1"/>
  <c r="G682" i="1" l="1"/>
  <c r="H682" i="1" s="1"/>
  <c r="J682" i="1" s="1"/>
  <c r="D683" i="1" s="1"/>
  <c r="F683" i="1" l="1"/>
  <c r="I683" i="1"/>
  <c r="K683" i="1" s="1"/>
  <c r="G683" i="1" l="1"/>
  <c r="H683" i="1" s="1"/>
  <c r="J683" i="1" s="1"/>
  <c r="D684" i="1" s="1"/>
  <c r="I684" i="1" l="1"/>
  <c r="K684" i="1" s="1"/>
  <c r="F684" i="1"/>
  <c r="J684" i="1" l="1"/>
  <c r="D685" i="1" s="1"/>
  <c r="G684" i="1"/>
  <c r="H684" i="1" s="1"/>
  <c r="F685" i="1" l="1"/>
  <c r="I685" i="1"/>
  <c r="K685" i="1" s="1"/>
  <c r="G685" i="1" l="1"/>
  <c r="H685" i="1" s="1"/>
  <c r="J685" i="1" s="1"/>
  <c r="D686" i="1" s="1"/>
  <c r="F686" i="1" l="1"/>
  <c r="I686" i="1"/>
  <c r="K686" i="1" s="1"/>
  <c r="J686" i="1" l="1"/>
  <c r="D687" i="1" s="1"/>
  <c r="G686" i="1"/>
  <c r="H686" i="1" s="1"/>
  <c r="I687" i="1" l="1"/>
  <c r="K687" i="1" s="1"/>
  <c r="F687" i="1"/>
  <c r="G687" i="1" l="1"/>
  <c r="H687" i="1" s="1"/>
  <c r="J687" i="1" s="1"/>
  <c r="D688" i="1" s="1"/>
  <c r="F688" i="1" l="1"/>
  <c r="I688" i="1"/>
  <c r="K688" i="1" s="1"/>
  <c r="G688" i="1" l="1"/>
  <c r="H688" i="1" s="1"/>
  <c r="J688" i="1" s="1"/>
  <c r="D689" i="1" s="1"/>
  <c r="I689" i="1" l="1"/>
  <c r="K689" i="1" s="1"/>
  <c r="F689" i="1"/>
  <c r="J689" i="1" l="1"/>
  <c r="D690" i="1" s="1"/>
  <c r="G689" i="1"/>
  <c r="H689" i="1" s="1"/>
  <c r="I690" i="1" l="1"/>
  <c r="K690" i="1" s="1"/>
  <c r="F690" i="1"/>
  <c r="J690" i="1" l="1"/>
  <c r="D691" i="1" s="1"/>
  <c r="G690" i="1"/>
  <c r="H690" i="1" s="1"/>
  <c r="F691" i="1" l="1"/>
  <c r="I691" i="1"/>
  <c r="K691" i="1" s="1"/>
  <c r="G691" i="1" l="1"/>
  <c r="H691" i="1" s="1"/>
  <c r="J691" i="1" s="1"/>
  <c r="D692" i="1" s="1"/>
  <c r="I692" i="1" l="1"/>
  <c r="K692" i="1" s="1"/>
  <c r="F692" i="1"/>
  <c r="G692" i="1" l="1"/>
  <c r="H692" i="1" s="1"/>
  <c r="J692" i="1" s="1"/>
  <c r="D693" i="1" s="1"/>
  <c r="F693" i="1" l="1"/>
  <c r="I693" i="1"/>
  <c r="K693" i="1" s="1"/>
  <c r="G693" i="1" l="1"/>
  <c r="H693" i="1" s="1"/>
  <c r="J693" i="1" s="1"/>
  <c r="D694" i="1" s="1"/>
  <c r="F694" i="1" l="1"/>
  <c r="I694" i="1"/>
  <c r="K694" i="1" s="1"/>
  <c r="G694" i="1" l="1"/>
  <c r="H694" i="1" s="1"/>
  <c r="J694" i="1" s="1"/>
  <c r="D695" i="1" s="1"/>
  <c r="I695" i="1" l="1"/>
  <c r="K695" i="1" s="1"/>
  <c r="F695" i="1"/>
  <c r="J695" i="1" l="1"/>
  <c r="D696" i="1" s="1"/>
  <c r="G695" i="1"/>
  <c r="H695" i="1" s="1"/>
  <c r="F696" i="1" l="1"/>
  <c r="I696" i="1"/>
  <c r="K696" i="1" s="1"/>
  <c r="G696" i="1" l="1"/>
  <c r="H696" i="1" s="1"/>
  <c r="J696" i="1" s="1"/>
  <c r="D697" i="1" s="1"/>
  <c r="I697" i="1" l="1"/>
  <c r="K697" i="1" s="1"/>
  <c r="F697" i="1"/>
  <c r="G697" i="1" l="1"/>
  <c r="H697" i="1" s="1"/>
  <c r="J697" i="1" s="1"/>
  <c r="D698" i="1" s="1"/>
  <c r="I698" i="1" l="1"/>
  <c r="K698" i="1" s="1"/>
  <c r="F698" i="1"/>
  <c r="G698" i="1" l="1"/>
  <c r="H698" i="1" s="1"/>
  <c r="J698" i="1" s="1"/>
  <c r="D699" i="1" s="1"/>
  <c r="F699" i="1" l="1"/>
  <c r="I699" i="1"/>
  <c r="K699" i="1" s="1"/>
  <c r="G699" i="1" l="1"/>
  <c r="H699" i="1" s="1"/>
  <c r="J699" i="1" s="1"/>
  <c r="D700" i="1" s="1"/>
  <c r="I700" i="1" l="1"/>
  <c r="K700" i="1" s="1"/>
  <c r="F700" i="1"/>
  <c r="G700" i="1" l="1"/>
  <c r="H700" i="1" s="1"/>
  <c r="J700" i="1" s="1"/>
  <c r="D701" i="1" s="1"/>
  <c r="F701" i="1" l="1"/>
  <c r="I701" i="1"/>
  <c r="K701" i="1" s="1"/>
  <c r="J701" i="1" l="1"/>
  <c r="D702" i="1" s="1"/>
  <c r="G701" i="1"/>
  <c r="H701" i="1" s="1"/>
  <c r="F702" i="1" l="1"/>
  <c r="I702" i="1"/>
  <c r="K702" i="1" s="1"/>
  <c r="G702" i="1" l="1"/>
  <c r="H702" i="1" s="1"/>
  <c r="J702" i="1" s="1"/>
  <c r="D703" i="1" s="1"/>
  <c r="I703" i="1" l="1"/>
  <c r="K703" i="1" s="1"/>
  <c r="F703" i="1"/>
  <c r="G703" i="1" l="1"/>
  <c r="H703" i="1" s="1"/>
  <c r="J703" i="1" s="1"/>
  <c r="D704" i="1" s="1"/>
  <c r="F704" i="1" l="1"/>
  <c r="I704" i="1"/>
  <c r="K704" i="1" s="1"/>
  <c r="J704" i="1" l="1"/>
  <c r="D705" i="1" s="1"/>
  <c r="G704" i="1"/>
  <c r="H704" i="1" s="1"/>
  <c r="I705" i="1" l="1"/>
  <c r="K705" i="1" s="1"/>
  <c r="F705" i="1"/>
  <c r="G705" i="1" l="1"/>
  <c r="H705" i="1" s="1"/>
  <c r="J705" i="1" s="1"/>
  <c r="D706" i="1" s="1"/>
  <c r="I706" i="1" l="1"/>
  <c r="K706" i="1" s="1"/>
  <c r="F706" i="1"/>
  <c r="G706" i="1" l="1"/>
  <c r="H706" i="1" s="1"/>
  <c r="J706" i="1" s="1"/>
  <c r="D707" i="1" s="1"/>
  <c r="F707" i="1" l="1"/>
  <c r="I707" i="1"/>
  <c r="K707" i="1" s="1"/>
  <c r="G707" i="1" l="1"/>
  <c r="H707" i="1" s="1"/>
  <c r="J707" i="1" s="1"/>
  <c r="D708" i="1" s="1"/>
  <c r="I708" i="1" l="1"/>
  <c r="K708" i="1" s="1"/>
  <c r="F708" i="1"/>
  <c r="J708" i="1" l="1"/>
  <c r="D709" i="1" s="1"/>
  <c r="G708" i="1"/>
  <c r="H708" i="1" s="1"/>
  <c r="F709" i="1" l="1"/>
  <c r="I709" i="1"/>
  <c r="K709" i="1" s="1"/>
  <c r="J709" i="1" l="1"/>
  <c r="D710" i="1" s="1"/>
  <c r="G709" i="1"/>
  <c r="H709" i="1" s="1"/>
  <c r="F710" i="1" l="1"/>
  <c r="I710" i="1"/>
  <c r="K710" i="1" s="1"/>
  <c r="G710" i="1" l="1"/>
  <c r="H710" i="1" s="1"/>
  <c r="J710" i="1" s="1"/>
  <c r="D711" i="1" s="1"/>
  <c r="I711" i="1" l="1"/>
  <c r="K711" i="1" s="1"/>
  <c r="F711" i="1"/>
  <c r="J711" i="1" l="1"/>
  <c r="D712" i="1" s="1"/>
  <c r="G711" i="1"/>
  <c r="H711" i="1" s="1"/>
  <c r="F712" i="1" l="1"/>
  <c r="I712" i="1"/>
  <c r="K712" i="1" s="1"/>
  <c r="G712" i="1" l="1"/>
  <c r="H712" i="1" s="1"/>
  <c r="J712" i="1" s="1"/>
  <c r="D713" i="1" s="1"/>
  <c r="I713" i="1" l="1"/>
  <c r="K713" i="1" s="1"/>
  <c r="F713" i="1"/>
  <c r="G713" i="1" l="1"/>
  <c r="H713" i="1" s="1"/>
  <c r="J713" i="1" s="1"/>
  <c r="D714" i="1" s="1"/>
  <c r="I714" i="1" l="1"/>
  <c r="K714" i="1" s="1"/>
  <c r="F714" i="1"/>
  <c r="G714" i="1" l="1"/>
  <c r="H714" i="1" s="1"/>
  <c r="J714" i="1" s="1"/>
  <c r="D715" i="1" s="1"/>
  <c r="F715" i="1" l="1"/>
  <c r="I715" i="1"/>
  <c r="K715" i="1" s="1"/>
  <c r="J715" i="1" l="1"/>
  <c r="D716" i="1" s="1"/>
  <c r="G715" i="1"/>
  <c r="H715" i="1" s="1"/>
  <c r="I716" i="1" l="1"/>
  <c r="K716" i="1" s="1"/>
  <c r="F716" i="1"/>
  <c r="G716" i="1" l="1"/>
  <c r="H716" i="1" s="1"/>
  <c r="J716" i="1" s="1"/>
  <c r="D717" i="1" s="1"/>
  <c r="F717" i="1" l="1"/>
  <c r="I717" i="1"/>
  <c r="K717" i="1" s="1"/>
  <c r="J717" i="1" l="1"/>
  <c r="D718" i="1" s="1"/>
  <c r="G717" i="1"/>
  <c r="H717" i="1" s="1"/>
  <c r="F718" i="1" l="1"/>
  <c r="I718" i="1"/>
  <c r="K718" i="1" s="1"/>
  <c r="G718" i="1" l="1"/>
  <c r="H718" i="1" s="1"/>
  <c r="J718" i="1" s="1"/>
  <c r="D719" i="1" s="1"/>
  <c r="I719" i="1" l="1"/>
  <c r="K719" i="1" s="1"/>
  <c r="F719" i="1"/>
  <c r="G719" i="1" l="1"/>
  <c r="H719" i="1" s="1"/>
  <c r="J719" i="1" s="1"/>
  <c r="D720" i="1" s="1"/>
  <c r="F720" i="1" l="1"/>
  <c r="I720" i="1"/>
  <c r="K720" i="1" s="1"/>
  <c r="G720" i="1" l="1"/>
  <c r="H720" i="1" s="1"/>
  <c r="J720" i="1" s="1"/>
  <c r="D721" i="1" s="1"/>
  <c r="I721" i="1" l="1"/>
  <c r="K721" i="1" s="1"/>
  <c r="F721" i="1"/>
  <c r="G721" i="1" l="1"/>
  <c r="H721" i="1" s="1"/>
  <c r="J721" i="1" s="1"/>
  <c r="D722" i="1" s="1"/>
  <c r="I722" i="1" l="1"/>
  <c r="K722" i="1" s="1"/>
  <c r="F722" i="1"/>
  <c r="G722" i="1" l="1"/>
  <c r="H722" i="1" s="1"/>
  <c r="J722" i="1" s="1"/>
  <c r="D723" i="1" s="1"/>
  <c r="F723" i="1" l="1"/>
  <c r="I723" i="1"/>
  <c r="K723" i="1" s="1"/>
  <c r="G723" i="1" l="1"/>
  <c r="H723" i="1" s="1"/>
  <c r="J723" i="1" s="1"/>
  <c r="D724" i="1" s="1"/>
  <c r="F724" i="1" l="1"/>
  <c r="I724" i="1"/>
  <c r="K724" i="1" s="1"/>
  <c r="J724" i="1" l="1"/>
  <c r="D725" i="1" s="1"/>
  <c r="G724" i="1"/>
  <c r="H724" i="1" s="1"/>
  <c r="F725" i="1" l="1"/>
  <c r="I725" i="1"/>
  <c r="K725" i="1" s="1"/>
  <c r="J725" i="1" l="1"/>
  <c r="D726" i="1" s="1"/>
  <c r="G725" i="1"/>
  <c r="H725" i="1" s="1"/>
  <c r="F726" i="1" l="1"/>
  <c r="I726" i="1"/>
  <c r="K726" i="1" s="1"/>
  <c r="G726" i="1" l="1"/>
  <c r="H726" i="1" s="1"/>
  <c r="J726" i="1" s="1"/>
  <c r="D727" i="1" s="1"/>
  <c r="F727" i="1" l="1"/>
  <c r="I727" i="1"/>
  <c r="K727" i="1" s="1"/>
  <c r="G727" i="1" l="1"/>
  <c r="H727" i="1" s="1"/>
  <c r="J727" i="1" s="1"/>
  <c r="D728" i="1" s="1"/>
  <c r="I728" i="1" l="1"/>
  <c r="K728" i="1" s="1"/>
  <c r="F728" i="1"/>
  <c r="G728" i="1" l="1"/>
  <c r="H728" i="1" s="1"/>
  <c r="J728" i="1" s="1"/>
  <c r="D729" i="1" s="1"/>
  <c r="I729" i="1" l="1"/>
  <c r="K729" i="1" s="1"/>
  <c r="F729" i="1"/>
  <c r="G729" i="1" l="1"/>
  <c r="H729" i="1" s="1"/>
  <c r="J729" i="1" s="1"/>
  <c r="D730" i="1" s="1"/>
  <c r="F730" i="1" l="1"/>
  <c r="I730" i="1"/>
  <c r="K730" i="1" s="1"/>
  <c r="G730" i="1" l="1"/>
  <c r="H730" i="1" s="1"/>
  <c r="J730" i="1" s="1"/>
  <c r="D731" i="1" s="1"/>
  <c r="I731" i="1" l="1"/>
  <c r="K731" i="1" s="1"/>
  <c r="F731" i="1"/>
  <c r="G731" i="1" l="1"/>
  <c r="H731" i="1" s="1"/>
  <c r="J731" i="1" s="1"/>
  <c r="D732" i="1" s="1"/>
  <c r="F732" i="1" l="1"/>
  <c r="I732" i="1"/>
  <c r="K732" i="1" s="1"/>
  <c r="I8" i="1"/>
  <c r="I9" i="1"/>
  <c r="G732" i="1" l="1"/>
  <c r="H732" i="1" s="1"/>
  <c r="J732" i="1"/>
  <c r="I10" i="1" l="1"/>
  <c r="I7" i="1"/>
</calcChain>
</file>

<file path=xl/sharedStrings.xml><?xml version="1.0" encoding="utf-8"?>
<sst xmlns="http://schemas.openxmlformats.org/spreadsheetml/2006/main" count="56" uniqueCount="47">
  <si>
    <t>Monthly</t>
  </si>
  <si>
    <t>Quarterly</t>
  </si>
  <si>
    <t>Annually</t>
  </si>
  <si>
    <t>PAYMENT COMPARISON</t>
  </si>
  <si>
    <t>PAYMENT SCHEDULE</t>
  </si>
  <si>
    <t>LOAN CALCULATOR DATA</t>
  </si>
  <si>
    <t>Bi-monthly</t>
  </si>
  <si>
    <t>Payment Frequency Lookup</t>
  </si>
  <si>
    <t>LOAN PERIOD IN YEARS</t>
  </si>
  <si>
    <t>PAYMENT FREQUENCY</t>
  </si>
  <si>
    <t>ANNUAL INTEREST RATE</t>
  </si>
  <si>
    <t>TOTAL PAYMENTS</t>
  </si>
  <si>
    <t>TOTAL INTEREST</t>
  </si>
  <si>
    <t>LOAN AMOUNT</t>
  </si>
  <si>
    <t>SCENARIO 1</t>
  </si>
  <si>
    <t>SCENARIO 2</t>
  </si>
  <si>
    <t>SCENARIO 3</t>
  </si>
  <si>
    <t>SCHEDULED PAYMENT</t>
  </si>
  <si>
    <t>START DATE OF LOAN</t>
  </si>
  <si>
    <t>OPTIONAL EXTRA PAYMENT</t>
  </si>
  <si>
    <t>ANNUAL INTEREST</t>
  </si>
  <si>
    <t>SCHEDULED # OF PAYMENTS</t>
  </si>
  <si>
    <t>ACTUAL # OF PAYMENTS</t>
  </si>
  <si>
    <t>TOTAL EARLY PAYMENTS</t>
  </si>
  <si>
    <t>LOAN SUMMARY</t>
  </si>
  <si>
    <t>LOAN SCENARIO</t>
  </si>
  <si>
    <t>COST OF LOAN</t>
  </si>
  <si>
    <t>PMT #</t>
  </si>
  <si>
    <t>PAYMENT DATE</t>
  </si>
  <si>
    <t>PRINCIPAL</t>
  </si>
  <si>
    <t>INTEREST</t>
  </si>
  <si>
    <t>SCHEDULED PMT</t>
  </si>
  <si>
    <t>BEGINNING BAL</t>
  </si>
  <si>
    <t>EXTRA PMT</t>
  </si>
  <si>
    <t>TOTAL PMT</t>
  </si>
  <si>
    <t>ENDING BAL</t>
  </si>
  <si>
    <t>CUMULATIVE INT</t>
  </si>
  <si>
    <t>FREQUENCY</t>
  </si>
  <si>
    <t>MONTH INTERVAL</t>
  </si>
  <si>
    <t>DAY INTERVAL</t>
  </si>
  <si>
    <t>YEAR INTERVAL</t>
  </si>
  <si>
    <t>PAYMENTS PER YEAR</t>
  </si>
  <si>
    <t>Cost of Loan</t>
  </si>
  <si>
    <t xml:space="preserve"> </t>
  </si>
  <si>
    <t xml:space="preserve">  </t>
  </si>
  <si>
    <t>This worksheet holds data that is used in loan calculations and to populate drop down lists. Changing information in it may result in incorrect loan payment calculations.</t>
  </si>
  <si>
    <t>Select 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</si>
</sst>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_);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&quot;$&quot;#,##0.00"/>
  </numFmts>
  <fonts count="23" x14ac:knownFonts="1"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23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36"/>
      <color theme="3"/>
      <name val="Calibri"/>
      <family val="2"/>
      <scheme val="major"/>
    </font>
    <font>
      <b/>
      <sz val="20"/>
      <color theme="3"/>
      <name val="Calibri"/>
      <family val="2"/>
      <scheme val="major"/>
    </font>
    <font>
      <sz val="16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1"/>
      <scheme val="major"/>
    </font>
    <font>
      <i/>
      <sz val="11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Calibri"/>
      <family val="2"/>
      <scheme val="minor"/>
    </font>
    <font>
      <sz val="16"/>
      <color theme="3" tint="-0.24994659260841701"/>
      <name val="Calibri"/>
      <family val="2"/>
      <scheme val="minor"/>
    </font>
    <font>
      <sz val="16"/>
      <color theme="3" tint="-0.24994659260841701"/>
      <name val="Calibri"/>
      <family val="2"/>
      <scheme val="major"/>
    </font>
    <font>
      <sz val="12"/>
      <color theme="3" tint="-0.2499465926084170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0"/>
      </left>
      <right/>
      <top/>
      <bottom/>
      <diagonal/>
    </border>
  </borders>
  <cellStyleXfs count="33">
    <xf numFmtId="0" fontId="0" fillId="0" borderId="0"/>
    <xf numFmtId="164" fontId="18" fillId="0" borderId="0" applyFill="0" applyBorder="0" applyAlignment="0" applyProtection="0"/>
    <xf numFmtId="0" fontId="5" fillId="0" borderId="0" applyNumberFormat="0" applyAlignment="0" applyProtection="0"/>
    <xf numFmtId="9" fontId="9" fillId="0" borderId="0" applyFill="0" applyBorder="0" applyAlignment="0" applyProtection="0"/>
    <xf numFmtId="0" fontId="7" fillId="0" borderId="0" applyNumberFormat="0" applyFill="0" applyBorder="0" applyAlignment="0" applyProtection="0"/>
    <xf numFmtId="0" fontId="14" fillId="4" borderId="0" applyNumberFormat="0" applyFill="0" applyBorder="0" applyProtection="0">
      <alignment horizontal="center" vertical="center"/>
    </xf>
    <xf numFmtId="0" fontId="8" fillId="7" borderId="0" applyNumberFormat="0" applyProtection="0">
      <alignment horizontal="left" vertical="center" wrapText="1" indent="1"/>
    </xf>
    <xf numFmtId="168" fontId="9" fillId="0" borderId="0" applyFill="0" applyBorder="0" applyAlignment="0" applyProtection="0"/>
    <xf numFmtId="166" fontId="9" fillId="0" borderId="0" applyFill="0" applyBorder="0" applyAlignment="0" applyProtection="0"/>
    <xf numFmtId="165" fontId="9" fillId="0" borderId="0" applyFill="0" applyBorder="0" applyAlignment="0" applyProtection="0"/>
    <xf numFmtId="0" fontId="9" fillId="9" borderId="1" applyNumberFormat="0" applyAlignment="0" applyProtection="0"/>
    <xf numFmtId="169" fontId="6" fillId="8" borderId="0">
      <alignment horizontal="left" vertical="center" indent="1"/>
      <protection locked="0"/>
    </xf>
    <xf numFmtId="0" fontId="12" fillId="0" borderId="0" applyNumberFormat="0" applyFill="0" applyBorder="0" applyProtection="0">
      <alignment wrapText="1"/>
    </xf>
    <xf numFmtId="0" fontId="10" fillId="0" borderId="0" applyNumberFormat="0" applyFill="0" applyBorder="0" applyAlignment="0" applyProtection="0"/>
    <xf numFmtId="0" fontId="4" fillId="3" borderId="0">
      <alignment wrapText="1"/>
    </xf>
    <xf numFmtId="10" fontId="15" fillId="0" borderId="0" applyFill="0" applyBorder="0" applyAlignment="0" applyProtection="0"/>
    <xf numFmtId="169" fontId="15" fillId="10" borderId="0" applyFill="0" applyBorder="0" applyAlignment="0">
      <alignment horizontal="center" vertical="center" wrapText="1"/>
    </xf>
    <xf numFmtId="1" fontId="13" fillId="5" borderId="0" applyFill="0" applyBorder="0" applyAlignment="0">
      <alignment horizontal="center" vertical="center"/>
    </xf>
    <xf numFmtId="0" fontId="16" fillId="0" borderId="0" applyNumberFormat="0" applyFill="0" applyBorder="0">
      <alignment horizontal="center" vertical="center" wrapText="1"/>
    </xf>
    <xf numFmtId="14" fontId="18" fillId="6" borderId="0" applyFill="0">
      <alignment horizontal="right" vertical="center" indent="1"/>
    </xf>
    <xf numFmtId="0" fontId="9" fillId="0" borderId="0" applyFill="0" applyBorder="0">
      <alignment horizontal="right" vertical="center" indent="1"/>
    </xf>
    <xf numFmtId="14" fontId="9" fillId="0" borderId="0" applyFill="0" applyBorder="0">
      <alignment horizontal="left" vertical="center"/>
    </xf>
    <xf numFmtId="167" fontId="9" fillId="2" borderId="0" applyFont="0" applyFill="0" applyBorder="0" applyAlignment="0">
      <alignment horizontal="right" vertical="center"/>
    </xf>
    <xf numFmtId="1" fontId="9" fillId="0" borderId="0" applyFill="0" applyBorder="0">
      <alignment horizontal="center" vertical="center"/>
    </xf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7" fillId="11" borderId="0" applyBorder="0" applyProtection="0">
      <alignment horizontal="center" vertical="center"/>
    </xf>
    <xf numFmtId="167" fontId="9" fillId="0" borderId="0" applyFont="0" applyFill="0" applyBorder="0" applyAlignment="0">
      <alignment horizontal="left" vertical="center"/>
    </xf>
    <xf numFmtId="0" fontId="20" fillId="3" borderId="0" applyBorder="0" applyAlignment="0">
      <alignment horizontal="center" vertical="center" wrapText="1"/>
    </xf>
    <xf numFmtId="0" fontId="21" fillId="0" borderId="0">
      <alignment wrapText="1"/>
    </xf>
    <xf numFmtId="0" fontId="22" fillId="0" borderId="0" applyNumberFormat="0" applyFill="0" applyBorder="0" applyAlignment="0" applyProtection="0">
      <alignment wrapText="1"/>
    </xf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2" borderId="0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right"/>
    </xf>
    <xf numFmtId="0" fontId="0" fillId="2" borderId="0" xfId="0" applyFont="1" applyFill="1" applyBorder="1" applyProtection="1"/>
    <xf numFmtId="0" fontId="0" fillId="0" borderId="0" xfId="0" applyFont="1" applyBorder="1" applyProtection="1"/>
    <xf numFmtId="0" fontId="5" fillId="0" borderId="0" xfId="2"/>
    <xf numFmtId="0" fontId="0" fillId="0" borderId="0" xfId="0" applyFont="1" applyFill="1" applyBorder="1" applyAlignment="1">
      <alignment horizontal="center" vertical="center"/>
    </xf>
    <xf numFmtId="0" fontId="7" fillId="0" borderId="0" xfId="4" applyAlignment="1">
      <alignment vertical="center"/>
    </xf>
    <xf numFmtId="0" fontId="0" fillId="0" borderId="0" xfId="0"/>
    <xf numFmtId="1" fontId="9" fillId="0" borderId="0" xfId="23" applyFill="1" applyBorder="1">
      <alignment horizontal="center" vertical="center"/>
    </xf>
    <xf numFmtId="0" fontId="17" fillId="11" borderId="0" xfId="28" applyProtection="1">
      <alignment horizontal="center" vertical="center"/>
      <protection locked="0"/>
    </xf>
    <xf numFmtId="164" fontId="18" fillId="12" borderId="0" xfId="1" applyFill="1" applyAlignment="1" applyProtection="1">
      <alignment horizontal="right" vertical="center" indent="1"/>
      <protection locked="0"/>
    </xf>
    <xf numFmtId="0" fontId="0" fillId="0" borderId="0" xfId="0" applyProtection="1"/>
    <xf numFmtId="0" fontId="5" fillId="0" borderId="0" xfId="2" applyAlignment="1" applyProtection="1">
      <alignment horizontal="left" vertical="center"/>
    </xf>
    <xf numFmtId="0" fontId="0" fillId="0" borderId="0" xfId="0" applyFont="1" applyBorder="1" applyAlignment="1" applyProtection="1">
      <alignment horizontal="center"/>
    </xf>
    <xf numFmtId="0" fontId="7" fillId="0" borderId="0" xfId="4" applyAlignment="1" applyProtection="1"/>
    <xf numFmtId="0" fontId="12" fillId="0" borderId="0" xfId="12" applyProtection="1">
      <alignment wrapText="1"/>
    </xf>
    <xf numFmtId="0" fontId="0" fillId="0" borderId="0" xfId="0" applyFont="1" applyBorder="1" applyAlignment="1" applyProtection="1">
      <alignment horizontal="left"/>
    </xf>
    <xf numFmtId="0" fontId="7" fillId="0" borderId="0" xfId="4" applyFont="1" applyFill="1" applyBorder="1" applyAlignment="1" applyProtection="1">
      <alignment horizontal="left" vertical="top"/>
    </xf>
    <xf numFmtId="0" fontId="7" fillId="0" borderId="0" xfId="4" applyFont="1" applyFill="1" applyBorder="1" applyAlignment="1" applyProtection="1">
      <alignment horizontal="center"/>
    </xf>
    <xf numFmtId="0" fontId="0" fillId="0" borderId="0" xfId="4" applyFont="1" applyFill="1" applyBorder="1" applyAlignment="1" applyProtection="1">
      <alignment wrapText="1"/>
    </xf>
    <xf numFmtId="164" fontId="18" fillId="15" borderId="0" xfId="1" applyFill="1" applyBorder="1" applyAlignment="1" applyProtection="1">
      <alignment horizontal="right" vertical="center" indent="1"/>
    </xf>
    <xf numFmtId="1" fontId="18" fillId="14" borderId="0" xfId="26" applyNumberFormat="1" applyAlignment="1" applyProtection="1">
      <alignment horizontal="right" vertical="center" indent="1"/>
    </xf>
    <xf numFmtId="164" fontId="18" fillId="13" borderId="0" xfId="1" applyFill="1" applyAlignment="1" applyProtection="1">
      <alignment horizontal="right" vertical="center" indent="1"/>
    </xf>
    <xf numFmtId="1" fontId="18" fillId="15" borderId="0" xfId="27" applyNumberFormat="1" applyBorder="1" applyAlignment="1" applyProtection="1">
      <alignment horizontal="right" vertical="center" indent="1"/>
    </xf>
    <xf numFmtId="1" fontId="18" fillId="12" borderId="0" xfId="24" applyNumberFormat="1" applyAlignment="1" applyProtection="1">
      <alignment horizontal="right" vertical="center" indent="1"/>
    </xf>
    <xf numFmtId="164" fontId="18" fillId="14" borderId="0" xfId="1" applyFill="1" applyAlignment="1" applyProtection="1">
      <alignment horizontal="right" vertical="center" indent="1"/>
    </xf>
    <xf numFmtId="0" fontId="18" fillId="13" borderId="0" xfId="25" applyNumberFormat="1" applyAlignment="1" applyProtection="1">
      <alignment horizontal="right" vertical="center" indent="1"/>
    </xf>
    <xf numFmtId="10" fontId="18" fillId="12" borderId="0" xfId="24" applyNumberFormat="1" applyAlignment="1" applyProtection="1">
      <alignment horizontal="right" vertical="center" indent="1"/>
    </xf>
    <xf numFmtId="169" fontId="11" fillId="3" borderId="0" xfId="16" applyNumberFormat="1" applyFont="1" applyFill="1" applyBorder="1" applyAlignment="1" applyProtection="1">
      <alignment horizontal="right" vertical="center" indent="1"/>
    </xf>
    <xf numFmtId="0" fontId="0" fillId="0" borderId="0" xfId="0" applyFont="1" applyBorder="1" applyAlignment="1" applyProtection="1">
      <alignment wrapText="1"/>
    </xf>
    <xf numFmtId="1" fontId="0" fillId="0" borderId="0" xfId="17" applyFont="1" applyFill="1" applyProtection="1">
      <alignment horizontal="center" vertical="center"/>
    </xf>
    <xf numFmtId="14" fontId="9" fillId="0" borderId="0" xfId="21" applyFill="1" applyProtection="1">
      <alignment horizontal="left" vertical="center"/>
    </xf>
    <xf numFmtId="167" fontId="19" fillId="2" borderId="0" xfId="29" applyFont="1" applyFill="1" applyBorder="1" applyAlignment="1" applyProtection="1">
      <alignment horizontal="right" vertical="center"/>
    </xf>
    <xf numFmtId="167" fontId="9" fillId="2" borderId="0" xfId="22" applyFill="1" applyBorder="1" applyAlignment="1" applyProtection="1">
      <alignment horizontal="right" vertical="center"/>
    </xf>
    <xf numFmtId="167" fontId="19" fillId="2" borderId="0" xfId="29" applyFont="1" applyFill="1" applyBorder="1" applyAlignment="1" applyProtection="1">
      <alignment wrapText="1"/>
    </xf>
    <xf numFmtId="164" fontId="2" fillId="2" borderId="0" xfId="1" applyFont="1" applyFill="1" applyBorder="1" applyAlignment="1" applyProtection="1">
      <alignment horizontal="right"/>
    </xf>
    <xf numFmtId="39" fontId="2" fillId="2" borderId="0" xfId="1" applyNumberFormat="1" applyFont="1" applyFill="1" applyBorder="1" applyAlignment="1" applyProtection="1">
      <alignment horizontal="right"/>
    </xf>
    <xf numFmtId="0" fontId="5" fillId="0" borderId="0" xfId="2" applyAlignment="1" applyProtection="1">
      <alignment vertical="center"/>
    </xf>
    <xf numFmtId="0" fontId="7" fillId="0" borderId="0" xfId="4" applyFont="1" applyAlignment="1" applyProtection="1">
      <alignment horizontal="left" vertical="center" indent="1"/>
    </xf>
    <xf numFmtId="0" fontId="3" fillId="0" borderId="0" xfId="0" applyFont="1" applyProtection="1"/>
    <xf numFmtId="0" fontId="4" fillId="3" borderId="0" xfId="14" applyProtection="1">
      <alignment wrapText="1"/>
    </xf>
    <xf numFmtId="169" fontId="15" fillId="3" borderId="0" xfId="16" applyFill="1" applyAlignment="1" applyProtection="1">
      <alignment wrapText="1"/>
    </xf>
    <xf numFmtId="169" fontId="6" fillId="8" borderId="0" xfId="1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8" fillId="7" borderId="0" xfId="6" applyProtection="1">
      <alignment horizontal="left" vertical="center" wrapText="1" indent="1"/>
    </xf>
    <xf numFmtId="0" fontId="14" fillId="17" borderId="0" xfId="5" applyFill="1" applyBorder="1" applyProtection="1">
      <alignment horizontal="center" vertical="center"/>
    </xf>
    <xf numFmtId="0" fontId="14" fillId="14" borderId="0" xfId="5" applyFill="1" applyBorder="1" applyProtection="1">
      <alignment horizontal="center" vertical="center"/>
    </xf>
    <xf numFmtId="0" fontId="20" fillId="3" borderId="0" xfId="30" applyBorder="1" applyAlignment="1">
      <alignment horizontal="center" vertical="center"/>
    </xf>
    <xf numFmtId="0" fontId="20" fillId="3" borderId="0" xfId="30" applyBorder="1" applyAlignment="1">
      <alignment horizontal="center" vertical="center" wrapText="1"/>
    </xf>
    <xf numFmtId="0" fontId="14" fillId="12" borderId="0" xfId="5" applyFill="1" applyProtection="1">
      <alignment horizontal="center" vertical="center"/>
    </xf>
    <xf numFmtId="1" fontId="16" fillId="16" borderId="0" xfId="18" applyNumberFormat="1" applyFill="1" applyBorder="1" applyProtection="1">
      <alignment horizontal="center" vertical="center" wrapText="1"/>
    </xf>
    <xf numFmtId="1" fontId="16" fillId="18" borderId="0" xfId="18" applyNumberFormat="1" applyFill="1" applyBorder="1" applyProtection="1">
      <alignment horizontal="center" vertical="center" wrapText="1"/>
    </xf>
    <xf numFmtId="1" fontId="16" fillId="15" borderId="0" xfId="18" applyNumberFormat="1" applyFill="1" applyBorder="1" applyProtection="1">
      <alignment horizontal="center" vertical="center" wrapText="1"/>
    </xf>
    <xf numFmtId="169" fontId="16" fillId="12" borderId="0" xfId="18" applyNumberFormat="1" applyFill="1" applyBorder="1" applyProtection="1">
      <alignment horizontal="center" vertical="center" wrapText="1"/>
    </xf>
    <xf numFmtId="169" fontId="16" fillId="17" borderId="0" xfId="18" applyNumberFormat="1" applyFill="1" applyBorder="1" applyProtection="1">
      <alignment horizontal="center" vertical="center" wrapText="1"/>
    </xf>
    <xf numFmtId="169" fontId="16" fillId="14" borderId="0" xfId="18" applyNumberFormat="1" applyFill="1" applyBorder="1" applyProtection="1">
      <alignment horizontal="center" vertical="center" wrapText="1"/>
    </xf>
    <xf numFmtId="1" fontId="16" fillId="16" borderId="0" xfId="18" applyNumberFormat="1" applyFill="1" applyBorder="1" applyProtection="1">
      <alignment horizontal="center" vertical="center" wrapText="1"/>
      <protection locked="0"/>
    </xf>
    <xf numFmtId="1" fontId="16" fillId="18" borderId="0" xfId="18" applyNumberFormat="1" applyFill="1" applyBorder="1" applyProtection="1">
      <alignment horizontal="center" vertical="center" wrapText="1"/>
      <protection locked="0"/>
    </xf>
    <xf numFmtId="1" fontId="16" fillId="15" borderId="0" xfId="18" applyNumberFormat="1" applyFill="1" applyBorder="1" applyProtection="1">
      <alignment horizontal="center" vertical="center" wrapText="1"/>
      <protection locked="0"/>
    </xf>
    <xf numFmtId="0" fontId="16" fillId="12" borderId="0" xfId="18" applyFill="1" applyBorder="1" applyProtection="1">
      <alignment horizontal="center" vertical="center" wrapText="1"/>
      <protection locked="0"/>
    </xf>
    <xf numFmtId="0" fontId="16" fillId="17" borderId="0" xfId="18" applyFill="1" applyBorder="1" applyProtection="1">
      <alignment horizontal="center" vertical="center" wrapText="1"/>
      <protection locked="0"/>
    </xf>
    <xf numFmtId="0" fontId="16" fillId="14" borderId="0" xfId="18" applyFill="1" applyBorder="1" applyProtection="1">
      <alignment horizontal="center" vertical="center" wrapText="1"/>
      <protection locked="0"/>
    </xf>
    <xf numFmtId="10" fontId="16" fillId="16" borderId="0" xfId="18" applyNumberFormat="1" applyFill="1" applyBorder="1" applyProtection="1">
      <alignment horizontal="center" vertical="center" wrapText="1"/>
      <protection locked="0"/>
    </xf>
    <xf numFmtId="10" fontId="16" fillId="18" borderId="0" xfId="18" applyNumberFormat="1" applyFill="1" applyBorder="1" applyProtection="1">
      <alignment horizontal="center" vertical="center" wrapText="1"/>
      <protection locked="0"/>
    </xf>
    <xf numFmtId="10" fontId="16" fillId="15" borderId="0" xfId="18" applyNumberFormat="1" applyFill="1" applyBorder="1" applyProtection="1">
      <alignment horizontal="center" vertical="center" wrapText="1"/>
      <protection locked="0"/>
    </xf>
    <xf numFmtId="0" fontId="20" fillId="3" borderId="2" xfId="30" applyBorder="1" applyAlignment="1" applyProtection="1">
      <alignment horizontal="left" vertical="center" wrapText="1" indent="2"/>
    </xf>
    <xf numFmtId="0" fontId="20" fillId="3" borderId="0" xfId="30" applyBorder="1" applyAlignment="1" applyProtection="1">
      <alignment horizontal="left" vertical="center" wrapText="1" indent="2"/>
    </xf>
    <xf numFmtId="0" fontId="20" fillId="3" borderId="0" xfId="30" applyBorder="1" applyAlignment="1" applyProtection="1">
      <alignment horizontal="center" vertical="center" wrapText="1"/>
    </xf>
    <xf numFmtId="14" fontId="18" fillId="13" borderId="0" xfId="19" applyFill="1" applyProtection="1">
      <alignment horizontal="right" vertical="center" indent="1"/>
      <protection locked="0"/>
    </xf>
    <xf numFmtId="0" fontId="8" fillId="7" borderId="0" xfId="6" applyProtection="1">
      <alignment horizontal="left" vertical="center" wrapText="1" indent="1"/>
    </xf>
    <xf numFmtId="0" fontId="8" fillId="7" borderId="0" xfId="6" applyBorder="1" applyProtection="1">
      <alignment horizontal="left" vertical="center" wrapText="1" indent="1"/>
    </xf>
    <xf numFmtId="0" fontId="0" fillId="0" borderId="0" xfId="0"/>
  </cellXfs>
  <cellStyles count="33">
    <cellStyle name="20% - Accent1" xfId="24" builtinId="30" customBuiltin="1"/>
    <cellStyle name="20% - Accent2" xfId="26" builtinId="34" customBuiltin="1"/>
    <cellStyle name="40% - Accent1" xfId="25" builtinId="31" customBuiltin="1"/>
    <cellStyle name="40% - Accent2" xfId="27" builtinId="35" customBuiltin="1"/>
    <cellStyle name="Amounts" xfId="16"/>
    <cellStyle name="Comma" xfId="7" builtinId="3" customBuiltin="1"/>
    <cellStyle name="Comma [0]" xfId="8" builtinId="6" customBuiltin="1"/>
    <cellStyle name="Cost of Loan" xfId="14"/>
    <cellStyle name="Currency" xfId="1" builtinId="4" customBuiltin="1"/>
    <cellStyle name="Currency [0]" xfId="9" builtinId="7" customBuiltin="1"/>
    <cellStyle name="Date" xfId="19"/>
    <cellStyle name="Explanatory Text" xfId="12" builtinId="53" customBuiltin="1"/>
    <cellStyle name="Frequency Lookup" xfId="23"/>
    <cellStyle name="Heading 1" xfId="4" builtinId="16" customBuiltin="1"/>
    <cellStyle name="Heading 2" xfId="5" builtinId="17" customBuiltin="1"/>
    <cellStyle name="Heading 3" xfId="6" builtinId="18" customBuiltin="1"/>
    <cellStyle name="Heading 4" xfId="13" builtinId="19" customBuiltin="1"/>
    <cellStyle name="Heading Fill" xfId="30"/>
    <cellStyle name="Hyperlink 2" xfId="32"/>
    <cellStyle name="Loan_Amount" xfId="11"/>
    <cellStyle name="Normal" xfId="0" builtinId="0" customBuiltin="1"/>
    <cellStyle name="Normal 2" xfId="31"/>
    <cellStyle name="Note" xfId="10" builtinId="10" customBuiltin="1"/>
    <cellStyle name="Number" xfId="17"/>
    <cellStyle name="Payment comparison table details" xfId="18"/>
    <cellStyle name="Payment Schedule currency" xfId="29"/>
    <cellStyle name="Payment Schedule date" xfId="21"/>
    <cellStyle name="payment schedule table format" xfId="20"/>
    <cellStyle name="Percent" xfId="3" builtinId="5" customBuiltin="1"/>
    <cellStyle name="Percent2" xfId="15"/>
    <cellStyle name="Scenario drop down list" xfId="28"/>
    <cellStyle name="Scheduled PMT" xfId="22"/>
    <cellStyle name="Title" xfId="2" builtinId="15" customBuiltin="1"/>
  </cellStyles>
  <dxfs count="29">
    <dxf>
      <font>
        <color theme="1"/>
      </font>
      <fill>
        <patternFill>
          <bgColor theme="0" tint="-4.9989318521683403E-2"/>
        </patternFill>
      </fill>
      <border>
        <left/>
        <right/>
        <top/>
        <bottom/>
      </border>
    </dxf>
    <dxf>
      <font>
        <color theme="1"/>
      </font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1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  <name val="Cambria"/>
        <scheme val="none"/>
      </font>
      <fill>
        <patternFill patternType="solid">
          <bgColor indexed="9"/>
        </patternFill>
      </fill>
    </dxf>
    <dxf>
      <protection locked="0" hidden="0"/>
    </dxf>
    <dxf>
      <protection locked="1" hidden="0"/>
    </dxf>
    <dxf>
      <numFmt numFmtId="169" formatCode="&quot;$&quot;#,##0.0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protection locked="0" hidden="0"/>
    </dxf>
    <dxf>
      <protection locked="1" hidden="0"/>
    </dxf>
    <dxf>
      <numFmt numFmtId="169" formatCode="&quot;$&quot;#,##0.00"/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protection locked="0" hidden="0"/>
    </dxf>
    <dxf>
      <numFmt numFmtId="169" formatCode="&quot;$&quot;#,##0.00"/>
      <alignment horizontal="center" vertical="center" textRotation="0" wrapText="1" indent="0" justifyLastLine="0" shrinkToFit="0" readingOrder="0"/>
    </dxf>
    <dxf>
      <protection locked="0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/>
        <name val="Calibri"/>
        <scheme val="major"/>
      </font>
      <numFmt numFmtId="169" formatCode="&quot;$&quot;#,##0.00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protection locked="0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color theme="0"/>
      </font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5" tint="0.79998168889431442"/>
        </patternFill>
      </fill>
    </dxf>
    <dxf>
      <font>
        <b val="0"/>
        <i val="0"/>
        <color theme="3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 val="0"/>
        <i val="0"/>
        <color theme="3" tint="-0.24994659260841701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0"/>
      </font>
      <fill>
        <patternFill patternType="solid">
          <bgColor theme="3"/>
        </patternFill>
      </fill>
    </dxf>
    <dxf>
      <font>
        <b val="0"/>
        <i val="0"/>
        <color theme="3"/>
      </font>
      <fill>
        <patternFill patternType="none">
          <bgColor auto="1"/>
        </patternFill>
      </fill>
    </dxf>
  </dxfs>
  <tableStyles count="2" defaultTableStyle="Payment tables" defaultPivotStyle="PivotStyleLight16">
    <tableStyle name="Loan Calculator Data" pivot="0" count="4">
      <tableStyleElement type="wholeTable" dxfId="28"/>
      <tableStyleElement type="headerRow" dxfId="27"/>
      <tableStyleElement type="totalRow" dxfId="26"/>
      <tableStyleElement type="secondRowStripe" dxfId="25"/>
    </tableStyle>
    <tableStyle name="Payment tables" pivot="0" count="6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ColumnStripe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'Payment Comparison'!$B$2</c:f>
              <c:strCache>
                <c:ptCount val="1"/>
                <c:pt idx="0">
                  <c:v>LOAN AMOUNT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bg1"/>
              </a:solidFill>
            </a:ln>
            <a:effectLst/>
          </c:spPr>
          <c:invertIfNegative val="0"/>
          <c:cat>
            <c:strRef>
              <c:f>('Payment Comparison'!$C$3,'Payment Comparison'!$D$3,'Payment Comparison'!$E$3)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('Payment Comparison'!$B$3,'Payment Comparison'!$B$3,'Payment Comparison'!$B$3)</c:f>
              <c:numCache>
                <c:formatCode>"$"#,##0.00</c:formatCode>
                <c:ptCount val="3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1-4BBB-AA72-5731855172E2}"/>
            </c:ext>
          </c:extLst>
        </c:ser>
        <c:ser>
          <c:idx val="0"/>
          <c:order val="1"/>
          <c:tx>
            <c:strRef>
              <c:f>'Payment Comparison'!$B$9</c:f>
              <c:strCache>
                <c:ptCount val="1"/>
                <c:pt idx="0">
                  <c:v>TOTAL INTEREST</c:v>
                </c:pt>
              </c:strCache>
            </c:strRef>
          </c:tx>
          <c:spPr>
            <a:solidFill>
              <a:schemeClr val="accent2"/>
            </a:solidFill>
            <a:ln w="15875">
              <a:solidFill>
                <a:schemeClr val="bg1"/>
              </a:solidFill>
            </a:ln>
            <a:effectLst/>
          </c:spPr>
          <c:invertIfNegative val="0"/>
          <c:cat>
            <c:strRef>
              <c:f>('Payment Comparison'!$C$3,'Payment Comparison'!$D$3,'Payment Comparison'!$E$3)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('Payment Comparison'!$C$9,'Payment Comparison'!$D$9,'Payment Comparison'!$E$9)</c:f>
              <c:numCache>
                <c:formatCode>"$"#,##0.00</c:formatCode>
                <c:ptCount val="3"/>
                <c:pt idx="0">
                  <c:v>87584.06611799667</c:v>
                </c:pt>
                <c:pt idx="1">
                  <c:v>139753.76197585522</c:v>
                </c:pt>
                <c:pt idx="2">
                  <c:v>68152.918547790759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1-4BBB-AA72-57318551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443552112"/>
        <c:axId val="642590368"/>
      </c:barChart>
      <c:catAx>
        <c:axId val="443552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42590368"/>
        <c:crosses val="autoZero"/>
        <c:auto val="1"/>
        <c:lblAlgn val="ctr"/>
        <c:lblOffset val="100"/>
        <c:noMultiLvlLbl val="0"/>
      </c:catAx>
      <c:valAx>
        <c:axId val="642590368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4435521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090919669524067"/>
          <c:y val="2.8070175438596492E-2"/>
          <c:w val="0.44256019721672724"/>
          <c:h val="6.7704102776626612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1</xdr:row>
      <xdr:rowOff>9526</xdr:rowOff>
    </xdr:from>
    <xdr:to>
      <xdr:col>6</xdr:col>
      <xdr:colOff>5962650</xdr:colOff>
      <xdr:row>9</xdr:row>
      <xdr:rowOff>333376</xdr:rowOff>
    </xdr:to>
    <xdr:graphicFrame macro="">
      <xdr:nvGraphicFramePr>
        <xdr:cNvPr id="3" name="Payment Comparison" descr="Stacked bar chart showing Loan Amount and Total Interest for Scenario 1, Scenario 2, and Scenari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h\Dropbox\Esther%20files\MyExcelOnline%20Partnership\Templates%20v0.2\Lists\Wine%20collection%20li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WINE COLLECTION"/>
      <sheetName val="Wine collection list1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4" name="LoanComparisonInfo" displayName="LoanComparisonInfo" ref="B3:E10" headerRowCount="0" totalsRowCount="1" headerRowDxfId="18" dataDxfId="17" totalsRowDxfId="16">
  <tableColumns count="4">
    <tableColumn id="1" name="Column1" totalsRowLabel="Cost of Loan" headerRowDxfId="15" dataDxfId="14" totalsRowDxfId="13" headerRowCellStyle="Heading 1" dataCellStyle="Cost of Loan"/>
    <tableColumn id="2" name="Column2" totalsRowFunction="custom" headerRowDxfId="12" totalsRowDxfId="11" headerRowCellStyle="Heading 2" dataCellStyle="Payment comparison table details">
      <totalsRowFormula>IFERROR(LoanAmount+S1TotalInterest,"")</totalsRowFormula>
    </tableColumn>
    <tableColumn id="3" name="Column3" totalsRowFunction="custom" headerRowDxfId="10" dataDxfId="9" totalsRowDxfId="8" headerRowCellStyle="Heading 2" dataCellStyle="Payment comparison table details">
      <totalsRowFormula>IFERROR(LoanAmount+S2TotalInterest,"")</totalsRowFormula>
    </tableColumn>
    <tableColumn id="4" name="Column4" totalsRowFunction="custom" headerRowDxfId="7" dataDxfId="6" totalsRowDxfId="5" headerRowCellStyle="Heading 2" dataCellStyle="Payment comparison table details">
      <totalsRowFormula>IFERROR(LoanAmount+S3TotalInterest,"")</totalsRowFormula>
    </tableColumn>
  </tableColumns>
  <tableStyleInfo name="Payment tables" showFirstColumn="1" showLastColumn="1" showRowStripes="1" showColumnStripes="0"/>
  <extLst>
    <ext xmlns:x14="http://schemas.microsoft.com/office/spreadsheetml/2009/9/main" uri="{504A1905-F514-4f6f-8877-14C23A59335A}">
      <x14:table altTextSummary="Enter loan amount in B4 and the relevant loan information in columns C, D and E"/>
    </ext>
  </extLst>
</table>
</file>

<file path=xl/tables/table2.xml><?xml version="1.0" encoding="utf-8"?>
<table xmlns="http://schemas.openxmlformats.org/spreadsheetml/2006/main" id="1" name="LoanLookup" displayName="LoanLookup" ref="B4:F8" totalsRowShown="0" headerRowCellStyle="Heading Fill">
  <tableColumns count="5">
    <tableColumn id="1" name="FREQUENCY"/>
    <tableColumn id="3" name="MONTH INTERVAL" dataCellStyle="Frequency Lookup"/>
    <tableColumn id="4" name="DAY INTERVAL" dataCellStyle="Frequency Lookup"/>
    <tableColumn id="5" name="YEAR INTERVAL" dataCellStyle="Frequency Lookup"/>
    <tableColumn id="6" name="PAYMENTS PER YEAR" dataCellStyle="Frequency Lookup"/>
  </tableColumns>
  <tableStyleInfo name="Loan Calculator Data" showFirstColumn="1" showLastColumn="0" showRowStripes="1" showColumnStripes="0"/>
  <extLst>
    <ext xmlns:x14="http://schemas.microsoft.com/office/spreadsheetml/2009/9/main" uri="{504A1905-F514-4f6f-8877-14C23A59335A}">
      <x14:table altTextSummary="Enter values for payment frequency, for example, bi-monthly, monthly, quarterly, and annually in this table"/>
    </ext>
  </extLst>
</table>
</file>

<file path=xl/theme/theme1.xml><?xml version="1.0" encoding="utf-8"?>
<a:theme xmlns:a="http://schemas.openxmlformats.org/drawingml/2006/main" name="(34)-SimpleLoanTheme">
  <a:themeElements>
    <a:clrScheme name="Simple Loan Calculator">
      <a:dk1>
        <a:sysClr val="windowText" lastClr="000000"/>
      </a:dk1>
      <a:lt1>
        <a:sysClr val="window" lastClr="FFFFFF"/>
      </a:lt1>
      <a:dk2>
        <a:srgbClr val="376268"/>
      </a:dk2>
      <a:lt2>
        <a:srgbClr val="D8D8D8"/>
      </a:lt2>
      <a:accent1>
        <a:srgbClr val="BCBB50"/>
      </a:accent1>
      <a:accent2>
        <a:srgbClr val="6F9167"/>
      </a:accent2>
      <a:accent3>
        <a:srgbClr val="8F7578"/>
      </a:accent3>
      <a:accent4>
        <a:srgbClr val="C3AD83"/>
      </a:accent4>
      <a:accent5>
        <a:srgbClr val="6C6C6C"/>
      </a:accent5>
      <a:accent6>
        <a:srgbClr val="A4874F"/>
      </a:accent6>
      <a:hlink>
        <a:srgbClr val="4A838B"/>
      </a:hlink>
      <a:folHlink>
        <a:srgbClr val="8F7578"/>
      </a:folHlink>
    </a:clrScheme>
    <a:fontScheme name="Simple Loan Calculato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(34)-SimpleLoanTheme" id="{C583A209-BAC8-401E-8612-2BE1F016A467}" vid="{65BF2A46-E2DA-48ED-8A58-ED63CB9528C9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E10"/>
  <sheetViews>
    <sheetView showGridLines="0" tabSelected="1" zoomScaleNormal="100" workbookViewId="0"/>
  </sheetViews>
  <sheetFormatPr defaultRowHeight="15" x14ac:dyDescent="0.25"/>
  <cols>
    <col min="1" max="1" width="2.7109375" style="13" customWidth="1"/>
    <col min="2" max="2" width="35.7109375" style="13" customWidth="1"/>
    <col min="3" max="5" width="21" style="13" customWidth="1"/>
    <col min="6" max="6" width="2.7109375" style="13" customWidth="1"/>
    <col min="7" max="7" width="92.42578125" style="13" customWidth="1"/>
    <col min="8" max="16384" width="9.140625" style="13"/>
  </cols>
  <sheetData>
    <row r="1" spans="1:5" ht="54.75" customHeight="1" x14ac:dyDescent="0.25">
      <c r="A1" s="45"/>
      <c r="B1" s="39" t="s">
        <v>3</v>
      </c>
    </row>
    <row r="2" spans="1:5" ht="27.75" customHeight="1" x14ac:dyDescent="0.25">
      <c r="B2" s="40" t="s">
        <v>13</v>
      </c>
      <c r="C2" s="41"/>
    </row>
    <row r="3" spans="1:5" ht="51.75" customHeight="1" x14ac:dyDescent="0.25">
      <c r="B3" s="44">
        <v>150000</v>
      </c>
      <c r="C3" s="51" t="s">
        <v>14</v>
      </c>
      <c r="D3" s="47" t="s">
        <v>15</v>
      </c>
      <c r="E3" s="48" t="s">
        <v>16</v>
      </c>
    </row>
    <row r="4" spans="1:5" ht="30" customHeight="1" x14ac:dyDescent="0.25">
      <c r="B4" s="46" t="s">
        <v>8</v>
      </c>
      <c r="C4" s="58">
        <v>20</v>
      </c>
      <c r="D4" s="59">
        <v>30</v>
      </c>
      <c r="E4" s="60">
        <v>20</v>
      </c>
    </row>
    <row r="5" spans="1:5" ht="30" customHeight="1" x14ac:dyDescent="0.25">
      <c r="B5" s="46" t="s">
        <v>9</v>
      </c>
      <c r="C5" s="61" t="s">
        <v>0</v>
      </c>
      <c r="D5" s="62" t="s">
        <v>6</v>
      </c>
      <c r="E5" s="63" t="s">
        <v>0</v>
      </c>
    </row>
    <row r="6" spans="1:5" ht="30" customHeight="1" x14ac:dyDescent="0.25">
      <c r="B6" s="46" t="s">
        <v>10</v>
      </c>
      <c r="C6" s="64">
        <v>0.05</v>
      </c>
      <c r="D6" s="65">
        <v>0.05</v>
      </c>
      <c r="E6" s="66">
        <v>0.04</v>
      </c>
    </row>
    <row r="7" spans="1:5" ht="30" customHeight="1" x14ac:dyDescent="0.25">
      <c r="B7" s="46" t="s">
        <v>17</v>
      </c>
      <c r="C7" s="55">
        <f>IFERROR(-PMT(S1Interest/VLOOKUP(S1PaymentFrequency,LoanLookup[],5,FALSE),S1LoanPeriod*VLOOKUP(S1PaymentFrequency,LoanLookup[],5,FALSE),LoanAmount),"")</f>
        <v>989.93360882498609</v>
      </c>
      <c r="D7" s="56">
        <f>IFERROR(-PMT(S2Interest/VLOOKUP(S2PaymentFrequency,LoanLookup[],5,FALSE),S2LoanPeriod*VLOOKUP(S2PaymentFrequency,LoanLookup[],5,FALSE),LoanAmount),"")</f>
        <v>402.4357805220211</v>
      </c>
      <c r="E7" s="57">
        <f>IFERROR(-PMT(S3Interest/VLOOKUP(S3PaymentFrequency,LoanLookup[],5,FALSE),S3LoanPeriod*VLOOKUP(S3PaymentFrequency,LoanLookup[],5,FALSE),LoanAmount),"")</f>
        <v>908.97049394912813</v>
      </c>
    </row>
    <row r="8" spans="1:5" ht="30" customHeight="1" x14ac:dyDescent="0.25">
      <c r="B8" s="46" t="s">
        <v>11</v>
      </c>
      <c r="C8" s="52">
        <f>IFERROR(S1LoanPeriod*VLOOKUP(S1PaymentFrequency,LoanLookup[],5,FALSE),"")</f>
        <v>240</v>
      </c>
      <c r="D8" s="53">
        <f>IFERROR(S2LoanPeriod*VLOOKUP(S2PaymentFrequency,LoanLookup[],5,FALSE),"")</f>
        <v>720</v>
      </c>
      <c r="E8" s="54">
        <f>IFERROR(S3LoanPeriod*VLOOKUP(S3PaymentFrequency,LoanLookup[],5,FALSE),"")</f>
        <v>240</v>
      </c>
    </row>
    <row r="9" spans="1:5" ht="30" customHeight="1" x14ac:dyDescent="0.25">
      <c r="B9" s="46" t="s">
        <v>12</v>
      </c>
      <c r="C9" s="55">
        <f>IFERROR((S1ScheduledPayment*S1TotalPayments)-LoanAmount,"")</f>
        <v>87584.06611799667</v>
      </c>
      <c r="D9" s="56">
        <f>IFERROR((S2ScheduledPayment*S2TotalPayments)-LoanAmount,"")</f>
        <v>139753.76197585522</v>
      </c>
      <c r="E9" s="57">
        <f>IFERROR((S3ScheduledPayment*S3TotalPayments)-LoanAmount,"")</f>
        <v>68152.918547790759</v>
      </c>
    </row>
    <row r="10" spans="1:5" ht="27.75" customHeight="1" x14ac:dyDescent="0.35">
      <c r="B10" s="42" t="s">
        <v>42</v>
      </c>
      <c r="C10" s="43">
        <f>IFERROR(LoanAmount+S1TotalInterest,"")</f>
        <v>237584.06611799667</v>
      </c>
      <c r="D10" s="43">
        <f>IFERROR(LoanAmount+S2TotalInterest,"")</f>
        <v>289753.76197585522</v>
      </c>
      <c r="E10" s="43">
        <f>IFERROR(LoanAmount+S3TotalInterest,"")</f>
        <v>218152.91854779076</v>
      </c>
    </row>
  </sheetData>
  <sheetProtection sheet="1" objects="1" scenarios="1"/>
  <dataValidations xWindow="327" yWindow="490" count="26">
    <dataValidation allowBlank="1" showInputMessage="1" showErrorMessage="1" prompt="Enter loan amount in this cell" sqref="B3"/>
    <dataValidation allowBlank="1" showInputMessage="1" showErrorMessage="1" prompt="Enter loan period in years for scenario 1 in this cell" sqref="C4"/>
    <dataValidation allowBlank="1" showInputMessage="1" showErrorMessage="1" prompt="Enter annual interest rate for scenario 1 in this cell" sqref="C6"/>
    <dataValidation allowBlank="1" showInputMessage="1" showErrorMessage="1" prompt="Scheduled payment is automatically calculated using the inputs entered for scenario 1 in this cell" sqref="C7"/>
    <dataValidation allowBlank="1" showInputMessage="1" showErrorMessage="1" prompt="Total Payments are automatically calculated using the inputs entered for scenario 1 in this cell" sqref="C8"/>
    <dataValidation allowBlank="1" showInputMessage="1" showErrorMessage="1" prompt="Total interest is automatically calculated using the inputs entered for scenario 1 in this cell" sqref="C9"/>
    <dataValidation allowBlank="1" showInputMessage="1" showErrorMessage="1" prompt="Enter loan period in years for scenario 2 in this cell" sqref="D4"/>
    <dataValidation allowBlank="1" showInputMessage="1" showErrorMessage="1" prompt="Enter loan period in years for scenario 3 in this cell" sqref="E4"/>
    <dataValidation allowBlank="1" showInputMessage="1" showErrorMessage="1" prompt="Enter annual interest rate for scenario 2 in this cell" sqref="D6"/>
    <dataValidation allowBlank="1" showInputMessage="1" showErrorMessage="1" prompt="Enter annual interest rate for scenario 3 in this cell" sqref="E6"/>
    <dataValidation allowBlank="1" showInputMessage="1" showErrorMessage="1" prompt="Scheduled payment is automatically calculated using the inputs entered for scenario 2 in this cell" sqref="D7"/>
    <dataValidation allowBlank="1" showInputMessage="1" showErrorMessage="1" prompt="Scheduled payment is automatically calculated using the inputs entered for scenario 3 in this cell" sqref="E7"/>
    <dataValidation allowBlank="1" showInputMessage="1" showErrorMessage="1" prompt="Total Payments are automatically calculated using the inputs entered for scenario 2 in this cell" sqref="D8"/>
    <dataValidation allowBlank="1" showInputMessage="1" showErrorMessage="1" prompt="Total Payments are automatically calculated using the inputs entered for scenario 3 in this cell" sqref="E8"/>
    <dataValidation allowBlank="1" showInputMessage="1" showErrorMessage="1" prompt="Total interest is automatically calculated using the inputs entered for scenario 2 in this cell" sqref="D9"/>
    <dataValidation allowBlank="1" showInputMessage="1" showErrorMessage="1" prompt="Total interest is automatically calculated using the inputs entered for scenario 3 in this cell" sqref="E9"/>
    <dataValidation allowBlank="1" showInputMessage="1" showErrorMessage="1" prompt="Stacked bar chart in cells G2 to G10 showing Loan Amount and Total Interest comparisons for each scenario" sqref="G2"/>
    <dataValidation allowBlank="1" showInputMessage="1" showErrorMessage="1" prompt="This workbook automatically generates a 3 loan comparison when Loan Amount, Payment Frequency, Annual Interest Rate, and Loan Period in Years is updated. A chart is in G2" sqref="A1"/>
    <dataValidation allowBlank="1" showInputMessage="1" showErrorMessage="1" prompt="Enter loan information for scenario 1 in this column. The chart at right in cell G3 will automatically update along with scheduled payment, total payments and total interest" sqref="C3"/>
    <dataValidation allowBlank="1" showInputMessage="1" showErrorMessage="1" prompt="Enter loan information for scenario 3 in this column. The chart at right in cell G3 will automatically update along with scheduled payment, total payments and total interest" sqref="E3"/>
    <dataValidation allowBlank="1" showInputMessage="1" showErrorMessage="1" prompt="Enter loan information for scenario 2 in this column. The chart at right in cell G3 will automatically update along with scheduled payment, total payments and total interest" sqref="D3"/>
    <dataValidation allowBlank="1" showInputMessage="1" showErrorMessage="1" prompt="Enter Loan information in the Loan Comparison Info table below" sqref="B2"/>
    <dataValidation allowBlank="1" showInputMessage="1" showErrorMessage="1" prompt="Worksheet title is in this cell" sqref="B1"/>
    <dataValidation type="list" errorStyle="warning" allowBlank="1" showInputMessage="1" showErrorMessage="1" error="Select payment frequency from the list. Select CANCEL, then press ALT+DOWN ARROW to open drop-down list and ENTER to make selection" prompt="Enter payment frequency in this cell for scenario 2. Press ALT+DOWN ARROW to open drop-down list, then press ENTER to select the payment frequency in this cell" sqref="D5">
      <formula1>Payment_Frequency</formula1>
    </dataValidation>
    <dataValidation type="list" errorStyle="warning" allowBlank="1" showInputMessage="1" showErrorMessage="1" error="Select payment frequency from the list. Select CANCEL, then press ALT+DOWN ARROW to open drop-down list and ENTER to make selection" prompt="Enter payment frequency in this cell for scenario 1. Press ALT+DOWN ARROW to open drop-down list, then press ENTER to select the payment frequency in this cell" sqref="C5">
      <formula1>Payment_Frequency</formula1>
    </dataValidation>
    <dataValidation type="list" errorStyle="warning" allowBlank="1" showInputMessage="1" showErrorMessage="1" error="Select payment frequency from the list. Select CANCEL, then press ALT+DOWN ARROW to open drop-down list and ENTER to make selection" prompt="Enter payment frequency in this cell for scenario 3. Press ALT+DOWN ARROW to open drop-down list, then press ENTER to select the payment frequency in this cell" sqref="E5">
      <formula1>Payment_Frequency</formula1>
    </dataValidation>
  </dataValidations>
  <printOptions horizontalCentered="1"/>
  <pageMargins left="0.7" right="0.7" top="0.75" bottom="0.75" header="0.3" footer="0.3"/>
  <pageSetup scale="62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L732"/>
  <sheetViews>
    <sheetView showGridLines="0" zoomScaleNormal="10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.7109375" style="5" customWidth="1"/>
    <col min="2" max="2" width="10.28515625" style="18" customWidth="1"/>
    <col min="3" max="5" width="19.7109375" style="15" customWidth="1"/>
    <col min="6" max="6" width="16.42578125" style="15" customWidth="1"/>
    <col min="7" max="11" width="19.7109375" style="15" customWidth="1"/>
    <col min="12" max="12" width="2.7109375" style="5" customWidth="1"/>
    <col min="13" max="16384" width="9.140625" style="5"/>
  </cols>
  <sheetData>
    <row r="1" spans="1:12" ht="54.75" customHeight="1" x14ac:dyDescent="0.35">
      <c r="A1" s="45"/>
      <c r="B1" s="14" t="s">
        <v>4</v>
      </c>
      <c r="D1" s="13"/>
      <c r="E1" s="13"/>
      <c r="F1" s="13"/>
      <c r="G1" s="13"/>
      <c r="I1" s="16"/>
      <c r="K1" s="5"/>
      <c r="L1" s="13"/>
    </row>
    <row r="2" spans="1:12" ht="45" customHeight="1" x14ac:dyDescent="0.35">
      <c r="A2" s="13"/>
      <c r="B2" s="17" t="s">
        <v>46</v>
      </c>
      <c r="C2" s="11" t="s">
        <v>14</v>
      </c>
      <c r="D2" s="13"/>
      <c r="E2" s="13"/>
      <c r="F2" s="13"/>
      <c r="G2" s="13"/>
      <c r="I2" s="16"/>
      <c r="K2" s="13"/>
      <c r="L2" s="13"/>
    </row>
    <row r="3" spans="1:12" ht="24.95" customHeight="1" x14ac:dyDescent="0.35">
      <c r="A3" s="13"/>
      <c r="B3" s="14"/>
      <c r="C3" s="13"/>
      <c r="D3" s="13"/>
      <c r="E3" s="13"/>
      <c r="F3" s="13"/>
      <c r="G3" s="13"/>
      <c r="I3" s="16"/>
      <c r="K3" s="13"/>
      <c r="L3" s="13"/>
    </row>
    <row r="4" spans="1:12" s="13" customFormat="1" ht="26.25" customHeight="1" x14ac:dyDescent="0.35">
      <c r="B4" s="18"/>
      <c r="C4" s="19" t="s">
        <v>25</v>
      </c>
      <c r="D4" s="19"/>
      <c r="E4" s="20" t="s">
        <v>43</v>
      </c>
      <c r="F4" s="15"/>
      <c r="G4" s="19" t="s">
        <v>24</v>
      </c>
      <c r="H4" s="19"/>
      <c r="I4" s="21" t="s">
        <v>44</v>
      </c>
      <c r="J4" s="15"/>
      <c r="K4" s="15"/>
    </row>
    <row r="5" spans="1:12" s="13" customFormat="1" ht="20.100000000000001" customHeight="1" x14ac:dyDescent="0.25">
      <c r="B5" s="18"/>
      <c r="C5" s="71" t="s">
        <v>18</v>
      </c>
      <c r="D5" s="72"/>
      <c r="E5" s="70">
        <f ca="1">TODAY()</f>
        <v>44868</v>
      </c>
      <c r="F5" s="15"/>
      <c r="G5" s="71" t="s">
        <v>17</v>
      </c>
      <c r="H5" s="72"/>
      <c r="I5" s="22">
        <f ca="1">IFERROR(IF(Values_Entered,-PMT(Interest_Rate/VLOOKUP(Interval,LoanLookup[],5,FALSE),Loan_Years*VLOOKUP(Interval,LoanLookup[],5,FALSE),Loan_Amount),""),"")</f>
        <v>989.93360882498609</v>
      </c>
      <c r="J5" s="15"/>
      <c r="K5" s="15"/>
    </row>
    <row r="6" spans="1:12" s="13" customFormat="1" ht="20.100000000000001" customHeight="1" x14ac:dyDescent="0.25">
      <c r="B6" s="18"/>
      <c r="C6" s="71" t="s">
        <v>19</v>
      </c>
      <c r="D6" s="72"/>
      <c r="E6" s="12">
        <v>0</v>
      </c>
      <c r="F6" s="15"/>
      <c r="G6" s="71" t="s">
        <v>21</v>
      </c>
      <c r="H6" s="72"/>
      <c r="I6" s="23">
        <f ca="1">IFERROR(IF(Values_Entered,Loan_Years*VLOOKUP(Interval,LoanLookup[],5,FALSE),""),"")</f>
        <v>240</v>
      </c>
      <c r="J6" s="15"/>
      <c r="K6" s="15"/>
    </row>
    <row r="7" spans="1:12" ht="20.100000000000001" customHeight="1" x14ac:dyDescent="0.25">
      <c r="C7" s="71" t="s">
        <v>13</v>
      </c>
      <c r="D7" s="72"/>
      <c r="E7" s="24">
        <f>LoanAmount</f>
        <v>150000</v>
      </c>
      <c r="G7" s="71" t="s">
        <v>22</v>
      </c>
      <c r="H7" s="72"/>
      <c r="I7" s="25">
        <f ca="1">IFERROR(IF(Values_Entered,Number_of_Payments,""),"")</f>
        <v>240</v>
      </c>
      <c r="K7" s="13"/>
    </row>
    <row r="8" spans="1:12" ht="20.100000000000001" customHeight="1" x14ac:dyDescent="0.25">
      <c r="C8" s="71" t="s">
        <v>8</v>
      </c>
      <c r="D8" s="72"/>
      <c r="E8" s="26">
        <f>IFERROR(HLOOKUP(Scenario,PaymentComparison,2,FALSE),0)</f>
        <v>20</v>
      </c>
      <c r="G8" s="71" t="s">
        <v>23</v>
      </c>
      <c r="H8" s="72"/>
      <c r="I8" s="27">
        <f ca="1">IFERROR(IF(Values_Entered,SUMIF(Beg_Bal,"&gt;0",Extra_Pay),""),"")</f>
        <v>0</v>
      </c>
      <c r="K8" s="13"/>
    </row>
    <row r="9" spans="1:12" ht="20.100000000000001" customHeight="1" x14ac:dyDescent="0.25">
      <c r="C9" s="71" t="s">
        <v>9</v>
      </c>
      <c r="D9" s="72"/>
      <c r="E9" s="28" t="str">
        <f>IFERROR(HLOOKUP(Scenario,PaymentComparison,3,FALSE),0)</f>
        <v>Monthly</v>
      </c>
      <c r="G9" s="71" t="s">
        <v>12</v>
      </c>
      <c r="H9" s="72"/>
      <c r="I9" s="22">
        <f ca="1">IFERROR(IF(Values_Entered,SUMIF(Beg_Bal,"&gt;0",Int),""),"")</f>
        <v>87584.066117996466</v>
      </c>
      <c r="K9" s="13"/>
    </row>
    <row r="10" spans="1:12" ht="20.100000000000001" customHeight="1" x14ac:dyDescent="0.25">
      <c r="C10" s="71" t="s">
        <v>20</v>
      </c>
      <c r="D10" s="72"/>
      <c r="E10" s="29">
        <f>IFERROR(HLOOKUP(Scenario,PaymentComparison,4,FALSE),0)</f>
        <v>0.05</v>
      </c>
      <c r="G10" s="67" t="s">
        <v>26</v>
      </c>
      <c r="H10" s="68"/>
      <c r="I10" s="30">
        <f ca="1">IFERROR(IF(Values_Entered,Scheduled_Monthly_Payment*Number_of_Payments,""),"")</f>
        <v>237584.06611799667</v>
      </c>
    </row>
    <row r="11" spans="1:12" ht="20.100000000000001" customHeight="1" x14ac:dyDescent="0.25">
      <c r="B11" s="2"/>
      <c r="C11" s="3"/>
      <c r="D11" s="2"/>
      <c r="E11" s="2"/>
      <c r="F11" s="2"/>
      <c r="G11" s="4"/>
      <c r="H11" s="4"/>
      <c r="I11" s="4"/>
      <c r="J11" s="4"/>
      <c r="K11" s="4"/>
    </row>
    <row r="12" spans="1:12" s="31" customFormat="1" ht="35.1" customHeight="1" x14ac:dyDescent="0.25">
      <c r="B12" s="69" t="s">
        <v>27</v>
      </c>
      <c r="C12" s="69" t="s">
        <v>28</v>
      </c>
      <c r="D12" s="69" t="s">
        <v>32</v>
      </c>
      <c r="E12" s="69" t="s">
        <v>31</v>
      </c>
      <c r="F12" s="69" t="s">
        <v>33</v>
      </c>
      <c r="G12" s="69" t="s">
        <v>34</v>
      </c>
      <c r="H12" s="69" t="s">
        <v>29</v>
      </c>
      <c r="I12" s="69" t="s">
        <v>30</v>
      </c>
      <c r="J12" s="69" t="s">
        <v>35</v>
      </c>
      <c r="K12" s="69" t="s">
        <v>36</v>
      </c>
      <c r="L12" s="69"/>
    </row>
    <row r="13" spans="1:12" s="31" customFormat="1" ht="16.5" customHeight="1" x14ac:dyDescent="0.25">
      <c r="B13" s="32">
        <f ca="1">IF(Values_Entered,1,"")</f>
        <v>1</v>
      </c>
      <c r="C13" s="33">
        <f ca="1">IF(Pay_Num&lt;&gt;"",Loan_Start,"")</f>
        <v>44868</v>
      </c>
      <c r="D13" s="34">
        <f ca="1">IF(Values_Entered,Loan_Amount,"")</f>
        <v>150000</v>
      </c>
      <c r="E13" s="35">
        <f ca="1">IF(Pay_Num&lt;&gt;"",Scheduled_Monthly_Payment,"")</f>
        <v>989.93360882498609</v>
      </c>
      <c r="F13" s="36">
        <f t="shared" ref="F13" ca="1" si="0">IF(AND(Pay_Num&lt;&gt;"",Sched_Pay+Scheduled_Extra_Payments&lt;Beg_Bal),Scheduled_Extra_Payments,IF(AND(Pay_Num&lt;&gt;"",Beg_Bal-Sched_Pay&gt;0),Beg_Bal-Sched_Pay,IF(Pay_Num&lt;&gt;"",0,"")))</f>
        <v>0</v>
      </c>
      <c r="G13" s="34">
        <f ca="1">IF(AND(Pay_Num&lt;&gt;"",Sched_Pay+Extra_Pay&lt;Beg_Bal),Sched_Pay+Extra_Pay,IF(AND(Pay_Num&lt;&gt;"",scheduled_no_payments=1),Sched_Pay,IF(Pay_Num&lt;&gt;"",Beg_Bal,"")))</f>
        <v>989.93360882498609</v>
      </c>
      <c r="H13" s="34">
        <f ca="1">IF(Pay_Num&lt;&gt;"",Total_Pay-Int,"")</f>
        <v>364.93360882498609</v>
      </c>
      <c r="I13" s="34">
        <f ca="1">IF(Pay_Num&lt;&gt;"",Beg_Bal*(Interest_Rate/VLOOKUP(Interval,LoanLookup[],5,FALSE)),"")</f>
        <v>625</v>
      </c>
      <c r="J13" s="34">
        <f t="shared" ref="J13" ca="1" si="1">IF(AND(Pay_Num&lt;&gt;"",Sched_Pay+Extra_Pay&lt;Beg_Bal),Beg_Bal-Princ,IF(Pay_Num&lt;&gt;"",0,""))</f>
        <v>149635.066391175</v>
      </c>
      <c r="K13" s="34">
        <f ca="1">SUM($I$13:$I13)</f>
        <v>625</v>
      </c>
      <c r="L13" s="37"/>
    </row>
    <row r="14" spans="1:12" s="31" customFormat="1" ht="16.5" customHeight="1" x14ac:dyDescent="0.25">
      <c r="B14" s="32">
        <f ca="1">IF(AND(Values_Entered,scheduled_no_payments&lt;&gt;1),B13+1,"")</f>
        <v>2</v>
      </c>
      <c r="C14" s="33">
        <f ca="1">IF(Pay_Num&lt;&gt;"",DATE(YEAR(C13)+VLOOKUP(Interval,LoanLookup[],4,FALSE),MONTH(C13)+VLOOKUP(Interval,LoanLookup[],2,FALSE),DAY(C13)+VLOOKUP(Interval,LoanLookup[],3,FALSE)),"")</f>
        <v>44898</v>
      </c>
      <c r="D14" s="34">
        <f t="shared" ref="D14:D77" ca="1" si="2">IF(Pay_Num&lt;&gt;"",J13,"")</f>
        <v>149635.066391175</v>
      </c>
      <c r="E14" s="35">
        <f ca="1">IF(Pay_Num&lt;&gt;"",Scheduled_Monthly_Payment,"")</f>
        <v>989.93360882498609</v>
      </c>
      <c r="F14" s="36">
        <f ca="1">IF(scheduled_no_payments=1,"",IF(Sched_Pay+Scheduled_Extra_Payments&lt;Beg_Bal,Scheduled_Extra_Payments,IF(AND(Pay_Num&lt;&gt;"",Beg_Bal-Sched_Pay&gt;0),Beg_Bal-Sched_Pay,IF(Pay_Num&lt;&gt;"",0,""))))</f>
        <v>0</v>
      </c>
      <c r="G14" s="34">
        <f ca="1">IF(scheduled_no_payments=1,"",IF(Sched_Pay+Extra_Pay&lt;Beg_Bal,Sched_Pay+Extra_Pay,IF(Pay_Num&lt;&gt;"",Beg_Bal,"")))</f>
        <v>989.93360882498609</v>
      </c>
      <c r="H14" s="34">
        <f t="shared" ref="H14:H77" ca="1" si="3">IF(Pay_Num&lt;&gt;"",Total_Pay-Int,"")</f>
        <v>366.45416552842357</v>
      </c>
      <c r="I14" s="34">
        <f ca="1">IF(Pay_Num&lt;&gt;"",Beg_Bal*(Interest_Rate/VLOOKUP(Interval,LoanLookup[],5,FALSE)),"")</f>
        <v>623.47944329656252</v>
      </c>
      <c r="J14" s="34">
        <f ca="1">IF(scheduled_no_payments=1,"",IF(AND(Pay_Num&lt;&gt;"",Sched_Pay+Extra_Pay&lt;Beg_Bal),Beg_Bal-Princ,IF(Pay_Num&lt;&gt;"",0,"")))</f>
        <v>149268.61222564659</v>
      </c>
      <c r="K14" s="34">
        <f ca="1">IF(scheduled_no_payments=1,"",SUM($I$13:$I14))</f>
        <v>1248.4794432965625</v>
      </c>
      <c r="L14" s="38"/>
    </row>
    <row r="15" spans="1:12" s="31" customFormat="1" ht="16.5" customHeight="1" x14ac:dyDescent="0.25">
      <c r="B15" s="32">
        <f ca="1">IF(AND(Values_Entered,scheduled_no_payments&lt;&gt;1),B14+1,"")</f>
        <v>3</v>
      </c>
      <c r="C15" s="33">
        <f ca="1">IF(Pay_Num&lt;&gt;"",DATE(YEAR(C14)+VLOOKUP(Interval,LoanLookup[],4,FALSE),MONTH(C14)+VLOOKUP(Interval,LoanLookup[],2,FALSE),DAY(C14)+VLOOKUP(Interval,LoanLookup[],3,FALSE)),"")</f>
        <v>44929</v>
      </c>
      <c r="D15" s="34">
        <f t="shared" ca="1" si="2"/>
        <v>149268.61222564659</v>
      </c>
      <c r="E15" s="35">
        <f t="shared" ref="E15:E78" ca="1" si="4">IF(Pay_Num&lt;&gt;"",Scheduled_Monthly_Payment,"")</f>
        <v>989.93360882498609</v>
      </c>
      <c r="F15" s="36">
        <f ca="1">IF(scheduled_no_payments=1,"",IF(Sched_Pay+Scheduled_Extra_Payments&lt;Beg_Bal,Scheduled_Extra_Payments,IF(AND(Pay_Num&lt;&gt;"",Beg_Bal-Sched_Pay&gt;0),Beg_Bal-Sched_Pay,IF(Pay_Num&lt;&gt;"",0,""))))</f>
        <v>0</v>
      </c>
      <c r="G15" s="34">
        <f ca="1">IF(scheduled_no_payments=1,"",IF(Sched_Pay+Extra_Pay&lt;Beg_Bal,Sched_Pay+Extra_Pay,IF(Pay_Num&lt;&gt;"",Beg_Bal,"")))</f>
        <v>989.93360882498609</v>
      </c>
      <c r="H15" s="34">
        <f t="shared" ca="1" si="3"/>
        <v>367.98105788479199</v>
      </c>
      <c r="I15" s="34">
        <f ca="1">IF(Pay_Num&lt;&gt;"",Beg_Bal*(Interest_Rate/VLOOKUP(Interval,LoanLookup[],5,FALSE)),"")</f>
        <v>621.9525509401941</v>
      </c>
      <c r="J15" s="34">
        <f ca="1">IF(scheduled_no_payments=1,"",IF(AND(Pay_Num&lt;&gt;"",Sched_Pay+Extra_Pay&lt;Beg_Bal),Beg_Bal-Princ,IF(Pay_Num&lt;&gt;"",0,"")))</f>
        <v>148900.63116776181</v>
      </c>
      <c r="K15" s="34">
        <f ca="1">IF(scheduled_no_payments=1,"",SUM($I$13:$I15))</f>
        <v>1870.4319942367565</v>
      </c>
      <c r="L15" s="38"/>
    </row>
    <row r="16" spans="1:12" s="31" customFormat="1" ht="16.5" customHeight="1" x14ac:dyDescent="0.25">
      <c r="B16" s="32">
        <f ca="1">IF(AND(Values_Entered,scheduled_no_payments&lt;&gt;1),B15+1,"")</f>
        <v>4</v>
      </c>
      <c r="C16" s="33">
        <f ca="1">IF(Pay_Num&lt;&gt;"",DATE(YEAR(C15)+VLOOKUP(Interval,LoanLookup[],4,FALSE),MONTH(C15)+VLOOKUP(Interval,LoanLookup[],2,FALSE),DAY(C15)+VLOOKUP(Interval,LoanLookup[],3,FALSE)),"")</f>
        <v>44960</v>
      </c>
      <c r="D16" s="34">
        <f t="shared" ca="1" si="2"/>
        <v>148900.63116776181</v>
      </c>
      <c r="E16" s="35">
        <f ca="1">IF(Pay_Num&lt;&gt;"",Scheduled_Monthly_Payment,"")</f>
        <v>989.93360882498609</v>
      </c>
      <c r="F16" s="36">
        <f ca="1">IF(scheduled_no_payments=1,"",IF(Sched_Pay+Scheduled_Extra_Payments&lt;Beg_Bal,Scheduled_Extra_Payments,IF(AND(Pay_Num&lt;&gt;"",Beg_Bal-Sched_Pay&gt;0),Beg_Bal-Sched_Pay,IF(Pay_Num&lt;&gt;"",0,""))))</f>
        <v>0</v>
      </c>
      <c r="G16" s="34">
        <f ca="1">IF(scheduled_no_payments=1,"",IF(Sched_Pay+Extra_Pay&lt;Beg_Bal,Sched_Pay+Extra_Pay,IF(Pay_Num&lt;&gt;"",Beg_Bal,"")))</f>
        <v>989.93360882498609</v>
      </c>
      <c r="H16" s="34">
        <f t="shared" ca="1" si="3"/>
        <v>369.51431229264529</v>
      </c>
      <c r="I16" s="34">
        <f ca="1">IF(Pay_Num&lt;&gt;"",Beg_Bal*(Interest_Rate/VLOOKUP(Interval,LoanLookup[],5,FALSE)),"")</f>
        <v>620.41929653234081</v>
      </c>
      <c r="J16" s="34">
        <f ca="1">IF(scheduled_no_payments=1,"",IF(AND(Pay_Num&lt;&gt;"",Sched_Pay+Extra_Pay&lt;Beg_Bal),Beg_Bal-Princ,IF(Pay_Num&lt;&gt;"",0,"")))</f>
        <v>148531.11685546915</v>
      </c>
      <c r="K16" s="34">
        <f ca="1">IF(scheduled_no_payments=1,"",SUM($I$13:$I16))</f>
        <v>2490.8512907690974</v>
      </c>
      <c r="L16" s="38"/>
    </row>
    <row r="17" spans="2:12" s="31" customFormat="1" ht="16.5" customHeight="1" x14ac:dyDescent="0.25">
      <c r="B17" s="32">
        <f ca="1">IF(AND(Values_Entered,scheduled_no_payments&lt;&gt;1),B16+1,"")</f>
        <v>5</v>
      </c>
      <c r="C17" s="33">
        <f ca="1">IF(Pay_Num&lt;&gt;"",DATE(YEAR(C16)+VLOOKUP(Interval,LoanLookup[],4,FALSE),MONTH(C16)+VLOOKUP(Interval,LoanLookup[],2,FALSE),DAY(C16)+VLOOKUP(Interval,LoanLookup[],3,FALSE)),"")</f>
        <v>44988</v>
      </c>
      <c r="D17" s="34">
        <f t="shared" ca="1" si="2"/>
        <v>148531.11685546915</v>
      </c>
      <c r="E17" s="35">
        <f t="shared" ca="1" si="4"/>
        <v>989.93360882498609</v>
      </c>
      <c r="F17" s="36">
        <f ca="1">IF(scheduled_no_payments=1,"",IF(Sched_Pay+Scheduled_Extra_Payments&lt;Beg_Bal,Scheduled_Extra_Payments,IF(AND(Pay_Num&lt;&gt;"",Beg_Bal-Sched_Pay&gt;0),Beg_Bal-Sched_Pay,IF(Pay_Num&lt;&gt;"",0,""))))</f>
        <v>0</v>
      </c>
      <c r="G17" s="34">
        <f ca="1">IF(scheduled_no_payments=1,"",IF(Sched_Pay+Extra_Pay&lt;Beg_Bal,Sched_Pay+Extra_Pay,IF(Pay_Num&lt;&gt;"",Beg_Bal,"")))</f>
        <v>989.93360882498609</v>
      </c>
      <c r="H17" s="34">
        <f t="shared" ca="1" si="3"/>
        <v>371.05395526053132</v>
      </c>
      <c r="I17" s="34">
        <f ca="1">IF(Pay_Num&lt;&gt;"",Beg_Bal*(Interest_Rate/VLOOKUP(Interval,LoanLookup[],5,FALSE)),"")</f>
        <v>618.87965356445477</v>
      </c>
      <c r="J17" s="34">
        <f ca="1">IF(scheduled_no_payments=1,"",IF(AND(Pay_Num&lt;&gt;"",Sched_Pay+Extra_Pay&lt;Beg_Bal),Beg_Bal-Princ,IF(Pay_Num&lt;&gt;"",0,"")))</f>
        <v>148160.06290020864</v>
      </c>
      <c r="K17" s="34">
        <f ca="1">IF(scheduled_no_payments=1,"",SUM($I$13:$I17))</f>
        <v>3109.7309443335521</v>
      </c>
      <c r="L17" s="38"/>
    </row>
    <row r="18" spans="2:12" ht="16.5" customHeight="1" x14ac:dyDescent="0.25">
      <c r="B18" s="32">
        <f ca="1">IF(AND(Values_Entered,scheduled_no_payments&lt;&gt;1),B17+1,"")</f>
        <v>6</v>
      </c>
      <c r="C18" s="33">
        <f ca="1">IF(Pay_Num&lt;&gt;"",DATE(YEAR(C17)+VLOOKUP(Interval,LoanLookup[],4,FALSE),MONTH(C17)+VLOOKUP(Interval,LoanLookup[],2,FALSE),DAY(C17)+VLOOKUP(Interval,LoanLookup[],3,FALSE)),"")</f>
        <v>45019</v>
      </c>
      <c r="D18" s="34">
        <f t="shared" ca="1" si="2"/>
        <v>148160.06290020864</v>
      </c>
      <c r="E18" s="35">
        <f t="shared" ca="1" si="4"/>
        <v>989.93360882498609</v>
      </c>
      <c r="F18" s="36">
        <f ca="1">IF(scheduled_no_payments=1,"",IF(Sched_Pay+Scheduled_Extra_Payments&lt;Beg_Bal,Scheduled_Extra_Payments,IF(AND(Pay_Num&lt;&gt;"",Beg_Bal-Sched_Pay&gt;0),Beg_Bal-Sched_Pay,IF(Pay_Num&lt;&gt;"",0,""))))</f>
        <v>0</v>
      </c>
      <c r="G18" s="34">
        <f ca="1">IF(scheduled_no_payments=1,"",IF(Sched_Pay+Extra_Pay&lt;Beg_Bal,Sched_Pay+Extra_Pay,IF(Pay_Num&lt;&gt;"",Beg_Bal,"")))</f>
        <v>989.93360882498609</v>
      </c>
      <c r="H18" s="34">
        <f t="shared" ca="1" si="3"/>
        <v>372.60001340745009</v>
      </c>
      <c r="I18" s="34">
        <f ca="1">IF(Pay_Num&lt;&gt;"",Beg_Bal*(Interest_Rate/VLOOKUP(Interval,LoanLookup[],5,FALSE)),"")</f>
        <v>617.333595417536</v>
      </c>
      <c r="J18" s="34">
        <f ca="1">IF(scheduled_no_payments=1,"",IF(AND(Pay_Num&lt;&gt;"",Sched_Pay+Extra_Pay&lt;Beg_Bal),Beg_Bal-Princ,IF(Pay_Num&lt;&gt;"",0,"")))</f>
        <v>147787.46288680119</v>
      </c>
      <c r="K18" s="34">
        <f ca="1">IF(scheduled_no_payments=1,"",SUM($I$13:$I18))</f>
        <v>3727.064539751088</v>
      </c>
      <c r="L18" s="38"/>
    </row>
    <row r="19" spans="2:12" ht="16.5" customHeight="1" x14ac:dyDescent="0.25">
      <c r="B19" s="32">
        <f ca="1">IF(AND(Values_Entered,scheduled_no_payments&lt;&gt;1),B18+1,"")</f>
        <v>7</v>
      </c>
      <c r="C19" s="33">
        <f ca="1">IF(Pay_Num&lt;&gt;"",DATE(YEAR(C18)+VLOOKUP(Interval,LoanLookup[],4,FALSE),MONTH(C18)+VLOOKUP(Interval,LoanLookup[],2,FALSE),DAY(C18)+VLOOKUP(Interval,LoanLookup[],3,FALSE)),"")</f>
        <v>45049</v>
      </c>
      <c r="D19" s="34">
        <f t="shared" ca="1" si="2"/>
        <v>147787.46288680119</v>
      </c>
      <c r="E19" s="35">
        <f t="shared" ca="1" si="4"/>
        <v>989.93360882498609</v>
      </c>
      <c r="F19" s="36">
        <f ca="1">IF(scheduled_no_payments=1,"",IF(Sched_Pay+Scheduled_Extra_Payments&lt;Beg_Bal,Scheduled_Extra_Payments,IF(AND(Pay_Num&lt;&gt;"",Beg_Bal-Sched_Pay&gt;0),Beg_Bal-Sched_Pay,IF(Pay_Num&lt;&gt;"",0,""))))</f>
        <v>0</v>
      </c>
      <c r="G19" s="34">
        <f ca="1">IF(scheduled_no_payments=1,"",IF(Sched_Pay+Extra_Pay&lt;Beg_Bal,Sched_Pay+Extra_Pay,IF(Pay_Num&lt;&gt;"",Beg_Bal,"")))</f>
        <v>989.93360882498609</v>
      </c>
      <c r="H19" s="34">
        <f t="shared" ca="1" si="3"/>
        <v>374.15251346331445</v>
      </c>
      <c r="I19" s="34">
        <f ca="1">IF(Pay_Num&lt;&gt;"",Beg_Bal*(Interest_Rate/VLOOKUP(Interval,LoanLookup[],5,FALSE)),"")</f>
        <v>615.78109536167165</v>
      </c>
      <c r="J19" s="34">
        <f ca="1">IF(scheduled_no_payments=1,"",IF(AND(Pay_Num&lt;&gt;"",Sched_Pay+Extra_Pay&lt;Beg_Bal),Beg_Bal-Princ,IF(Pay_Num&lt;&gt;"",0,"")))</f>
        <v>147413.31037333788</v>
      </c>
      <c r="K19" s="34">
        <f ca="1">IF(scheduled_no_payments=1,"",SUM($I$13:$I19))</f>
        <v>4342.8456351127597</v>
      </c>
      <c r="L19" s="38"/>
    </row>
    <row r="20" spans="2:12" ht="16.5" customHeight="1" x14ac:dyDescent="0.25">
      <c r="B20" s="32">
        <f ca="1">IF(AND(Values_Entered,scheduled_no_payments&lt;&gt;1),B19+1,"")</f>
        <v>8</v>
      </c>
      <c r="C20" s="33">
        <f ca="1">IF(Pay_Num&lt;&gt;"",DATE(YEAR(C19)+VLOOKUP(Interval,LoanLookup[],4,FALSE),MONTH(C19)+VLOOKUP(Interval,LoanLookup[],2,FALSE),DAY(C19)+VLOOKUP(Interval,LoanLookup[],3,FALSE)),"")</f>
        <v>45080</v>
      </c>
      <c r="D20" s="34">
        <f t="shared" ca="1" si="2"/>
        <v>147413.31037333788</v>
      </c>
      <c r="E20" s="35">
        <f t="shared" ca="1" si="4"/>
        <v>989.93360882498609</v>
      </c>
      <c r="F20" s="36">
        <f ca="1">IF(scheduled_no_payments=1,"",IF(Sched_Pay+Scheduled_Extra_Payments&lt;Beg_Bal,Scheduled_Extra_Payments,IF(AND(Pay_Num&lt;&gt;"",Beg_Bal-Sched_Pay&gt;0),Beg_Bal-Sched_Pay,IF(Pay_Num&lt;&gt;"",0,""))))</f>
        <v>0</v>
      </c>
      <c r="G20" s="34">
        <f ca="1">IF(scheduled_no_payments=1,"",IF(Sched_Pay+Extra_Pay&lt;Beg_Bal,Sched_Pay+Extra_Pay,IF(Pay_Num&lt;&gt;"",Beg_Bal,"")))</f>
        <v>989.93360882498609</v>
      </c>
      <c r="H20" s="34">
        <f t="shared" ca="1" si="3"/>
        <v>375.71148226941159</v>
      </c>
      <c r="I20" s="34">
        <f ca="1">IF(Pay_Num&lt;&gt;"",Beg_Bal*(Interest_Rate/VLOOKUP(Interval,LoanLookup[],5,FALSE)),"")</f>
        <v>614.2221265555745</v>
      </c>
      <c r="J20" s="34">
        <f ca="1">IF(scheduled_no_payments=1,"",IF(AND(Pay_Num&lt;&gt;"",Sched_Pay+Extra_Pay&lt;Beg_Bal),Beg_Bal-Princ,IF(Pay_Num&lt;&gt;"",0,"")))</f>
        <v>147037.59889106848</v>
      </c>
      <c r="K20" s="34">
        <f ca="1">IF(scheduled_no_payments=1,"",SUM($I$13:$I20))</f>
        <v>4957.0677616683342</v>
      </c>
      <c r="L20" s="38"/>
    </row>
    <row r="21" spans="2:12" ht="16.5" customHeight="1" x14ac:dyDescent="0.25">
      <c r="B21" s="32">
        <f ca="1">IF(AND(Values_Entered,scheduled_no_payments&lt;&gt;1),B20+1,"")</f>
        <v>9</v>
      </c>
      <c r="C21" s="33">
        <f ca="1">IF(Pay_Num&lt;&gt;"",DATE(YEAR(C20)+VLOOKUP(Interval,LoanLookup[],4,FALSE),MONTH(C20)+VLOOKUP(Interval,LoanLookup[],2,FALSE),DAY(C20)+VLOOKUP(Interval,LoanLookup[],3,FALSE)),"")</f>
        <v>45110</v>
      </c>
      <c r="D21" s="34">
        <f t="shared" ca="1" si="2"/>
        <v>147037.59889106848</v>
      </c>
      <c r="E21" s="35">
        <f t="shared" ca="1" si="4"/>
        <v>989.93360882498609</v>
      </c>
      <c r="F21" s="36">
        <f ca="1">IF(scheduled_no_payments=1,"",IF(Sched_Pay+Scheduled_Extra_Payments&lt;Beg_Bal,Scheduled_Extra_Payments,IF(AND(Pay_Num&lt;&gt;"",Beg_Bal-Sched_Pay&gt;0),Beg_Bal-Sched_Pay,IF(Pay_Num&lt;&gt;"",0,""))))</f>
        <v>0</v>
      </c>
      <c r="G21" s="34">
        <f ca="1">IF(scheduled_no_payments=1,"",IF(Sched_Pay+Extra_Pay&lt;Beg_Bal,Sched_Pay+Extra_Pay,IF(Pay_Num&lt;&gt;"",Beg_Bal,"")))</f>
        <v>989.93360882498609</v>
      </c>
      <c r="H21" s="34">
        <f t="shared" ca="1" si="3"/>
        <v>377.27694677886745</v>
      </c>
      <c r="I21" s="34">
        <f ca="1">IF(Pay_Num&lt;&gt;"",Beg_Bal*(Interest_Rate/VLOOKUP(Interval,LoanLookup[],5,FALSE)),"")</f>
        <v>612.65666204611864</v>
      </c>
      <c r="J21" s="34">
        <f ca="1">IF(scheduled_no_payments=1,"",IF(AND(Pay_Num&lt;&gt;"",Sched_Pay+Extra_Pay&lt;Beg_Bal),Beg_Bal-Princ,IF(Pay_Num&lt;&gt;"",0,"")))</f>
        <v>146660.32194428961</v>
      </c>
      <c r="K21" s="34">
        <f ca="1">IF(scheduled_no_payments=1,"",SUM($I$13:$I21))</f>
        <v>5569.7244237144532</v>
      </c>
      <c r="L21" s="38"/>
    </row>
    <row r="22" spans="2:12" ht="16.5" customHeight="1" x14ac:dyDescent="0.25">
      <c r="B22" s="32">
        <f ca="1">IF(AND(Values_Entered,scheduled_no_payments&lt;&gt;1),B21+1,"")</f>
        <v>10</v>
      </c>
      <c r="C22" s="33">
        <f ca="1">IF(Pay_Num&lt;&gt;"",DATE(YEAR(C21)+VLOOKUP(Interval,LoanLookup[],4,FALSE),MONTH(C21)+VLOOKUP(Interval,LoanLookup[],2,FALSE),DAY(C21)+VLOOKUP(Interval,LoanLookup[],3,FALSE)),"")</f>
        <v>45141</v>
      </c>
      <c r="D22" s="34">
        <f t="shared" ca="1" si="2"/>
        <v>146660.32194428961</v>
      </c>
      <c r="E22" s="35">
        <f t="shared" ca="1" si="4"/>
        <v>989.93360882498609</v>
      </c>
      <c r="F22" s="36">
        <f ca="1">IF(scheduled_no_payments=1,"",IF(Sched_Pay+Scheduled_Extra_Payments&lt;Beg_Bal,Scheduled_Extra_Payments,IF(AND(Pay_Num&lt;&gt;"",Beg_Bal-Sched_Pay&gt;0),Beg_Bal-Sched_Pay,IF(Pay_Num&lt;&gt;"",0,""))))</f>
        <v>0</v>
      </c>
      <c r="G22" s="34">
        <f ca="1">IF(scheduled_no_payments=1,"",IF(Sched_Pay+Extra_Pay&lt;Beg_Bal,Sched_Pay+Extra_Pay,IF(Pay_Num&lt;&gt;"",Beg_Bal,"")))</f>
        <v>989.93360882498609</v>
      </c>
      <c r="H22" s="34">
        <f t="shared" ca="1" si="3"/>
        <v>378.84893405711273</v>
      </c>
      <c r="I22" s="34">
        <f ca="1">IF(Pay_Num&lt;&gt;"",Beg_Bal*(Interest_Rate/VLOOKUP(Interval,LoanLookup[],5,FALSE)),"")</f>
        <v>611.08467476787337</v>
      </c>
      <c r="J22" s="34">
        <f ca="1">IF(scheduled_no_payments=1,"",IF(AND(Pay_Num&lt;&gt;"",Sched_Pay+Extra_Pay&lt;Beg_Bal),Beg_Bal-Princ,IF(Pay_Num&lt;&gt;"",0,"")))</f>
        <v>146281.4730102325</v>
      </c>
      <c r="K22" s="34">
        <f ca="1">IF(scheduled_no_payments=1,"",SUM($I$13:$I22))</f>
        <v>6180.8090984823266</v>
      </c>
      <c r="L22" s="38"/>
    </row>
    <row r="23" spans="2:12" ht="16.5" customHeight="1" x14ac:dyDescent="0.25">
      <c r="B23" s="32">
        <f ca="1">IF(AND(Values_Entered,scheduled_no_payments&lt;&gt;1),B22+1,"")</f>
        <v>11</v>
      </c>
      <c r="C23" s="33">
        <f ca="1">IF(Pay_Num&lt;&gt;"",DATE(YEAR(C22)+VLOOKUP(Interval,LoanLookup[],4,FALSE),MONTH(C22)+VLOOKUP(Interval,LoanLookup[],2,FALSE),DAY(C22)+VLOOKUP(Interval,LoanLookup[],3,FALSE)),"")</f>
        <v>45172</v>
      </c>
      <c r="D23" s="34">
        <f t="shared" ca="1" si="2"/>
        <v>146281.4730102325</v>
      </c>
      <c r="E23" s="35">
        <f t="shared" ca="1" si="4"/>
        <v>989.93360882498609</v>
      </c>
      <c r="F23" s="36">
        <f ca="1">IF(scheduled_no_payments=1,"",IF(Sched_Pay+Scheduled_Extra_Payments&lt;Beg_Bal,Scheduled_Extra_Payments,IF(AND(Pay_Num&lt;&gt;"",Beg_Bal-Sched_Pay&gt;0),Beg_Bal-Sched_Pay,IF(Pay_Num&lt;&gt;"",0,""))))</f>
        <v>0</v>
      </c>
      <c r="G23" s="34">
        <f ca="1">IF(scheduled_no_payments=1,"",IF(Sched_Pay+Extra_Pay&lt;Beg_Bal,Sched_Pay+Extra_Pay,IF(Pay_Num&lt;&gt;"",Beg_Bal,"")))</f>
        <v>989.93360882498609</v>
      </c>
      <c r="H23" s="34">
        <f t="shared" ca="1" si="3"/>
        <v>380.42747128235067</v>
      </c>
      <c r="I23" s="34">
        <f ca="1">IF(Pay_Num&lt;&gt;"",Beg_Bal*(Interest_Rate/VLOOKUP(Interval,LoanLookup[],5,FALSE)),"")</f>
        <v>609.50613754263543</v>
      </c>
      <c r="J23" s="34">
        <f ca="1">IF(scheduled_no_payments=1,"",IF(AND(Pay_Num&lt;&gt;"",Sched_Pay+Extra_Pay&lt;Beg_Bal),Beg_Bal-Princ,IF(Pay_Num&lt;&gt;"",0,"")))</f>
        <v>145901.04553895016</v>
      </c>
      <c r="K23" s="34">
        <f ca="1">IF(scheduled_no_payments=1,"",SUM($I$13:$I23))</f>
        <v>6790.3152360249624</v>
      </c>
      <c r="L23" s="38"/>
    </row>
    <row r="24" spans="2:12" ht="16.5" customHeight="1" x14ac:dyDescent="0.25">
      <c r="B24" s="32">
        <f ca="1">IF(AND(Values_Entered,scheduled_no_payments&lt;&gt;1),B23+1,"")</f>
        <v>12</v>
      </c>
      <c r="C24" s="33">
        <f ca="1">IF(Pay_Num&lt;&gt;"",DATE(YEAR(C23)+VLOOKUP(Interval,LoanLookup[],4,FALSE),MONTH(C23)+VLOOKUP(Interval,LoanLookup[],2,FALSE),DAY(C23)+VLOOKUP(Interval,LoanLookup[],3,FALSE)),"")</f>
        <v>45202</v>
      </c>
      <c r="D24" s="34">
        <f t="shared" ca="1" si="2"/>
        <v>145901.04553895016</v>
      </c>
      <c r="E24" s="35">
        <f t="shared" ca="1" si="4"/>
        <v>989.93360882498609</v>
      </c>
      <c r="F24" s="36">
        <f ca="1">IF(scheduled_no_payments=1,"",IF(Sched_Pay+Scheduled_Extra_Payments&lt;Beg_Bal,Scheduled_Extra_Payments,IF(AND(Pay_Num&lt;&gt;"",Beg_Bal-Sched_Pay&gt;0),Beg_Bal-Sched_Pay,IF(Pay_Num&lt;&gt;"",0,""))))</f>
        <v>0</v>
      </c>
      <c r="G24" s="34">
        <f ca="1">IF(scheduled_no_payments=1,"",IF(Sched_Pay+Extra_Pay&lt;Beg_Bal,Sched_Pay+Extra_Pay,IF(Pay_Num&lt;&gt;"",Beg_Bal,"")))</f>
        <v>989.93360882498609</v>
      </c>
      <c r="H24" s="34">
        <f t="shared" ca="1" si="3"/>
        <v>382.01258574602707</v>
      </c>
      <c r="I24" s="34">
        <f ca="1">IF(Pay_Num&lt;&gt;"",Beg_Bal*(Interest_Rate/VLOOKUP(Interval,LoanLookup[],5,FALSE)),"")</f>
        <v>607.92102307895902</v>
      </c>
      <c r="J24" s="34">
        <f ca="1">IF(scheduled_no_payments=1,"",IF(AND(Pay_Num&lt;&gt;"",Sched_Pay+Extra_Pay&lt;Beg_Bal),Beg_Bal-Princ,IF(Pay_Num&lt;&gt;"",0,"")))</f>
        <v>145519.03295320412</v>
      </c>
      <c r="K24" s="34">
        <f ca="1">IF(scheduled_no_payments=1,"",SUM($I$13:$I24))</f>
        <v>7398.2362591039218</v>
      </c>
      <c r="L24" s="38"/>
    </row>
    <row r="25" spans="2:12" ht="16.5" customHeight="1" x14ac:dyDescent="0.25">
      <c r="B25" s="32">
        <f ca="1">IF(AND(Values_Entered,scheduled_no_payments&lt;&gt;1),B24+1,"")</f>
        <v>13</v>
      </c>
      <c r="C25" s="33">
        <f ca="1">IF(Pay_Num&lt;&gt;"",DATE(YEAR(C24)+VLOOKUP(Interval,LoanLookup[],4,FALSE),MONTH(C24)+VLOOKUP(Interval,LoanLookup[],2,FALSE),DAY(C24)+VLOOKUP(Interval,LoanLookup[],3,FALSE)),"")</f>
        <v>45233</v>
      </c>
      <c r="D25" s="34">
        <f t="shared" ca="1" si="2"/>
        <v>145519.03295320412</v>
      </c>
      <c r="E25" s="35">
        <f t="shared" ca="1" si="4"/>
        <v>989.93360882498609</v>
      </c>
      <c r="F25" s="36">
        <f ca="1">IF(scheduled_no_payments=1,"",IF(Sched_Pay+Scheduled_Extra_Payments&lt;Beg_Bal,Scheduled_Extra_Payments,IF(AND(Pay_Num&lt;&gt;"",Beg_Bal-Sched_Pay&gt;0),Beg_Bal-Sched_Pay,IF(Pay_Num&lt;&gt;"",0,""))))</f>
        <v>0</v>
      </c>
      <c r="G25" s="34">
        <f ca="1">IF(scheduled_no_payments=1,"",IF(Sched_Pay+Extra_Pay&lt;Beg_Bal,Sched_Pay+Extra_Pay,IF(Pay_Num&lt;&gt;"",Beg_Bal,"")))</f>
        <v>989.93360882498609</v>
      </c>
      <c r="H25" s="34">
        <f t="shared" ca="1" si="3"/>
        <v>383.60430485330221</v>
      </c>
      <c r="I25" s="34">
        <f ca="1">IF(Pay_Num&lt;&gt;"",Beg_Bal*(Interest_Rate/VLOOKUP(Interval,LoanLookup[],5,FALSE)),"")</f>
        <v>606.32930397168388</v>
      </c>
      <c r="J25" s="34">
        <f ca="1">IF(scheduled_no_payments=1,"",IF(AND(Pay_Num&lt;&gt;"",Sched_Pay+Extra_Pay&lt;Beg_Bal),Beg_Bal-Princ,IF(Pay_Num&lt;&gt;"",0,"")))</f>
        <v>145135.42864835082</v>
      </c>
      <c r="K25" s="34">
        <f ca="1">IF(scheduled_no_payments=1,"",SUM($I$13:$I25))</f>
        <v>8004.5655630756055</v>
      </c>
      <c r="L25" s="38"/>
    </row>
    <row r="26" spans="2:12" ht="16.5" customHeight="1" x14ac:dyDescent="0.25">
      <c r="B26" s="32">
        <f ca="1">IF(AND(Values_Entered,scheduled_no_payments&lt;&gt;1),B25+1,"")</f>
        <v>14</v>
      </c>
      <c r="C26" s="33">
        <f ca="1">IF(Pay_Num&lt;&gt;"",DATE(YEAR(C25)+VLOOKUP(Interval,LoanLookup[],4,FALSE),MONTH(C25)+VLOOKUP(Interval,LoanLookup[],2,FALSE),DAY(C25)+VLOOKUP(Interval,LoanLookup[],3,FALSE)),"")</f>
        <v>45263</v>
      </c>
      <c r="D26" s="34">
        <f t="shared" ca="1" si="2"/>
        <v>145135.42864835082</v>
      </c>
      <c r="E26" s="35">
        <f t="shared" ca="1" si="4"/>
        <v>989.93360882498609</v>
      </c>
      <c r="F26" s="36">
        <f ca="1">IF(scheduled_no_payments=1,"",IF(Sched_Pay+Scheduled_Extra_Payments&lt;Beg_Bal,Scheduled_Extra_Payments,IF(AND(Pay_Num&lt;&gt;"",Beg_Bal-Sched_Pay&gt;0),Beg_Bal-Sched_Pay,IF(Pay_Num&lt;&gt;"",0,""))))</f>
        <v>0</v>
      </c>
      <c r="G26" s="34">
        <f ca="1">IF(scheduled_no_payments=1,"",IF(Sched_Pay+Extra_Pay&lt;Beg_Bal,Sched_Pay+Extra_Pay,IF(Pay_Num&lt;&gt;"",Beg_Bal,"")))</f>
        <v>989.93360882498609</v>
      </c>
      <c r="H26" s="34">
        <f t="shared" ca="1" si="3"/>
        <v>385.20265612352432</v>
      </c>
      <c r="I26" s="34">
        <f ca="1">IF(Pay_Num&lt;&gt;"",Beg_Bal*(Interest_Rate/VLOOKUP(Interval,LoanLookup[],5,FALSE)),"")</f>
        <v>604.73095270146177</v>
      </c>
      <c r="J26" s="34">
        <f ca="1">IF(scheduled_no_payments=1,"",IF(AND(Pay_Num&lt;&gt;"",Sched_Pay+Extra_Pay&lt;Beg_Bal),Beg_Bal-Princ,IF(Pay_Num&lt;&gt;"",0,"")))</f>
        <v>144750.22599222729</v>
      </c>
      <c r="K26" s="34">
        <f ca="1">IF(scheduled_no_payments=1,"",SUM($I$13:$I26))</f>
        <v>8609.2965157770668</v>
      </c>
      <c r="L26" s="38"/>
    </row>
    <row r="27" spans="2:12" ht="16.5" customHeight="1" x14ac:dyDescent="0.25">
      <c r="B27" s="32">
        <f ca="1">IF(AND(Values_Entered,scheduled_no_payments&lt;&gt;1),B26+1,"")</f>
        <v>15</v>
      </c>
      <c r="C27" s="33">
        <f ca="1">IF(Pay_Num&lt;&gt;"",DATE(YEAR(C26)+VLOOKUP(Interval,LoanLookup[],4,FALSE),MONTH(C26)+VLOOKUP(Interval,LoanLookup[],2,FALSE),DAY(C26)+VLOOKUP(Interval,LoanLookup[],3,FALSE)),"")</f>
        <v>45294</v>
      </c>
      <c r="D27" s="34">
        <f t="shared" ca="1" si="2"/>
        <v>144750.22599222729</v>
      </c>
      <c r="E27" s="35">
        <f t="shared" ca="1" si="4"/>
        <v>989.93360882498609</v>
      </c>
      <c r="F27" s="36">
        <f ca="1">IF(scheduled_no_payments=1,"",IF(Sched_Pay+Scheduled_Extra_Payments&lt;Beg_Bal,Scheduled_Extra_Payments,IF(AND(Pay_Num&lt;&gt;"",Beg_Bal-Sched_Pay&gt;0),Beg_Bal-Sched_Pay,IF(Pay_Num&lt;&gt;"",0,""))))</f>
        <v>0</v>
      </c>
      <c r="G27" s="34">
        <f ca="1">IF(scheduled_no_payments=1,"",IF(Sched_Pay+Extra_Pay&lt;Beg_Bal,Sched_Pay+Extra_Pay,IF(Pay_Num&lt;&gt;"",Beg_Bal,"")))</f>
        <v>989.93360882498609</v>
      </c>
      <c r="H27" s="34">
        <f t="shared" ca="1" si="3"/>
        <v>386.80766719070573</v>
      </c>
      <c r="I27" s="34">
        <f ca="1">IF(Pay_Num&lt;&gt;"",Beg_Bal*(Interest_Rate/VLOOKUP(Interval,LoanLookup[],5,FALSE)),"")</f>
        <v>603.12594163428037</v>
      </c>
      <c r="J27" s="34">
        <f ca="1">IF(scheduled_no_payments=1,"",IF(AND(Pay_Num&lt;&gt;"",Sched_Pay+Extra_Pay&lt;Beg_Bal),Beg_Bal-Princ,IF(Pay_Num&lt;&gt;"",0,"")))</f>
        <v>144363.41832503659</v>
      </c>
      <c r="K27" s="34">
        <f ca="1">IF(scheduled_no_payments=1,"",SUM($I$13:$I27))</f>
        <v>9212.4224574113468</v>
      </c>
      <c r="L27" s="38"/>
    </row>
    <row r="28" spans="2:12" ht="16.5" customHeight="1" x14ac:dyDescent="0.25">
      <c r="B28" s="32">
        <f ca="1">IF(AND(Values_Entered,scheduled_no_payments&lt;&gt;1),B27+1,"")</f>
        <v>16</v>
      </c>
      <c r="C28" s="33">
        <f ca="1">IF(Pay_Num&lt;&gt;"",DATE(YEAR(C27)+VLOOKUP(Interval,LoanLookup[],4,FALSE),MONTH(C27)+VLOOKUP(Interval,LoanLookup[],2,FALSE),DAY(C27)+VLOOKUP(Interval,LoanLookup[],3,FALSE)),"")</f>
        <v>45325</v>
      </c>
      <c r="D28" s="34">
        <f t="shared" ca="1" si="2"/>
        <v>144363.41832503659</v>
      </c>
      <c r="E28" s="35">
        <f t="shared" ca="1" si="4"/>
        <v>989.93360882498609</v>
      </c>
      <c r="F28" s="36">
        <f ca="1">IF(scheduled_no_payments=1,"",IF(Sched_Pay+Scheduled_Extra_Payments&lt;Beg_Bal,Scheduled_Extra_Payments,IF(AND(Pay_Num&lt;&gt;"",Beg_Bal-Sched_Pay&gt;0),Beg_Bal-Sched_Pay,IF(Pay_Num&lt;&gt;"",0,""))))</f>
        <v>0</v>
      </c>
      <c r="G28" s="34">
        <f ca="1">IF(scheduled_no_payments=1,"",IF(Sched_Pay+Extra_Pay&lt;Beg_Bal,Sched_Pay+Extra_Pay,IF(Pay_Num&lt;&gt;"",Beg_Bal,"")))</f>
        <v>989.93360882498609</v>
      </c>
      <c r="H28" s="34">
        <f t="shared" ca="1" si="3"/>
        <v>388.41936580400034</v>
      </c>
      <c r="I28" s="34">
        <f ca="1">IF(Pay_Num&lt;&gt;"",Beg_Bal*(Interest_Rate/VLOOKUP(Interval,LoanLookup[],5,FALSE)),"")</f>
        <v>601.51424302098576</v>
      </c>
      <c r="J28" s="34">
        <f ca="1">IF(scheduled_no_payments=1,"",IF(AND(Pay_Num&lt;&gt;"",Sched_Pay+Extra_Pay&lt;Beg_Bal),Beg_Bal-Princ,IF(Pay_Num&lt;&gt;"",0,"")))</f>
        <v>143974.99895923259</v>
      </c>
      <c r="K28" s="34">
        <f ca="1">IF(scheduled_no_payments=1,"",SUM($I$13:$I28))</f>
        <v>9813.9367004323321</v>
      </c>
      <c r="L28" s="38"/>
    </row>
    <row r="29" spans="2:12" ht="16.5" customHeight="1" x14ac:dyDescent="0.25">
      <c r="B29" s="32">
        <f ca="1">IF(AND(Values_Entered,scheduled_no_payments&lt;&gt;1),B28+1,"")</f>
        <v>17</v>
      </c>
      <c r="C29" s="33">
        <f ca="1">IF(Pay_Num&lt;&gt;"",DATE(YEAR(C28)+VLOOKUP(Interval,LoanLookup[],4,FALSE),MONTH(C28)+VLOOKUP(Interval,LoanLookup[],2,FALSE),DAY(C28)+VLOOKUP(Interval,LoanLookup[],3,FALSE)),"")</f>
        <v>45354</v>
      </c>
      <c r="D29" s="34">
        <f t="shared" ca="1" si="2"/>
        <v>143974.99895923259</v>
      </c>
      <c r="E29" s="35">
        <f t="shared" ca="1" si="4"/>
        <v>989.93360882498609</v>
      </c>
      <c r="F29" s="36">
        <f ca="1">IF(scheduled_no_payments=1,"",IF(Sched_Pay+Scheduled_Extra_Payments&lt;Beg_Bal,Scheduled_Extra_Payments,IF(AND(Pay_Num&lt;&gt;"",Beg_Bal-Sched_Pay&gt;0),Beg_Bal-Sched_Pay,IF(Pay_Num&lt;&gt;"",0,""))))</f>
        <v>0</v>
      </c>
      <c r="G29" s="34">
        <f ca="1">IF(scheduled_no_payments=1,"",IF(Sched_Pay+Extra_Pay&lt;Beg_Bal,Sched_Pay+Extra_Pay,IF(Pay_Num&lt;&gt;"",Beg_Bal,"")))</f>
        <v>989.93360882498609</v>
      </c>
      <c r="H29" s="34">
        <f t="shared" ca="1" si="3"/>
        <v>390.0377798281836</v>
      </c>
      <c r="I29" s="34">
        <f ca="1">IF(Pay_Num&lt;&gt;"",Beg_Bal*(Interest_Rate/VLOOKUP(Interval,LoanLookup[],5,FALSE)),"")</f>
        <v>599.89582899680249</v>
      </c>
      <c r="J29" s="34">
        <f ca="1">IF(scheduled_no_payments=1,"",IF(AND(Pay_Num&lt;&gt;"",Sched_Pay+Extra_Pay&lt;Beg_Bal),Beg_Bal-Princ,IF(Pay_Num&lt;&gt;"",0,"")))</f>
        <v>143584.9611794044</v>
      </c>
      <c r="K29" s="34">
        <f ca="1">IF(scheduled_no_payments=1,"",SUM($I$13:$I29))</f>
        <v>10413.832529429135</v>
      </c>
      <c r="L29" s="38"/>
    </row>
    <row r="30" spans="2:12" ht="16.5" customHeight="1" x14ac:dyDescent="0.25">
      <c r="B30" s="32">
        <f ca="1">IF(AND(Values_Entered,scheduled_no_payments&lt;&gt;1),B29+1,"")</f>
        <v>18</v>
      </c>
      <c r="C30" s="33">
        <f ca="1">IF(Pay_Num&lt;&gt;"",DATE(YEAR(C29)+VLOOKUP(Interval,LoanLookup[],4,FALSE),MONTH(C29)+VLOOKUP(Interval,LoanLookup[],2,FALSE),DAY(C29)+VLOOKUP(Interval,LoanLookup[],3,FALSE)),"")</f>
        <v>45385</v>
      </c>
      <c r="D30" s="34">
        <f t="shared" ca="1" si="2"/>
        <v>143584.9611794044</v>
      </c>
      <c r="E30" s="35">
        <f t="shared" ca="1" si="4"/>
        <v>989.93360882498609</v>
      </c>
      <c r="F30" s="36">
        <f ca="1">IF(scheduled_no_payments=1,"",IF(Sched_Pay+Scheduled_Extra_Payments&lt;Beg_Bal,Scheduled_Extra_Payments,IF(AND(Pay_Num&lt;&gt;"",Beg_Bal-Sched_Pay&gt;0),Beg_Bal-Sched_Pay,IF(Pay_Num&lt;&gt;"",0,""))))</f>
        <v>0</v>
      </c>
      <c r="G30" s="34">
        <f ca="1">IF(scheduled_no_payments=1,"",IF(Sched_Pay+Extra_Pay&lt;Beg_Bal,Sched_Pay+Extra_Pay,IF(Pay_Num&lt;&gt;"",Beg_Bal,"")))</f>
        <v>989.93360882498609</v>
      </c>
      <c r="H30" s="34">
        <f t="shared" ca="1" si="3"/>
        <v>391.66293724413447</v>
      </c>
      <c r="I30" s="34">
        <f ca="1">IF(Pay_Num&lt;&gt;"",Beg_Bal*(Interest_Rate/VLOOKUP(Interval,LoanLookup[],5,FALSE)),"")</f>
        <v>598.27067158085163</v>
      </c>
      <c r="J30" s="34">
        <f ca="1">IF(scheduled_no_payments=1,"",IF(AND(Pay_Num&lt;&gt;"",Sched_Pay+Extra_Pay&lt;Beg_Bal),Beg_Bal-Princ,IF(Pay_Num&lt;&gt;"",0,"")))</f>
        <v>143193.29824216026</v>
      </c>
      <c r="K30" s="34">
        <f ca="1">IF(scheduled_no_payments=1,"",SUM($I$13:$I30))</f>
        <v>11012.103201009986</v>
      </c>
      <c r="L30" s="38"/>
    </row>
    <row r="31" spans="2:12" ht="16.5" customHeight="1" x14ac:dyDescent="0.25">
      <c r="B31" s="32">
        <f ca="1">IF(AND(Values_Entered,scheduled_no_payments&lt;&gt;1),B30+1,"")</f>
        <v>19</v>
      </c>
      <c r="C31" s="33">
        <f ca="1">IF(Pay_Num&lt;&gt;"",DATE(YEAR(C30)+VLOOKUP(Interval,LoanLookup[],4,FALSE),MONTH(C30)+VLOOKUP(Interval,LoanLookup[],2,FALSE),DAY(C30)+VLOOKUP(Interval,LoanLookup[],3,FALSE)),"")</f>
        <v>45415</v>
      </c>
      <c r="D31" s="34">
        <f t="shared" ca="1" si="2"/>
        <v>143193.29824216026</v>
      </c>
      <c r="E31" s="35">
        <f t="shared" ca="1" si="4"/>
        <v>989.93360882498609</v>
      </c>
      <c r="F31" s="36">
        <f ca="1">IF(scheduled_no_payments=1,"",IF(Sched_Pay+Scheduled_Extra_Payments&lt;Beg_Bal,Scheduled_Extra_Payments,IF(AND(Pay_Num&lt;&gt;"",Beg_Bal-Sched_Pay&gt;0),Beg_Bal-Sched_Pay,IF(Pay_Num&lt;&gt;"",0,""))))</f>
        <v>0</v>
      </c>
      <c r="G31" s="34">
        <f ca="1">IF(scheduled_no_payments=1,"",IF(Sched_Pay+Extra_Pay&lt;Beg_Bal,Sched_Pay+Extra_Pay,IF(Pay_Num&lt;&gt;"",Beg_Bal,"")))</f>
        <v>989.93360882498609</v>
      </c>
      <c r="H31" s="34">
        <f t="shared" ca="1" si="3"/>
        <v>393.2948661493183</v>
      </c>
      <c r="I31" s="34">
        <f ca="1">IF(Pay_Num&lt;&gt;"",Beg_Bal*(Interest_Rate/VLOOKUP(Interval,LoanLookup[],5,FALSE)),"")</f>
        <v>596.6387426756678</v>
      </c>
      <c r="J31" s="34">
        <f ca="1">IF(scheduled_no_payments=1,"",IF(AND(Pay_Num&lt;&gt;"",Sched_Pay+Extra_Pay&lt;Beg_Bal),Beg_Bal-Princ,IF(Pay_Num&lt;&gt;"",0,"")))</f>
        <v>142800.00337601095</v>
      </c>
      <c r="K31" s="34">
        <f ca="1">IF(scheduled_no_payments=1,"",SUM($I$13:$I31))</f>
        <v>11608.741943685654</v>
      </c>
      <c r="L31" s="38"/>
    </row>
    <row r="32" spans="2:12" ht="16.5" customHeight="1" x14ac:dyDescent="0.25">
      <c r="B32" s="32">
        <f ca="1">IF(AND(Values_Entered,scheduled_no_payments&lt;&gt;1),B31+1,"")</f>
        <v>20</v>
      </c>
      <c r="C32" s="33">
        <f ca="1">IF(Pay_Num&lt;&gt;"",DATE(YEAR(C31)+VLOOKUP(Interval,LoanLookup[],4,FALSE),MONTH(C31)+VLOOKUP(Interval,LoanLookup[],2,FALSE),DAY(C31)+VLOOKUP(Interval,LoanLookup[],3,FALSE)),"")</f>
        <v>45446</v>
      </c>
      <c r="D32" s="34">
        <f t="shared" ca="1" si="2"/>
        <v>142800.00337601095</v>
      </c>
      <c r="E32" s="35">
        <f t="shared" ca="1" si="4"/>
        <v>989.93360882498609</v>
      </c>
      <c r="F32" s="36">
        <f ca="1">IF(scheduled_no_payments=1,"",IF(Sched_Pay+Scheduled_Extra_Payments&lt;Beg_Bal,Scheduled_Extra_Payments,IF(AND(Pay_Num&lt;&gt;"",Beg_Bal-Sched_Pay&gt;0),Beg_Bal-Sched_Pay,IF(Pay_Num&lt;&gt;"",0,""))))</f>
        <v>0</v>
      </c>
      <c r="G32" s="34">
        <f ca="1">IF(scheduled_no_payments=1,"",IF(Sched_Pay+Extra_Pay&lt;Beg_Bal,Sched_Pay+Extra_Pay,IF(Pay_Num&lt;&gt;"",Beg_Bal,"")))</f>
        <v>989.93360882498609</v>
      </c>
      <c r="H32" s="34">
        <f t="shared" ca="1" si="3"/>
        <v>394.93359475827378</v>
      </c>
      <c r="I32" s="34">
        <f ca="1">IF(Pay_Num&lt;&gt;"",Beg_Bal*(Interest_Rate/VLOOKUP(Interval,LoanLookup[],5,FALSE)),"")</f>
        <v>595.00001406671231</v>
      </c>
      <c r="J32" s="34">
        <f ca="1">IF(scheduled_no_payments=1,"",IF(AND(Pay_Num&lt;&gt;"",Sched_Pay+Extra_Pay&lt;Beg_Bal),Beg_Bal-Princ,IF(Pay_Num&lt;&gt;"",0,"")))</f>
        <v>142405.06978125268</v>
      </c>
      <c r="K32" s="34">
        <f ca="1">IF(scheduled_no_payments=1,"",SUM($I$13:$I32))</f>
        <v>12203.741957752367</v>
      </c>
      <c r="L32" s="38"/>
    </row>
    <row r="33" spans="2:12" ht="16.5" customHeight="1" x14ac:dyDescent="0.25">
      <c r="B33" s="32">
        <f ca="1">IF(AND(Values_Entered,scheduled_no_payments&lt;&gt;1),B32+1,"")</f>
        <v>21</v>
      </c>
      <c r="C33" s="33">
        <f ca="1">IF(Pay_Num&lt;&gt;"",DATE(YEAR(C32)+VLOOKUP(Interval,LoanLookup[],4,FALSE),MONTH(C32)+VLOOKUP(Interval,LoanLookup[],2,FALSE),DAY(C32)+VLOOKUP(Interval,LoanLookup[],3,FALSE)),"")</f>
        <v>45476</v>
      </c>
      <c r="D33" s="34">
        <f t="shared" ca="1" si="2"/>
        <v>142405.06978125268</v>
      </c>
      <c r="E33" s="35">
        <f t="shared" ca="1" si="4"/>
        <v>989.93360882498609</v>
      </c>
      <c r="F33" s="36">
        <f ca="1">IF(scheduled_no_payments=1,"",IF(Sched_Pay+Scheduled_Extra_Payments&lt;Beg_Bal,Scheduled_Extra_Payments,IF(AND(Pay_Num&lt;&gt;"",Beg_Bal-Sched_Pay&gt;0),Beg_Bal-Sched_Pay,IF(Pay_Num&lt;&gt;"",0,""))))</f>
        <v>0</v>
      </c>
      <c r="G33" s="34">
        <f ca="1">IF(scheduled_no_payments=1,"",IF(Sched_Pay+Extra_Pay&lt;Beg_Bal,Sched_Pay+Extra_Pay,IF(Pay_Num&lt;&gt;"",Beg_Bal,"")))</f>
        <v>989.93360882498609</v>
      </c>
      <c r="H33" s="34">
        <f t="shared" ca="1" si="3"/>
        <v>396.5791514030999</v>
      </c>
      <c r="I33" s="34">
        <f ca="1">IF(Pay_Num&lt;&gt;"",Beg_Bal*(Interest_Rate/VLOOKUP(Interval,LoanLookup[],5,FALSE)),"")</f>
        <v>593.3544574218862</v>
      </c>
      <c r="J33" s="34">
        <f ca="1">IF(scheduled_no_payments=1,"",IF(AND(Pay_Num&lt;&gt;"",Sched_Pay+Extra_Pay&lt;Beg_Bal),Beg_Bal-Princ,IF(Pay_Num&lt;&gt;"",0,"")))</f>
        <v>142008.49062984958</v>
      </c>
      <c r="K33" s="34">
        <f ca="1">IF(scheduled_no_payments=1,"",SUM($I$13:$I33))</f>
        <v>12797.096415174254</v>
      </c>
      <c r="L33" s="38"/>
    </row>
    <row r="34" spans="2:12" ht="16.5" customHeight="1" x14ac:dyDescent="0.25">
      <c r="B34" s="32">
        <f ca="1">IF(AND(Values_Entered,scheduled_no_payments&lt;&gt;1),B33+1,"")</f>
        <v>22</v>
      </c>
      <c r="C34" s="33">
        <f ca="1">IF(Pay_Num&lt;&gt;"",DATE(YEAR(C33)+VLOOKUP(Interval,LoanLookup[],4,FALSE),MONTH(C33)+VLOOKUP(Interval,LoanLookup[],2,FALSE),DAY(C33)+VLOOKUP(Interval,LoanLookup[],3,FALSE)),"")</f>
        <v>45507</v>
      </c>
      <c r="D34" s="34">
        <f t="shared" ca="1" si="2"/>
        <v>142008.49062984958</v>
      </c>
      <c r="E34" s="35">
        <f t="shared" ca="1" si="4"/>
        <v>989.93360882498609</v>
      </c>
      <c r="F34" s="36">
        <f ca="1">IF(scheduled_no_payments=1,"",IF(Sched_Pay+Scheduled_Extra_Payments&lt;Beg_Bal,Scheduled_Extra_Payments,IF(AND(Pay_Num&lt;&gt;"",Beg_Bal-Sched_Pay&gt;0),Beg_Bal-Sched_Pay,IF(Pay_Num&lt;&gt;"",0,""))))</f>
        <v>0</v>
      </c>
      <c r="G34" s="34">
        <f ca="1">IF(scheduled_no_payments=1,"",IF(Sched_Pay+Extra_Pay&lt;Beg_Bal,Sched_Pay+Extra_Pay,IF(Pay_Num&lt;&gt;"",Beg_Bal,"")))</f>
        <v>989.93360882498609</v>
      </c>
      <c r="H34" s="34">
        <f t="shared" ca="1" si="3"/>
        <v>398.2315645339462</v>
      </c>
      <c r="I34" s="34">
        <f ca="1">IF(Pay_Num&lt;&gt;"",Beg_Bal*(Interest_Rate/VLOOKUP(Interval,LoanLookup[],5,FALSE)),"")</f>
        <v>591.7020442910399</v>
      </c>
      <c r="J34" s="34">
        <f ca="1">IF(scheduled_no_payments=1,"",IF(AND(Pay_Num&lt;&gt;"",Sched_Pay+Extra_Pay&lt;Beg_Bal),Beg_Bal-Princ,IF(Pay_Num&lt;&gt;"",0,"")))</f>
        <v>141610.25906531562</v>
      </c>
      <c r="K34" s="34">
        <f ca="1">IF(scheduled_no_payments=1,"",SUM($I$13:$I34))</f>
        <v>13388.798459465293</v>
      </c>
      <c r="L34" s="38"/>
    </row>
    <row r="35" spans="2:12" ht="16.5" customHeight="1" x14ac:dyDescent="0.25">
      <c r="B35" s="32">
        <f ca="1">IF(AND(Values_Entered,scheduled_no_payments&lt;&gt;1),B34+1,"")</f>
        <v>23</v>
      </c>
      <c r="C35" s="33">
        <f ca="1">IF(Pay_Num&lt;&gt;"",DATE(YEAR(C34)+VLOOKUP(Interval,LoanLookup[],4,FALSE),MONTH(C34)+VLOOKUP(Interval,LoanLookup[],2,FALSE),DAY(C34)+VLOOKUP(Interval,LoanLookup[],3,FALSE)),"")</f>
        <v>45538</v>
      </c>
      <c r="D35" s="34">
        <f t="shared" ca="1" si="2"/>
        <v>141610.25906531562</v>
      </c>
      <c r="E35" s="35">
        <f t="shared" ca="1" si="4"/>
        <v>989.93360882498609</v>
      </c>
      <c r="F35" s="36">
        <f ca="1">IF(scheduled_no_payments=1,"",IF(Sched_Pay+Scheduled_Extra_Payments&lt;Beg_Bal,Scheduled_Extra_Payments,IF(AND(Pay_Num&lt;&gt;"",Beg_Bal-Sched_Pay&gt;0),Beg_Bal-Sched_Pay,IF(Pay_Num&lt;&gt;"",0,""))))</f>
        <v>0</v>
      </c>
      <c r="G35" s="34">
        <f ca="1">IF(scheduled_no_payments=1,"",IF(Sched_Pay+Extra_Pay&lt;Beg_Bal,Sched_Pay+Extra_Pay,IF(Pay_Num&lt;&gt;"",Beg_Bal,"")))</f>
        <v>989.93360882498609</v>
      </c>
      <c r="H35" s="34">
        <f t="shared" ca="1" si="3"/>
        <v>399.8908627195043</v>
      </c>
      <c r="I35" s="34">
        <f ca="1">IF(Pay_Num&lt;&gt;"",Beg_Bal*(Interest_Rate/VLOOKUP(Interval,LoanLookup[],5,FALSE)),"")</f>
        <v>590.0427461054818</v>
      </c>
      <c r="J35" s="34">
        <f ca="1">IF(scheduled_no_payments=1,"",IF(AND(Pay_Num&lt;&gt;"",Sched_Pay+Extra_Pay&lt;Beg_Bal),Beg_Bal-Princ,IF(Pay_Num&lt;&gt;"",0,"")))</f>
        <v>141210.36820259612</v>
      </c>
      <c r="K35" s="34">
        <f ca="1">IF(scheduled_no_payments=1,"",SUM($I$13:$I35))</f>
        <v>13978.841205570776</v>
      </c>
      <c r="L35" s="38"/>
    </row>
    <row r="36" spans="2:12" ht="16.5" customHeight="1" x14ac:dyDescent="0.25">
      <c r="B36" s="32">
        <f ca="1">IF(AND(Values_Entered,scheduled_no_payments&lt;&gt;1),B35+1,"")</f>
        <v>24</v>
      </c>
      <c r="C36" s="33">
        <f ca="1">IF(Pay_Num&lt;&gt;"",DATE(YEAR(C35)+VLOOKUP(Interval,LoanLookup[],4,FALSE),MONTH(C35)+VLOOKUP(Interval,LoanLookup[],2,FALSE),DAY(C35)+VLOOKUP(Interval,LoanLookup[],3,FALSE)),"")</f>
        <v>45568</v>
      </c>
      <c r="D36" s="34">
        <f t="shared" ca="1" si="2"/>
        <v>141210.36820259612</v>
      </c>
      <c r="E36" s="35">
        <f t="shared" ca="1" si="4"/>
        <v>989.93360882498609</v>
      </c>
      <c r="F36" s="36">
        <f ca="1">IF(scheduled_no_payments=1,"",IF(Sched_Pay+Scheduled_Extra_Payments&lt;Beg_Bal,Scheduled_Extra_Payments,IF(AND(Pay_Num&lt;&gt;"",Beg_Bal-Sched_Pay&gt;0),Beg_Bal-Sched_Pay,IF(Pay_Num&lt;&gt;"",0,""))))</f>
        <v>0</v>
      </c>
      <c r="G36" s="34">
        <f ca="1">IF(scheduled_no_payments=1,"",IF(Sched_Pay+Extra_Pay&lt;Beg_Bal,Sched_Pay+Extra_Pay,IF(Pay_Num&lt;&gt;"",Beg_Bal,"")))</f>
        <v>989.93360882498609</v>
      </c>
      <c r="H36" s="34">
        <f t="shared" ca="1" si="3"/>
        <v>401.5570746475023</v>
      </c>
      <c r="I36" s="34">
        <f ca="1">IF(Pay_Num&lt;&gt;"",Beg_Bal*(Interest_Rate/VLOOKUP(Interval,LoanLookup[],5,FALSE)),"")</f>
        <v>588.37653417748379</v>
      </c>
      <c r="J36" s="34">
        <f ca="1">IF(scheduled_no_payments=1,"",IF(AND(Pay_Num&lt;&gt;"",Sched_Pay+Extra_Pay&lt;Beg_Bal),Beg_Bal-Princ,IF(Pay_Num&lt;&gt;"",0,"")))</f>
        <v>140808.8111279486</v>
      </c>
      <c r="K36" s="34">
        <f ca="1">IF(scheduled_no_payments=1,"",SUM($I$13:$I36))</f>
        <v>14567.217739748259</v>
      </c>
      <c r="L36" s="38"/>
    </row>
    <row r="37" spans="2:12" ht="16.5" customHeight="1" x14ac:dyDescent="0.25">
      <c r="B37" s="32">
        <f ca="1">IF(AND(Values_Entered,scheduled_no_payments&lt;&gt;1),B36+1,"")</f>
        <v>25</v>
      </c>
      <c r="C37" s="33">
        <f ca="1">IF(Pay_Num&lt;&gt;"",DATE(YEAR(C36)+VLOOKUP(Interval,LoanLookup[],4,FALSE),MONTH(C36)+VLOOKUP(Interval,LoanLookup[],2,FALSE),DAY(C36)+VLOOKUP(Interval,LoanLookup[],3,FALSE)),"")</f>
        <v>45599</v>
      </c>
      <c r="D37" s="34">
        <f t="shared" ca="1" si="2"/>
        <v>140808.8111279486</v>
      </c>
      <c r="E37" s="35">
        <f t="shared" ca="1" si="4"/>
        <v>989.93360882498609</v>
      </c>
      <c r="F37" s="36">
        <f ca="1">IF(scheduled_no_payments=1,"",IF(Sched_Pay+Scheduled_Extra_Payments&lt;Beg_Bal,Scheduled_Extra_Payments,IF(AND(Pay_Num&lt;&gt;"",Beg_Bal-Sched_Pay&gt;0),Beg_Bal-Sched_Pay,IF(Pay_Num&lt;&gt;"",0,""))))</f>
        <v>0</v>
      </c>
      <c r="G37" s="34">
        <f ca="1">IF(scheduled_no_payments=1,"",IF(Sched_Pay+Extra_Pay&lt;Beg_Bal,Sched_Pay+Extra_Pay,IF(Pay_Num&lt;&gt;"",Beg_Bal,"")))</f>
        <v>989.93360882498609</v>
      </c>
      <c r="H37" s="34">
        <f t="shared" ca="1" si="3"/>
        <v>403.23022912520025</v>
      </c>
      <c r="I37" s="34">
        <f ca="1">IF(Pay_Num&lt;&gt;"",Beg_Bal*(Interest_Rate/VLOOKUP(Interval,LoanLookup[],5,FALSE)),"")</f>
        <v>586.70337969978584</v>
      </c>
      <c r="J37" s="34">
        <f ca="1">IF(scheduled_no_payments=1,"",IF(AND(Pay_Num&lt;&gt;"",Sched_Pay+Extra_Pay&lt;Beg_Bal),Beg_Bal-Princ,IF(Pay_Num&lt;&gt;"",0,"")))</f>
        <v>140405.58089882339</v>
      </c>
      <c r="K37" s="34">
        <f ca="1">IF(scheduled_no_payments=1,"",SUM($I$13:$I37))</f>
        <v>15153.921119448045</v>
      </c>
      <c r="L37" s="38"/>
    </row>
    <row r="38" spans="2:12" ht="16.5" customHeight="1" x14ac:dyDescent="0.25">
      <c r="B38" s="32">
        <f ca="1">IF(AND(Values_Entered,scheduled_no_payments&lt;&gt;1),B37+1,"")</f>
        <v>26</v>
      </c>
      <c r="C38" s="33">
        <f ca="1">IF(Pay_Num&lt;&gt;"",DATE(YEAR(C37)+VLOOKUP(Interval,LoanLookup[],4,FALSE),MONTH(C37)+VLOOKUP(Interval,LoanLookup[],2,FALSE),DAY(C37)+VLOOKUP(Interval,LoanLookup[],3,FALSE)),"")</f>
        <v>45629</v>
      </c>
      <c r="D38" s="34">
        <f t="shared" ca="1" si="2"/>
        <v>140405.58089882339</v>
      </c>
      <c r="E38" s="35">
        <f t="shared" ca="1" si="4"/>
        <v>989.93360882498609</v>
      </c>
      <c r="F38" s="36">
        <f ca="1">IF(scheduled_no_payments=1,"",IF(Sched_Pay+Scheduled_Extra_Payments&lt;Beg_Bal,Scheduled_Extra_Payments,IF(AND(Pay_Num&lt;&gt;"",Beg_Bal-Sched_Pay&gt;0),Beg_Bal-Sched_Pay,IF(Pay_Num&lt;&gt;"",0,""))))</f>
        <v>0</v>
      </c>
      <c r="G38" s="34">
        <f ca="1">IF(scheduled_no_payments=1,"",IF(Sched_Pay+Extra_Pay&lt;Beg_Bal,Sched_Pay+Extra_Pay,IF(Pay_Num&lt;&gt;"",Beg_Bal,"")))</f>
        <v>989.93360882498609</v>
      </c>
      <c r="H38" s="34">
        <f t="shared" ca="1" si="3"/>
        <v>404.91035507988863</v>
      </c>
      <c r="I38" s="34">
        <f ca="1">IF(Pay_Num&lt;&gt;"",Beg_Bal*(Interest_Rate/VLOOKUP(Interval,LoanLookup[],5,FALSE)),"")</f>
        <v>585.02325374509746</v>
      </c>
      <c r="J38" s="34">
        <f ca="1">IF(scheduled_no_payments=1,"",IF(AND(Pay_Num&lt;&gt;"",Sched_Pay+Extra_Pay&lt;Beg_Bal),Beg_Bal-Princ,IF(Pay_Num&lt;&gt;"",0,"")))</f>
        <v>140000.6705437435</v>
      </c>
      <c r="K38" s="34">
        <f ca="1">IF(scheduled_no_payments=1,"",SUM($I$13:$I38))</f>
        <v>15738.944373193142</v>
      </c>
      <c r="L38" s="38"/>
    </row>
    <row r="39" spans="2:12" ht="16.5" customHeight="1" x14ac:dyDescent="0.25">
      <c r="B39" s="32">
        <f ca="1">IF(AND(Values_Entered,scheduled_no_payments&lt;&gt;1),B38+1,"")</f>
        <v>27</v>
      </c>
      <c r="C39" s="33">
        <f ca="1">IF(Pay_Num&lt;&gt;"",DATE(YEAR(C38)+VLOOKUP(Interval,LoanLookup[],4,FALSE),MONTH(C38)+VLOOKUP(Interval,LoanLookup[],2,FALSE),DAY(C38)+VLOOKUP(Interval,LoanLookup[],3,FALSE)),"")</f>
        <v>45660</v>
      </c>
      <c r="D39" s="34">
        <f t="shared" ca="1" si="2"/>
        <v>140000.6705437435</v>
      </c>
      <c r="E39" s="35">
        <f t="shared" ca="1" si="4"/>
        <v>989.93360882498609</v>
      </c>
      <c r="F39" s="36">
        <f ca="1">IF(scheduled_no_payments=1,"",IF(Sched_Pay+Scheduled_Extra_Payments&lt;Beg_Bal,Scheduled_Extra_Payments,IF(AND(Pay_Num&lt;&gt;"",Beg_Bal-Sched_Pay&gt;0),Beg_Bal-Sched_Pay,IF(Pay_Num&lt;&gt;"",0,""))))</f>
        <v>0</v>
      </c>
      <c r="G39" s="34">
        <f ca="1">IF(scheduled_no_payments=1,"",IF(Sched_Pay+Extra_Pay&lt;Beg_Bal,Sched_Pay+Extra_Pay,IF(Pay_Num&lt;&gt;"",Beg_Bal,"")))</f>
        <v>989.93360882498609</v>
      </c>
      <c r="H39" s="34">
        <f t="shared" ca="1" si="3"/>
        <v>406.59748155938814</v>
      </c>
      <c r="I39" s="34">
        <f ca="1">IF(Pay_Num&lt;&gt;"",Beg_Bal*(Interest_Rate/VLOOKUP(Interval,LoanLookup[],5,FALSE)),"")</f>
        <v>583.33612726559795</v>
      </c>
      <c r="J39" s="34">
        <f ca="1">IF(scheduled_no_payments=1,"",IF(AND(Pay_Num&lt;&gt;"",Sched_Pay+Extra_Pay&lt;Beg_Bal),Beg_Bal-Princ,IF(Pay_Num&lt;&gt;"",0,"")))</f>
        <v>139594.07306218412</v>
      </c>
      <c r="K39" s="34">
        <f ca="1">IF(scheduled_no_payments=1,"",SUM($I$13:$I39))</f>
        <v>16322.280500458741</v>
      </c>
      <c r="L39" s="38"/>
    </row>
    <row r="40" spans="2:12" ht="16.5" customHeight="1" x14ac:dyDescent="0.25">
      <c r="B40" s="32">
        <f ca="1">IF(AND(Values_Entered,scheduled_no_payments&lt;&gt;1),B39+1,"")</f>
        <v>28</v>
      </c>
      <c r="C40" s="33">
        <f ca="1">IF(Pay_Num&lt;&gt;"",DATE(YEAR(C39)+VLOOKUP(Interval,LoanLookup[],4,FALSE),MONTH(C39)+VLOOKUP(Interval,LoanLookup[],2,FALSE),DAY(C39)+VLOOKUP(Interval,LoanLookup[],3,FALSE)),"")</f>
        <v>45691</v>
      </c>
      <c r="D40" s="34">
        <f t="shared" ca="1" si="2"/>
        <v>139594.07306218412</v>
      </c>
      <c r="E40" s="35">
        <f t="shared" ca="1" si="4"/>
        <v>989.93360882498609</v>
      </c>
      <c r="F40" s="36">
        <f ca="1">IF(scheduled_no_payments=1,"",IF(Sched_Pay+Scheduled_Extra_Payments&lt;Beg_Bal,Scheduled_Extra_Payments,IF(AND(Pay_Num&lt;&gt;"",Beg_Bal-Sched_Pay&gt;0),Beg_Bal-Sched_Pay,IF(Pay_Num&lt;&gt;"",0,""))))</f>
        <v>0</v>
      </c>
      <c r="G40" s="34">
        <f ca="1">IF(scheduled_no_payments=1,"",IF(Sched_Pay+Extra_Pay&lt;Beg_Bal,Sched_Pay+Extra_Pay,IF(Pay_Num&lt;&gt;"",Beg_Bal,"")))</f>
        <v>989.93360882498609</v>
      </c>
      <c r="H40" s="34">
        <f t="shared" ca="1" si="3"/>
        <v>408.29163773255232</v>
      </c>
      <c r="I40" s="34">
        <f ca="1">IF(Pay_Num&lt;&gt;"",Beg_Bal*(Interest_Rate/VLOOKUP(Interval,LoanLookup[],5,FALSE)),"")</f>
        <v>581.64197109243378</v>
      </c>
      <c r="J40" s="34">
        <f ca="1">IF(scheduled_no_payments=1,"",IF(AND(Pay_Num&lt;&gt;"",Sched_Pay+Extra_Pay&lt;Beg_Bal),Beg_Bal-Princ,IF(Pay_Num&lt;&gt;"",0,"")))</f>
        <v>139185.78142445156</v>
      </c>
      <c r="K40" s="34">
        <f ca="1">IF(scheduled_no_payments=1,"",SUM($I$13:$I40))</f>
        <v>16903.922471551174</v>
      </c>
      <c r="L40" s="38"/>
    </row>
    <row r="41" spans="2:12" ht="16.5" customHeight="1" x14ac:dyDescent="0.25">
      <c r="B41" s="32">
        <f ca="1">IF(AND(Values_Entered,scheduled_no_payments&lt;&gt;1),B40+1,"")</f>
        <v>29</v>
      </c>
      <c r="C41" s="33">
        <f ca="1">IF(Pay_Num&lt;&gt;"",DATE(YEAR(C40)+VLOOKUP(Interval,LoanLookup[],4,FALSE),MONTH(C40)+VLOOKUP(Interval,LoanLookup[],2,FALSE),DAY(C40)+VLOOKUP(Interval,LoanLookup[],3,FALSE)),"")</f>
        <v>45719</v>
      </c>
      <c r="D41" s="34">
        <f t="shared" ca="1" si="2"/>
        <v>139185.78142445156</v>
      </c>
      <c r="E41" s="35">
        <f t="shared" ca="1" si="4"/>
        <v>989.93360882498609</v>
      </c>
      <c r="F41" s="36">
        <f ca="1">IF(scheduled_no_payments=1,"",IF(Sched_Pay+Scheduled_Extra_Payments&lt;Beg_Bal,Scheduled_Extra_Payments,IF(AND(Pay_Num&lt;&gt;"",Beg_Bal-Sched_Pay&gt;0),Beg_Bal-Sched_Pay,IF(Pay_Num&lt;&gt;"",0,""))))</f>
        <v>0</v>
      </c>
      <c r="G41" s="34">
        <f ca="1">IF(scheduled_no_payments=1,"",IF(Sched_Pay+Extra_Pay&lt;Beg_Bal,Sched_Pay+Extra_Pay,IF(Pay_Num&lt;&gt;"",Beg_Bal,"")))</f>
        <v>989.93360882498609</v>
      </c>
      <c r="H41" s="34">
        <f t="shared" ca="1" si="3"/>
        <v>409.99285288977126</v>
      </c>
      <c r="I41" s="34">
        <f ca="1">IF(Pay_Num&lt;&gt;"",Beg_Bal*(Interest_Rate/VLOOKUP(Interval,LoanLookup[],5,FALSE)),"")</f>
        <v>579.94075593521484</v>
      </c>
      <c r="J41" s="34">
        <f ca="1">IF(scheduled_no_payments=1,"",IF(AND(Pay_Num&lt;&gt;"",Sched_Pay+Extra_Pay&lt;Beg_Bal),Beg_Bal-Princ,IF(Pay_Num&lt;&gt;"",0,"")))</f>
        <v>138775.7885715618</v>
      </c>
      <c r="K41" s="34">
        <f ca="1">IF(scheduled_no_payments=1,"",SUM($I$13:$I41))</f>
        <v>17483.863227486388</v>
      </c>
      <c r="L41" s="38"/>
    </row>
    <row r="42" spans="2:12" ht="16.5" customHeight="1" x14ac:dyDescent="0.25">
      <c r="B42" s="32">
        <f ca="1">IF(AND(Values_Entered,scheduled_no_payments&lt;&gt;1),B41+1,"")</f>
        <v>30</v>
      </c>
      <c r="C42" s="33">
        <f ca="1">IF(Pay_Num&lt;&gt;"",DATE(YEAR(C41)+VLOOKUP(Interval,LoanLookup[],4,FALSE),MONTH(C41)+VLOOKUP(Interval,LoanLookup[],2,FALSE),DAY(C41)+VLOOKUP(Interval,LoanLookup[],3,FALSE)),"")</f>
        <v>45750</v>
      </c>
      <c r="D42" s="34">
        <f t="shared" ca="1" si="2"/>
        <v>138775.7885715618</v>
      </c>
      <c r="E42" s="35">
        <f t="shared" ca="1" si="4"/>
        <v>989.93360882498609</v>
      </c>
      <c r="F42" s="36">
        <f ca="1">IF(scheduled_no_payments=1,"",IF(Sched_Pay+Scheduled_Extra_Payments&lt;Beg_Bal,Scheduled_Extra_Payments,IF(AND(Pay_Num&lt;&gt;"",Beg_Bal-Sched_Pay&gt;0),Beg_Bal-Sched_Pay,IF(Pay_Num&lt;&gt;"",0,""))))</f>
        <v>0</v>
      </c>
      <c r="G42" s="34">
        <f ca="1">IF(scheduled_no_payments=1,"",IF(Sched_Pay+Extra_Pay&lt;Beg_Bal,Sched_Pay+Extra_Pay,IF(Pay_Num&lt;&gt;"",Beg_Bal,"")))</f>
        <v>989.93360882498609</v>
      </c>
      <c r="H42" s="34">
        <f t="shared" ca="1" si="3"/>
        <v>411.70115644347857</v>
      </c>
      <c r="I42" s="34">
        <f ca="1">IF(Pay_Num&lt;&gt;"",Beg_Bal*(Interest_Rate/VLOOKUP(Interval,LoanLookup[],5,FALSE)),"")</f>
        <v>578.23245238150753</v>
      </c>
      <c r="J42" s="34">
        <f ca="1">IF(scheduled_no_payments=1,"",IF(AND(Pay_Num&lt;&gt;"",Sched_Pay+Extra_Pay&lt;Beg_Bal),Beg_Bal-Princ,IF(Pay_Num&lt;&gt;"",0,"")))</f>
        <v>138364.08741511832</v>
      </c>
      <c r="K42" s="34">
        <f ca="1">IF(scheduled_no_payments=1,"",SUM($I$13:$I42))</f>
        <v>18062.095679867896</v>
      </c>
      <c r="L42" s="38"/>
    </row>
    <row r="43" spans="2:12" ht="16.5" customHeight="1" x14ac:dyDescent="0.25">
      <c r="B43" s="32">
        <f ca="1">IF(AND(Values_Entered,scheduled_no_payments&lt;&gt;1),B42+1,"")</f>
        <v>31</v>
      </c>
      <c r="C43" s="33">
        <f ca="1">IF(Pay_Num&lt;&gt;"",DATE(YEAR(C42)+VLOOKUP(Interval,LoanLookup[],4,FALSE),MONTH(C42)+VLOOKUP(Interval,LoanLookup[],2,FALSE),DAY(C42)+VLOOKUP(Interval,LoanLookup[],3,FALSE)),"")</f>
        <v>45780</v>
      </c>
      <c r="D43" s="34">
        <f t="shared" ca="1" si="2"/>
        <v>138364.08741511832</v>
      </c>
      <c r="E43" s="35">
        <f t="shared" ca="1" si="4"/>
        <v>989.93360882498609</v>
      </c>
      <c r="F43" s="36">
        <f ca="1">IF(scheduled_no_payments=1,"",IF(Sched_Pay+Scheduled_Extra_Payments&lt;Beg_Bal,Scheduled_Extra_Payments,IF(AND(Pay_Num&lt;&gt;"",Beg_Bal-Sched_Pay&gt;0),Beg_Bal-Sched_Pay,IF(Pay_Num&lt;&gt;"",0,""))))</f>
        <v>0</v>
      </c>
      <c r="G43" s="34">
        <f ca="1">IF(scheduled_no_payments=1,"",IF(Sched_Pay+Extra_Pay&lt;Beg_Bal,Sched_Pay+Extra_Pay,IF(Pay_Num&lt;&gt;"",Beg_Bal,"")))</f>
        <v>989.93360882498609</v>
      </c>
      <c r="H43" s="34">
        <f t="shared" ca="1" si="3"/>
        <v>413.41657792865976</v>
      </c>
      <c r="I43" s="34">
        <f ca="1">IF(Pay_Num&lt;&gt;"",Beg_Bal*(Interest_Rate/VLOOKUP(Interval,LoanLookup[],5,FALSE)),"")</f>
        <v>576.51703089632633</v>
      </c>
      <c r="J43" s="34">
        <f ca="1">IF(scheduled_no_payments=1,"",IF(AND(Pay_Num&lt;&gt;"",Sched_Pay+Extra_Pay&lt;Beg_Bal),Beg_Bal-Princ,IF(Pay_Num&lt;&gt;"",0,"")))</f>
        <v>137950.67083718965</v>
      </c>
      <c r="K43" s="34">
        <f ca="1">IF(scheduled_no_payments=1,"",SUM($I$13:$I43))</f>
        <v>18638.612710764224</v>
      </c>
      <c r="L43" s="38"/>
    </row>
    <row r="44" spans="2:12" ht="16.5" customHeight="1" x14ac:dyDescent="0.25">
      <c r="B44" s="32">
        <f ca="1">IF(AND(Values_Entered,scheduled_no_payments&lt;&gt;1),B43+1,"")</f>
        <v>32</v>
      </c>
      <c r="C44" s="33">
        <f ca="1">IF(Pay_Num&lt;&gt;"",DATE(YEAR(C43)+VLOOKUP(Interval,LoanLookup[],4,FALSE),MONTH(C43)+VLOOKUP(Interval,LoanLookup[],2,FALSE),DAY(C43)+VLOOKUP(Interval,LoanLookup[],3,FALSE)),"")</f>
        <v>45811</v>
      </c>
      <c r="D44" s="34">
        <f t="shared" ca="1" si="2"/>
        <v>137950.67083718965</v>
      </c>
      <c r="E44" s="35">
        <f t="shared" ca="1" si="4"/>
        <v>989.93360882498609</v>
      </c>
      <c r="F44" s="36">
        <f ca="1">IF(scheduled_no_payments=1,"",IF(Sched_Pay+Scheduled_Extra_Payments&lt;Beg_Bal,Scheduled_Extra_Payments,IF(AND(Pay_Num&lt;&gt;"",Beg_Bal-Sched_Pay&gt;0),Beg_Bal-Sched_Pay,IF(Pay_Num&lt;&gt;"",0,""))))</f>
        <v>0</v>
      </c>
      <c r="G44" s="34">
        <f ca="1">IF(scheduled_no_payments=1,"",IF(Sched_Pay+Extra_Pay&lt;Beg_Bal,Sched_Pay+Extra_Pay,IF(Pay_Num&lt;&gt;"",Beg_Bal,"")))</f>
        <v>989.93360882498609</v>
      </c>
      <c r="H44" s="34">
        <f t="shared" ca="1" si="3"/>
        <v>415.1391470033625</v>
      </c>
      <c r="I44" s="34">
        <f ca="1">IF(Pay_Num&lt;&gt;"",Beg_Bal*(Interest_Rate/VLOOKUP(Interval,LoanLookup[],5,FALSE)),"")</f>
        <v>574.7944618216236</v>
      </c>
      <c r="J44" s="34">
        <f ca="1">IF(scheduled_no_payments=1,"",IF(AND(Pay_Num&lt;&gt;"",Sched_Pay+Extra_Pay&lt;Beg_Bal),Beg_Bal-Princ,IF(Pay_Num&lt;&gt;"",0,"")))</f>
        <v>137535.5316901863</v>
      </c>
      <c r="K44" s="34">
        <f ca="1">IF(scheduled_no_payments=1,"",SUM($I$13:$I44))</f>
        <v>19213.407172585848</v>
      </c>
      <c r="L44" s="38"/>
    </row>
    <row r="45" spans="2:12" ht="16.5" customHeight="1" x14ac:dyDescent="0.25">
      <c r="B45" s="32">
        <f ca="1">IF(AND(Values_Entered,scheduled_no_payments&lt;&gt;1),B44+1,"")</f>
        <v>33</v>
      </c>
      <c r="C45" s="33">
        <f ca="1">IF(Pay_Num&lt;&gt;"",DATE(YEAR(C44)+VLOOKUP(Interval,LoanLookup[],4,FALSE),MONTH(C44)+VLOOKUP(Interval,LoanLookup[],2,FALSE),DAY(C44)+VLOOKUP(Interval,LoanLookup[],3,FALSE)),"")</f>
        <v>45841</v>
      </c>
      <c r="D45" s="34">
        <f t="shared" ca="1" si="2"/>
        <v>137535.5316901863</v>
      </c>
      <c r="E45" s="35">
        <f t="shared" ca="1" si="4"/>
        <v>989.93360882498609</v>
      </c>
      <c r="F45" s="36">
        <f ca="1">IF(scheduled_no_payments=1,"",IF(Sched_Pay+Scheduled_Extra_Payments&lt;Beg_Bal,Scheduled_Extra_Payments,IF(AND(Pay_Num&lt;&gt;"",Beg_Bal-Sched_Pay&gt;0),Beg_Bal-Sched_Pay,IF(Pay_Num&lt;&gt;"",0,""))))</f>
        <v>0</v>
      </c>
      <c r="G45" s="34">
        <f ca="1">IF(scheduled_no_payments=1,"",IF(Sched_Pay+Extra_Pay&lt;Beg_Bal,Sched_Pay+Extra_Pay,IF(Pay_Num&lt;&gt;"",Beg_Bal,"")))</f>
        <v>989.93360882498609</v>
      </c>
      <c r="H45" s="34">
        <f t="shared" ca="1" si="3"/>
        <v>416.86889344920985</v>
      </c>
      <c r="I45" s="34">
        <f ca="1">IF(Pay_Num&lt;&gt;"",Beg_Bal*(Interest_Rate/VLOOKUP(Interval,LoanLookup[],5,FALSE)),"")</f>
        <v>573.06471537577625</v>
      </c>
      <c r="J45" s="34">
        <f ca="1">IF(scheduled_no_payments=1,"",IF(AND(Pay_Num&lt;&gt;"",Sched_Pay+Extra_Pay&lt;Beg_Bal),Beg_Bal-Princ,IF(Pay_Num&lt;&gt;"",0,"")))</f>
        <v>137118.66279673707</v>
      </c>
      <c r="K45" s="34">
        <f ca="1">IF(scheduled_no_payments=1,"",SUM($I$13:$I45))</f>
        <v>19786.471887961623</v>
      </c>
      <c r="L45" s="38"/>
    </row>
    <row r="46" spans="2:12" ht="16.5" customHeight="1" x14ac:dyDescent="0.25">
      <c r="B46" s="32">
        <f ca="1">IF(AND(Values_Entered,scheduled_no_payments&lt;&gt;1),B45+1,"")</f>
        <v>34</v>
      </c>
      <c r="C46" s="33">
        <f ca="1">IF(Pay_Num&lt;&gt;"",DATE(YEAR(C45)+VLOOKUP(Interval,LoanLookup[],4,FALSE),MONTH(C45)+VLOOKUP(Interval,LoanLookup[],2,FALSE),DAY(C45)+VLOOKUP(Interval,LoanLookup[],3,FALSE)),"")</f>
        <v>45872</v>
      </c>
      <c r="D46" s="34">
        <f t="shared" ca="1" si="2"/>
        <v>137118.66279673707</v>
      </c>
      <c r="E46" s="35">
        <f t="shared" ca="1" si="4"/>
        <v>989.93360882498609</v>
      </c>
      <c r="F46" s="36">
        <f ca="1">IF(scheduled_no_payments=1,"",IF(Sched_Pay+Scheduled_Extra_Payments&lt;Beg_Bal,Scheduled_Extra_Payments,IF(AND(Pay_Num&lt;&gt;"",Beg_Bal-Sched_Pay&gt;0),Beg_Bal-Sched_Pay,IF(Pay_Num&lt;&gt;"",0,""))))</f>
        <v>0</v>
      </c>
      <c r="G46" s="34">
        <f ca="1">IF(scheduled_no_payments=1,"",IF(Sched_Pay+Extra_Pay&lt;Beg_Bal,Sched_Pay+Extra_Pay,IF(Pay_Num&lt;&gt;"",Beg_Bal,"")))</f>
        <v>989.93360882498609</v>
      </c>
      <c r="H46" s="34">
        <f t="shared" ca="1" si="3"/>
        <v>418.605847171915</v>
      </c>
      <c r="I46" s="34">
        <f ca="1">IF(Pay_Num&lt;&gt;"",Beg_Bal*(Interest_Rate/VLOOKUP(Interval,LoanLookup[],5,FALSE)),"")</f>
        <v>571.32776165307109</v>
      </c>
      <c r="J46" s="34">
        <f ca="1">IF(scheduled_no_payments=1,"",IF(AND(Pay_Num&lt;&gt;"",Sched_Pay+Extra_Pay&lt;Beg_Bal),Beg_Bal-Princ,IF(Pay_Num&lt;&gt;"",0,"")))</f>
        <v>136700.05694956516</v>
      </c>
      <c r="K46" s="34">
        <f ca="1">IF(scheduled_no_payments=1,"",SUM($I$13:$I46))</f>
        <v>20357.799649614695</v>
      </c>
      <c r="L46" s="38"/>
    </row>
    <row r="47" spans="2:12" ht="16.5" customHeight="1" x14ac:dyDescent="0.25">
      <c r="B47" s="32">
        <f ca="1">IF(AND(Values_Entered,scheduled_no_payments&lt;&gt;1),B46+1,"")</f>
        <v>35</v>
      </c>
      <c r="C47" s="33">
        <f ca="1">IF(Pay_Num&lt;&gt;"",DATE(YEAR(C46)+VLOOKUP(Interval,LoanLookup[],4,FALSE),MONTH(C46)+VLOOKUP(Interval,LoanLookup[],2,FALSE),DAY(C46)+VLOOKUP(Interval,LoanLookup[],3,FALSE)),"")</f>
        <v>45903</v>
      </c>
      <c r="D47" s="34">
        <f t="shared" ca="1" si="2"/>
        <v>136700.05694956516</v>
      </c>
      <c r="E47" s="35">
        <f t="shared" ca="1" si="4"/>
        <v>989.93360882498609</v>
      </c>
      <c r="F47" s="36">
        <f ca="1">IF(scheduled_no_payments=1,"",IF(Sched_Pay+Scheduled_Extra_Payments&lt;Beg_Bal,Scheduled_Extra_Payments,IF(AND(Pay_Num&lt;&gt;"",Beg_Bal-Sched_Pay&gt;0),Beg_Bal-Sched_Pay,IF(Pay_Num&lt;&gt;"",0,""))))</f>
        <v>0</v>
      </c>
      <c r="G47" s="34">
        <f ca="1">IF(scheduled_no_payments=1,"",IF(Sched_Pay+Extra_Pay&lt;Beg_Bal,Sched_Pay+Extra_Pay,IF(Pay_Num&lt;&gt;"",Beg_Bal,"")))</f>
        <v>989.93360882498609</v>
      </c>
      <c r="H47" s="34">
        <f t="shared" ca="1" si="3"/>
        <v>420.35003820179793</v>
      </c>
      <c r="I47" s="34">
        <f ca="1">IF(Pay_Num&lt;&gt;"",Beg_Bal*(Interest_Rate/VLOOKUP(Interval,LoanLookup[],5,FALSE)),"")</f>
        <v>569.58357062318817</v>
      </c>
      <c r="J47" s="34">
        <f ca="1">IF(scheduled_no_payments=1,"",IF(AND(Pay_Num&lt;&gt;"",Sched_Pay+Extra_Pay&lt;Beg_Bal),Beg_Bal-Princ,IF(Pay_Num&lt;&gt;"",0,"")))</f>
        <v>136279.70691136335</v>
      </c>
      <c r="K47" s="34">
        <f ca="1">IF(scheduled_no_payments=1,"",SUM($I$13:$I47))</f>
        <v>20927.383220237884</v>
      </c>
      <c r="L47" s="38"/>
    </row>
    <row r="48" spans="2:12" ht="16.5" customHeight="1" x14ac:dyDescent="0.25">
      <c r="B48" s="32">
        <f ca="1">IF(AND(Values_Entered,scheduled_no_payments&lt;&gt;1),B47+1,"")</f>
        <v>36</v>
      </c>
      <c r="C48" s="33">
        <f ca="1">IF(Pay_Num&lt;&gt;"",DATE(YEAR(C47)+VLOOKUP(Interval,LoanLookup[],4,FALSE),MONTH(C47)+VLOOKUP(Interval,LoanLookup[],2,FALSE),DAY(C47)+VLOOKUP(Interval,LoanLookup[],3,FALSE)),"")</f>
        <v>45933</v>
      </c>
      <c r="D48" s="34">
        <f t="shared" ca="1" si="2"/>
        <v>136279.70691136335</v>
      </c>
      <c r="E48" s="35">
        <f t="shared" ca="1" si="4"/>
        <v>989.93360882498609</v>
      </c>
      <c r="F48" s="36">
        <f ca="1">IF(scheduled_no_payments=1,"",IF(Sched_Pay+Scheduled_Extra_Payments&lt;Beg_Bal,Scheduled_Extra_Payments,IF(AND(Pay_Num&lt;&gt;"",Beg_Bal-Sched_Pay&gt;0),Beg_Bal-Sched_Pay,IF(Pay_Num&lt;&gt;"",0,""))))</f>
        <v>0</v>
      </c>
      <c r="G48" s="34">
        <f ca="1">IF(scheduled_no_payments=1,"",IF(Sched_Pay+Extra_Pay&lt;Beg_Bal,Sched_Pay+Extra_Pay,IF(Pay_Num&lt;&gt;"",Beg_Bal,"")))</f>
        <v>989.93360882498609</v>
      </c>
      <c r="H48" s="34">
        <f t="shared" ca="1" si="3"/>
        <v>422.10149669430552</v>
      </c>
      <c r="I48" s="34">
        <f ca="1">IF(Pay_Num&lt;&gt;"",Beg_Bal*(Interest_Rate/VLOOKUP(Interval,LoanLookup[],5,FALSE)),"")</f>
        <v>567.83211213068057</v>
      </c>
      <c r="J48" s="34">
        <f ca="1">IF(scheduled_no_payments=1,"",IF(AND(Pay_Num&lt;&gt;"",Sched_Pay+Extra_Pay&lt;Beg_Bal),Beg_Bal-Princ,IF(Pay_Num&lt;&gt;"",0,"")))</f>
        <v>135857.60541466903</v>
      </c>
      <c r="K48" s="34">
        <f ca="1">IF(scheduled_no_payments=1,"",SUM($I$13:$I48))</f>
        <v>21495.215332368563</v>
      </c>
      <c r="L48" s="38"/>
    </row>
    <row r="49" spans="2:12" ht="16.5" customHeight="1" x14ac:dyDescent="0.25">
      <c r="B49" s="32">
        <f ca="1">IF(AND(Values_Entered,scheduled_no_payments&lt;&gt;1),B48+1,"")</f>
        <v>37</v>
      </c>
      <c r="C49" s="33">
        <f ca="1">IF(Pay_Num&lt;&gt;"",DATE(YEAR(C48)+VLOOKUP(Interval,LoanLookup[],4,FALSE),MONTH(C48)+VLOOKUP(Interval,LoanLookup[],2,FALSE),DAY(C48)+VLOOKUP(Interval,LoanLookup[],3,FALSE)),"")</f>
        <v>45964</v>
      </c>
      <c r="D49" s="34">
        <f t="shared" ca="1" si="2"/>
        <v>135857.60541466903</v>
      </c>
      <c r="E49" s="35">
        <f t="shared" ca="1" si="4"/>
        <v>989.93360882498609</v>
      </c>
      <c r="F49" s="36">
        <f ca="1">IF(scheduled_no_payments=1,"",IF(Sched_Pay+Scheduled_Extra_Payments&lt;Beg_Bal,Scheduled_Extra_Payments,IF(AND(Pay_Num&lt;&gt;"",Beg_Bal-Sched_Pay&gt;0),Beg_Bal-Sched_Pay,IF(Pay_Num&lt;&gt;"",0,""))))</f>
        <v>0</v>
      </c>
      <c r="G49" s="34">
        <f ca="1">IF(scheduled_no_payments=1,"",IF(Sched_Pay+Extra_Pay&lt;Beg_Bal,Sched_Pay+Extra_Pay,IF(Pay_Num&lt;&gt;"",Beg_Bal,"")))</f>
        <v>989.93360882498609</v>
      </c>
      <c r="H49" s="34">
        <f t="shared" ca="1" si="3"/>
        <v>423.86025293053183</v>
      </c>
      <c r="I49" s="34">
        <f ca="1">IF(Pay_Num&lt;&gt;"",Beg_Bal*(Interest_Rate/VLOOKUP(Interval,LoanLookup[],5,FALSE)),"")</f>
        <v>566.07335589445427</v>
      </c>
      <c r="J49" s="34">
        <f ca="1">IF(scheduled_no_payments=1,"",IF(AND(Pay_Num&lt;&gt;"",Sched_Pay+Extra_Pay&lt;Beg_Bal),Beg_Bal-Princ,IF(Pay_Num&lt;&gt;"",0,"")))</f>
        <v>135433.74516173851</v>
      </c>
      <c r="K49" s="34">
        <f ca="1">IF(scheduled_no_payments=1,"",SUM($I$13:$I49))</f>
        <v>22061.288688263019</v>
      </c>
      <c r="L49" s="38"/>
    </row>
    <row r="50" spans="2:12" ht="16.5" customHeight="1" x14ac:dyDescent="0.25">
      <c r="B50" s="32">
        <f ca="1">IF(AND(Values_Entered,scheduled_no_payments&lt;&gt;1),B49+1,"")</f>
        <v>38</v>
      </c>
      <c r="C50" s="33">
        <f ca="1">IF(Pay_Num&lt;&gt;"",DATE(YEAR(C49)+VLOOKUP(Interval,LoanLookup[],4,FALSE),MONTH(C49)+VLOOKUP(Interval,LoanLookup[],2,FALSE),DAY(C49)+VLOOKUP(Interval,LoanLookup[],3,FALSE)),"")</f>
        <v>45994</v>
      </c>
      <c r="D50" s="34">
        <f t="shared" ca="1" si="2"/>
        <v>135433.74516173851</v>
      </c>
      <c r="E50" s="35">
        <f t="shared" ca="1" si="4"/>
        <v>989.93360882498609</v>
      </c>
      <c r="F50" s="36">
        <f ca="1">IF(scheduled_no_payments=1,"",IF(Sched_Pay+Scheduled_Extra_Payments&lt;Beg_Bal,Scheduled_Extra_Payments,IF(AND(Pay_Num&lt;&gt;"",Beg_Bal-Sched_Pay&gt;0),Beg_Bal-Sched_Pay,IF(Pay_Num&lt;&gt;"",0,""))))</f>
        <v>0</v>
      </c>
      <c r="G50" s="34">
        <f ca="1">IF(scheduled_no_payments=1,"",IF(Sched_Pay+Extra_Pay&lt;Beg_Bal,Sched_Pay+Extra_Pay,IF(Pay_Num&lt;&gt;"",Beg_Bal,"")))</f>
        <v>989.93360882498609</v>
      </c>
      <c r="H50" s="34">
        <f t="shared" ca="1" si="3"/>
        <v>425.62633731774235</v>
      </c>
      <c r="I50" s="34">
        <f ca="1">IF(Pay_Num&lt;&gt;"",Beg_Bal*(Interest_Rate/VLOOKUP(Interval,LoanLookup[],5,FALSE)),"")</f>
        <v>564.30727150724374</v>
      </c>
      <c r="J50" s="34">
        <f ca="1">IF(scheduled_no_payments=1,"",IF(AND(Pay_Num&lt;&gt;"",Sched_Pay+Extra_Pay&lt;Beg_Bal),Beg_Bal-Princ,IF(Pay_Num&lt;&gt;"",0,"")))</f>
        <v>135008.11882442076</v>
      </c>
      <c r="K50" s="34">
        <f ca="1">IF(scheduled_no_payments=1,"",SUM($I$13:$I50))</f>
        <v>22625.595959770264</v>
      </c>
      <c r="L50" s="38"/>
    </row>
    <row r="51" spans="2:12" ht="16.5" customHeight="1" x14ac:dyDescent="0.25">
      <c r="B51" s="32">
        <f ca="1">IF(AND(Values_Entered,scheduled_no_payments&lt;&gt;1),B50+1,"")</f>
        <v>39</v>
      </c>
      <c r="C51" s="33">
        <f ca="1">IF(Pay_Num&lt;&gt;"",DATE(YEAR(C50)+VLOOKUP(Interval,LoanLookup[],4,FALSE),MONTH(C50)+VLOOKUP(Interval,LoanLookup[],2,FALSE),DAY(C50)+VLOOKUP(Interval,LoanLookup[],3,FALSE)),"")</f>
        <v>46025</v>
      </c>
      <c r="D51" s="34">
        <f t="shared" ca="1" si="2"/>
        <v>135008.11882442076</v>
      </c>
      <c r="E51" s="35">
        <f t="shared" ca="1" si="4"/>
        <v>989.93360882498609</v>
      </c>
      <c r="F51" s="36">
        <f ca="1">IF(scheduled_no_payments=1,"",IF(Sched_Pay+Scheduled_Extra_Payments&lt;Beg_Bal,Scheduled_Extra_Payments,IF(AND(Pay_Num&lt;&gt;"",Beg_Bal-Sched_Pay&gt;0),Beg_Bal-Sched_Pay,IF(Pay_Num&lt;&gt;"",0,""))))</f>
        <v>0</v>
      </c>
      <c r="G51" s="34">
        <f ca="1">IF(scheduled_no_payments=1,"",IF(Sched_Pay+Extra_Pay&lt;Beg_Bal,Sched_Pay+Extra_Pay,IF(Pay_Num&lt;&gt;"",Beg_Bal,"")))</f>
        <v>989.93360882498609</v>
      </c>
      <c r="H51" s="34">
        <f t="shared" ca="1" si="3"/>
        <v>427.39978038989966</v>
      </c>
      <c r="I51" s="34">
        <f ca="1">IF(Pay_Num&lt;&gt;"",Beg_Bal*(Interest_Rate/VLOOKUP(Interval,LoanLookup[],5,FALSE)),"")</f>
        <v>562.53382843508643</v>
      </c>
      <c r="J51" s="34">
        <f ca="1">IF(scheduled_no_payments=1,"",IF(AND(Pay_Num&lt;&gt;"",Sched_Pay+Extra_Pay&lt;Beg_Bal),Beg_Bal-Princ,IF(Pay_Num&lt;&gt;"",0,"")))</f>
        <v>134580.71904403085</v>
      </c>
      <c r="K51" s="34">
        <f ca="1">IF(scheduled_no_payments=1,"",SUM($I$13:$I51))</f>
        <v>23188.129788205351</v>
      </c>
      <c r="L51" s="38"/>
    </row>
    <row r="52" spans="2:12" ht="16.5" customHeight="1" x14ac:dyDescent="0.25">
      <c r="B52" s="32">
        <f ca="1">IF(AND(Values_Entered,scheduled_no_payments&lt;&gt;1),B51+1,"")</f>
        <v>40</v>
      </c>
      <c r="C52" s="33">
        <f ca="1">IF(Pay_Num&lt;&gt;"",DATE(YEAR(C51)+VLOOKUP(Interval,LoanLookup[],4,FALSE),MONTH(C51)+VLOOKUP(Interval,LoanLookup[],2,FALSE),DAY(C51)+VLOOKUP(Interval,LoanLookup[],3,FALSE)),"")</f>
        <v>46056</v>
      </c>
      <c r="D52" s="34">
        <f t="shared" ca="1" si="2"/>
        <v>134580.71904403085</v>
      </c>
      <c r="E52" s="35">
        <f t="shared" ca="1" si="4"/>
        <v>989.93360882498609</v>
      </c>
      <c r="F52" s="36">
        <f ca="1">IF(scheduled_no_payments=1,"",IF(Sched_Pay+Scheduled_Extra_Payments&lt;Beg_Bal,Scheduled_Extra_Payments,IF(AND(Pay_Num&lt;&gt;"",Beg_Bal-Sched_Pay&gt;0),Beg_Bal-Sched_Pay,IF(Pay_Num&lt;&gt;"",0,""))))</f>
        <v>0</v>
      </c>
      <c r="G52" s="34">
        <f ca="1">IF(scheduled_no_payments=1,"",IF(Sched_Pay+Extra_Pay&lt;Beg_Bal,Sched_Pay+Extra_Pay,IF(Pay_Num&lt;&gt;"",Beg_Bal,"")))</f>
        <v>989.93360882498609</v>
      </c>
      <c r="H52" s="34">
        <f t="shared" ca="1" si="3"/>
        <v>429.18061280819086</v>
      </c>
      <c r="I52" s="34">
        <f ca="1">IF(Pay_Num&lt;&gt;"",Beg_Bal*(Interest_Rate/VLOOKUP(Interval,LoanLookup[],5,FALSE)),"")</f>
        <v>560.75299601679524</v>
      </c>
      <c r="J52" s="34">
        <f ca="1">IF(scheduled_no_payments=1,"",IF(AND(Pay_Num&lt;&gt;"",Sched_Pay+Extra_Pay&lt;Beg_Bal),Beg_Bal-Princ,IF(Pay_Num&lt;&gt;"",0,"")))</f>
        <v>134151.53843122267</v>
      </c>
      <c r="K52" s="34">
        <f ca="1">IF(scheduled_no_payments=1,"",SUM($I$13:$I52))</f>
        <v>23748.882784222147</v>
      </c>
      <c r="L52" s="38"/>
    </row>
    <row r="53" spans="2:12" ht="16.5" customHeight="1" x14ac:dyDescent="0.25">
      <c r="B53" s="32">
        <f ca="1">IF(AND(Values_Entered,scheduled_no_payments&lt;&gt;1),B52+1,"")</f>
        <v>41</v>
      </c>
      <c r="C53" s="33">
        <f ca="1">IF(Pay_Num&lt;&gt;"",DATE(YEAR(C52)+VLOOKUP(Interval,LoanLookup[],4,FALSE),MONTH(C52)+VLOOKUP(Interval,LoanLookup[],2,FALSE),DAY(C52)+VLOOKUP(Interval,LoanLookup[],3,FALSE)),"")</f>
        <v>46084</v>
      </c>
      <c r="D53" s="34">
        <f t="shared" ca="1" si="2"/>
        <v>134151.53843122267</v>
      </c>
      <c r="E53" s="35">
        <f t="shared" ca="1" si="4"/>
        <v>989.93360882498609</v>
      </c>
      <c r="F53" s="36">
        <f ca="1">IF(scheduled_no_payments=1,"",IF(Sched_Pay+Scheduled_Extra_Payments&lt;Beg_Bal,Scheduled_Extra_Payments,IF(AND(Pay_Num&lt;&gt;"",Beg_Bal-Sched_Pay&gt;0),Beg_Bal-Sched_Pay,IF(Pay_Num&lt;&gt;"",0,""))))</f>
        <v>0</v>
      </c>
      <c r="G53" s="34">
        <f ca="1">IF(scheduled_no_payments=1,"",IF(Sched_Pay+Extra_Pay&lt;Beg_Bal,Sched_Pay+Extra_Pay,IF(Pay_Num&lt;&gt;"",Beg_Bal,"")))</f>
        <v>989.93360882498609</v>
      </c>
      <c r="H53" s="34">
        <f t="shared" ca="1" si="3"/>
        <v>430.9688653615583</v>
      </c>
      <c r="I53" s="34">
        <f ca="1">IF(Pay_Num&lt;&gt;"",Beg_Bal*(Interest_Rate/VLOOKUP(Interval,LoanLookup[],5,FALSE)),"")</f>
        <v>558.96474346342779</v>
      </c>
      <c r="J53" s="34">
        <f ca="1">IF(scheduled_no_payments=1,"",IF(AND(Pay_Num&lt;&gt;"",Sched_Pay+Extra_Pay&lt;Beg_Bal),Beg_Bal-Princ,IF(Pay_Num&lt;&gt;"",0,"")))</f>
        <v>133720.56956586111</v>
      </c>
      <c r="K53" s="34">
        <f ca="1">IF(scheduled_no_payments=1,"",SUM($I$13:$I53))</f>
        <v>24307.847527685575</v>
      </c>
      <c r="L53" s="38"/>
    </row>
    <row r="54" spans="2:12" ht="16.5" customHeight="1" x14ac:dyDescent="0.25">
      <c r="B54" s="32">
        <f ca="1">IF(AND(Values_Entered,scheduled_no_payments&lt;&gt;1),B53+1,"")</f>
        <v>42</v>
      </c>
      <c r="C54" s="33">
        <f ca="1">IF(Pay_Num&lt;&gt;"",DATE(YEAR(C53)+VLOOKUP(Interval,LoanLookup[],4,FALSE),MONTH(C53)+VLOOKUP(Interval,LoanLookup[],2,FALSE),DAY(C53)+VLOOKUP(Interval,LoanLookup[],3,FALSE)),"")</f>
        <v>46115</v>
      </c>
      <c r="D54" s="34">
        <f t="shared" ca="1" si="2"/>
        <v>133720.56956586111</v>
      </c>
      <c r="E54" s="35">
        <f t="shared" ca="1" si="4"/>
        <v>989.93360882498609</v>
      </c>
      <c r="F54" s="36">
        <f ca="1">IF(scheduled_no_payments=1,"",IF(Sched_Pay+Scheduled_Extra_Payments&lt;Beg_Bal,Scheduled_Extra_Payments,IF(AND(Pay_Num&lt;&gt;"",Beg_Bal-Sched_Pay&gt;0),Beg_Bal-Sched_Pay,IF(Pay_Num&lt;&gt;"",0,""))))</f>
        <v>0</v>
      </c>
      <c r="G54" s="34">
        <f ca="1">IF(scheduled_no_payments=1,"",IF(Sched_Pay+Extra_Pay&lt;Beg_Bal,Sched_Pay+Extra_Pay,IF(Pay_Num&lt;&gt;"",Beg_Bal,"")))</f>
        <v>989.93360882498609</v>
      </c>
      <c r="H54" s="34">
        <f t="shared" ca="1" si="3"/>
        <v>432.76456896723153</v>
      </c>
      <c r="I54" s="34">
        <f ca="1">IF(Pay_Num&lt;&gt;"",Beg_Bal*(Interest_Rate/VLOOKUP(Interval,LoanLookup[],5,FALSE)),"")</f>
        <v>557.16903985775457</v>
      </c>
      <c r="J54" s="34">
        <f ca="1">IF(scheduled_no_payments=1,"",IF(AND(Pay_Num&lt;&gt;"",Sched_Pay+Extra_Pay&lt;Beg_Bal),Beg_Bal-Princ,IF(Pay_Num&lt;&gt;"",0,"")))</f>
        <v>133287.80499689389</v>
      </c>
      <c r="K54" s="34">
        <f ca="1">IF(scheduled_no_payments=1,"",SUM($I$13:$I54))</f>
        <v>24865.016567543331</v>
      </c>
      <c r="L54" s="38"/>
    </row>
    <row r="55" spans="2:12" ht="16.5" customHeight="1" x14ac:dyDescent="0.25">
      <c r="B55" s="32">
        <f ca="1">IF(AND(Values_Entered,scheduled_no_payments&lt;&gt;1),B54+1,"")</f>
        <v>43</v>
      </c>
      <c r="C55" s="33">
        <f ca="1">IF(Pay_Num&lt;&gt;"",DATE(YEAR(C54)+VLOOKUP(Interval,LoanLookup[],4,FALSE),MONTH(C54)+VLOOKUP(Interval,LoanLookup[],2,FALSE),DAY(C54)+VLOOKUP(Interval,LoanLookup[],3,FALSE)),"")</f>
        <v>46145</v>
      </c>
      <c r="D55" s="34">
        <f t="shared" ca="1" si="2"/>
        <v>133287.80499689389</v>
      </c>
      <c r="E55" s="35">
        <f t="shared" ca="1" si="4"/>
        <v>989.93360882498609</v>
      </c>
      <c r="F55" s="36">
        <f ca="1">IF(scheduled_no_payments=1,"",IF(Sched_Pay+Scheduled_Extra_Payments&lt;Beg_Bal,Scheduled_Extra_Payments,IF(AND(Pay_Num&lt;&gt;"",Beg_Bal-Sched_Pay&gt;0),Beg_Bal-Sched_Pay,IF(Pay_Num&lt;&gt;"",0,""))))</f>
        <v>0</v>
      </c>
      <c r="G55" s="34">
        <f ca="1">IF(scheduled_no_payments=1,"",IF(Sched_Pay+Extra_Pay&lt;Beg_Bal,Sched_Pay+Extra_Pay,IF(Pay_Num&lt;&gt;"",Beg_Bal,"")))</f>
        <v>989.93360882498609</v>
      </c>
      <c r="H55" s="34">
        <f t="shared" ca="1" si="3"/>
        <v>434.56775467126158</v>
      </c>
      <c r="I55" s="34">
        <f ca="1">IF(Pay_Num&lt;&gt;"",Beg_Bal*(Interest_Rate/VLOOKUP(Interval,LoanLookup[],5,FALSE)),"")</f>
        <v>555.36585415372451</v>
      </c>
      <c r="J55" s="34">
        <f ca="1">IF(scheduled_no_payments=1,"",IF(AND(Pay_Num&lt;&gt;"",Sched_Pay+Extra_Pay&lt;Beg_Bal),Beg_Bal-Princ,IF(Pay_Num&lt;&gt;"",0,"")))</f>
        <v>132853.23724222262</v>
      </c>
      <c r="K55" s="34">
        <f ca="1">IF(scheduled_no_payments=1,"",SUM($I$13:$I55))</f>
        <v>25420.382421697057</v>
      </c>
      <c r="L55" s="38"/>
    </row>
    <row r="56" spans="2:12" ht="16.5" customHeight="1" x14ac:dyDescent="0.25">
      <c r="B56" s="32">
        <f ca="1">IF(AND(Values_Entered,scheduled_no_payments&lt;&gt;1),B55+1,"")</f>
        <v>44</v>
      </c>
      <c r="C56" s="33">
        <f ca="1">IF(Pay_Num&lt;&gt;"",DATE(YEAR(C55)+VLOOKUP(Interval,LoanLookup[],4,FALSE),MONTH(C55)+VLOOKUP(Interval,LoanLookup[],2,FALSE),DAY(C55)+VLOOKUP(Interval,LoanLookup[],3,FALSE)),"")</f>
        <v>46176</v>
      </c>
      <c r="D56" s="34">
        <f t="shared" ca="1" si="2"/>
        <v>132853.23724222262</v>
      </c>
      <c r="E56" s="35">
        <f t="shared" ca="1" si="4"/>
        <v>989.93360882498609</v>
      </c>
      <c r="F56" s="36">
        <f ca="1">IF(scheduled_no_payments=1,"",IF(Sched_Pay+Scheduled_Extra_Payments&lt;Beg_Bal,Scheduled_Extra_Payments,IF(AND(Pay_Num&lt;&gt;"",Beg_Bal-Sched_Pay&gt;0),Beg_Bal-Sched_Pay,IF(Pay_Num&lt;&gt;"",0,""))))</f>
        <v>0</v>
      </c>
      <c r="G56" s="34">
        <f ca="1">IF(scheduled_no_payments=1,"",IF(Sched_Pay+Extra_Pay&lt;Beg_Bal,Sched_Pay+Extra_Pay,IF(Pay_Num&lt;&gt;"",Beg_Bal,"")))</f>
        <v>989.93360882498609</v>
      </c>
      <c r="H56" s="34">
        <f t="shared" ca="1" si="3"/>
        <v>436.37845364905854</v>
      </c>
      <c r="I56" s="34">
        <f ca="1">IF(Pay_Num&lt;&gt;"",Beg_Bal*(Interest_Rate/VLOOKUP(Interval,LoanLookup[],5,FALSE)),"")</f>
        <v>553.55515517592755</v>
      </c>
      <c r="J56" s="34">
        <f ca="1">IF(scheduled_no_payments=1,"",IF(AND(Pay_Num&lt;&gt;"",Sched_Pay+Extra_Pay&lt;Beg_Bal),Beg_Bal-Princ,IF(Pay_Num&lt;&gt;"",0,"")))</f>
        <v>132416.85878857356</v>
      </c>
      <c r="K56" s="34">
        <f ca="1">IF(scheduled_no_payments=1,"",SUM($I$13:$I56))</f>
        <v>25973.937576872984</v>
      </c>
      <c r="L56" s="38"/>
    </row>
    <row r="57" spans="2:12" ht="16.5" customHeight="1" x14ac:dyDescent="0.25">
      <c r="B57" s="32">
        <f ca="1">IF(AND(Values_Entered,scheduled_no_payments&lt;&gt;1),B56+1,"")</f>
        <v>45</v>
      </c>
      <c r="C57" s="33">
        <f ca="1">IF(Pay_Num&lt;&gt;"",DATE(YEAR(C56)+VLOOKUP(Interval,LoanLookup[],4,FALSE),MONTH(C56)+VLOOKUP(Interval,LoanLookup[],2,FALSE),DAY(C56)+VLOOKUP(Interval,LoanLookup[],3,FALSE)),"")</f>
        <v>46206</v>
      </c>
      <c r="D57" s="34">
        <f t="shared" ca="1" si="2"/>
        <v>132416.85878857356</v>
      </c>
      <c r="E57" s="35">
        <f t="shared" ca="1" si="4"/>
        <v>989.93360882498609</v>
      </c>
      <c r="F57" s="36">
        <f ca="1">IF(scheduled_no_payments=1,"",IF(Sched_Pay+Scheduled_Extra_Payments&lt;Beg_Bal,Scheduled_Extra_Payments,IF(AND(Pay_Num&lt;&gt;"",Beg_Bal-Sched_Pay&gt;0),Beg_Bal-Sched_Pay,IF(Pay_Num&lt;&gt;"",0,""))))</f>
        <v>0</v>
      </c>
      <c r="G57" s="34">
        <f ca="1">IF(scheduled_no_payments=1,"",IF(Sched_Pay+Extra_Pay&lt;Beg_Bal,Sched_Pay+Extra_Pay,IF(Pay_Num&lt;&gt;"",Beg_Bal,"")))</f>
        <v>989.93360882498609</v>
      </c>
      <c r="H57" s="34">
        <f t="shared" ca="1" si="3"/>
        <v>438.19669720592958</v>
      </c>
      <c r="I57" s="34">
        <f ca="1">IF(Pay_Num&lt;&gt;"",Beg_Bal*(Interest_Rate/VLOOKUP(Interval,LoanLookup[],5,FALSE)),"")</f>
        <v>551.73691161905651</v>
      </c>
      <c r="J57" s="34">
        <f ca="1">IF(scheduled_no_payments=1,"",IF(AND(Pay_Num&lt;&gt;"",Sched_Pay+Extra_Pay&lt;Beg_Bal),Beg_Bal-Princ,IF(Pay_Num&lt;&gt;"",0,"")))</f>
        <v>131978.66209136765</v>
      </c>
      <c r="K57" s="34">
        <f ca="1">IF(scheduled_no_payments=1,"",SUM($I$13:$I57))</f>
        <v>26525.674488492041</v>
      </c>
      <c r="L57" s="38"/>
    </row>
    <row r="58" spans="2:12" ht="16.5" customHeight="1" x14ac:dyDescent="0.25">
      <c r="B58" s="32">
        <f ca="1">IF(AND(Values_Entered,scheduled_no_payments&lt;&gt;1),B57+1,"")</f>
        <v>46</v>
      </c>
      <c r="C58" s="33">
        <f ca="1">IF(Pay_Num&lt;&gt;"",DATE(YEAR(C57)+VLOOKUP(Interval,LoanLookup[],4,FALSE),MONTH(C57)+VLOOKUP(Interval,LoanLookup[],2,FALSE),DAY(C57)+VLOOKUP(Interval,LoanLookup[],3,FALSE)),"")</f>
        <v>46237</v>
      </c>
      <c r="D58" s="34">
        <f t="shared" ca="1" si="2"/>
        <v>131978.66209136765</v>
      </c>
      <c r="E58" s="35">
        <f t="shared" ca="1" si="4"/>
        <v>989.93360882498609</v>
      </c>
      <c r="F58" s="36">
        <f ca="1">IF(scheduled_no_payments=1,"",IF(Sched_Pay+Scheduled_Extra_Payments&lt;Beg_Bal,Scheduled_Extra_Payments,IF(AND(Pay_Num&lt;&gt;"",Beg_Bal-Sched_Pay&gt;0),Beg_Bal-Sched_Pay,IF(Pay_Num&lt;&gt;"",0,""))))</f>
        <v>0</v>
      </c>
      <c r="G58" s="34">
        <f ca="1">IF(scheduled_no_payments=1,"",IF(Sched_Pay+Extra_Pay&lt;Beg_Bal,Sched_Pay+Extra_Pay,IF(Pay_Num&lt;&gt;"",Beg_Bal,"")))</f>
        <v>989.93360882498609</v>
      </c>
      <c r="H58" s="34">
        <f t="shared" ca="1" si="3"/>
        <v>440.02251677762092</v>
      </c>
      <c r="I58" s="34">
        <f ca="1">IF(Pay_Num&lt;&gt;"",Beg_Bal*(Interest_Rate/VLOOKUP(Interval,LoanLookup[],5,FALSE)),"")</f>
        <v>549.91109204736517</v>
      </c>
      <c r="J58" s="34">
        <f ca="1">IF(scheduled_no_payments=1,"",IF(AND(Pay_Num&lt;&gt;"",Sched_Pay+Extra_Pay&lt;Beg_Bal),Beg_Bal-Princ,IF(Pay_Num&lt;&gt;"",0,"")))</f>
        <v>131538.63957459002</v>
      </c>
      <c r="K58" s="34">
        <f ca="1">IF(scheduled_no_payments=1,"",SUM($I$13:$I58))</f>
        <v>27075.585580539406</v>
      </c>
      <c r="L58" s="38"/>
    </row>
    <row r="59" spans="2:12" ht="16.5" customHeight="1" x14ac:dyDescent="0.25">
      <c r="B59" s="32">
        <f ca="1">IF(AND(Values_Entered,scheduled_no_payments&lt;&gt;1),B58+1,"")</f>
        <v>47</v>
      </c>
      <c r="C59" s="33">
        <f ca="1">IF(Pay_Num&lt;&gt;"",DATE(YEAR(C58)+VLOOKUP(Interval,LoanLookup[],4,FALSE),MONTH(C58)+VLOOKUP(Interval,LoanLookup[],2,FALSE),DAY(C58)+VLOOKUP(Interval,LoanLookup[],3,FALSE)),"")</f>
        <v>46268</v>
      </c>
      <c r="D59" s="34">
        <f t="shared" ca="1" si="2"/>
        <v>131538.63957459002</v>
      </c>
      <c r="E59" s="35">
        <f t="shared" ca="1" si="4"/>
        <v>989.93360882498609</v>
      </c>
      <c r="F59" s="36">
        <f ca="1">IF(scheduled_no_payments=1,"",IF(Sched_Pay+Scheduled_Extra_Payments&lt;Beg_Bal,Scheduled_Extra_Payments,IF(AND(Pay_Num&lt;&gt;"",Beg_Bal-Sched_Pay&gt;0),Beg_Bal-Sched_Pay,IF(Pay_Num&lt;&gt;"",0,""))))</f>
        <v>0</v>
      </c>
      <c r="G59" s="34">
        <f ca="1">IF(scheduled_no_payments=1,"",IF(Sched_Pay+Extra_Pay&lt;Beg_Bal,Sched_Pay+Extra_Pay,IF(Pay_Num&lt;&gt;"",Beg_Bal,"")))</f>
        <v>989.93360882498609</v>
      </c>
      <c r="H59" s="34">
        <f t="shared" ca="1" si="3"/>
        <v>441.85594393086103</v>
      </c>
      <c r="I59" s="34">
        <f ca="1">IF(Pay_Num&lt;&gt;"",Beg_Bal*(Interest_Rate/VLOOKUP(Interval,LoanLookup[],5,FALSE)),"")</f>
        <v>548.07766489412506</v>
      </c>
      <c r="J59" s="34">
        <f ca="1">IF(scheduled_no_payments=1,"",IF(AND(Pay_Num&lt;&gt;"",Sched_Pay+Extra_Pay&lt;Beg_Bal),Beg_Bal-Princ,IF(Pay_Num&lt;&gt;"",0,"")))</f>
        <v>131096.78363065916</v>
      </c>
      <c r="K59" s="34">
        <f ca="1">IF(scheduled_no_payments=1,"",SUM($I$13:$I59))</f>
        <v>27623.66324543353</v>
      </c>
      <c r="L59" s="38"/>
    </row>
    <row r="60" spans="2:12" ht="16.5" customHeight="1" x14ac:dyDescent="0.25">
      <c r="B60" s="32">
        <f ca="1">IF(AND(Values_Entered,scheduled_no_payments&lt;&gt;1),B59+1,"")</f>
        <v>48</v>
      </c>
      <c r="C60" s="33">
        <f ca="1">IF(Pay_Num&lt;&gt;"",DATE(YEAR(C59)+VLOOKUP(Interval,LoanLookup[],4,FALSE),MONTH(C59)+VLOOKUP(Interval,LoanLookup[],2,FALSE),DAY(C59)+VLOOKUP(Interval,LoanLookup[],3,FALSE)),"")</f>
        <v>46298</v>
      </c>
      <c r="D60" s="34">
        <f t="shared" ca="1" si="2"/>
        <v>131096.78363065916</v>
      </c>
      <c r="E60" s="35">
        <f t="shared" ca="1" si="4"/>
        <v>989.93360882498609</v>
      </c>
      <c r="F60" s="36">
        <f ca="1">IF(scheduled_no_payments=1,"",IF(Sched_Pay+Scheduled_Extra_Payments&lt;Beg_Bal,Scheduled_Extra_Payments,IF(AND(Pay_Num&lt;&gt;"",Beg_Bal-Sched_Pay&gt;0),Beg_Bal-Sched_Pay,IF(Pay_Num&lt;&gt;"",0,""))))</f>
        <v>0</v>
      </c>
      <c r="G60" s="34">
        <f ca="1">IF(scheduled_no_payments=1,"",IF(Sched_Pay+Extra_Pay&lt;Beg_Bal,Sched_Pay+Extra_Pay,IF(Pay_Num&lt;&gt;"",Beg_Bal,"")))</f>
        <v>989.93360882498609</v>
      </c>
      <c r="H60" s="34">
        <f t="shared" ca="1" si="3"/>
        <v>443.6970103639062</v>
      </c>
      <c r="I60" s="34">
        <f ca="1">IF(Pay_Num&lt;&gt;"",Beg_Bal*(Interest_Rate/VLOOKUP(Interval,LoanLookup[],5,FALSE)),"")</f>
        <v>546.23659846107989</v>
      </c>
      <c r="J60" s="34">
        <f ca="1">IF(scheduled_no_payments=1,"",IF(AND(Pay_Num&lt;&gt;"",Sched_Pay+Extra_Pay&lt;Beg_Bal),Beg_Bal-Princ,IF(Pay_Num&lt;&gt;"",0,"")))</f>
        <v>130653.08662029526</v>
      </c>
      <c r="K60" s="34">
        <f ca="1">IF(scheduled_no_payments=1,"",SUM($I$13:$I60))</f>
        <v>28169.899843894611</v>
      </c>
      <c r="L60" s="38"/>
    </row>
    <row r="61" spans="2:12" ht="16.5" customHeight="1" x14ac:dyDescent="0.25">
      <c r="B61" s="32">
        <f ca="1">IF(AND(Values_Entered,scheduled_no_payments&lt;&gt;1),B60+1,"")</f>
        <v>49</v>
      </c>
      <c r="C61" s="33">
        <f ca="1">IF(Pay_Num&lt;&gt;"",DATE(YEAR(C60)+VLOOKUP(Interval,LoanLookup[],4,FALSE),MONTH(C60)+VLOOKUP(Interval,LoanLookup[],2,FALSE),DAY(C60)+VLOOKUP(Interval,LoanLookup[],3,FALSE)),"")</f>
        <v>46329</v>
      </c>
      <c r="D61" s="34">
        <f t="shared" ca="1" si="2"/>
        <v>130653.08662029526</v>
      </c>
      <c r="E61" s="35">
        <f t="shared" ca="1" si="4"/>
        <v>989.93360882498609</v>
      </c>
      <c r="F61" s="36">
        <f ca="1">IF(scheduled_no_payments=1,"",IF(Sched_Pay+Scheduled_Extra_Payments&lt;Beg_Bal,Scheduled_Extra_Payments,IF(AND(Pay_Num&lt;&gt;"",Beg_Bal-Sched_Pay&gt;0),Beg_Bal-Sched_Pay,IF(Pay_Num&lt;&gt;"",0,""))))</f>
        <v>0</v>
      </c>
      <c r="G61" s="34">
        <f ca="1">IF(scheduled_no_payments=1,"",IF(Sched_Pay+Extra_Pay&lt;Beg_Bal,Sched_Pay+Extra_Pay,IF(Pay_Num&lt;&gt;"",Beg_Bal,"")))</f>
        <v>989.93360882498609</v>
      </c>
      <c r="H61" s="34">
        <f t="shared" ca="1" si="3"/>
        <v>445.54574790708921</v>
      </c>
      <c r="I61" s="34">
        <f ca="1">IF(Pay_Num&lt;&gt;"",Beg_Bal*(Interest_Rate/VLOOKUP(Interval,LoanLookup[],5,FALSE)),"")</f>
        <v>544.38786091789689</v>
      </c>
      <c r="J61" s="34">
        <f ca="1">IF(scheduled_no_payments=1,"",IF(AND(Pay_Num&lt;&gt;"",Sched_Pay+Extra_Pay&lt;Beg_Bal),Beg_Bal-Princ,IF(Pay_Num&lt;&gt;"",0,"")))</f>
        <v>130207.54087238817</v>
      </c>
      <c r="K61" s="34">
        <f ca="1">IF(scheduled_no_payments=1,"",SUM($I$13:$I61))</f>
        <v>28714.287704812508</v>
      </c>
      <c r="L61" s="38"/>
    </row>
    <row r="62" spans="2:12" ht="16.5" customHeight="1" x14ac:dyDescent="0.25">
      <c r="B62" s="32">
        <f ca="1">IF(AND(Values_Entered,scheduled_no_payments&lt;&gt;1),B61+1,"")</f>
        <v>50</v>
      </c>
      <c r="C62" s="33">
        <f ca="1">IF(Pay_Num&lt;&gt;"",DATE(YEAR(C61)+VLOOKUP(Interval,LoanLookup[],4,FALSE),MONTH(C61)+VLOOKUP(Interval,LoanLookup[],2,FALSE),DAY(C61)+VLOOKUP(Interval,LoanLookup[],3,FALSE)),"")</f>
        <v>46359</v>
      </c>
      <c r="D62" s="34">
        <f t="shared" ca="1" si="2"/>
        <v>130207.54087238817</v>
      </c>
      <c r="E62" s="35">
        <f t="shared" ca="1" si="4"/>
        <v>989.93360882498609</v>
      </c>
      <c r="F62" s="36">
        <f ca="1">IF(scheduled_no_payments=1,"",IF(Sched_Pay+Scheduled_Extra_Payments&lt;Beg_Bal,Scheduled_Extra_Payments,IF(AND(Pay_Num&lt;&gt;"",Beg_Bal-Sched_Pay&gt;0),Beg_Bal-Sched_Pay,IF(Pay_Num&lt;&gt;"",0,""))))</f>
        <v>0</v>
      </c>
      <c r="G62" s="34">
        <f ca="1">IF(scheduled_no_payments=1,"",IF(Sched_Pay+Extra_Pay&lt;Beg_Bal,Sched_Pay+Extra_Pay,IF(Pay_Num&lt;&gt;"",Beg_Bal,"")))</f>
        <v>989.93360882498609</v>
      </c>
      <c r="H62" s="34">
        <f t="shared" ca="1" si="3"/>
        <v>447.40218852336875</v>
      </c>
      <c r="I62" s="34">
        <f ca="1">IF(Pay_Num&lt;&gt;"",Beg_Bal*(Interest_Rate/VLOOKUP(Interval,LoanLookup[],5,FALSE)),"")</f>
        <v>542.53142030161735</v>
      </c>
      <c r="J62" s="34">
        <f ca="1">IF(scheduled_no_payments=1,"",IF(AND(Pay_Num&lt;&gt;"",Sched_Pay+Extra_Pay&lt;Beg_Bal),Beg_Bal-Princ,IF(Pay_Num&lt;&gt;"",0,"")))</f>
        <v>129760.1386838648</v>
      </c>
      <c r="K62" s="34">
        <f ca="1">IF(scheduled_no_payments=1,"",SUM($I$13:$I62))</f>
        <v>29256.819125114125</v>
      </c>
      <c r="L62" s="38"/>
    </row>
    <row r="63" spans="2:12" ht="16.5" customHeight="1" x14ac:dyDescent="0.25">
      <c r="B63" s="32">
        <f ca="1">IF(AND(Values_Entered,scheduled_no_payments&lt;&gt;1),B62+1,"")</f>
        <v>51</v>
      </c>
      <c r="C63" s="33">
        <f ca="1">IF(Pay_Num&lt;&gt;"",DATE(YEAR(C62)+VLOOKUP(Interval,LoanLookup[],4,FALSE),MONTH(C62)+VLOOKUP(Interval,LoanLookup[],2,FALSE),DAY(C62)+VLOOKUP(Interval,LoanLookup[],3,FALSE)),"")</f>
        <v>46390</v>
      </c>
      <c r="D63" s="34">
        <f t="shared" ca="1" si="2"/>
        <v>129760.1386838648</v>
      </c>
      <c r="E63" s="35">
        <f t="shared" ca="1" si="4"/>
        <v>989.93360882498609</v>
      </c>
      <c r="F63" s="36">
        <f ca="1">IF(scheduled_no_payments=1,"",IF(Sched_Pay+Scheduled_Extra_Payments&lt;Beg_Bal,Scheduled_Extra_Payments,IF(AND(Pay_Num&lt;&gt;"",Beg_Bal-Sched_Pay&gt;0),Beg_Bal-Sched_Pay,IF(Pay_Num&lt;&gt;"",0,""))))</f>
        <v>0</v>
      </c>
      <c r="G63" s="34">
        <f ca="1">IF(scheduled_no_payments=1,"",IF(Sched_Pay+Extra_Pay&lt;Beg_Bal,Sched_Pay+Extra_Pay,IF(Pay_Num&lt;&gt;"",Beg_Bal,"")))</f>
        <v>989.93360882498609</v>
      </c>
      <c r="H63" s="34">
        <f t="shared" ca="1" si="3"/>
        <v>449.26636430888277</v>
      </c>
      <c r="I63" s="34">
        <f ca="1">IF(Pay_Num&lt;&gt;"",Beg_Bal*(Interest_Rate/VLOOKUP(Interval,LoanLookup[],5,FALSE)),"")</f>
        <v>540.66724451610332</v>
      </c>
      <c r="J63" s="34">
        <f ca="1">IF(scheduled_no_payments=1,"",IF(AND(Pay_Num&lt;&gt;"",Sched_Pay+Extra_Pay&lt;Beg_Bal),Beg_Bal-Princ,IF(Pay_Num&lt;&gt;"",0,"")))</f>
        <v>129310.87231955591</v>
      </c>
      <c r="K63" s="34">
        <f ca="1">IF(scheduled_no_payments=1,"",SUM($I$13:$I63))</f>
        <v>29797.486369630227</v>
      </c>
      <c r="L63" s="38"/>
    </row>
    <row r="64" spans="2:12" ht="16.5" customHeight="1" x14ac:dyDescent="0.25">
      <c r="B64" s="32">
        <f ca="1">IF(AND(Values_Entered,scheduled_no_payments&lt;&gt;1),B63+1,"")</f>
        <v>52</v>
      </c>
      <c r="C64" s="33">
        <f ca="1">IF(Pay_Num&lt;&gt;"",DATE(YEAR(C63)+VLOOKUP(Interval,LoanLookup[],4,FALSE),MONTH(C63)+VLOOKUP(Interval,LoanLookup[],2,FALSE),DAY(C63)+VLOOKUP(Interval,LoanLookup[],3,FALSE)),"")</f>
        <v>46421</v>
      </c>
      <c r="D64" s="34">
        <f t="shared" ca="1" si="2"/>
        <v>129310.87231955591</v>
      </c>
      <c r="E64" s="35">
        <f t="shared" ca="1" si="4"/>
        <v>989.93360882498609</v>
      </c>
      <c r="F64" s="36">
        <f ca="1">IF(scheduled_no_payments=1,"",IF(Sched_Pay+Scheduled_Extra_Payments&lt;Beg_Bal,Scheduled_Extra_Payments,IF(AND(Pay_Num&lt;&gt;"",Beg_Bal-Sched_Pay&gt;0),Beg_Bal-Sched_Pay,IF(Pay_Num&lt;&gt;"",0,""))))</f>
        <v>0</v>
      </c>
      <c r="G64" s="34">
        <f ca="1">IF(scheduled_no_payments=1,"",IF(Sched_Pay+Extra_Pay&lt;Beg_Bal,Sched_Pay+Extra_Pay,IF(Pay_Num&lt;&gt;"",Beg_Bal,"")))</f>
        <v>989.93360882498609</v>
      </c>
      <c r="H64" s="34">
        <f t="shared" ca="1" si="3"/>
        <v>451.13830749350313</v>
      </c>
      <c r="I64" s="34">
        <f ca="1">IF(Pay_Num&lt;&gt;"",Beg_Bal*(Interest_Rate/VLOOKUP(Interval,LoanLookup[],5,FALSE)),"")</f>
        <v>538.79530133148296</v>
      </c>
      <c r="J64" s="34">
        <f ca="1">IF(scheduled_no_payments=1,"",IF(AND(Pay_Num&lt;&gt;"",Sched_Pay+Extra_Pay&lt;Beg_Bal),Beg_Bal-Princ,IF(Pay_Num&lt;&gt;"",0,"")))</f>
        <v>128859.73401206241</v>
      </c>
      <c r="K64" s="34">
        <f ca="1">IF(scheduled_no_payments=1,"",SUM($I$13:$I64))</f>
        <v>30336.281670961711</v>
      </c>
      <c r="L64" s="38"/>
    </row>
    <row r="65" spans="2:12" ht="16.5" customHeight="1" x14ac:dyDescent="0.25">
      <c r="B65" s="32">
        <f ca="1">IF(AND(Values_Entered,scheduled_no_payments&lt;&gt;1),B64+1,"")</f>
        <v>53</v>
      </c>
      <c r="C65" s="33">
        <f ca="1">IF(Pay_Num&lt;&gt;"",DATE(YEAR(C64)+VLOOKUP(Interval,LoanLookup[],4,FALSE),MONTH(C64)+VLOOKUP(Interval,LoanLookup[],2,FALSE),DAY(C64)+VLOOKUP(Interval,LoanLookup[],3,FALSE)),"")</f>
        <v>46449</v>
      </c>
      <c r="D65" s="34">
        <f t="shared" ca="1" si="2"/>
        <v>128859.73401206241</v>
      </c>
      <c r="E65" s="35">
        <f t="shared" ca="1" si="4"/>
        <v>989.93360882498609</v>
      </c>
      <c r="F65" s="36">
        <f ca="1">IF(scheduled_no_payments=1,"",IF(Sched_Pay+Scheduled_Extra_Payments&lt;Beg_Bal,Scheduled_Extra_Payments,IF(AND(Pay_Num&lt;&gt;"",Beg_Bal-Sched_Pay&gt;0),Beg_Bal-Sched_Pay,IF(Pay_Num&lt;&gt;"",0,""))))</f>
        <v>0</v>
      </c>
      <c r="G65" s="34">
        <f ca="1">IF(scheduled_no_payments=1,"",IF(Sched_Pay+Extra_Pay&lt;Beg_Bal,Sched_Pay+Extra_Pay,IF(Pay_Num&lt;&gt;"",Beg_Bal,"")))</f>
        <v>989.93360882498609</v>
      </c>
      <c r="H65" s="34">
        <f t="shared" ca="1" si="3"/>
        <v>453.01805044139269</v>
      </c>
      <c r="I65" s="34">
        <f ca="1">IF(Pay_Num&lt;&gt;"",Beg_Bal*(Interest_Rate/VLOOKUP(Interval,LoanLookup[],5,FALSE)),"")</f>
        <v>536.91555838359341</v>
      </c>
      <c r="J65" s="34">
        <f ca="1">IF(scheduled_no_payments=1,"",IF(AND(Pay_Num&lt;&gt;"",Sched_Pay+Extra_Pay&lt;Beg_Bal),Beg_Bal-Princ,IF(Pay_Num&lt;&gt;"",0,"")))</f>
        <v>128406.71596162103</v>
      </c>
      <c r="K65" s="34">
        <f ca="1">IF(scheduled_no_payments=1,"",SUM($I$13:$I65))</f>
        <v>30873.197229345304</v>
      </c>
      <c r="L65" s="38"/>
    </row>
    <row r="66" spans="2:12" ht="16.5" customHeight="1" x14ac:dyDescent="0.25">
      <c r="B66" s="32">
        <f ca="1">IF(AND(Values_Entered,scheduled_no_payments&lt;&gt;1),B65+1,"")</f>
        <v>54</v>
      </c>
      <c r="C66" s="33">
        <f ca="1">IF(Pay_Num&lt;&gt;"",DATE(YEAR(C65)+VLOOKUP(Interval,LoanLookup[],4,FALSE),MONTH(C65)+VLOOKUP(Interval,LoanLookup[],2,FALSE),DAY(C65)+VLOOKUP(Interval,LoanLookup[],3,FALSE)),"")</f>
        <v>46480</v>
      </c>
      <c r="D66" s="34">
        <f t="shared" ca="1" si="2"/>
        <v>128406.71596162103</v>
      </c>
      <c r="E66" s="35">
        <f t="shared" ca="1" si="4"/>
        <v>989.93360882498609</v>
      </c>
      <c r="F66" s="36">
        <f ca="1">IF(scheduled_no_payments=1,"",IF(Sched_Pay+Scheduled_Extra_Payments&lt;Beg_Bal,Scheduled_Extra_Payments,IF(AND(Pay_Num&lt;&gt;"",Beg_Bal-Sched_Pay&gt;0),Beg_Bal-Sched_Pay,IF(Pay_Num&lt;&gt;"",0,""))))</f>
        <v>0</v>
      </c>
      <c r="G66" s="34">
        <f ca="1">IF(scheduled_no_payments=1,"",IF(Sched_Pay+Extra_Pay&lt;Beg_Bal,Sched_Pay+Extra_Pay,IF(Pay_Num&lt;&gt;"",Beg_Bal,"")))</f>
        <v>989.93360882498609</v>
      </c>
      <c r="H66" s="34">
        <f t="shared" ca="1" si="3"/>
        <v>454.90562565156517</v>
      </c>
      <c r="I66" s="34">
        <f ca="1">IF(Pay_Num&lt;&gt;"",Beg_Bal*(Interest_Rate/VLOOKUP(Interval,LoanLookup[],5,FALSE)),"")</f>
        <v>535.02798317342092</v>
      </c>
      <c r="J66" s="34">
        <f ca="1">IF(scheduled_no_payments=1,"",IF(AND(Pay_Num&lt;&gt;"",Sched_Pay+Extra_Pay&lt;Beg_Bal),Beg_Bal-Princ,IF(Pay_Num&lt;&gt;"",0,"")))</f>
        <v>127951.81033596947</v>
      </c>
      <c r="K66" s="34">
        <f ca="1">IF(scheduled_no_payments=1,"",SUM($I$13:$I66))</f>
        <v>31408.225212518726</v>
      </c>
      <c r="L66" s="38"/>
    </row>
    <row r="67" spans="2:12" ht="16.5" customHeight="1" x14ac:dyDescent="0.25">
      <c r="B67" s="32">
        <f ca="1">IF(AND(Values_Entered,scheduled_no_payments&lt;&gt;1),B66+1,"")</f>
        <v>55</v>
      </c>
      <c r="C67" s="33">
        <f ca="1">IF(Pay_Num&lt;&gt;"",DATE(YEAR(C66)+VLOOKUP(Interval,LoanLookup[],4,FALSE),MONTH(C66)+VLOOKUP(Interval,LoanLookup[],2,FALSE),DAY(C66)+VLOOKUP(Interval,LoanLookup[],3,FALSE)),"")</f>
        <v>46510</v>
      </c>
      <c r="D67" s="34">
        <f t="shared" ca="1" si="2"/>
        <v>127951.81033596947</v>
      </c>
      <c r="E67" s="35">
        <f t="shared" ca="1" si="4"/>
        <v>989.93360882498609</v>
      </c>
      <c r="F67" s="36">
        <f ca="1">IF(scheduled_no_payments=1,"",IF(Sched_Pay+Scheduled_Extra_Payments&lt;Beg_Bal,Scheduled_Extra_Payments,IF(AND(Pay_Num&lt;&gt;"",Beg_Bal-Sched_Pay&gt;0),Beg_Bal-Sched_Pay,IF(Pay_Num&lt;&gt;"",0,""))))</f>
        <v>0</v>
      </c>
      <c r="G67" s="34">
        <f ca="1">IF(scheduled_no_payments=1,"",IF(Sched_Pay+Extra_Pay&lt;Beg_Bal,Sched_Pay+Extra_Pay,IF(Pay_Num&lt;&gt;"",Beg_Bal,"")))</f>
        <v>989.93360882498609</v>
      </c>
      <c r="H67" s="34">
        <f t="shared" ca="1" si="3"/>
        <v>456.80106575844661</v>
      </c>
      <c r="I67" s="34">
        <f ca="1">IF(Pay_Num&lt;&gt;"",Beg_Bal*(Interest_Rate/VLOOKUP(Interval,LoanLookup[],5,FALSE)),"")</f>
        <v>533.13254306653948</v>
      </c>
      <c r="J67" s="34">
        <f ca="1">IF(scheduled_no_payments=1,"",IF(AND(Pay_Num&lt;&gt;"",Sched_Pay+Extra_Pay&lt;Beg_Bal),Beg_Bal-Princ,IF(Pay_Num&lt;&gt;"",0,"")))</f>
        <v>127495.00927021101</v>
      </c>
      <c r="K67" s="34">
        <f ca="1">IF(scheduled_no_payments=1,"",SUM($I$13:$I67))</f>
        <v>31941.357755585264</v>
      </c>
      <c r="L67" s="38"/>
    </row>
    <row r="68" spans="2:12" ht="16.5" customHeight="1" x14ac:dyDescent="0.25">
      <c r="B68" s="32">
        <f ca="1">IF(AND(Values_Entered,scheduled_no_payments&lt;&gt;1),B67+1,"")</f>
        <v>56</v>
      </c>
      <c r="C68" s="33">
        <f ca="1">IF(Pay_Num&lt;&gt;"",DATE(YEAR(C67)+VLOOKUP(Interval,LoanLookup[],4,FALSE),MONTH(C67)+VLOOKUP(Interval,LoanLookup[],2,FALSE),DAY(C67)+VLOOKUP(Interval,LoanLookup[],3,FALSE)),"")</f>
        <v>46541</v>
      </c>
      <c r="D68" s="34">
        <f t="shared" ca="1" si="2"/>
        <v>127495.00927021101</v>
      </c>
      <c r="E68" s="35">
        <f t="shared" ca="1" si="4"/>
        <v>989.93360882498609</v>
      </c>
      <c r="F68" s="36">
        <f ca="1">IF(scheduled_no_payments=1,"",IF(Sched_Pay+Scheduled_Extra_Payments&lt;Beg_Bal,Scheduled_Extra_Payments,IF(AND(Pay_Num&lt;&gt;"",Beg_Bal-Sched_Pay&gt;0),Beg_Bal-Sched_Pay,IF(Pay_Num&lt;&gt;"",0,""))))</f>
        <v>0</v>
      </c>
      <c r="G68" s="34">
        <f ca="1">IF(scheduled_no_payments=1,"",IF(Sched_Pay+Extra_Pay&lt;Beg_Bal,Sched_Pay+Extra_Pay,IF(Pay_Num&lt;&gt;"",Beg_Bal,"")))</f>
        <v>989.93360882498609</v>
      </c>
      <c r="H68" s="34">
        <f t="shared" ca="1" si="3"/>
        <v>458.70440353244021</v>
      </c>
      <c r="I68" s="34">
        <f ca="1">IF(Pay_Num&lt;&gt;"",Beg_Bal*(Interest_Rate/VLOOKUP(Interval,LoanLookup[],5,FALSE)),"")</f>
        <v>531.22920529254588</v>
      </c>
      <c r="J68" s="34">
        <f ca="1">IF(scheduled_no_payments=1,"",IF(AND(Pay_Num&lt;&gt;"",Sched_Pay+Extra_Pay&lt;Beg_Bal),Beg_Bal-Princ,IF(Pay_Num&lt;&gt;"",0,"")))</f>
        <v>127036.30486667858</v>
      </c>
      <c r="K68" s="34">
        <f ca="1">IF(scheduled_no_payments=1,"",SUM($I$13:$I68))</f>
        <v>32472.586960877808</v>
      </c>
      <c r="L68" s="38"/>
    </row>
    <row r="69" spans="2:12" ht="16.5" customHeight="1" x14ac:dyDescent="0.25">
      <c r="B69" s="32">
        <f ca="1">IF(AND(Values_Entered,scheduled_no_payments&lt;&gt;1),B68+1,"")</f>
        <v>57</v>
      </c>
      <c r="C69" s="33">
        <f ca="1">IF(Pay_Num&lt;&gt;"",DATE(YEAR(C68)+VLOOKUP(Interval,LoanLookup[],4,FALSE),MONTH(C68)+VLOOKUP(Interval,LoanLookup[],2,FALSE),DAY(C68)+VLOOKUP(Interval,LoanLookup[],3,FALSE)),"")</f>
        <v>46571</v>
      </c>
      <c r="D69" s="34">
        <f t="shared" ca="1" si="2"/>
        <v>127036.30486667858</v>
      </c>
      <c r="E69" s="35">
        <f t="shared" ca="1" si="4"/>
        <v>989.93360882498609</v>
      </c>
      <c r="F69" s="36">
        <f ca="1">IF(scheduled_no_payments=1,"",IF(Sched_Pay+Scheduled_Extra_Payments&lt;Beg_Bal,Scheduled_Extra_Payments,IF(AND(Pay_Num&lt;&gt;"",Beg_Bal-Sched_Pay&gt;0),Beg_Bal-Sched_Pay,IF(Pay_Num&lt;&gt;"",0,""))))</f>
        <v>0</v>
      </c>
      <c r="G69" s="34">
        <f ca="1">IF(scheduled_no_payments=1,"",IF(Sched_Pay+Extra_Pay&lt;Beg_Bal,Sched_Pay+Extra_Pay,IF(Pay_Num&lt;&gt;"",Beg_Bal,"")))</f>
        <v>989.93360882498609</v>
      </c>
      <c r="H69" s="34">
        <f t="shared" ca="1" si="3"/>
        <v>460.61567188049207</v>
      </c>
      <c r="I69" s="34">
        <f ca="1">IF(Pay_Num&lt;&gt;"",Beg_Bal*(Interest_Rate/VLOOKUP(Interval,LoanLookup[],5,FALSE)),"")</f>
        <v>529.31793694449402</v>
      </c>
      <c r="J69" s="34">
        <f ca="1">IF(scheduled_no_payments=1,"",IF(AND(Pay_Num&lt;&gt;"",Sched_Pay+Extra_Pay&lt;Beg_Bal),Beg_Bal-Princ,IF(Pay_Num&lt;&gt;"",0,"")))</f>
        <v>126575.68919479809</v>
      </c>
      <c r="K69" s="34">
        <f ca="1">IF(scheduled_no_payments=1,"",SUM($I$13:$I69))</f>
        <v>33001.9048978223</v>
      </c>
      <c r="L69" s="38"/>
    </row>
    <row r="70" spans="2:12" ht="16.5" customHeight="1" x14ac:dyDescent="0.25">
      <c r="B70" s="32">
        <f ca="1">IF(AND(Values_Entered,scheduled_no_payments&lt;&gt;1),B69+1,"")</f>
        <v>58</v>
      </c>
      <c r="C70" s="33">
        <f ca="1">IF(Pay_Num&lt;&gt;"",DATE(YEAR(C69)+VLOOKUP(Interval,LoanLookup[],4,FALSE),MONTH(C69)+VLOOKUP(Interval,LoanLookup[],2,FALSE),DAY(C69)+VLOOKUP(Interval,LoanLookup[],3,FALSE)),"")</f>
        <v>46602</v>
      </c>
      <c r="D70" s="34">
        <f t="shared" ca="1" si="2"/>
        <v>126575.68919479809</v>
      </c>
      <c r="E70" s="35">
        <f t="shared" ca="1" si="4"/>
        <v>989.93360882498609</v>
      </c>
      <c r="F70" s="36">
        <f ca="1">IF(scheduled_no_payments=1,"",IF(Sched_Pay+Scheduled_Extra_Payments&lt;Beg_Bal,Scheduled_Extra_Payments,IF(AND(Pay_Num&lt;&gt;"",Beg_Bal-Sched_Pay&gt;0),Beg_Bal-Sched_Pay,IF(Pay_Num&lt;&gt;"",0,""))))</f>
        <v>0</v>
      </c>
      <c r="G70" s="34">
        <f ca="1">IF(scheduled_no_payments=1,"",IF(Sched_Pay+Extra_Pay&lt;Beg_Bal,Sched_Pay+Extra_Pay,IF(Pay_Num&lt;&gt;"",Beg_Bal,"")))</f>
        <v>989.93360882498609</v>
      </c>
      <c r="H70" s="34">
        <f t="shared" ca="1" si="3"/>
        <v>462.53490384666077</v>
      </c>
      <c r="I70" s="34">
        <f ca="1">IF(Pay_Num&lt;&gt;"",Beg_Bal*(Interest_Rate/VLOOKUP(Interval,LoanLookup[],5,FALSE)),"")</f>
        <v>527.39870497832533</v>
      </c>
      <c r="J70" s="34">
        <f ca="1">IF(scheduled_no_payments=1,"",IF(AND(Pay_Num&lt;&gt;"",Sched_Pay+Extra_Pay&lt;Beg_Bal),Beg_Bal-Princ,IF(Pay_Num&lt;&gt;"",0,"")))</f>
        <v>126113.15429095142</v>
      </c>
      <c r="K70" s="34">
        <f ca="1">IF(scheduled_no_payments=1,"",SUM($I$13:$I70))</f>
        <v>33529.303602800625</v>
      </c>
      <c r="L70" s="38"/>
    </row>
    <row r="71" spans="2:12" ht="16.5" customHeight="1" x14ac:dyDescent="0.25">
      <c r="B71" s="32">
        <f ca="1">IF(AND(Values_Entered,scheduled_no_payments&lt;&gt;1),B70+1,"")</f>
        <v>59</v>
      </c>
      <c r="C71" s="33">
        <f ca="1">IF(Pay_Num&lt;&gt;"",DATE(YEAR(C70)+VLOOKUP(Interval,LoanLookup[],4,FALSE),MONTH(C70)+VLOOKUP(Interval,LoanLookup[],2,FALSE),DAY(C70)+VLOOKUP(Interval,LoanLookup[],3,FALSE)),"")</f>
        <v>46633</v>
      </c>
      <c r="D71" s="34">
        <f t="shared" ca="1" si="2"/>
        <v>126113.15429095142</v>
      </c>
      <c r="E71" s="35">
        <f t="shared" ca="1" si="4"/>
        <v>989.93360882498609</v>
      </c>
      <c r="F71" s="36">
        <f ca="1">IF(scheduled_no_payments=1,"",IF(Sched_Pay+Scheduled_Extra_Payments&lt;Beg_Bal,Scheduled_Extra_Payments,IF(AND(Pay_Num&lt;&gt;"",Beg_Bal-Sched_Pay&gt;0),Beg_Bal-Sched_Pay,IF(Pay_Num&lt;&gt;"",0,""))))</f>
        <v>0</v>
      </c>
      <c r="G71" s="34">
        <f ca="1">IF(scheduled_no_payments=1,"",IF(Sched_Pay+Extra_Pay&lt;Beg_Bal,Sched_Pay+Extra_Pay,IF(Pay_Num&lt;&gt;"",Beg_Bal,"")))</f>
        <v>989.93360882498609</v>
      </c>
      <c r="H71" s="34">
        <f t="shared" ca="1" si="3"/>
        <v>464.46213261268849</v>
      </c>
      <c r="I71" s="34">
        <f ca="1">IF(Pay_Num&lt;&gt;"",Beg_Bal*(Interest_Rate/VLOOKUP(Interval,LoanLookup[],5,FALSE)),"")</f>
        <v>525.4714762122976</v>
      </c>
      <c r="J71" s="34">
        <f ca="1">IF(scheduled_no_payments=1,"",IF(AND(Pay_Num&lt;&gt;"",Sched_Pay+Extra_Pay&lt;Beg_Bal),Beg_Bal-Princ,IF(Pay_Num&lt;&gt;"",0,"")))</f>
        <v>125648.69215833873</v>
      </c>
      <c r="K71" s="34">
        <f ca="1">IF(scheduled_no_payments=1,"",SUM($I$13:$I71))</f>
        <v>34054.775079012921</v>
      </c>
      <c r="L71" s="38"/>
    </row>
    <row r="72" spans="2:12" ht="16.5" customHeight="1" x14ac:dyDescent="0.25">
      <c r="B72" s="32">
        <f ca="1">IF(AND(Values_Entered,scheduled_no_payments&lt;&gt;1),B71+1,"")</f>
        <v>60</v>
      </c>
      <c r="C72" s="33">
        <f ca="1">IF(Pay_Num&lt;&gt;"",DATE(YEAR(C71)+VLOOKUP(Interval,LoanLookup[],4,FALSE),MONTH(C71)+VLOOKUP(Interval,LoanLookup[],2,FALSE),DAY(C71)+VLOOKUP(Interval,LoanLookup[],3,FALSE)),"")</f>
        <v>46663</v>
      </c>
      <c r="D72" s="34">
        <f t="shared" ca="1" si="2"/>
        <v>125648.69215833873</v>
      </c>
      <c r="E72" s="35">
        <f t="shared" ca="1" si="4"/>
        <v>989.93360882498609</v>
      </c>
      <c r="F72" s="36">
        <f ca="1">IF(scheduled_no_payments=1,"",IF(Sched_Pay+Scheduled_Extra_Payments&lt;Beg_Bal,Scheduled_Extra_Payments,IF(AND(Pay_Num&lt;&gt;"",Beg_Bal-Sched_Pay&gt;0),Beg_Bal-Sched_Pay,IF(Pay_Num&lt;&gt;"",0,""))))</f>
        <v>0</v>
      </c>
      <c r="G72" s="34">
        <f ca="1">IF(scheduled_no_payments=1,"",IF(Sched_Pay+Extra_Pay&lt;Beg_Bal,Sched_Pay+Extra_Pay,IF(Pay_Num&lt;&gt;"",Beg_Bal,"")))</f>
        <v>989.93360882498609</v>
      </c>
      <c r="H72" s="34">
        <f t="shared" ca="1" si="3"/>
        <v>466.39739149857473</v>
      </c>
      <c r="I72" s="34">
        <f ca="1">IF(Pay_Num&lt;&gt;"",Beg_Bal*(Interest_Rate/VLOOKUP(Interval,LoanLookup[],5,FALSE)),"")</f>
        <v>523.53621732641136</v>
      </c>
      <c r="J72" s="34">
        <f ca="1">IF(scheduled_no_payments=1,"",IF(AND(Pay_Num&lt;&gt;"",Sched_Pay+Extra_Pay&lt;Beg_Bal),Beg_Bal-Princ,IF(Pay_Num&lt;&gt;"",0,"")))</f>
        <v>125182.29476684016</v>
      </c>
      <c r="K72" s="34">
        <f ca="1">IF(scheduled_no_payments=1,"",SUM($I$13:$I72))</f>
        <v>34578.311296339336</v>
      </c>
      <c r="L72" s="38"/>
    </row>
    <row r="73" spans="2:12" ht="16.5" customHeight="1" x14ac:dyDescent="0.25">
      <c r="B73" s="32">
        <f ca="1">IF(AND(Values_Entered,scheduled_no_payments&lt;&gt;1),B72+1,"")</f>
        <v>61</v>
      </c>
      <c r="C73" s="33">
        <f ca="1">IF(Pay_Num&lt;&gt;"",DATE(YEAR(C72)+VLOOKUP(Interval,LoanLookup[],4,FALSE),MONTH(C72)+VLOOKUP(Interval,LoanLookup[],2,FALSE),DAY(C72)+VLOOKUP(Interval,LoanLookup[],3,FALSE)),"")</f>
        <v>46694</v>
      </c>
      <c r="D73" s="34">
        <f t="shared" ca="1" si="2"/>
        <v>125182.29476684016</v>
      </c>
      <c r="E73" s="35">
        <f t="shared" ca="1" si="4"/>
        <v>989.93360882498609</v>
      </c>
      <c r="F73" s="36">
        <f ca="1">IF(scheduled_no_payments=1,"",IF(Sched_Pay+Scheduled_Extra_Payments&lt;Beg_Bal,Scheduled_Extra_Payments,IF(AND(Pay_Num&lt;&gt;"",Beg_Bal-Sched_Pay&gt;0),Beg_Bal-Sched_Pay,IF(Pay_Num&lt;&gt;"",0,""))))</f>
        <v>0</v>
      </c>
      <c r="G73" s="34">
        <f ca="1">IF(scheduled_no_payments=1,"",IF(Sched_Pay+Extra_Pay&lt;Beg_Bal,Sched_Pay+Extra_Pay,IF(Pay_Num&lt;&gt;"",Beg_Bal,"")))</f>
        <v>989.93360882498609</v>
      </c>
      <c r="H73" s="34">
        <f t="shared" ca="1" si="3"/>
        <v>468.3407139631521</v>
      </c>
      <c r="I73" s="34">
        <f ca="1">IF(Pay_Num&lt;&gt;"",Beg_Bal*(Interest_Rate/VLOOKUP(Interval,LoanLookup[],5,FALSE)),"")</f>
        <v>521.592894861834</v>
      </c>
      <c r="J73" s="34">
        <f ca="1">IF(scheduled_no_payments=1,"",IF(AND(Pay_Num&lt;&gt;"",Sched_Pay+Extra_Pay&lt;Beg_Bal),Beg_Bal-Princ,IF(Pay_Num&lt;&gt;"",0,"")))</f>
        <v>124713.95405287702</v>
      </c>
      <c r="K73" s="34">
        <f ca="1">IF(scheduled_no_payments=1,"",SUM($I$13:$I73))</f>
        <v>35099.904191201167</v>
      </c>
      <c r="L73" s="38"/>
    </row>
    <row r="74" spans="2:12" ht="16.5" customHeight="1" x14ac:dyDescent="0.25">
      <c r="B74" s="32">
        <f ca="1">IF(AND(Values_Entered,scheduled_no_payments&lt;&gt;1),B73+1,"")</f>
        <v>62</v>
      </c>
      <c r="C74" s="33">
        <f ca="1">IF(Pay_Num&lt;&gt;"",DATE(YEAR(C73)+VLOOKUP(Interval,LoanLookup[],4,FALSE),MONTH(C73)+VLOOKUP(Interval,LoanLookup[],2,FALSE),DAY(C73)+VLOOKUP(Interval,LoanLookup[],3,FALSE)),"")</f>
        <v>46724</v>
      </c>
      <c r="D74" s="34">
        <f t="shared" ca="1" si="2"/>
        <v>124713.95405287702</v>
      </c>
      <c r="E74" s="35">
        <f t="shared" ca="1" si="4"/>
        <v>989.93360882498609</v>
      </c>
      <c r="F74" s="36">
        <f ca="1">IF(scheduled_no_payments=1,"",IF(Sched_Pay+Scheduled_Extra_Payments&lt;Beg_Bal,Scheduled_Extra_Payments,IF(AND(Pay_Num&lt;&gt;"",Beg_Bal-Sched_Pay&gt;0),Beg_Bal-Sched_Pay,IF(Pay_Num&lt;&gt;"",0,""))))</f>
        <v>0</v>
      </c>
      <c r="G74" s="34">
        <f ca="1">IF(scheduled_no_payments=1,"",IF(Sched_Pay+Extra_Pay&lt;Beg_Bal,Sched_Pay+Extra_Pay,IF(Pay_Num&lt;&gt;"",Beg_Bal,"")))</f>
        <v>989.93360882498609</v>
      </c>
      <c r="H74" s="34">
        <f t="shared" ca="1" si="3"/>
        <v>470.2921336046652</v>
      </c>
      <c r="I74" s="34">
        <f ca="1">IF(Pay_Num&lt;&gt;"",Beg_Bal*(Interest_Rate/VLOOKUP(Interval,LoanLookup[],5,FALSE)),"")</f>
        <v>519.6414752203209</v>
      </c>
      <c r="J74" s="34">
        <f ca="1">IF(scheduled_no_payments=1,"",IF(AND(Pay_Num&lt;&gt;"",Sched_Pay+Extra_Pay&lt;Beg_Bal),Beg_Bal-Princ,IF(Pay_Num&lt;&gt;"",0,"")))</f>
        <v>124243.66191927234</v>
      </c>
      <c r="K74" s="34">
        <f ca="1">IF(scheduled_no_payments=1,"",SUM($I$13:$I74))</f>
        <v>35619.545666421487</v>
      </c>
      <c r="L74" s="38"/>
    </row>
    <row r="75" spans="2:12" ht="16.5" customHeight="1" x14ac:dyDescent="0.25">
      <c r="B75" s="32">
        <f ca="1">IF(AND(Values_Entered,scheduled_no_payments&lt;&gt;1),B74+1,"")</f>
        <v>63</v>
      </c>
      <c r="C75" s="33">
        <f ca="1">IF(Pay_Num&lt;&gt;"",DATE(YEAR(C74)+VLOOKUP(Interval,LoanLookup[],4,FALSE),MONTH(C74)+VLOOKUP(Interval,LoanLookup[],2,FALSE),DAY(C74)+VLOOKUP(Interval,LoanLookup[],3,FALSE)),"")</f>
        <v>46755</v>
      </c>
      <c r="D75" s="34">
        <f t="shared" ca="1" si="2"/>
        <v>124243.66191927234</v>
      </c>
      <c r="E75" s="35">
        <f t="shared" ca="1" si="4"/>
        <v>989.93360882498609</v>
      </c>
      <c r="F75" s="36">
        <f ca="1">IF(scheduled_no_payments=1,"",IF(Sched_Pay+Scheduled_Extra_Payments&lt;Beg_Bal,Scheduled_Extra_Payments,IF(AND(Pay_Num&lt;&gt;"",Beg_Bal-Sched_Pay&gt;0),Beg_Bal-Sched_Pay,IF(Pay_Num&lt;&gt;"",0,""))))</f>
        <v>0</v>
      </c>
      <c r="G75" s="34">
        <f ca="1">IF(scheduled_no_payments=1,"",IF(Sched_Pay+Extra_Pay&lt;Beg_Bal,Sched_Pay+Extra_Pay,IF(Pay_Num&lt;&gt;"",Beg_Bal,"")))</f>
        <v>989.93360882498609</v>
      </c>
      <c r="H75" s="34">
        <f t="shared" ca="1" si="3"/>
        <v>472.25168416135136</v>
      </c>
      <c r="I75" s="34">
        <f ca="1">IF(Pay_Num&lt;&gt;"",Beg_Bal*(Interest_Rate/VLOOKUP(Interval,LoanLookup[],5,FALSE)),"")</f>
        <v>517.68192466363473</v>
      </c>
      <c r="J75" s="34">
        <f ca="1">IF(scheduled_no_payments=1,"",IF(AND(Pay_Num&lt;&gt;"",Sched_Pay+Extra_Pay&lt;Beg_Bal),Beg_Bal-Princ,IF(Pay_Num&lt;&gt;"",0,"")))</f>
        <v>123771.41023511099</v>
      </c>
      <c r="K75" s="34">
        <f ca="1">IF(scheduled_no_payments=1,"",SUM($I$13:$I75))</f>
        <v>36137.227591085124</v>
      </c>
      <c r="L75" s="38"/>
    </row>
    <row r="76" spans="2:12" ht="16.5" customHeight="1" x14ac:dyDescent="0.25">
      <c r="B76" s="32">
        <f ca="1">IF(AND(Values_Entered,scheduled_no_payments&lt;&gt;1),B75+1,"")</f>
        <v>64</v>
      </c>
      <c r="C76" s="33">
        <f ca="1">IF(Pay_Num&lt;&gt;"",DATE(YEAR(C75)+VLOOKUP(Interval,LoanLookup[],4,FALSE),MONTH(C75)+VLOOKUP(Interval,LoanLookup[],2,FALSE),DAY(C75)+VLOOKUP(Interval,LoanLookup[],3,FALSE)),"")</f>
        <v>46786</v>
      </c>
      <c r="D76" s="34">
        <f t="shared" ca="1" si="2"/>
        <v>123771.41023511099</v>
      </c>
      <c r="E76" s="35">
        <f t="shared" ca="1" si="4"/>
        <v>989.93360882498609</v>
      </c>
      <c r="F76" s="36">
        <f ca="1">IF(scheduled_no_payments=1,"",IF(Sched_Pay+Scheduled_Extra_Payments&lt;Beg_Bal,Scheduled_Extra_Payments,IF(AND(Pay_Num&lt;&gt;"",Beg_Bal-Sched_Pay&gt;0),Beg_Bal-Sched_Pay,IF(Pay_Num&lt;&gt;"",0,""))))</f>
        <v>0</v>
      </c>
      <c r="G76" s="34">
        <f ca="1">IF(scheduled_no_payments=1,"",IF(Sched_Pay+Extra_Pay&lt;Beg_Bal,Sched_Pay+Extra_Pay,IF(Pay_Num&lt;&gt;"",Beg_Bal,"")))</f>
        <v>989.93360882498609</v>
      </c>
      <c r="H76" s="34">
        <f t="shared" ca="1" si="3"/>
        <v>474.21939951202364</v>
      </c>
      <c r="I76" s="34">
        <f ca="1">IF(Pay_Num&lt;&gt;"",Beg_Bal*(Interest_Rate/VLOOKUP(Interval,LoanLookup[],5,FALSE)),"")</f>
        <v>515.71420931296245</v>
      </c>
      <c r="J76" s="34">
        <f ca="1">IF(scheduled_no_payments=1,"",IF(AND(Pay_Num&lt;&gt;"",Sched_Pay+Extra_Pay&lt;Beg_Bal),Beg_Bal-Princ,IF(Pay_Num&lt;&gt;"",0,"")))</f>
        <v>123297.19083559897</v>
      </c>
      <c r="K76" s="34">
        <f ca="1">IF(scheduled_no_payments=1,"",SUM($I$13:$I76))</f>
        <v>36652.94180039809</v>
      </c>
      <c r="L76" s="38"/>
    </row>
    <row r="77" spans="2:12" ht="16.5" customHeight="1" x14ac:dyDescent="0.25">
      <c r="B77" s="32">
        <f ca="1">IF(AND(Values_Entered,scheduled_no_payments&lt;&gt;1),B76+1,"")</f>
        <v>65</v>
      </c>
      <c r="C77" s="33">
        <f ca="1">IF(Pay_Num&lt;&gt;"",DATE(YEAR(C76)+VLOOKUP(Interval,LoanLookup[],4,FALSE),MONTH(C76)+VLOOKUP(Interval,LoanLookup[],2,FALSE),DAY(C76)+VLOOKUP(Interval,LoanLookup[],3,FALSE)),"")</f>
        <v>46815</v>
      </c>
      <c r="D77" s="34">
        <f t="shared" ca="1" si="2"/>
        <v>123297.19083559897</v>
      </c>
      <c r="E77" s="35">
        <f t="shared" ca="1" si="4"/>
        <v>989.93360882498609</v>
      </c>
      <c r="F77" s="36">
        <f ca="1">IF(scheduled_no_payments=1,"",IF(Sched_Pay+Scheduled_Extra_Payments&lt;Beg_Bal,Scheduled_Extra_Payments,IF(AND(Pay_Num&lt;&gt;"",Beg_Bal-Sched_Pay&gt;0),Beg_Bal-Sched_Pay,IF(Pay_Num&lt;&gt;"",0,""))))</f>
        <v>0</v>
      </c>
      <c r="G77" s="34">
        <f ca="1">IF(scheduled_no_payments=1,"",IF(Sched_Pay+Extra_Pay&lt;Beg_Bal,Sched_Pay+Extra_Pay,IF(Pay_Num&lt;&gt;"",Beg_Bal,"")))</f>
        <v>989.93360882498609</v>
      </c>
      <c r="H77" s="34">
        <f t="shared" ca="1" si="3"/>
        <v>476.19531367665707</v>
      </c>
      <c r="I77" s="34">
        <f ca="1">IF(Pay_Num&lt;&gt;"",Beg_Bal*(Interest_Rate/VLOOKUP(Interval,LoanLookup[],5,FALSE)),"")</f>
        <v>513.73829514832903</v>
      </c>
      <c r="J77" s="34">
        <f ca="1">IF(scheduled_no_payments=1,"",IF(AND(Pay_Num&lt;&gt;"",Sched_Pay+Extra_Pay&lt;Beg_Bal),Beg_Bal-Princ,IF(Pay_Num&lt;&gt;"",0,"")))</f>
        <v>122820.99552192232</v>
      </c>
      <c r="K77" s="34">
        <f ca="1">IF(scheduled_no_payments=1,"",SUM($I$13:$I77))</f>
        <v>37166.68009554642</v>
      </c>
      <c r="L77" s="38"/>
    </row>
    <row r="78" spans="2:12" ht="16.5" customHeight="1" x14ac:dyDescent="0.25">
      <c r="B78" s="32">
        <f ca="1">IF(AND(Values_Entered,scheduled_no_payments&lt;&gt;1),B77+1,"")</f>
        <v>66</v>
      </c>
      <c r="C78" s="33">
        <f ca="1">IF(Pay_Num&lt;&gt;"",DATE(YEAR(C77)+VLOOKUP(Interval,LoanLookup[],4,FALSE),MONTH(C77)+VLOOKUP(Interval,LoanLookup[],2,FALSE),DAY(C77)+VLOOKUP(Interval,LoanLookup[],3,FALSE)),"")</f>
        <v>46846</v>
      </c>
      <c r="D78" s="34">
        <f t="shared" ref="D78:D141" ca="1" si="5">IF(Pay_Num&lt;&gt;"",J77,"")</f>
        <v>122820.99552192232</v>
      </c>
      <c r="E78" s="35">
        <f t="shared" ca="1" si="4"/>
        <v>989.93360882498609</v>
      </c>
      <c r="F78" s="36">
        <f ca="1">IF(scheduled_no_payments=1,"",IF(Sched_Pay+Scheduled_Extra_Payments&lt;Beg_Bal,Scheduled_Extra_Payments,IF(AND(Pay_Num&lt;&gt;"",Beg_Bal-Sched_Pay&gt;0),Beg_Bal-Sched_Pay,IF(Pay_Num&lt;&gt;"",0,""))))</f>
        <v>0</v>
      </c>
      <c r="G78" s="34">
        <f ca="1">IF(scheduled_no_payments=1,"",IF(Sched_Pay+Extra_Pay&lt;Beg_Bal,Sched_Pay+Extra_Pay,IF(Pay_Num&lt;&gt;"",Beg_Bal,"")))</f>
        <v>989.93360882498609</v>
      </c>
      <c r="H78" s="34">
        <f t="shared" ref="H78:H141" ca="1" si="6">IF(Pay_Num&lt;&gt;"",Total_Pay-Int,"")</f>
        <v>478.17946081697642</v>
      </c>
      <c r="I78" s="34">
        <f ca="1">IF(Pay_Num&lt;&gt;"",Beg_Bal*(Interest_Rate/VLOOKUP(Interval,LoanLookup[],5,FALSE)),"")</f>
        <v>511.75414800800968</v>
      </c>
      <c r="J78" s="34">
        <f ca="1">IF(scheduled_no_payments=1,"",IF(AND(Pay_Num&lt;&gt;"",Sched_Pay+Extra_Pay&lt;Beg_Bal),Beg_Bal-Princ,IF(Pay_Num&lt;&gt;"",0,"")))</f>
        <v>122342.81606110535</v>
      </c>
      <c r="K78" s="34">
        <f ca="1">IF(scheduled_no_payments=1,"",SUM($I$13:$I78))</f>
        <v>37678.434243554431</v>
      </c>
      <c r="L78" s="38"/>
    </row>
    <row r="79" spans="2:12" ht="16.5" customHeight="1" x14ac:dyDescent="0.25">
      <c r="B79" s="32">
        <f ca="1">IF(AND(Values_Entered,scheduled_no_payments&lt;&gt;1),B78+1,"")</f>
        <v>67</v>
      </c>
      <c r="C79" s="33">
        <f ca="1">IF(Pay_Num&lt;&gt;"",DATE(YEAR(C78)+VLOOKUP(Interval,LoanLookup[],4,FALSE),MONTH(C78)+VLOOKUP(Interval,LoanLookup[],2,FALSE),DAY(C78)+VLOOKUP(Interval,LoanLookup[],3,FALSE)),"")</f>
        <v>46876</v>
      </c>
      <c r="D79" s="34">
        <f t="shared" ca="1" si="5"/>
        <v>122342.81606110535</v>
      </c>
      <c r="E79" s="35">
        <f t="shared" ref="E79:E142" ca="1" si="7">IF(Pay_Num&lt;&gt;"",Scheduled_Monthly_Payment,"")</f>
        <v>989.93360882498609</v>
      </c>
      <c r="F79" s="36">
        <f ca="1">IF(scheduled_no_payments=1,"",IF(Sched_Pay+Scheduled_Extra_Payments&lt;Beg_Bal,Scheduled_Extra_Payments,IF(AND(Pay_Num&lt;&gt;"",Beg_Bal-Sched_Pay&gt;0),Beg_Bal-Sched_Pay,IF(Pay_Num&lt;&gt;"",0,""))))</f>
        <v>0</v>
      </c>
      <c r="G79" s="34">
        <f ca="1">IF(scheduled_no_payments=1,"",IF(Sched_Pay+Extra_Pay&lt;Beg_Bal,Sched_Pay+Extra_Pay,IF(Pay_Num&lt;&gt;"",Beg_Bal,"")))</f>
        <v>989.93360882498609</v>
      </c>
      <c r="H79" s="34">
        <f t="shared" ca="1" si="6"/>
        <v>480.17187523704717</v>
      </c>
      <c r="I79" s="34">
        <f ca="1">IF(Pay_Num&lt;&gt;"",Beg_Bal*(Interest_Rate/VLOOKUP(Interval,LoanLookup[],5,FALSE)),"")</f>
        <v>509.76173358793892</v>
      </c>
      <c r="J79" s="34">
        <f ca="1">IF(scheduled_no_payments=1,"",IF(AND(Pay_Num&lt;&gt;"",Sched_Pay+Extra_Pay&lt;Beg_Bal),Beg_Bal-Princ,IF(Pay_Num&lt;&gt;"",0,"")))</f>
        <v>121862.6441858683</v>
      </c>
      <c r="K79" s="34">
        <f ca="1">IF(scheduled_no_payments=1,"",SUM($I$13:$I79))</f>
        <v>38188.195977142372</v>
      </c>
      <c r="L79" s="38"/>
    </row>
    <row r="80" spans="2:12" ht="16.5" customHeight="1" x14ac:dyDescent="0.25">
      <c r="B80" s="32">
        <f ca="1">IF(AND(Values_Entered,scheduled_no_payments&lt;&gt;1),B79+1,"")</f>
        <v>68</v>
      </c>
      <c r="C80" s="33">
        <f ca="1">IF(Pay_Num&lt;&gt;"",DATE(YEAR(C79)+VLOOKUP(Interval,LoanLookup[],4,FALSE),MONTH(C79)+VLOOKUP(Interval,LoanLookup[],2,FALSE),DAY(C79)+VLOOKUP(Interval,LoanLookup[],3,FALSE)),"")</f>
        <v>46907</v>
      </c>
      <c r="D80" s="34">
        <f t="shared" ca="1" si="5"/>
        <v>121862.6441858683</v>
      </c>
      <c r="E80" s="35">
        <f t="shared" ca="1" si="7"/>
        <v>989.93360882498609</v>
      </c>
      <c r="F80" s="36">
        <f ca="1">IF(scheduled_no_payments=1,"",IF(Sched_Pay+Scheduled_Extra_Payments&lt;Beg_Bal,Scheduled_Extra_Payments,IF(AND(Pay_Num&lt;&gt;"",Beg_Bal-Sched_Pay&gt;0),Beg_Bal-Sched_Pay,IF(Pay_Num&lt;&gt;"",0,""))))</f>
        <v>0</v>
      </c>
      <c r="G80" s="34">
        <f ca="1">IF(scheduled_no_payments=1,"",IF(Sched_Pay+Extra_Pay&lt;Beg_Bal,Sched_Pay+Extra_Pay,IF(Pay_Num&lt;&gt;"",Beg_Bal,"")))</f>
        <v>989.93360882498609</v>
      </c>
      <c r="H80" s="34">
        <f t="shared" ca="1" si="6"/>
        <v>482.17259138386822</v>
      </c>
      <c r="I80" s="34">
        <f ca="1">IF(Pay_Num&lt;&gt;"",Beg_Bal*(Interest_Rate/VLOOKUP(Interval,LoanLookup[],5,FALSE)),"")</f>
        <v>507.76101744111787</v>
      </c>
      <c r="J80" s="34">
        <f ca="1">IF(scheduled_no_payments=1,"",IF(AND(Pay_Num&lt;&gt;"",Sched_Pay+Extra_Pay&lt;Beg_Bal),Beg_Bal-Princ,IF(Pay_Num&lt;&gt;"",0,"")))</f>
        <v>121380.47159448442</v>
      </c>
      <c r="K80" s="34">
        <f ca="1">IF(scheduled_no_payments=1,"",SUM($I$13:$I80))</f>
        <v>38695.956994583488</v>
      </c>
      <c r="L80" s="38"/>
    </row>
    <row r="81" spans="2:12" ht="16.5" customHeight="1" x14ac:dyDescent="0.25">
      <c r="B81" s="32">
        <f ca="1">IF(AND(Values_Entered,scheduled_no_payments&lt;&gt;1),B80+1,"")</f>
        <v>69</v>
      </c>
      <c r="C81" s="33">
        <f ca="1">IF(Pay_Num&lt;&gt;"",DATE(YEAR(C80)+VLOOKUP(Interval,LoanLookup[],4,FALSE),MONTH(C80)+VLOOKUP(Interval,LoanLookup[],2,FALSE),DAY(C80)+VLOOKUP(Interval,LoanLookup[],3,FALSE)),"")</f>
        <v>46937</v>
      </c>
      <c r="D81" s="34">
        <f t="shared" ca="1" si="5"/>
        <v>121380.47159448442</v>
      </c>
      <c r="E81" s="35">
        <f t="shared" ca="1" si="7"/>
        <v>989.93360882498609</v>
      </c>
      <c r="F81" s="36">
        <f ca="1">IF(scheduled_no_payments=1,"",IF(Sched_Pay+Scheduled_Extra_Payments&lt;Beg_Bal,Scheduled_Extra_Payments,IF(AND(Pay_Num&lt;&gt;"",Beg_Bal-Sched_Pay&gt;0),Beg_Bal-Sched_Pay,IF(Pay_Num&lt;&gt;"",0,""))))</f>
        <v>0</v>
      </c>
      <c r="G81" s="34">
        <f ca="1">IF(scheduled_no_payments=1,"",IF(Sched_Pay+Extra_Pay&lt;Beg_Bal,Sched_Pay+Extra_Pay,IF(Pay_Num&lt;&gt;"",Beg_Bal,"")))</f>
        <v>989.93360882498609</v>
      </c>
      <c r="H81" s="34">
        <f t="shared" ca="1" si="6"/>
        <v>484.18164384796768</v>
      </c>
      <c r="I81" s="34">
        <f ca="1">IF(Pay_Num&lt;&gt;"",Beg_Bal*(Interest_Rate/VLOOKUP(Interval,LoanLookup[],5,FALSE)),"")</f>
        <v>505.75196497701842</v>
      </c>
      <c r="J81" s="34">
        <f ca="1">IF(scheduled_no_payments=1,"",IF(AND(Pay_Num&lt;&gt;"",Sched_Pay+Extra_Pay&lt;Beg_Bal),Beg_Bal-Princ,IF(Pay_Num&lt;&gt;"",0,"")))</f>
        <v>120896.28995063645</v>
      </c>
      <c r="K81" s="34">
        <f ca="1">IF(scheduled_no_payments=1,"",SUM($I$13:$I81))</f>
        <v>39201.708959560507</v>
      </c>
      <c r="L81" s="38"/>
    </row>
    <row r="82" spans="2:12" ht="16.5" customHeight="1" x14ac:dyDescent="0.25">
      <c r="B82" s="32">
        <f ca="1">IF(AND(Values_Entered,scheduled_no_payments&lt;&gt;1),B81+1,"")</f>
        <v>70</v>
      </c>
      <c r="C82" s="33">
        <f ca="1">IF(Pay_Num&lt;&gt;"",DATE(YEAR(C81)+VLOOKUP(Interval,LoanLookup[],4,FALSE),MONTH(C81)+VLOOKUP(Interval,LoanLookup[],2,FALSE),DAY(C81)+VLOOKUP(Interval,LoanLookup[],3,FALSE)),"")</f>
        <v>46968</v>
      </c>
      <c r="D82" s="34">
        <f t="shared" ca="1" si="5"/>
        <v>120896.28995063645</v>
      </c>
      <c r="E82" s="35">
        <f t="shared" ca="1" si="7"/>
        <v>989.93360882498609</v>
      </c>
      <c r="F82" s="36">
        <f ca="1">IF(scheduled_no_payments=1,"",IF(Sched_Pay+Scheduled_Extra_Payments&lt;Beg_Bal,Scheduled_Extra_Payments,IF(AND(Pay_Num&lt;&gt;"",Beg_Bal-Sched_Pay&gt;0),Beg_Bal-Sched_Pay,IF(Pay_Num&lt;&gt;"",0,""))))</f>
        <v>0</v>
      </c>
      <c r="G82" s="34">
        <f ca="1">IF(scheduled_no_payments=1,"",IF(Sched_Pay+Extra_Pay&lt;Beg_Bal,Sched_Pay+Extra_Pay,IF(Pay_Num&lt;&gt;"",Beg_Bal,"")))</f>
        <v>989.93360882498609</v>
      </c>
      <c r="H82" s="34">
        <f t="shared" ca="1" si="6"/>
        <v>486.19906736400088</v>
      </c>
      <c r="I82" s="34">
        <f ca="1">IF(Pay_Num&lt;&gt;"",Beg_Bal*(Interest_Rate/VLOOKUP(Interval,LoanLookup[],5,FALSE)),"")</f>
        <v>503.73454146098521</v>
      </c>
      <c r="J82" s="34">
        <f ca="1">IF(scheduled_no_payments=1,"",IF(AND(Pay_Num&lt;&gt;"",Sched_Pay+Extra_Pay&lt;Beg_Bal),Beg_Bal-Princ,IF(Pay_Num&lt;&gt;"",0,"")))</f>
        <v>120410.09088327245</v>
      </c>
      <c r="K82" s="34">
        <f ca="1">IF(scheduled_no_payments=1,"",SUM($I$13:$I82))</f>
        <v>39705.443501021495</v>
      </c>
      <c r="L82" s="38"/>
    </row>
    <row r="83" spans="2:12" ht="16.5" customHeight="1" x14ac:dyDescent="0.25">
      <c r="B83" s="32">
        <f ca="1">IF(AND(Values_Entered,scheduled_no_payments&lt;&gt;1),B82+1,"")</f>
        <v>71</v>
      </c>
      <c r="C83" s="33">
        <f ca="1">IF(Pay_Num&lt;&gt;"",DATE(YEAR(C82)+VLOOKUP(Interval,LoanLookup[],4,FALSE),MONTH(C82)+VLOOKUP(Interval,LoanLookup[],2,FALSE),DAY(C82)+VLOOKUP(Interval,LoanLookup[],3,FALSE)),"")</f>
        <v>46999</v>
      </c>
      <c r="D83" s="34">
        <f t="shared" ca="1" si="5"/>
        <v>120410.09088327245</v>
      </c>
      <c r="E83" s="35">
        <f t="shared" ca="1" si="7"/>
        <v>989.93360882498609</v>
      </c>
      <c r="F83" s="36">
        <f ca="1">IF(scheduled_no_payments=1,"",IF(Sched_Pay+Scheduled_Extra_Payments&lt;Beg_Bal,Scheduled_Extra_Payments,IF(AND(Pay_Num&lt;&gt;"",Beg_Bal-Sched_Pay&gt;0),Beg_Bal-Sched_Pay,IF(Pay_Num&lt;&gt;"",0,""))))</f>
        <v>0</v>
      </c>
      <c r="G83" s="34">
        <f ca="1">IF(scheduled_no_payments=1,"",IF(Sched_Pay+Extra_Pay&lt;Beg_Bal,Sched_Pay+Extra_Pay,IF(Pay_Num&lt;&gt;"",Beg_Bal,"")))</f>
        <v>989.93360882498609</v>
      </c>
      <c r="H83" s="34">
        <f t="shared" ca="1" si="6"/>
        <v>488.2248968113509</v>
      </c>
      <c r="I83" s="34">
        <f ca="1">IF(Pay_Num&lt;&gt;"",Beg_Bal*(Interest_Rate/VLOOKUP(Interval,LoanLookup[],5,FALSE)),"")</f>
        <v>501.70871201363519</v>
      </c>
      <c r="J83" s="34">
        <f ca="1">IF(scheduled_no_payments=1,"",IF(AND(Pay_Num&lt;&gt;"",Sched_Pay+Extra_Pay&lt;Beg_Bal),Beg_Bal-Princ,IF(Pay_Num&lt;&gt;"",0,"")))</f>
        <v>119921.8659864611</v>
      </c>
      <c r="K83" s="34">
        <f ca="1">IF(scheduled_no_payments=1,"",SUM($I$13:$I83))</f>
        <v>40207.15221303513</v>
      </c>
      <c r="L83" s="38"/>
    </row>
    <row r="84" spans="2:12" ht="16.5" customHeight="1" x14ac:dyDescent="0.25">
      <c r="B84" s="32">
        <f ca="1">IF(AND(Values_Entered,scheduled_no_payments&lt;&gt;1),B83+1,"")</f>
        <v>72</v>
      </c>
      <c r="C84" s="33">
        <f ca="1">IF(Pay_Num&lt;&gt;"",DATE(YEAR(C83)+VLOOKUP(Interval,LoanLookup[],4,FALSE),MONTH(C83)+VLOOKUP(Interval,LoanLookup[],2,FALSE),DAY(C83)+VLOOKUP(Interval,LoanLookup[],3,FALSE)),"")</f>
        <v>47029</v>
      </c>
      <c r="D84" s="34">
        <f t="shared" ca="1" si="5"/>
        <v>119921.8659864611</v>
      </c>
      <c r="E84" s="35">
        <f t="shared" ca="1" si="7"/>
        <v>989.93360882498609</v>
      </c>
      <c r="F84" s="36">
        <f ca="1">IF(scheduled_no_payments=1,"",IF(Sched_Pay+Scheduled_Extra_Payments&lt;Beg_Bal,Scheduled_Extra_Payments,IF(AND(Pay_Num&lt;&gt;"",Beg_Bal-Sched_Pay&gt;0),Beg_Bal-Sched_Pay,IF(Pay_Num&lt;&gt;"",0,""))))</f>
        <v>0</v>
      </c>
      <c r="G84" s="34">
        <f ca="1">IF(scheduled_no_payments=1,"",IF(Sched_Pay+Extra_Pay&lt;Beg_Bal,Sched_Pay+Extra_Pay,IF(Pay_Num&lt;&gt;"",Beg_Bal,"")))</f>
        <v>989.93360882498609</v>
      </c>
      <c r="H84" s="34">
        <f t="shared" ca="1" si="6"/>
        <v>490.25916721473152</v>
      </c>
      <c r="I84" s="34">
        <f ca="1">IF(Pay_Num&lt;&gt;"",Beg_Bal*(Interest_Rate/VLOOKUP(Interval,LoanLookup[],5,FALSE)),"")</f>
        <v>499.67444161025458</v>
      </c>
      <c r="J84" s="34">
        <f ca="1">IF(scheduled_no_payments=1,"",IF(AND(Pay_Num&lt;&gt;"",Sched_Pay+Extra_Pay&lt;Beg_Bal),Beg_Bal-Princ,IF(Pay_Num&lt;&gt;"",0,"")))</f>
        <v>119431.60681924637</v>
      </c>
      <c r="K84" s="34">
        <f ca="1">IF(scheduled_no_payments=1,"",SUM($I$13:$I84))</f>
        <v>40706.826654645381</v>
      </c>
      <c r="L84" s="38"/>
    </row>
    <row r="85" spans="2:12" ht="16.5" customHeight="1" x14ac:dyDescent="0.25">
      <c r="B85" s="32">
        <f ca="1">IF(AND(Values_Entered,scheduled_no_payments&lt;&gt;1),B84+1,"")</f>
        <v>73</v>
      </c>
      <c r="C85" s="33">
        <f ca="1">IF(Pay_Num&lt;&gt;"",DATE(YEAR(C84)+VLOOKUP(Interval,LoanLookup[],4,FALSE),MONTH(C84)+VLOOKUP(Interval,LoanLookup[],2,FALSE),DAY(C84)+VLOOKUP(Interval,LoanLookup[],3,FALSE)),"")</f>
        <v>47060</v>
      </c>
      <c r="D85" s="34">
        <f t="shared" ca="1" si="5"/>
        <v>119431.60681924637</v>
      </c>
      <c r="E85" s="35">
        <f t="shared" ca="1" si="7"/>
        <v>989.93360882498609</v>
      </c>
      <c r="F85" s="36">
        <f ca="1">IF(scheduled_no_payments=1,"",IF(Sched_Pay+Scheduled_Extra_Payments&lt;Beg_Bal,Scheduled_Extra_Payments,IF(AND(Pay_Num&lt;&gt;"",Beg_Bal-Sched_Pay&gt;0),Beg_Bal-Sched_Pay,IF(Pay_Num&lt;&gt;"",0,""))))</f>
        <v>0</v>
      </c>
      <c r="G85" s="34">
        <f ca="1">IF(scheduled_no_payments=1,"",IF(Sched_Pay+Extra_Pay&lt;Beg_Bal,Sched_Pay+Extra_Pay,IF(Pay_Num&lt;&gt;"",Beg_Bal,"")))</f>
        <v>989.93360882498609</v>
      </c>
      <c r="H85" s="34">
        <f t="shared" ca="1" si="6"/>
        <v>492.3019137447929</v>
      </c>
      <c r="I85" s="34">
        <f ca="1">IF(Pay_Num&lt;&gt;"",Beg_Bal*(Interest_Rate/VLOOKUP(Interval,LoanLookup[],5,FALSE)),"")</f>
        <v>497.6316950801932</v>
      </c>
      <c r="J85" s="34">
        <f ca="1">IF(scheduled_no_payments=1,"",IF(AND(Pay_Num&lt;&gt;"",Sched_Pay+Extra_Pay&lt;Beg_Bal),Beg_Bal-Princ,IF(Pay_Num&lt;&gt;"",0,"")))</f>
        <v>118939.30490550157</v>
      </c>
      <c r="K85" s="34">
        <f ca="1">IF(scheduled_no_payments=1,"",SUM($I$13:$I85))</f>
        <v>41204.458349725573</v>
      </c>
      <c r="L85" s="38"/>
    </row>
    <row r="86" spans="2:12" ht="16.5" customHeight="1" x14ac:dyDescent="0.25">
      <c r="B86" s="32">
        <f ca="1">IF(AND(Values_Entered,scheduled_no_payments&lt;&gt;1),B85+1,"")</f>
        <v>74</v>
      </c>
      <c r="C86" s="33">
        <f ca="1">IF(Pay_Num&lt;&gt;"",DATE(YEAR(C85)+VLOOKUP(Interval,LoanLookup[],4,FALSE),MONTH(C85)+VLOOKUP(Interval,LoanLookup[],2,FALSE),DAY(C85)+VLOOKUP(Interval,LoanLookup[],3,FALSE)),"")</f>
        <v>47090</v>
      </c>
      <c r="D86" s="34">
        <f t="shared" ca="1" si="5"/>
        <v>118939.30490550157</v>
      </c>
      <c r="E86" s="35">
        <f t="shared" ca="1" si="7"/>
        <v>989.93360882498609</v>
      </c>
      <c r="F86" s="36">
        <f ca="1">IF(scheduled_no_payments=1,"",IF(Sched_Pay+Scheduled_Extra_Payments&lt;Beg_Bal,Scheduled_Extra_Payments,IF(AND(Pay_Num&lt;&gt;"",Beg_Bal-Sched_Pay&gt;0),Beg_Bal-Sched_Pay,IF(Pay_Num&lt;&gt;"",0,""))))</f>
        <v>0</v>
      </c>
      <c r="G86" s="34">
        <f ca="1">IF(scheduled_no_payments=1,"",IF(Sched_Pay+Extra_Pay&lt;Beg_Bal,Sched_Pay+Extra_Pay,IF(Pay_Num&lt;&gt;"",Beg_Bal,"")))</f>
        <v>989.93360882498609</v>
      </c>
      <c r="H86" s="34">
        <f t="shared" ca="1" si="6"/>
        <v>494.35317171872953</v>
      </c>
      <c r="I86" s="34">
        <f ca="1">IF(Pay_Num&lt;&gt;"",Beg_Bal*(Interest_Rate/VLOOKUP(Interval,LoanLookup[],5,FALSE)),"")</f>
        <v>495.58043710625657</v>
      </c>
      <c r="J86" s="34">
        <f ca="1">IF(scheduled_no_payments=1,"",IF(AND(Pay_Num&lt;&gt;"",Sched_Pay+Extra_Pay&lt;Beg_Bal),Beg_Bal-Princ,IF(Pay_Num&lt;&gt;"",0,"")))</f>
        <v>118444.95173378284</v>
      </c>
      <c r="K86" s="34">
        <f ca="1">IF(scheduled_no_payments=1,"",SUM($I$13:$I86))</f>
        <v>41700.038786831828</v>
      </c>
      <c r="L86" s="38"/>
    </row>
    <row r="87" spans="2:12" ht="16.5" customHeight="1" x14ac:dyDescent="0.25">
      <c r="B87" s="32">
        <f ca="1">IF(AND(Values_Entered,scheduled_no_payments&lt;&gt;1),B86+1,"")</f>
        <v>75</v>
      </c>
      <c r="C87" s="33">
        <f ca="1">IF(Pay_Num&lt;&gt;"",DATE(YEAR(C86)+VLOOKUP(Interval,LoanLookup[],4,FALSE),MONTH(C86)+VLOOKUP(Interval,LoanLookup[],2,FALSE),DAY(C86)+VLOOKUP(Interval,LoanLookup[],3,FALSE)),"")</f>
        <v>47121</v>
      </c>
      <c r="D87" s="34">
        <f t="shared" ca="1" si="5"/>
        <v>118444.95173378284</v>
      </c>
      <c r="E87" s="35">
        <f t="shared" ca="1" si="7"/>
        <v>989.93360882498609</v>
      </c>
      <c r="F87" s="36">
        <f ca="1">IF(scheduled_no_payments=1,"",IF(Sched_Pay+Scheduled_Extra_Payments&lt;Beg_Bal,Scheduled_Extra_Payments,IF(AND(Pay_Num&lt;&gt;"",Beg_Bal-Sched_Pay&gt;0),Beg_Bal-Sched_Pay,IF(Pay_Num&lt;&gt;"",0,""))))</f>
        <v>0</v>
      </c>
      <c r="G87" s="34">
        <f ca="1">IF(scheduled_no_payments=1,"",IF(Sched_Pay+Extra_Pay&lt;Beg_Bal,Sched_Pay+Extra_Pay,IF(Pay_Num&lt;&gt;"",Beg_Bal,"")))</f>
        <v>989.93360882498609</v>
      </c>
      <c r="H87" s="34">
        <f t="shared" ca="1" si="6"/>
        <v>496.41297660089094</v>
      </c>
      <c r="I87" s="34">
        <f ca="1">IF(Pay_Num&lt;&gt;"",Beg_Bal*(Interest_Rate/VLOOKUP(Interval,LoanLookup[],5,FALSE)),"")</f>
        <v>493.52063222409515</v>
      </c>
      <c r="J87" s="34">
        <f ca="1">IF(scheduled_no_payments=1,"",IF(AND(Pay_Num&lt;&gt;"",Sched_Pay+Extra_Pay&lt;Beg_Bal),Beg_Bal-Princ,IF(Pay_Num&lt;&gt;"",0,"")))</f>
        <v>117948.53875718196</v>
      </c>
      <c r="K87" s="34">
        <f ca="1">IF(scheduled_no_payments=1,"",SUM($I$13:$I87))</f>
        <v>42193.55941905592</v>
      </c>
      <c r="L87" s="38"/>
    </row>
    <row r="88" spans="2:12" ht="16.5" customHeight="1" x14ac:dyDescent="0.25">
      <c r="B88" s="32">
        <f ca="1">IF(AND(Values_Entered,scheduled_no_payments&lt;&gt;1),B87+1,"")</f>
        <v>76</v>
      </c>
      <c r="C88" s="33">
        <f ca="1">IF(Pay_Num&lt;&gt;"",DATE(YEAR(C87)+VLOOKUP(Interval,LoanLookup[],4,FALSE),MONTH(C87)+VLOOKUP(Interval,LoanLookup[],2,FALSE),DAY(C87)+VLOOKUP(Interval,LoanLookup[],3,FALSE)),"")</f>
        <v>47152</v>
      </c>
      <c r="D88" s="34">
        <f t="shared" ca="1" si="5"/>
        <v>117948.53875718196</v>
      </c>
      <c r="E88" s="35">
        <f t="shared" ca="1" si="7"/>
        <v>989.93360882498609</v>
      </c>
      <c r="F88" s="36">
        <f ca="1">IF(scheduled_no_payments=1,"",IF(Sched_Pay+Scheduled_Extra_Payments&lt;Beg_Bal,Scheduled_Extra_Payments,IF(AND(Pay_Num&lt;&gt;"",Beg_Bal-Sched_Pay&gt;0),Beg_Bal-Sched_Pay,IF(Pay_Num&lt;&gt;"",0,""))))</f>
        <v>0</v>
      </c>
      <c r="G88" s="34">
        <f ca="1">IF(scheduled_no_payments=1,"",IF(Sched_Pay+Extra_Pay&lt;Beg_Bal,Sched_Pay+Extra_Pay,IF(Pay_Num&lt;&gt;"",Beg_Bal,"")))</f>
        <v>989.93360882498609</v>
      </c>
      <c r="H88" s="34">
        <f t="shared" ca="1" si="6"/>
        <v>498.48136400339462</v>
      </c>
      <c r="I88" s="34">
        <f ca="1">IF(Pay_Num&lt;&gt;"",Beg_Bal*(Interest_Rate/VLOOKUP(Interval,LoanLookup[],5,FALSE)),"")</f>
        <v>491.45224482159148</v>
      </c>
      <c r="J88" s="34">
        <f ca="1">IF(scheduled_no_payments=1,"",IF(AND(Pay_Num&lt;&gt;"",Sched_Pay+Extra_Pay&lt;Beg_Bal),Beg_Bal-Princ,IF(Pay_Num&lt;&gt;"",0,"")))</f>
        <v>117450.05739317856</v>
      </c>
      <c r="K88" s="34">
        <f ca="1">IF(scheduled_no_payments=1,"",SUM($I$13:$I88))</f>
        <v>42685.011663877514</v>
      </c>
      <c r="L88" s="38"/>
    </row>
    <row r="89" spans="2:12" ht="16.5" customHeight="1" x14ac:dyDescent="0.25">
      <c r="B89" s="32">
        <f ca="1">IF(AND(Values_Entered,scheduled_no_payments&lt;&gt;1),B88+1,"")</f>
        <v>77</v>
      </c>
      <c r="C89" s="33">
        <f ca="1">IF(Pay_Num&lt;&gt;"",DATE(YEAR(C88)+VLOOKUP(Interval,LoanLookup[],4,FALSE),MONTH(C88)+VLOOKUP(Interval,LoanLookup[],2,FALSE),DAY(C88)+VLOOKUP(Interval,LoanLookup[],3,FALSE)),"")</f>
        <v>47180</v>
      </c>
      <c r="D89" s="34">
        <f t="shared" ca="1" si="5"/>
        <v>117450.05739317856</v>
      </c>
      <c r="E89" s="35">
        <f t="shared" ca="1" si="7"/>
        <v>989.93360882498609</v>
      </c>
      <c r="F89" s="36">
        <f ca="1">IF(scheduled_no_payments=1,"",IF(Sched_Pay+Scheduled_Extra_Payments&lt;Beg_Bal,Scheduled_Extra_Payments,IF(AND(Pay_Num&lt;&gt;"",Beg_Bal-Sched_Pay&gt;0),Beg_Bal-Sched_Pay,IF(Pay_Num&lt;&gt;"",0,""))))</f>
        <v>0</v>
      </c>
      <c r="G89" s="34">
        <f ca="1">IF(scheduled_no_payments=1,"",IF(Sched_Pay+Extra_Pay&lt;Beg_Bal,Sched_Pay+Extra_Pay,IF(Pay_Num&lt;&gt;"",Beg_Bal,"")))</f>
        <v>989.93360882498609</v>
      </c>
      <c r="H89" s="34">
        <f t="shared" ca="1" si="6"/>
        <v>500.55836968674208</v>
      </c>
      <c r="I89" s="34">
        <f ca="1">IF(Pay_Num&lt;&gt;"",Beg_Bal*(Interest_Rate/VLOOKUP(Interval,LoanLookup[],5,FALSE)),"")</f>
        <v>489.37523913824401</v>
      </c>
      <c r="J89" s="34">
        <f ca="1">IF(scheduled_no_payments=1,"",IF(AND(Pay_Num&lt;&gt;"",Sched_Pay+Extra_Pay&lt;Beg_Bal),Beg_Bal-Princ,IF(Pay_Num&lt;&gt;"",0,"")))</f>
        <v>116949.49902349182</v>
      </c>
      <c r="K89" s="34">
        <f ca="1">IF(scheduled_no_payments=1,"",SUM($I$13:$I89))</f>
        <v>43174.386903015758</v>
      </c>
      <c r="L89" s="38"/>
    </row>
    <row r="90" spans="2:12" ht="16.5" customHeight="1" x14ac:dyDescent="0.25">
      <c r="B90" s="32">
        <f ca="1">IF(AND(Values_Entered,scheduled_no_payments&lt;&gt;1),B89+1,"")</f>
        <v>78</v>
      </c>
      <c r="C90" s="33">
        <f ca="1">IF(Pay_Num&lt;&gt;"",DATE(YEAR(C89)+VLOOKUP(Interval,LoanLookup[],4,FALSE),MONTH(C89)+VLOOKUP(Interval,LoanLookup[],2,FALSE),DAY(C89)+VLOOKUP(Interval,LoanLookup[],3,FALSE)),"")</f>
        <v>47211</v>
      </c>
      <c r="D90" s="34">
        <f t="shared" ca="1" si="5"/>
        <v>116949.49902349182</v>
      </c>
      <c r="E90" s="35">
        <f t="shared" ca="1" si="7"/>
        <v>989.93360882498609</v>
      </c>
      <c r="F90" s="36">
        <f ca="1">IF(scheduled_no_payments=1,"",IF(Sched_Pay+Scheduled_Extra_Payments&lt;Beg_Bal,Scheduled_Extra_Payments,IF(AND(Pay_Num&lt;&gt;"",Beg_Bal-Sched_Pay&gt;0),Beg_Bal-Sched_Pay,IF(Pay_Num&lt;&gt;"",0,""))))</f>
        <v>0</v>
      </c>
      <c r="G90" s="34">
        <f ca="1">IF(scheduled_no_payments=1,"",IF(Sched_Pay+Extra_Pay&lt;Beg_Bal,Sched_Pay+Extra_Pay,IF(Pay_Num&lt;&gt;"",Beg_Bal,"")))</f>
        <v>989.93360882498609</v>
      </c>
      <c r="H90" s="34">
        <f t="shared" ca="1" si="6"/>
        <v>502.64402956043682</v>
      </c>
      <c r="I90" s="34">
        <f ca="1">IF(Pay_Num&lt;&gt;"",Beg_Bal*(Interest_Rate/VLOOKUP(Interval,LoanLookup[],5,FALSE)),"")</f>
        <v>487.28957926454927</v>
      </c>
      <c r="J90" s="34">
        <f ca="1">IF(scheduled_no_payments=1,"",IF(AND(Pay_Num&lt;&gt;"",Sched_Pay+Extra_Pay&lt;Beg_Bal),Beg_Bal-Princ,IF(Pay_Num&lt;&gt;"",0,"")))</f>
        <v>116446.85499393138</v>
      </c>
      <c r="K90" s="34">
        <f ca="1">IF(scheduled_no_payments=1,"",SUM($I$13:$I90))</f>
        <v>43661.676482280309</v>
      </c>
      <c r="L90" s="38"/>
    </row>
    <row r="91" spans="2:12" ht="16.5" customHeight="1" x14ac:dyDescent="0.25">
      <c r="B91" s="32">
        <f ca="1">IF(AND(Values_Entered,scheduled_no_payments&lt;&gt;1),B90+1,"")</f>
        <v>79</v>
      </c>
      <c r="C91" s="33">
        <f ca="1">IF(Pay_Num&lt;&gt;"",DATE(YEAR(C90)+VLOOKUP(Interval,LoanLookup[],4,FALSE),MONTH(C90)+VLOOKUP(Interval,LoanLookup[],2,FALSE),DAY(C90)+VLOOKUP(Interval,LoanLookup[],3,FALSE)),"")</f>
        <v>47241</v>
      </c>
      <c r="D91" s="34">
        <f t="shared" ca="1" si="5"/>
        <v>116446.85499393138</v>
      </c>
      <c r="E91" s="35">
        <f t="shared" ca="1" si="7"/>
        <v>989.93360882498609</v>
      </c>
      <c r="F91" s="36">
        <f ca="1">IF(scheduled_no_payments=1,"",IF(Sched_Pay+Scheduled_Extra_Payments&lt;Beg_Bal,Scheduled_Extra_Payments,IF(AND(Pay_Num&lt;&gt;"",Beg_Bal-Sched_Pay&gt;0),Beg_Bal-Sched_Pay,IF(Pay_Num&lt;&gt;"",0,""))))</f>
        <v>0</v>
      </c>
      <c r="G91" s="34">
        <f ca="1">IF(scheduled_no_payments=1,"",IF(Sched_Pay+Extra_Pay&lt;Beg_Bal,Sched_Pay+Extra_Pay,IF(Pay_Num&lt;&gt;"",Beg_Bal,"")))</f>
        <v>989.93360882498609</v>
      </c>
      <c r="H91" s="34">
        <f t="shared" ca="1" si="6"/>
        <v>504.73837968360533</v>
      </c>
      <c r="I91" s="34">
        <f ca="1">IF(Pay_Num&lt;&gt;"",Beg_Bal*(Interest_Rate/VLOOKUP(Interval,LoanLookup[],5,FALSE)),"")</f>
        <v>485.19522914138076</v>
      </c>
      <c r="J91" s="34">
        <f ca="1">IF(scheduled_no_payments=1,"",IF(AND(Pay_Num&lt;&gt;"",Sched_Pay+Extra_Pay&lt;Beg_Bal),Beg_Bal-Princ,IF(Pay_Num&lt;&gt;"",0,"")))</f>
        <v>115942.11661424777</v>
      </c>
      <c r="K91" s="34">
        <f ca="1">IF(scheduled_no_payments=1,"",SUM($I$13:$I91))</f>
        <v>44146.871711421692</v>
      </c>
      <c r="L91" s="38"/>
    </row>
    <row r="92" spans="2:12" ht="16.5" customHeight="1" x14ac:dyDescent="0.25">
      <c r="B92" s="32">
        <f ca="1">IF(AND(Values_Entered,scheduled_no_payments&lt;&gt;1),B91+1,"")</f>
        <v>80</v>
      </c>
      <c r="C92" s="33">
        <f ca="1">IF(Pay_Num&lt;&gt;"",DATE(YEAR(C91)+VLOOKUP(Interval,LoanLookup[],4,FALSE),MONTH(C91)+VLOOKUP(Interval,LoanLookup[],2,FALSE),DAY(C91)+VLOOKUP(Interval,LoanLookup[],3,FALSE)),"")</f>
        <v>47272</v>
      </c>
      <c r="D92" s="34">
        <f t="shared" ca="1" si="5"/>
        <v>115942.11661424777</v>
      </c>
      <c r="E92" s="35">
        <f t="shared" ca="1" si="7"/>
        <v>989.93360882498609</v>
      </c>
      <c r="F92" s="36">
        <f ca="1">IF(scheduled_no_payments=1,"",IF(Sched_Pay+Scheduled_Extra_Payments&lt;Beg_Bal,Scheduled_Extra_Payments,IF(AND(Pay_Num&lt;&gt;"",Beg_Bal-Sched_Pay&gt;0),Beg_Bal-Sched_Pay,IF(Pay_Num&lt;&gt;"",0,""))))</f>
        <v>0</v>
      </c>
      <c r="G92" s="34">
        <f ca="1">IF(scheduled_no_payments=1,"",IF(Sched_Pay+Extra_Pay&lt;Beg_Bal,Sched_Pay+Extra_Pay,IF(Pay_Num&lt;&gt;"",Beg_Bal,"")))</f>
        <v>989.93360882498609</v>
      </c>
      <c r="H92" s="34">
        <f t="shared" ca="1" si="6"/>
        <v>506.84145626562037</v>
      </c>
      <c r="I92" s="34">
        <f ca="1">IF(Pay_Num&lt;&gt;"",Beg_Bal*(Interest_Rate/VLOOKUP(Interval,LoanLookup[],5,FALSE)),"")</f>
        <v>483.09215255936573</v>
      </c>
      <c r="J92" s="34">
        <f ca="1">IF(scheduled_no_payments=1,"",IF(AND(Pay_Num&lt;&gt;"",Sched_Pay+Extra_Pay&lt;Beg_Bal),Beg_Bal-Princ,IF(Pay_Num&lt;&gt;"",0,"")))</f>
        <v>115435.27515798215</v>
      </c>
      <c r="K92" s="34">
        <f ca="1">IF(scheduled_no_payments=1,"",SUM($I$13:$I92))</f>
        <v>44629.963863981058</v>
      </c>
      <c r="L92" s="38"/>
    </row>
    <row r="93" spans="2:12" ht="16.5" customHeight="1" x14ac:dyDescent="0.25">
      <c r="B93" s="32">
        <f ca="1">IF(AND(Values_Entered,scheduled_no_payments&lt;&gt;1),B92+1,"")</f>
        <v>81</v>
      </c>
      <c r="C93" s="33">
        <f ca="1">IF(Pay_Num&lt;&gt;"",DATE(YEAR(C92)+VLOOKUP(Interval,LoanLookup[],4,FALSE),MONTH(C92)+VLOOKUP(Interval,LoanLookup[],2,FALSE),DAY(C92)+VLOOKUP(Interval,LoanLookup[],3,FALSE)),"")</f>
        <v>47302</v>
      </c>
      <c r="D93" s="34">
        <f t="shared" ca="1" si="5"/>
        <v>115435.27515798215</v>
      </c>
      <c r="E93" s="35">
        <f t="shared" ca="1" si="7"/>
        <v>989.93360882498609</v>
      </c>
      <c r="F93" s="36">
        <f ca="1">IF(scheduled_no_payments=1,"",IF(Sched_Pay+Scheduled_Extra_Payments&lt;Beg_Bal,Scheduled_Extra_Payments,IF(AND(Pay_Num&lt;&gt;"",Beg_Bal-Sched_Pay&gt;0),Beg_Bal-Sched_Pay,IF(Pay_Num&lt;&gt;"",0,""))))</f>
        <v>0</v>
      </c>
      <c r="G93" s="34">
        <f ca="1">IF(scheduled_no_payments=1,"",IF(Sched_Pay+Extra_Pay&lt;Beg_Bal,Sched_Pay+Extra_Pay,IF(Pay_Num&lt;&gt;"",Beg_Bal,"")))</f>
        <v>989.93360882498609</v>
      </c>
      <c r="H93" s="34">
        <f t="shared" ca="1" si="6"/>
        <v>508.95329566672717</v>
      </c>
      <c r="I93" s="34">
        <f ca="1">IF(Pay_Num&lt;&gt;"",Beg_Bal*(Interest_Rate/VLOOKUP(Interval,LoanLookup[],5,FALSE)),"")</f>
        <v>480.98031315825892</v>
      </c>
      <c r="J93" s="34">
        <f ca="1">IF(scheduled_no_payments=1,"",IF(AND(Pay_Num&lt;&gt;"",Sched_Pay+Extra_Pay&lt;Beg_Bal),Beg_Bal-Princ,IF(Pay_Num&lt;&gt;"",0,"")))</f>
        <v>114926.32186231542</v>
      </c>
      <c r="K93" s="34">
        <f ca="1">IF(scheduled_no_payments=1,"",SUM($I$13:$I93))</f>
        <v>45110.944177139318</v>
      </c>
      <c r="L93" s="38"/>
    </row>
    <row r="94" spans="2:12" ht="16.5" customHeight="1" x14ac:dyDescent="0.25">
      <c r="B94" s="32">
        <f ca="1">IF(AND(Values_Entered,scheduled_no_payments&lt;&gt;1),B93+1,"")</f>
        <v>82</v>
      </c>
      <c r="C94" s="33">
        <f ca="1">IF(Pay_Num&lt;&gt;"",DATE(YEAR(C93)+VLOOKUP(Interval,LoanLookup[],4,FALSE),MONTH(C93)+VLOOKUP(Interval,LoanLookup[],2,FALSE),DAY(C93)+VLOOKUP(Interval,LoanLookup[],3,FALSE)),"")</f>
        <v>47333</v>
      </c>
      <c r="D94" s="34">
        <f t="shared" ca="1" si="5"/>
        <v>114926.32186231542</v>
      </c>
      <c r="E94" s="35">
        <f t="shared" ca="1" si="7"/>
        <v>989.93360882498609</v>
      </c>
      <c r="F94" s="36">
        <f ca="1">IF(scheduled_no_payments=1,"",IF(Sched_Pay+Scheduled_Extra_Payments&lt;Beg_Bal,Scheduled_Extra_Payments,IF(AND(Pay_Num&lt;&gt;"",Beg_Bal-Sched_Pay&gt;0),Beg_Bal-Sched_Pay,IF(Pay_Num&lt;&gt;"",0,""))))</f>
        <v>0</v>
      </c>
      <c r="G94" s="34">
        <f ca="1">IF(scheduled_no_payments=1,"",IF(Sched_Pay+Extra_Pay&lt;Beg_Bal,Sched_Pay+Extra_Pay,IF(Pay_Num&lt;&gt;"",Beg_Bal,"")))</f>
        <v>989.93360882498609</v>
      </c>
      <c r="H94" s="34">
        <f t="shared" ca="1" si="6"/>
        <v>511.07393439867184</v>
      </c>
      <c r="I94" s="34">
        <f ca="1">IF(Pay_Num&lt;&gt;"",Beg_Bal*(Interest_Rate/VLOOKUP(Interval,LoanLookup[],5,FALSE)),"")</f>
        <v>478.85967442631426</v>
      </c>
      <c r="J94" s="34">
        <f ca="1">IF(scheduled_no_payments=1,"",IF(AND(Pay_Num&lt;&gt;"",Sched_Pay+Extra_Pay&lt;Beg_Bal),Beg_Bal-Princ,IF(Pay_Num&lt;&gt;"",0,"")))</f>
        <v>114415.24792791675</v>
      </c>
      <c r="K94" s="34">
        <f ca="1">IF(scheduled_no_payments=1,"",SUM($I$13:$I94))</f>
        <v>45589.80385156563</v>
      </c>
      <c r="L94" s="38"/>
    </row>
    <row r="95" spans="2:12" ht="16.5" customHeight="1" x14ac:dyDescent="0.25">
      <c r="B95" s="32">
        <f ca="1">IF(AND(Values_Entered,scheduled_no_payments&lt;&gt;1),B94+1,"")</f>
        <v>83</v>
      </c>
      <c r="C95" s="33">
        <f ca="1">IF(Pay_Num&lt;&gt;"",DATE(YEAR(C94)+VLOOKUP(Interval,LoanLookup[],4,FALSE),MONTH(C94)+VLOOKUP(Interval,LoanLookup[],2,FALSE),DAY(C94)+VLOOKUP(Interval,LoanLookup[],3,FALSE)),"")</f>
        <v>47364</v>
      </c>
      <c r="D95" s="34">
        <f t="shared" ca="1" si="5"/>
        <v>114415.24792791675</v>
      </c>
      <c r="E95" s="35">
        <f t="shared" ca="1" si="7"/>
        <v>989.93360882498609</v>
      </c>
      <c r="F95" s="36">
        <f ca="1">IF(scheduled_no_payments=1,"",IF(Sched_Pay+Scheduled_Extra_Payments&lt;Beg_Bal,Scheduled_Extra_Payments,IF(AND(Pay_Num&lt;&gt;"",Beg_Bal-Sched_Pay&gt;0),Beg_Bal-Sched_Pay,IF(Pay_Num&lt;&gt;"",0,""))))</f>
        <v>0</v>
      </c>
      <c r="G95" s="34">
        <f ca="1">IF(scheduled_no_payments=1,"",IF(Sched_Pay+Extra_Pay&lt;Beg_Bal,Sched_Pay+Extra_Pay,IF(Pay_Num&lt;&gt;"",Beg_Bal,"")))</f>
        <v>989.93360882498609</v>
      </c>
      <c r="H95" s="34">
        <f t="shared" ca="1" si="6"/>
        <v>513.203409125333</v>
      </c>
      <c r="I95" s="34">
        <f ca="1">IF(Pay_Num&lt;&gt;"",Beg_Bal*(Interest_Rate/VLOOKUP(Interval,LoanLookup[],5,FALSE)),"")</f>
        <v>476.7301996996531</v>
      </c>
      <c r="J95" s="34">
        <f ca="1">IF(scheduled_no_payments=1,"",IF(AND(Pay_Num&lt;&gt;"",Sched_Pay+Extra_Pay&lt;Beg_Bal),Beg_Bal-Princ,IF(Pay_Num&lt;&gt;"",0,"")))</f>
        <v>113902.04451879142</v>
      </c>
      <c r="K95" s="34">
        <f ca="1">IF(scheduled_no_payments=1,"",SUM($I$13:$I95))</f>
        <v>46066.534051265284</v>
      </c>
      <c r="L95" s="38"/>
    </row>
    <row r="96" spans="2:12" ht="16.5" customHeight="1" x14ac:dyDescent="0.25">
      <c r="B96" s="32">
        <f ca="1">IF(AND(Values_Entered,scheduled_no_payments&lt;&gt;1),B95+1,"")</f>
        <v>84</v>
      </c>
      <c r="C96" s="33">
        <f ca="1">IF(Pay_Num&lt;&gt;"",DATE(YEAR(C95)+VLOOKUP(Interval,LoanLookup[],4,FALSE),MONTH(C95)+VLOOKUP(Interval,LoanLookup[],2,FALSE),DAY(C95)+VLOOKUP(Interval,LoanLookup[],3,FALSE)),"")</f>
        <v>47394</v>
      </c>
      <c r="D96" s="34">
        <f t="shared" ca="1" si="5"/>
        <v>113902.04451879142</v>
      </c>
      <c r="E96" s="35">
        <f t="shared" ca="1" si="7"/>
        <v>989.93360882498609</v>
      </c>
      <c r="F96" s="36">
        <f ca="1">IF(scheduled_no_payments=1,"",IF(Sched_Pay+Scheduled_Extra_Payments&lt;Beg_Bal,Scheduled_Extra_Payments,IF(AND(Pay_Num&lt;&gt;"",Beg_Bal-Sched_Pay&gt;0),Beg_Bal-Sched_Pay,IF(Pay_Num&lt;&gt;"",0,""))))</f>
        <v>0</v>
      </c>
      <c r="G96" s="34">
        <f ca="1">IF(scheduled_no_payments=1,"",IF(Sched_Pay+Extra_Pay&lt;Beg_Bal,Sched_Pay+Extra_Pay,IF(Pay_Num&lt;&gt;"",Beg_Bal,"")))</f>
        <v>989.93360882498609</v>
      </c>
      <c r="H96" s="34">
        <f t="shared" ca="1" si="6"/>
        <v>515.34175666335523</v>
      </c>
      <c r="I96" s="34">
        <f ca="1">IF(Pay_Num&lt;&gt;"",Beg_Bal*(Interest_Rate/VLOOKUP(Interval,LoanLookup[],5,FALSE)),"")</f>
        <v>474.59185216163087</v>
      </c>
      <c r="J96" s="34">
        <f ca="1">IF(scheduled_no_payments=1,"",IF(AND(Pay_Num&lt;&gt;"",Sched_Pay+Extra_Pay&lt;Beg_Bal),Beg_Bal-Princ,IF(Pay_Num&lt;&gt;"",0,"")))</f>
        <v>113386.70276212806</v>
      </c>
      <c r="K96" s="34">
        <f ca="1">IF(scheduled_no_payments=1,"",SUM($I$13:$I96))</f>
        <v>46541.125903426917</v>
      </c>
      <c r="L96" s="38"/>
    </row>
    <row r="97" spans="2:12" ht="16.5" customHeight="1" x14ac:dyDescent="0.25">
      <c r="B97" s="32">
        <f ca="1">IF(AND(Values_Entered,scheduled_no_payments&lt;&gt;1),B96+1,"")</f>
        <v>85</v>
      </c>
      <c r="C97" s="33">
        <f ca="1">IF(Pay_Num&lt;&gt;"",DATE(YEAR(C96)+VLOOKUP(Interval,LoanLookup[],4,FALSE),MONTH(C96)+VLOOKUP(Interval,LoanLookup[],2,FALSE),DAY(C96)+VLOOKUP(Interval,LoanLookup[],3,FALSE)),"")</f>
        <v>47425</v>
      </c>
      <c r="D97" s="34">
        <f t="shared" ca="1" si="5"/>
        <v>113386.70276212806</v>
      </c>
      <c r="E97" s="35">
        <f t="shared" ca="1" si="7"/>
        <v>989.93360882498609</v>
      </c>
      <c r="F97" s="36">
        <f ca="1">IF(scheduled_no_payments=1,"",IF(Sched_Pay+Scheduled_Extra_Payments&lt;Beg_Bal,Scheduled_Extra_Payments,IF(AND(Pay_Num&lt;&gt;"",Beg_Bal-Sched_Pay&gt;0),Beg_Bal-Sched_Pay,IF(Pay_Num&lt;&gt;"",0,""))))</f>
        <v>0</v>
      </c>
      <c r="G97" s="34">
        <f ca="1">IF(scheduled_no_payments=1,"",IF(Sched_Pay+Extra_Pay&lt;Beg_Bal,Sched_Pay+Extra_Pay,IF(Pay_Num&lt;&gt;"",Beg_Bal,"")))</f>
        <v>989.93360882498609</v>
      </c>
      <c r="H97" s="34">
        <f t="shared" ca="1" si="6"/>
        <v>517.48901398278588</v>
      </c>
      <c r="I97" s="34">
        <f ca="1">IF(Pay_Num&lt;&gt;"",Beg_Bal*(Interest_Rate/VLOOKUP(Interval,LoanLookup[],5,FALSE)),"")</f>
        <v>472.44459484220022</v>
      </c>
      <c r="J97" s="34">
        <f ca="1">IF(scheduled_no_payments=1,"",IF(AND(Pay_Num&lt;&gt;"",Sched_Pay+Extra_Pay&lt;Beg_Bal),Beg_Bal-Princ,IF(Pay_Num&lt;&gt;"",0,"")))</f>
        <v>112869.21374814527</v>
      </c>
      <c r="K97" s="34">
        <f ca="1">IF(scheduled_no_payments=1,"",SUM($I$13:$I97))</f>
        <v>47013.570498269117</v>
      </c>
      <c r="L97" s="38"/>
    </row>
    <row r="98" spans="2:12" ht="16.5" customHeight="1" x14ac:dyDescent="0.25">
      <c r="B98" s="32">
        <f ca="1">IF(AND(Values_Entered,scheduled_no_payments&lt;&gt;1),B97+1,"")</f>
        <v>86</v>
      </c>
      <c r="C98" s="33">
        <f ca="1">IF(Pay_Num&lt;&gt;"",DATE(YEAR(C97)+VLOOKUP(Interval,LoanLookup[],4,FALSE),MONTH(C97)+VLOOKUP(Interval,LoanLookup[],2,FALSE),DAY(C97)+VLOOKUP(Interval,LoanLookup[],3,FALSE)),"")</f>
        <v>47455</v>
      </c>
      <c r="D98" s="34">
        <f t="shared" ca="1" si="5"/>
        <v>112869.21374814527</v>
      </c>
      <c r="E98" s="35">
        <f t="shared" ca="1" si="7"/>
        <v>989.93360882498609</v>
      </c>
      <c r="F98" s="36">
        <f ca="1">IF(scheduled_no_payments=1,"",IF(Sched_Pay+Scheduled_Extra_Payments&lt;Beg_Bal,Scheduled_Extra_Payments,IF(AND(Pay_Num&lt;&gt;"",Beg_Bal-Sched_Pay&gt;0),Beg_Bal-Sched_Pay,IF(Pay_Num&lt;&gt;"",0,""))))</f>
        <v>0</v>
      </c>
      <c r="G98" s="34">
        <f ca="1">IF(scheduled_no_payments=1,"",IF(Sched_Pay+Extra_Pay&lt;Beg_Bal,Sched_Pay+Extra_Pay,IF(Pay_Num&lt;&gt;"",Beg_Bal,"")))</f>
        <v>989.93360882498609</v>
      </c>
      <c r="H98" s="34">
        <f t="shared" ca="1" si="6"/>
        <v>519.64521820771415</v>
      </c>
      <c r="I98" s="34">
        <f ca="1">IF(Pay_Num&lt;&gt;"",Beg_Bal*(Interest_Rate/VLOOKUP(Interval,LoanLookup[],5,FALSE)),"")</f>
        <v>470.28839061727194</v>
      </c>
      <c r="J98" s="34">
        <f ca="1">IF(scheduled_no_payments=1,"",IF(AND(Pay_Num&lt;&gt;"",Sched_Pay+Extra_Pay&lt;Beg_Bal),Beg_Bal-Princ,IF(Pay_Num&lt;&gt;"",0,"")))</f>
        <v>112349.56852993755</v>
      </c>
      <c r="K98" s="34">
        <f ca="1">IF(scheduled_no_payments=1,"",SUM($I$13:$I98))</f>
        <v>47483.858888886389</v>
      </c>
      <c r="L98" s="38"/>
    </row>
    <row r="99" spans="2:12" ht="16.5" customHeight="1" x14ac:dyDescent="0.25">
      <c r="B99" s="32">
        <f ca="1">IF(AND(Values_Entered,scheduled_no_payments&lt;&gt;1),B98+1,"")</f>
        <v>87</v>
      </c>
      <c r="C99" s="33">
        <f ca="1">IF(Pay_Num&lt;&gt;"",DATE(YEAR(C98)+VLOOKUP(Interval,LoanLookup[],4,FALSE),MONTH(C98)+VLOOKUP(Interval,LoanLookup[],2,FALSE),DAY(C98)+VLOOKUP(Interval,LoanLookup[],3,FALSE)),"")</f>
        <v>47486</v>
      </c>
      <c r="D99" s="34">
        <f t="shared" ca="1" si="5"/>
        <v>112349.56852993755</v>
      </c>
      <c r="E99" s="35">
        <f t="shared" ca="1" si="7"/>
        <v>989.93360882498609</v>
      </c>
      <c r="F99" s="36">
        <f ca="1">IF(scheduled_no_payments=1,"",IF(Sched_Pay+Scheduled_Extra_Payments&lt;Beg_Bal,Scheduled_Extra_Payments,IF(AND(Pay_Num&lt;&gt;"",Beg_Bal-Sched_Pay&gt;0),Beg_Bal-Sched_Pay,IF(Pay_Num&lt;&gt;"",0,""))))</f>
        <v>0</v>
      </c>
      <c r="G99" s="34">
        <f ca="1">IF(scheduled_no_payments=1,"",IF(Sched_Pay+Extra_Pay&lt;Beg_Bal,Sched_Pay+Extra_Pay,IF(Pay_Num&lt;&gt;"",Beg_Bal,"")))</f>
        <v>989.93360882498609</v>
      </c>
      <c r="H99" s="34">
        <f t="shared" ca="1" si="6"/>
        <v>521.81040661691304</v>
      </c>
      <c r="I99" s="34">
        <f ca="1">IF(Pay_Num&lt;&gt;"",Beg_Bal*(Interest_Rate/VLOOKUP(Interval,LoanLookup[],5,FALSE)),"")</f>
        <v>468.12320220807311</v>
      </c>
      <c r="J99" s="34">
        <f ca="1">IF(scheduled_no_payments=1,"",IF(AND(Pay_Num&lt;&gt;"",Sched_Pay+Extra_Pay&lt;Beg_Bal),Beg_Bal-Princ,IF(Pay_Num&lt;&gt;"",0,"")))</f>
        <v>111827.75812332063</v>
      </c>
      <c r="K99" s="34">
        <f ca="1">IF(scheduled_no_payments=1,"",SUM($I$13:$I99))</f>
        <v>47951.982091094462</v>
      </c>
      <c r="L99" s="38"/>
    </row>
    <row r="100" spans="2:12" ht="16.5" customHeight="1" x14ac:dyDescent="0.25">
      <c r="B100" s="32">
        <f ca="1">IF(AND(Values_Entered,scheduled_no_payments&lt;&gt;1),B99+1,"")</f>
        <v>88</v>
      </c>
      <c r="C100" s="33">
        <f ca="1">IF(Pay_Num&lt;&gt;"",DATE(YEAR(C99)+VLOOKUP(Interval,LoanLookup[],4,FALSE),MONTH(C99)+VLOOKUP(Interval,LoanLookup[],2,FALSE),DAY(C99)+VLOOKUP(Interval,LoanLookup[],3,FALSE)),"")</f>
        <v>47517</v>
      </c>
      <c r="D100" s="34">
        <f t="shared" ca="1" si="5"/>
        <v>111827.75812332063</v>
      </c>
      <c r="E100" s="35">
        <f t="shared" ca="1" si="7"/>
        <v>989.93360882498609</v>
      </c>
      <c r="F100" s="36">
        <f ca="1">IF(scheduled_no_payments=1,"",IF(Sched_Pay+Scheduled_Extra_Payments&lt;Beg_Bal,Scheduled_Extra_Payments,IF(AND(Pay_Num&lt;&gt;"",Beg_Bal-Sched_Pay&gt;0),Beg_Bal-Sched_Pay,IF(Pay_Num&lt;&gt;"",0,""))))</f>
        <v>0</v>
      </c>
      <c r="G100" s="34">
        <f ca="1">IF(scheduled_no_payments=1,"",IF(Sched_Pay+Extra_Pay&lt;Beg_Bal,Sched_Pay+Extra_Pay,IF(Pay_Num&lt;&gt;"",Beg_Bal,"")))</f>
        <v>989.93360882498609</v>
      </c>
      <c r="H100" s="34">
        <f t="shared" ca="1" si="6"/>
        <v>523.98461664448348</v>
      </c>
      <c r="I100" s="34">
        <f ca="1">IF(Pay_Num&lt;&gt;"",Beg_Bal*(Interest_Rate/VLOOKUP(Interval,LoanLookup[],5,FALSE)),"")</f>
        <v>465.94899218050261</v>
      </c>
      <c r="J100" s="34">
        <f ca="1">IF(scheduled_no_payments=1,"",IF(AND(Pay_Num&lt;&gt;"",Sched_Pay+Extra_Pay&lt;Beg_Bal),Beg_Bal-Princ,IF(Pay_Num&lt;&gt;"",0,"")))</f>
        <v>111303.77350667615</v>
      </c>
      <c r="K100" s="34">
        <f ca="1">IF(scheduled_no_payments=1,"",SUM($I$13:$I100))</f>
        <v>48417.931083274962</v>
      </c>
      <c r="L100" s="38"/>
    </row>
    <row r="101" spans="2:12" ht="16.5" customHeight="1" x14ac:dyDescent="0.25">
      <c r="B101" s="32">
        <f ca="1">IF(AND(Values_Entered,scheduled_no_payments&lt;&gt;1),B100+1,"")</f>
        <v>89</v>
      </c>
      <c r="C101" s="33">
        <f ca="1">IF(Pay_Num&lt;&gt;"",DATE(YEAR(C100)+VLOOKUP(Interval,LoanLookup[],4,FALSE),MONTH(C100)+VLOOKUP(Interval,LoanLookup[],2,FALSE),DAY(C100)+VLOOKUP(Interval,LoanLookup[],3,FALSE)),"")</f>
        <v>47545</v>
      </c>
      <c r="D101" s="34">
        <f t="shared" ca="1" si="5"/>
        <v>111303.77350667615</v>
      </c>
      <c r="E101" s="35">
        <f t="shared" ca="1" si="7"/>
        <v>989.93360882498609</v>
      </c>
      <c r="F101" s="36">
        <f ca="1">IF(scheduled_no_payments=1,"",IF(Sched_Pay+Scheduled_Extra_Payments&lt;Beg_Bal,Scheduled_Extra_Payments,IF(AND(Pay_Num&lt;&gt;"",Beg_Bal-Sched_Pay&gt;0),Beg_Bal-Sched_Pay,IF(Pay_Num&lt;&gt;"",0,""))))</f>
        <v>0</v>
      </c>
      <c r="G101" s="34">
        <f ca="1">IF(scheduled_no_payments=1,"",IF(Sched_Pay+Extra_Pay&lt;Beg_Bal,Sched_Pay+Extra_Pay,IF(Pay_Num&lt;&gt;"",Beg_Bal,"")))</f>
        <v>989.93360882498609</v>
      </c>
      <c r="H101" s="34">
        <f t="shared" ca="1" si="6"/>
        <v>526.16788588050213</v>
      </c>
      <c r="I101" s="34">
        <f ca="1">IF(Pay_Num&lt;&gt;"",Beg_Bal*(Interest_Rate/VLOOKUP(Interval,LoanLookup[],5,FALSE)),"")</f>
        <v>463.76572294448397</v>
      </c>
      <c r="J101" s="34">
        <f ca="1">IF(scheduled_no_payments=1,"",IF(AND(Pay_Num&lt;&gt;"",Sched_Pay+Extra_Pay&lt;Beg_Bal),Beg_Bal-Princ,IF(Pay_Num&lt;&gt;"",0,"")))</f>
        <v>110777.60562079566</v>
      </c>
      <c r="K101" s="34">
        <f ca="1">IF(scheduled_no_payments=1,"",SUM($I$13:$I101))</f>
        <v>48881.696806219443</v>
      </c>
      <c r="L101" s="38"/>
    </row>
    <row r="102" spans="2:12" ht="16.5" customHeight="1" x14ac:dyDescent="0.25">
      <c r="B102" s="32">
        <f ca="1">IF(AND(Values_Entered,scheduled_no_payments&lt;&gt;1),B101+1,"")</f>
        <v>90</v>
      </c>
      <c r="C102" s="33">
        <f ca="1">IF(Pay_Num&lt;&gt;"",DATE(YEAR(C101)+VLOOKUP(Interval,LoanLookup[],4,FALSE),MONTH(C101)+VLOOKUP(Interval,LoanLookup[],2,FALSE),DAY(C101)+VLOOKUP(Interval,LoanLookup[],3,FALSE)),"")</f>
        <v>47576</v>
      </c>
      <c r="D102" s="34">
        <f t="shared" ca="1" si="5"/>
        <v>110777.60562079566</v>
      </c>
      <c r="E102" s="35">
        <f t="shared" ca="1" si="7"/>
        <v>989.93360882498609</v>
      </c>
      <c r="F102" s="36">
        <f ca="1">IF(scheduled_no_payments=1,"",IF(Sched_Pay+Scheduled_Extra_Payments&lt;Beg_Bal,Scheduled_Extra_Payments,IF(AND(Pay_Num&lt;&gt;"",Beg_Bal-Sched_Pay&gt;0),Beg_Bal-Sched_Pay,IF(Pay_Num&lt;&gt;"",0,""))))</f>
        <v>0</v>
      </c>
      <c r="G102" s="34">
        <f ca="1">IF(scheduled_no_payments=1,"",IF(Sched_Pay+Extra_Pay&lt;Beg_Bal,Sched_Pay+Extra_Pay,IF(Pay_Num&lt;&gt;"",Beg_Bal,"")))</f>
        <v>989.93360882498609</v>
      </c>
      <c r="H102" s="34">
        <f t="shared" ca="1" si="6"/>
        <v>528.36025207167086</v>
      </c>
      <c r="I102" s="34">
        <f ca="1">IF(Pay_Num&lt;&gt;"",Beg_Bal*(Interest_Rate/VLOOKUP(Interval,LoanLookup[],5,FALSE)),"")</f>
        <v>461.57335675331524</v>
      </c>
      <c r="J102" s="34">
        <f ca="1">IF(scheduled_no_payments=1,"",IF(AND(Pay_Num&lt;&gt;"",Sched_Pay+Extra_Pay&lt;Beg_Bal),Beg_Bal-Princ,IF(Pay_Num&lt;&gt;"",0,"")))</f>
        <v>110249.24536872399</v>
      </c>
      <c r="K102" s="34">
        <f ca="1">IF(scheduled_no_payments=1,"",SUM($I$13:$I102))</f>
        <v>49343.27016297276</v>
      </c>
      <c r="L102" s="38"/>
    </row>
    <row r="103" spans="2:12" ht="16.5" customHeight="1" x14ac:dyDescent="0.25">
      <c r="B103" s="32">
        <f ca="1">IF(AND(Values_Entered,scheduled_no_payments&lt;&gt;1),B102+1,"")</f>
        <v>91</v>
      </c>
      <c r="C103" s="33">
        <f ca="1">IF(Pay_Num&lt;&gt;"",DATE(YEAR(C102)+VLOOKUP(Interval,LoanLookup[],4,FALSE),MONTH(C102)+VLOOKUP(Interval,LoanLookup[],2,FALSE),DAY(C102)+VLOOKUP(Interval,LoanLookup[],3,FALSE)),"")</f>
        <v>47606</v>
      </c>
      <c r="D103" s="34">
        <f t="shared" ca="1" si="5"/>
        <v>110249.24536872399</v>
      </c>
      <c r="E103" s="35">
        <f t="shared" ca="1" si="7"/>
        <v>989.93360882498609</v>
      </c>
      <c r="F103" s="36">
        <f ca="1">IF(scheduled_no_payments=1,"",IF(Sched_Pay+Scheduled_Extra_Payments&lt;Beg_Bal,Scheduled_Extra_Payments,IF(AND(Pay_Num&lt;&gt;"",Beg_Bal-Sched_Pay&gt;0),Beg_Bal-Sched_Pay,IF(Pay_Num&lt;&gt;"",0,""))))</f>
        <v>0</v>
      </c>
      <c r="G103" s="34">
        <f ca="1">IF(scheduled_no_payments=1,"",IF(Sched_Pay+Extra_Pay&lt;Beg_Bal,Sched_Pay+Extra_Pay,IF(Pay_Num&lt;&gt;"",Beg_Bal,"")))</f>
        <v>989.93360882498609</v>
      </c>
      <c r="H103" s="34">
        <f t="shared" ca="1" si="6"/>
        <v>530.56175312196956</v>
      </c>
      <c r="I103" s="34">
        <f ca="1">IF(Pay_Num&lt;&gt;"",Beg_Bal*(Interest_Rate/VLOOKUP(Interval,LoanLookup[],5,FALSE)),"")</f>
        <v>459.37185570301659</v>
      </c>
      <c r="J103" s="34">
        <f ca="1">IF(scheduled_no_payments=1,"",IF(AND(Pay_Num&lt;&gt;"",Sched_Pay+Extra_Pay&lt;Beg_Bal),Beg_Bal-Princ,IF(Pay_Num&lt;&gt;"",0,"")))</f>
        <v>109718.68361560201</v>
      </c>
      <c r="K103" s="34">
        <f ca="1">IF(scheduled_no_payments=1,"",SUM($I$13:$I103))</f>
        <v>49802.642018675775</v>
      </c>
      <c r="L103" s="38"/>
    </row>
    <row r="104" spans="2:12" ht="16.5" customHeight="1" x14ac:dyDescent="0.25">
      <c r="B104" s="32">
        <f ca="1">IF(AND(Values_Entered,scheduled_no_payments&lt;&gt;1),B103+1,"")</f>
        <v>92</v>
      </c>
      <c r="C104" s="33">
        <f ca="1">IF(Pay_Num&lt;&gt;"",DATE(YEAR(C103)+VLOOKUP(Interval,LoanLookup[],4,FALSE),MONTH(C103)+VLOOKUP(Interval,LoanLookup[],2,FALSE),DAY(C103)+VLOOKUP(Interval,LoanLookup[],3,FALSE)),"")</f>
        <v>47637</v>
      </c>
      <c r="D104" s="34">
        <f t="shared" ca="1" si="5"/>
        <v>109718.68361560201</v>
      </c>
      <c r="E104" s="35">
        <f t="shared" ca="1" si="7"/>
        <v>989.93360882498609</v>
      </c>
      <c r="F104" s="36">
        <f ca="1">IF(scheduled_no_payments=1,"",IF(Sched_Pay+Scheduled_Extra_Payments&lt;Beg_Bal,Scheduled_Extra_Payments,IF(AND(Pay_Num&lt;&gt;"",Beg_Bal-Sched_Pay&gt;0),Beg_Bal-Sched_Pay,IF(Pay_Num&lt;&gt;"",0,""))))</f>
        <v>0</v>
      </c>
      <c r="G104" s="34">
        <f ca="1">IF(scheduled_no_payments=1,"",IF(Sched_Pay+Extra_Pay&lt;Beg_Bal,Sched_Pay+Extra_Pay,IF(Pay_Num&lt;&gt;"",Beg_Bal,"")))</f>
        <v>989.93360882498609</v>
      </c>
      <c r="H104" s="34">
        <f t="shared" ca="1" si="6"/>
        <v>532.77242709331108</v>
      </c>
      <c r="I104" s="34">
        <f ca="1">IF(Pay_Num&lt;&gt;"",Beg_Bal*(Interest_Rate/VLOOKUP(Interval,LoanLookup[],5,FALSE)),"")</f>
        <v>457.16118173167507</v>
      </c>
      <c r="J104" s="34">
        <f ca="1">IF(scheduled_no_payments=1,"",IF(AND(Pay_Num&lt;&gt;"",Sched_Pay+Extra_Pay&lt;Beg_Bal),Beg_Bal-Princ,IF(Pay_Num&lt;&gt;"",0,"")))</f>
        <v>109185.9111885087</v>
      </c>
      <c r="K104" s="34">
        <f ca="1">IF(scheduled_no_payments=1,"",SUM($I$13:$I104))</f>
        <v>50259.803200407448</v>
      </c>
      <c r="L104" s="38"/>
    </row>
    <row r="105" spans="2:12" ht="16.5" customHeight="1" x14ac:dyDescent="0.25">
      <c r="B105" s="32">
        <f ca="1">IF(AND(Values_Entered,scheduled_no_payments&lt;&gt;1),B104+1,"")</f>
        <v>93</v>
      </c>
      <c r="C105" s="33">
        <f ca="1">IF(Pay_Num&lt;&gt;"",DATE(YEAR(C104)+VLOOKUP(Interval,LoanLookup[],4,FALSE),MONTH(C104)+VLOOKUP(Interval,LoanLookup[],2,FALSE),DAY(C104)+VLOOKUP(Interval,LoanLookup[],3,FALSE)),"")</f>
        <v>47667</v>
      </c>
      <c r="D105" s="34">
        <f t="shared" ca="1" si="5"/>
        <v>109185.9111885087</v>
      </c>
      <c r="E105" s="35">
        <f t="shared" ca="1" si="7"/>
        <v>989.93360882498609</v>
      </c>
      <c r="F105" s="36">
        <f ca="1">IF(scheduled_no_payments=1,"",IF(Sched_Pay+Scheduled_Extra_Payments&lt;Beg_Bal,Scheduled_Extra_Payments,IF(AND(Pay_Num&lt;&gt;"",Beg_Bal-Sched_Pay&gt;0),Beg_Bal-Sched_Pay,IF(Pay_Num&lt;&gt;"",0,""))))</f>
        <v>0</v>
      </c>
      <c r="G105" s="34">
        <f ca="1">IF(scheduled_no_payments=1,"",IF(Sched_Pay+Extra_Pay&lt;Beg_Bal,Sched_Pay+Extra_Pay,IF(Pay_Num&lt;&gt;"",Beg_Bal,"")))</f>
        <v>989.93360882498609</v>
      </c>
      <c r="H105" s="34">
        <f t="shared" ca="1" si="6"/>
        <v>534.99231220619981</v>
      </c>
      <c r="I105" s="34">
        <f ca="1">IF(Pay_Num&lt;&gt;"",Beg_Bal*(Interest_Rate/VLOOKUP(Interval,LoanLookup[],5,FALSE)),"")</f>
        <v>454.94129661878628</v>
      </c>
      <c r="J105" s="34">
        <f ca="1">IF(scheduled_no_payments=1,"",IF(AND(Pay_Num&lt;&gt;"",Sched_Pay+Extra_Pay&lt;Beg_Bal),Beg_Bal-Princ,IF(Pay_Num&lt;&gt;"",0,"")))</f>
        <v>108650.9188763025</v>
      </c>
      <c r="K105" s="34">
        <f ca="1">IF(scheduled_no_payments=1,"",SUM($I$13:$I105))</f>
        <v>50714.744497026237</v>
      </c>
      <c r="L105" s="38"/>
    </row>
    <row r="106" spans="2:12" ht="16.5" customHeight="1" x14ac:dyDescent="0.25">
      <c r="B106" s="32">
        <f ca="1">IF(AND(Values_Entered,scheduled_no_payments&lt;&gt;1),B105+1,"")</f>
        <v>94</v>
      </c>
      <c r="C106" s="33">
        <f ca="1">IF(Pay_Num&lt;&gt;"",DATE(YEAR(C105)+VLOOKUP(Interval,LoanLookup[],4,FALSE),MONTH(C105)+VLOOKUP(Interval,LoanLookup[],2,FALSE),DAY(C105)+VLOOKUP(Interval,LoanLookup[],3,FALSE)),"")</f>
        <v>47698</v>
      </c>
      <c r="D106" s="34">
        <f t="shared" ca="1" si="5"/>
        <v>108650.9188763025</v>
      </c>
      <c r="E106" s="35">
        <f t="shared" ca="1" si="7"/>
        <v>989.93360882498609</v>
      </c>
      <c r="F106" s="36">
        <f ca="1">IF(scheduled_no_payments=1,"",IF(Sched_Pay+Scheduled_Extra_Payments&lt;Beg_Bal,Scheduled_Extra_Payments,IF(AND(Pay_Num&lt;&gt;"",Beg_Bal-Sched_Pay&gt;0),Beg_Bal-Sched_Pay,IF(Pay_Num&lt;&gt;"",0,""))))</f>
        <v>0</v>
      </c>
      <c r="G106" s="34">
        <f ca="1">IF(scheduled_no_payments=1,"",IF(Sched_Pay+Extra_Pay&lt;Beg_Bal,Sched_Pay+Extra_Pay,IF(Pay_Num&lt;&gt;"",Beg_Bal,"")))</f>
        <v>989.93360882498609</v>
      </c>
      <c r="H106" s="34">
        <f t="shared" ca="1" si="6"/>
        <v>537.22144684039233</v>
      </c>
      <c r="I106" s="34">
        <f ca="1">IF(Pay_Num&lt;&gt;"",Beg_Bal*(Interest_Rate/VLOOKUP(Interval,LoanLookup[],5,FALSE)),"")</f>
        <v>452.71216198459376</v>
      </c>
      <c r="J106" s="34">
        <f ca="1">IF(scheduled_no_payments=1,"",IF(AND(Pay_Num&lt;&gt;"",Sched_Pay+Extra_Pay&lt;Beg_Bal),Beg_Bal-Princ,IF(Pay_Num&lt;&gt;"",0,"")))</f>
        <v>108113.6974294621</v>
      </c>
      <c r="K106" s="34">
        <f ca="1">IF(scheduled_no_payments=1,"",SUM($I$13:$I106))</f>
        <v>51167.45665901083</v>
      </c>
      <c r="L106" s="38"/>
    </row>
    <row r="107" spans="2:12" ht="16.5" customHeight="1" x14ac:dyDescent="0.25">
      <c r="B107" s="32">
        <f ca="1">IF(AND(Values_Entered,scheduled_no_payments&lt;&gt;1),B106+1,"")</f>
        <v>95</v>
      </c>
      <c r="C107" s="33">
        <f ca="1">IF(Pay_Num&lt;&gt;"",DATE(YEAR(C106)+VLOOKUP(Interval,LoanLookup[],4,FALSE),MONTH(C106)+VLOOKUP(Interval,LoanLookup[],2,FALSE),DAY(C106)+VLOOKUP(Interval,LoanLookup[],3,FALSE)),"")</f>
        <v>47729</v>
      </c>
      <c r="D107" s="34">
        <f t="shared" ca="1" si="5"/>
        <v>108113.6974294621</v>
      </c>
      <c r="E107" s="35">
        <f t="shared" ca="1" si="7"/>
        <v>989.93360882498609</v>
      </c>
      <c r="F107" s="36">
        <f ca="1">IF(scheduled_no_payments=1,"",IF(Sched_Pay+Scheduled_Extra_Payments&lt;Beg_Bal,Scheduled_Extra_Payments,IF(AND(Pay_Num&lt;&gt;"",Beg_Bal-Sched_Pay&gt;0),Beg_Bal-Sched_Pay,IF(Pay_Num&lt;&gt;"",0,""))))</f>
        <v>0</v>
      </c>
      <c r="G107" s="34">
        <f ca="1">IF(scheduled_no_payments=1,"",IF(Sched_Pay+Extra_Pay&lt;Beg_Bal,Sched_Pay+Extra_Pay,IF(Pay_Num&lt;&gt;"",Beg_Bal,"")))</f>
        <v>989.93360882498609</v>
      </c>
      <c r="H107" s="34">
        <f t="shared" ca="1" si="6"/>
        <v>539.45986953556076</v>
      </c>
      <c r="I107" s="34">
        <f ca="1">IF(Pay_Num&lt;&gt;"",Beg_Bal*(Interest_Rate/VLOOKUP(Interval,LoanLookup[],5,FALSE)),"")</f>
        <v>450.4737392894254</v>
      </c>
      <c r="J107" s="34">
        <f ca="1">IF(scheduled_no_payments=1,"",IF(AND(Pay_Num&lt;&gt;"",Sched_Pay+Extra_Pay&lt;Beg_Bal),Beg_Bal-Princ,IF(Pay_Num&lt;&gt;"",0,"")))</f>
        <v>107574.23755992654</v>
      </c>
      <c r="K107" s="34">
        <f ca="1">IF(scheduled_no_payments=1,"",SUM($I$13:$I107))</f>
        <v>51617.930398300254</v>
      </c>
      <c r="L107" s="38"/>
    </row>
    <row r="108" spans="2:12" ht="16.5" customHeight="1" x14ac:dyDescent="0.25">
      <c r="B108" s="32">
        <f ca="1">IF(AND(Values_Entered,scheduled_no_payments&lt;&gt;1),B107+1,"")</f>
        <v>96</v>
      </c>
      <c r="C108" s="33">
        <f ca="1">IF(Pay_Num&lt;&gt;"",DATE(YEAR(C107)+VLOOKUP(Interval,LoanLookup[],4,FALSE),MONTH(C107)+VLOOKUP(Interval,LoanLookup[],2,FALSE),DAY(C107)+VLOOKUP(Interval,LoanLookup[],3,FALSE)),"")</f>
        <v>47759</v>
      </c>
      <c r="D108" s="34">
        <f t="shared" ca="1" si="5"/>
        <v>107574.23755992654</v>
      </c>
      <c r="E108" s="35">
        <f t="shared" ca="1" si="7"/>
        <v>989.93360882498609</v>
      </c>
      <c r="F108" s="36">
        <f ca="1">IF(scheduled_no_payments=1,"",IF(Sched_Pay+Scheduled_Extra_Payments&lt;Beg_Bal,Scheduled_Extra_Payments,IF(AND(Pay_Num&lt;&gt;"",Beg_Bal-Sched_Pay&gt;0),Beg_Bal-Sched_Pay,IF(Pay_Num&lt;&gt;"",0,""))))</f>
        <v>0</v>
      </c>
      <c r="G108" s="34">
        <f ca="1">IF(scheduled_no_payments=1,"",IF(Sched_Pay+Extra_Pay&lt;Beg_Bal,Sched_Pay+Extra_Pay,IF(Pay_Num&lt;&gt;"",Beg_Bal,"")))</f>
        <v>989.93360882498609</v>
      </c>
      <c r="H108" s="34">
        <f t="shared" ca="1" si="6"/>
        <v>541.70761899195895</v>
      </c>
      <c r="I108" s="34">
        <f ca="1">IF(Pay_Num&lt;&gt;"",Beg_Bal*(Interest_Rate/VLOOKUP(Interval,LoanLookup[],5,FALSE)),"")</f>
        <v>448.2259898330272</v>
      </c>
      <c r="J108" s="34">
        <f ca="1">IF(scheduled_no_payments=1,"",IF(AND(Pay_Num&lt;&gt;"",Sched_Pay+Extra_Pay&lt;Beg_Bal),Beg_Bal-Princ,IF(Pay_Num&lt;&gt;"",0,"")))</f>
        <v>107032.52994093458</v>
      </c>
      <c r="K108" s="34">
        <f ca="1">IF(scheduled_no_payments=1,"",SUM($I$13:$I108))</f>
        <v>52066.156388133284</v>
      </c>
      <c r="L108" s="38"/>
    </row>
    <row r="109" spans="2:12" ht="16.5" customHeight="1" x14ac:dyDescent="0.25">
      <c r="B109" s="32">
        <f ca="1">IF(AND(Values_Entered,scheduled_no_payments&lt;&gt;1),B108+1,"")</f>
        <v>97</v>
      </c>
      <c r="C109" s="33">
        <f ca="1">IF(Pay_Num&lt;&gt;"",DATE(YEAR(C108)+VLOOKUP(Interval,LoanLookup[],4,FALSE),MONTH(C108)+VLOOKUP(Interval,LoanLookup[],2,FALSE),DAY(C108)+VLOOKUP(Interval,LoanLookup[],3,FALSE)),"")</f>
        <v>47790</v>
      </c>
      <c r="D109" s="34">
        <f t="shared" ca="1" si="5"/>
        <v>107032.52994093458</v>
      </c>
      <c r="E109" s="35">
        <f t="shared" ca="1" si="7"/>
        <v>989.93360882498609</v>
      </c>
      <c r="F109" s="36">
        <f ca="1">IF(scheduled_no_payments=1,"",IF(Sched_Pay+Scheduled_Extra_Payments&lt;Beg_Bal,Scheduled_Extra_Payments,IF(AND(Pay_Num&lt;&gt;"",Beg_Bal-Sched_Pay&gt;0),Beg_Bal-Sched_Pay,IF(Pay_Num&lt;&gt;"",0,""))))</f>
        <v>0</v>
      </c>
      <c r="G109" s="34">
        <f ca="1">IF(scheduled_no_payments=1,"",IF(Sched_Pay+Extra_Pay&lt;Beg_Bal,Sched_Pay+Extra_Pay,IF(Pay_Num&lt;&gt;"",Beg_Bal,"")))</f>
        <v>989.93360882498609</v>
      </c>
      <c r="H109" s="34">
        <f t="shared" ca="1" si="6"/>
        <v>543.96473407109204</v>
      </c>
      <c r="I109" s="34">
        <f ca="1">IF(Pay_Num&lt;&gt;"",Beg_Bal*(Interest_Rate/VLOOKUP(Interval,LoanLookup[],5,FALSE)),"")</f>
        <v>445.96887475389406</v>
      </c>
      <c r="J109" s="34">
        <f ca="1">IF(scheduled_no_payments=1,"",IF(AND(Pay_Num&lt;&gt;"",Sched_Pay+Extra_Pay&lt;Beg_Bal),Beg_Bal-Princ,IF(Pay_Num&lt;&gt;"",0,"")))</f>
        <v>106488.56520686348</v>
      </c>
      <c r="K109" s="34">
        <f ca="1">IF(scheduled_no_payments=1,"",SUM($I$13:$I109))</f>
        <v>52512.125262887181</v>
      </c>
      <c r="L109" s="38"/>
    </row>
    <row r="110" spans="2:12" ht="16.5" customHeight="1" x14ac:dyDescent="0.25">
      <c r="B110" s="32">
        <f ca="1">IF(AND(Values_Entered,scheduled_no_payments&lt;&gt;1),B109+1,"")</f>
        <v>98</v>
      </c>
      <c r="C110" s="33">
        <f ca="1">IF(Pay_Num&lt;&gt;"",DATE(YEAR(C109)+VLOOKUP(Interval,LoanLookup[],4,FALSE),MONTH(C109)+VLOOKUP(Interval,LoanLookup[],2,FALSE),DAY(C109)+VLOOKUP(Interval,LoanLookup[],3,FALSE)),"")</f>
        <v>47820</v>
      </c>
      <c r="D110" s="34">
        <f t="shared" ca="1" si="5"/>
        <v>106488.56520686348</v>
      </c>
      <c r="E110" s="35">
        <f t="shared" ca="1" si="7"/>
        <v>989.93360882498609</v>
      </c>
      <c r="F110" s="36">
        <f ca="1">IF(scheduled_no_payments=1,"",IF(Sched_Pay+Scheduled_Extra_Payments&lt;Beg_Bal,Scheduled_Extra_Payments,IF(AND(Pay_Num&lt;&gt;"",Beg_Bal-Sched_Pay&gt;0),Beg_Bal-Sched_Pay,IF(Pay_Num&lt;&gt;"",0,""))))</f>
        <v>0</v>
      </c>
      <c r="G110" s="34">
        <f ca="1">IF(scheduled_no_payments=1,"",IF(Sched_Pay+Extra_Pay&lt;Beg_Bal,Sched_Pay+Extra_Pay,IF(Pay_Num&lt;&gt;"",Beg_Bal,"")))</f>
        <v>989.93360882498609</v>
      </c>
      <c r="H110" s="34">
        <f t="shared" ca="1" si="6"/>
        <v>546.23125379638827</v>
      </c>
      <c r="I110" s="34">
        <f ca="1">IF(Pay_Num&lt;&gt;"",Beg_Bal*(Interest_Rate/VLOOKUP(Interval,LoanLookup[],5,FALSE)),"")</f>
        <v>443.70235502859782</v>
      </c>
      <c r="J110" s="34">
        <f ca="1">IF(scheduled_no_payments=1,"",IF(AND(Pay_Num&lt;&gt;"",Sched_Pay+Extra_Pay&lt;Beg_Bal),Beg_Bal-Princ,IF(Pay_Num&lt;&gt;"",0,"")))</f>
        <v>105942.33395306709</v>
      </c>
      <c r="K110" s="34">
        <f ca="1">IF(scheduled_no_payments=1,"",SUM($I$13:$I110))</f>
        <v>52955.827617915777</v>
      </c>
      <c r="L110" s="38"/>
    </row>
    <row r="111" spans="2:12" ht="16.5" customHeight="1" x14ac:dyDescent="0.25">
      <c r="B111" s="32">
        <f ca="1">IF(AND(Values_Entered,scheduled_no_payments&lt;&gt;1),B110+1,"")</f>
        <v>99</v>
      </c>
      <c r="C111" s="33">
        <f ca="1">IF(Pay_Num&lt;&gt;"",DATE(YEAR(C110)+VLOOKUP(Interval,LoanLookup[],4,FALSE),MONTH(C110)+VLOOKUP(Interval,LoanLookup[],2,FALSE),DAY(C110)+VLOOKUP(Interval,LoanLookup[],3,FALSE)),"")</f>
        <v>47851</v>
      </c>
      <c r="D111" s="34">
        <f t="shared" ca="1" si="5"/>
        <v>105942.33395306709</v>
      </c>
      <c r="E111" s="35">
        <f t="shared" ca="1" si="7"/>
        <v>989.93360882498609</v>
      </c>
      <c r="F111" s="36">
        <f ca="1">IF(scheduled_no_payments=1,"",IF(Sched_Pay+Scheduled_Extra_Payments&lt;Beg_Bal,Scheduled_Extra_Payments,IF(AND(Pay_Num&lt;&gt;"",Beg_Bal-Sched_Pay&gt;0),Beg_Bal-Sched_Pay,IF(Pay_Num&lt;&gt;"",0,""))))</f>
        <v>0</v>
      </c>
      <c r="G111" s="34">
        <f ca="1">IF(scheduled_no_payments=1,"",IF(Sched_Pay+Extra_Pay&lt;Beg_Bal,Sched_Pay+Extra_Pay,IF(Pay_Num&lt;&gt;"",Beg_Bal,"")))</f>
        <v>989.93360882498609</v>
      </c>
      <c r="H111" s="34">
        <f t="shared" ca="1" si="6"/>
        <v>548.50721735387322</v>
      </c>
      <c r="I111" s="34">
        <f ca="1">IF(Pay_Num&lt;&gt;"",Beg_Bal*(Interest_Rate/VLOOKUP(Interval,LoanLookup[],5,FALSE)),"")</f>
        <v>441.42639147111288</v>
      </c>
      <c r="J111" s="34">
        <f ca="1">IF(scheduled_no_payments=1,"",IF(AND(Pay_Num&lt;&gt;"",Sched_Pay+Extra_Pay&lt;Beg_Bal),Beg_Bal-Princ,IF(Pay_Num&lt;&gt;"",0,"")))</f>
        <v>105393.82673571321</v>
      </c>
      <c r="K111" s="34">
        <f ca="1">IF(scheduled_no_payments=1,"",SUM($I$13:$I111))</f>
        <v>53397.254009386888</v>
      </c>
      <c r="L111" s="38"/>
    </row>
    <row r="112" spans="2:12" ht="16.5" customHeight="1" x14ac:dyDescent="0.25">
      <c r="B112" s="32">
        <f ca="1">IF(AND(Values_Entered,scheduled_no_payments&lt;&gt;1),B111+1,"")</f>
        <v>100</v>
      </c>
      <c r="C112" s="33">
        <f ca="1">IF(Pay_Num&lt;&gt;"",DATE(YEAR(C111)+VLOOKUP(Interval,LoanLookup[],4,FALSE),MONTH(C111)+VLOOKUP(Interval,LoanLookup[],2,FALSE),DAY(C111)+VLOOKUP(Interval,LoanLookup[],3,FALSE)),"")</f>
        <v>47882</v>
      </c>
      <c r="D112" s="34">
        <f t="shared" ca="1" si="5"/>
        <v>105393.82673571321</v>
      </c>
      <c r="E112" s="35">
        <f t="shared" ca="1" si="7"/>
        <v>989.93360882498609</v>
      </c>
      <c r="F112" s="36">
        <f ca="1">IF(scheduled_no_payments=1,"",IF(Sched_Pay+Scheduled_Extra_Payments&lt;Beg_Bal,Scheduled_Extra_Payments,IF(AND(Pay_Num&lt;&gt;"",Beg_Bal-Sched_Pay&gt;0),Beg_Bal-Sched_Pay,IF(Pay_Num&lt;&gt;"",0,""))))</f>
        <v>0</v>
      </c>
      <c r="G112" s="34">
        <f ca="1">IF(scheduled_no_payments=1,"",IF(Sched_Pay+Extra_Pay&lt;Beg_Bal,Sched_Pay+Extra_Pay,IF(Pay_Num&lt;&gt;"",Beg_Bal,"")))</f>
        <v>989.93360882498609</v>
      </c>
      <c r="H112" s="34">
        <f t="shared" ca="1" si="6"/>
        <v>550.79266409284764</v>
      </c>
      <c r="I112" s="34">
        <f ca="1">IF(Pay_Num&lt;&gt;"",Beg_Bal*(Interest_Rate/VLOOKUP(Interval,LoanLookup[],5,FALSE)),"")</f>
        <v>439.14094473213839</v>
      </c>
      <c r="J112" s="34">
        <f ca="1">IF(scheduled_no_payments=1,"",IF(AND(Pay_Num&lt;&gt;"",Sched_Pay+Extra_Pay&lt;Beg_Bal),Beg_Bal-Princ,IF(Pay_Num&lt;&gt;"",0,"")))</f>
        <v>104843.03407162036</v>
      </c>
      <c r="K112" s="34">
        <f ca="1">IF(scheduled_no_payments=1,"",SUM($I$13:$I112))</f>
        <v>53836.394954119023</v>
      </c>
      <c r="L112" s="38"/>
    </row>
    <row r="113" spans="2:12" ht="16.5" customHeight="1" x14ac:dyDescent="0.25">
      <c r="B113" s="32">
        <f ca="1">IF(AND(Values_Entered,scheduled_no_payments&lt;&gt;1),B112+1,"")</f>
        <v>101</v>
      </c>
      <c r="C113" s="33">
        <f ca="1">IF(Pay_Num&lt;&gt;"",DATE(YEAR(C112)+VLOOKUP(Interval,LoanLookup[],4,FALSE),MONTH(C112)+VLOOKUP(Interval,LoanLookup[],2,FALSE),DAY(C112)+VLOOKUP(Interval,LoanLookup[],3,FALSE)),"")</f>
        <v>47910</v>
      </c>
      <c r="D113" s="34">
        <f t="shared" ca="1" si="5"/>
        <v>104843.03407162036</v>
      </c>
      <c r="E113" s="35">
        <f t="shared" ca="1" si="7"/>
        <v>989.93360882498609</v>
      </c>
      <c r="F113" s="36">
        <f ca="1">IF(scheduled_no_payments=1,"",IF(Sched_Pay+Scheduled_Extra_Payments&lt;Beg_Bal,Scheduled_Extra_Payments,IF(AND(Pay_Num&lt;&gt;"",Beg_Bal-Sched_Pay&gt;0),Beg_Bal-Sched_Pay,IF(Pay_Num&lt;&gt;"",0,""))))</f>
        <v>0</v>
      </c>
      <c r="G113" s="34">
        <f ca="1">IF(scheduled_no_payments=1,"",IF(Sched_Pay+Extra_Pay&lt;Beg_Bal,Sched_Pay+Extra_Pay,IF(Pay_Num&lt;&gt;"",Beg_Bal,"")))</f>
        <v>989.93360882498609</v>
      </c>
      <c r="H113" s="34">
        <f t="shared" ca="1" si="6"/>
        <v>553.08763352656797</v>
      </c>
      <c r="I113" s="34">
        <f ca="1">IF(Pay_Num&lt;&gt;"",Beg_Bal*(Interest_Rate/VLOOKUP(Interval,LoanLookup[],5,FALSE)),"")</f>
        <v>436.84597529841818</v>
      </c>
      <c r="J113" s="34">
        <f ca="1">IF(scheduled_no_payments=1,"",IF(AND(Pay_Num&lt;&gt;"",Sched_Pay+Extra_Pay&lt;Beg_Bal),Beg_Bal-Princ,IF(Pay_Num&lt;&gt;"",0,"")))</f>
        <v>104289.9464380938</v>
      </c>
      <c r="K113" s="34">
        <f ca="1">IF(scheduled_no_payments=1,"",SUM($I$13:$I113))</f>
        <v>54273.240929417443</v>
      </c>
      <c r="L113" s="38"/>
    </row>
    <row r="114" spans="2:12" ht="16.5" customHeight="1" x14ac:dyDescent="0.25">
      <c r="B114" s="32">
        <f ca="1">IF(AND(Values_Entered,scheduled_no_payments&lt;&gt;1),B113+1,"")</f>
        <v>102</v>
      </c>
      <c r="C114" s="33">
        <f ca="1">IF(Pay_Num&lt;&gt;"",DATE(YEAR(C113)+VLOOKUP(Interval,LoanLookup[],4,FALSE),MONTH(C113)+VLOOKUP(Interval,LoanLookup[],2,FALSE),DAY(C113)+VLOOKUP(Interval,LoanLookup[],3,FALSE)),"")</f>
        <v>47941</v>
      </c>
      <c r="D114" s="34">
        <f t="shared" ca="1" si="5"/>
        <v>104289.9464380938</v>
      </c>
      <c r="E114" s="35">
        <f t="shared" ca="1" si="7"/>
        <v>989.93360882498609</v>
      </c>
      <c r="F114" s="36">
        <f ca="1">IF(scheduled_no_payments=1,"",IF(Sched_Pay+Scheduled_Extra_Payments&lt;Beg_Bal,Scheduled_Extra_Payments,IF(AND(Pay_Num&lt;&gt;"",Beg_Bal-Sched_Pay&gt;0),Beg_Bal-Sched_Pay,IF(Pay_Num&lt;&gt;"",0,""))))</f>
        <v>0</v>
      </c>
      <c r="G114" s="34">
        <f ca="1">IF(scheduled_no_payments=1,"",IF(Sched_Pay+Extra_Pay&lt;Beg_Bal,Sched_Pay+Extra_Pay,IF(Pay_Num&lt;&gt;"",Beg_Bal,"")))</f>
        <v>989.93360882498609</v>
      </c>
      <c r="H114" s="34">
        <f t="shared" ca="1" si="6"/>
        <v>555.39216533292858</v>
      </c>
      <c r="I114" s="34">
        <f ca="1">IF(Pay_Num&lt;&gt;"",Beg_Bal*(Interest_Rate/VLOOKUP(Interval,LoanLookup[],5,FALSE)),"")</f>
        <v>434.54144349205751</v>
      </c>
      <c r="J114" s="34">
        <f ca="1">IF(scheduled_no_payments=1,"",IF(AND(Pay_Num&lt;&gt;"",Sched_Pay+Extra_Pay&lt;Beg_Bal),Beg_Bal-Princ,IF(Pay_Num&lt;&gt;"",0,"")))</f>
        <v>103734.55427276087</v>
      </c>
      <c r="K114" s="34">
        <f ca="1">IF(scheduled_no_payments=1,"",SUM($I$13:$I114))</f>
        <v>54707.782372909503</v>
      </c>
      <c r="L114" s="38"/>
    </row>
    <row r="115" spans="2:12" ht="16.5" customHeight="1" x14ac:dyDescent="0.25">
      <c r="B115" s="32">
        <f ca="1">IF(AND(Values_Entered,scheduled_no_payments&lt;&gt;1),B114+1,"")</f>
        <v>103</v>
      </c>
      <c r="C115" s="33">
        <f ca="1">IF(Pay_Num&lt;&gt;"",DATE(YEAR(C114)+VLOOKUP(Interval,LoanLookup[],4,FALSE),MONTH(C114)+VLOOKUP(Interval,LoanLookup[],2,FALSE),DAY(C114)+VLOOKUP(Interval,LoanLookup[],3,FALSE)),"")</f>
        <v>47971</v>
      </c>
      <c r="D115" s="34">
        <f t="shared" ca="1" si="5"/>
        <v>103734.55427276087</v>
      </c>
      <c r="E115" s="35">
        <f t="shared" ca="1" si="7"/>
        <v>989.93360882498609</v>
      </c>
      <c r="F115" s="36">
        <f ca="1">IF(scheduled_no_payments=1,"",IF(Sched_Pay+Scheduled_Extra_Payments&lt;Beg_Bal,Scheduled_Extra_Payments,IF(AND(Pay_Num&lt;&gt;"",Beg_Bal-Sched_Pay&gt;0),Beg_Bal-Sched_Pay,IF(Pay_Num&lt;&gt;"",0,""))))</f>
        <v>0</v>
      </c>
      <c r="G115" s="34">
        <f ca="1">IF(scheduled_no_payments=1,"",IF(Sched_Pay+Extra_Pay&lt;Beg_Bal,Sched_Pay+Extra_Pay,IF(Pay_Num&lt;&gt;"",Beg_Bal,"")))</f>
        <v>989.93360882498609</v>
      </c>
      <c r="H115" s="34">
        <f t="shared" ca="1" si="6"/>
        <v>557.70629935514921</v>
      </c>
      <c r="I115" s="34">
        <f ca="1">IF(Pay_Num&lt;&gt;"",Beg_Bal*(Interest_Rate/VLOOKUP(Interval,LoanLookup[],5,FALSE)),"")</f>
        <v>432.22730946983694</v>
      </c>
      <c r="J115" s="34">
        <f ca="1">IF(scheduled_no_payments=1,"",IF(AND(Pay_Num&lt;&gt;"",Sched_Pay+Extra_Pay&lt;Beg_Bal),Beg_Bal-Princ,IF(Pay_Num&lt;&gt;"",0,"")))</f>
        <v>103176.84797340572</v>
      </c>
      <c r="K115" s="34">
        <f ca="1">IF(scheduled_no_payments=1,"",SUM($I$13:$I115))</f>
        <v>55140.009682379343</v>
      </c>
      <c r="L115" s="38"/>
    </row>
    <row r="116" spans="2:12" ht="16.5" customHeight="1" x14ac:dyDescent="0.25">
      <c r="B116" s="32">
        <f ca="1">IF(AND(Values_Entered,scheduled_no_payments&lt;&gt;1),B115+1,"")</f>
        <v>104</v>
      </c>
      <c r="C116" s="33">
        <f ca="1">IF(Pay_Num&lt;&gt;"",DATE(YEAR(C115)+VLOOKUP(Interval,LoanLookup[],4,FALSE),MONTH(C115)+VLOOKUP(Interval,LoanLookup[],2,FALSE),DAY(C115)+VLOOKUP(Interval,LoanLookup[],3,FALSE)),"")</f>
        <v>48002</v>
      </c>
      <c r="D116" s="34">
        <f t="shared" ca="1" si="5"/>
        <v>103176.84797340572</v>
      </c>
      <c r="E116" s="35">
        <f t="shared" ca="1" si="7"/>
        <v>989.93360882498609</v>
      </c>
      <c r="F116" s="36">
        <f ca="1">IF(scheduled_no_payments=1,"",IF(Sched_Pay+Scheduled_Extra_Payments&lt;Beg_Bal,Scheduled_Extra_Payments,IF(AND(Pay_Num&lt;&gt;"",Beg_Bal-Sched_Pay&gt;0),Beg_Bal-Sched_Pay,IF(Pay_Num&lt;&gt;"",0,""))))</f>
        <v>0</v>
      </c>
      <c r="G116" s="34">
        <f ca="1">IF(scheduled_no_payments=1,"",IF(Sched_Pay+Extra_Pay&lt;Beg_Bal,Sched_Pay+Extra_Pay,IF(Pay_Num&lt;&gt;"",Beg_Bal,"")))</f>
        <v>989.93360882498609</v>
      </c>
      <c r="H116" s="34">
        <f t="shared" ca="1" si="6"/>
        <v>560.03007560246226</v>
      </c>
      <c r="I116" s="34">
        <f ca="1">IF(Pay_Num&lt;&gt;"",Beg_Bal*(Interest_Rate/VLOOKUP(Interval,LoanLookup[],5,FALSE)),"")</f>
        <v>429.90353322252383</v>
      </c>
      <c r="J116" s="34">
        <f ca="1">IF(scheduled_no_payments=1,"",IF(AND(Pay_Num&lt;&gt;"",Sched_Pay+Extra_Pay&lt;Beg_Bal),Beg_Bal-Princ,IF(Pay_Num&lt;&gt;"",0,"")))</f>
        <v>102616.81789780325</v>
      </c>
      <c r="K116" s="34">
        <f ca="1">IF(scheduled_no_payments=1,"",SUM($I$13:$I116))</f>
        <v>55569.913215601868</v>
      </c>
      <c r="L116" s="38"/>
    </row>
    <row r="117" spans="2:12" ht="16.5" customHeight="1" x14ac:dyDescent="0.25">
      <c r="B117" s="32">
        <f ca="1">IF(AND(Values_Entered,scheduled_no_payments&lt;&gt;1),B116+1,"")</f>
        <v>105</v>
      </c>
      <c r="C117" s="33">
        <f ca="1">IF(Pay_Num&lt;&gt;"",DATE(YEAR(C116)+VLOOKUP(Interval,LoanLookup[],4,FALSE),MONTH(C116)+VLOOKUP(Interval,LoanLookup[],2,FALSE),DAY(C116)+VLOOKUP(Interval,LoanLookup[],3,FALSE)),"")</f>
        <v>48032</v>
      </c>
      <c r="D117" s="34">
        <f t="shared" ca="1" si="5"/>
        <v>102616.81789780325</v>
      </c>
      <c r="E117" s="35">
        <f t="shared" ca="1" si="7"/>
        <v>989.93360882498609</v>
      </c>
      <c r="F117" s="36">
        <f ca="1">IF(scheduled_no_payments=1,"",IF(Sched_Pay+Scheduled_Extra_Payments&lt;Beg_Bal,Scheduled_Extra_Payments,IF(AND(Pay_Num&lt;&gt;"",Beg_Bal-Sched_Pay&gt;0),Beg_Bal-Sched_Pay,IF(Pay_Num&lt;&gt;"",0,""))))</f>
        <v>0</v>
      </c>
      <c r="G117" s="34">
        <f ca="1">IF(scheduled_no_payments=1,"",IF(Sched_Pay+Extra_Pay&lt;Beg_Bal,Sched_Pay+Extra_Pay,IF(Pay_Num&lt;&gt;"",Beg_Bal,"")))</f>
        <v>989.93360882498609</v>
      </c>
      <c r="H117" s="34">
        <f t="shared" ca="1" si="6"/>
        <v>562.36353425080597</v>
      </c>
      <c r="I117" s="34">
        <f ca="1">IF(Pay_Num&lt;&gt;"",Beg_Bal*(Interest_Rate/VLOOKUP(Interval,LoanLookup[],5,FALSE)),"")</f>
        <v>427.57007457418018</v>
      </c>
      <c r="J117" s="34">
        <f ca="1">IF(scheduled_no_payments=1,"",IF(AND(Pay_Num&lt;&gt;"",Sched_Pay+Extra_Pay&lt;Beg_Bal),Beg_Bal-Princ,IF(Pay_Num&lt;&gt;"",0,"")))</f>
        <v>102054.45436355245</v>
      </c>
      <c r="K117" s="34">
        <f ca="1">IF(scheduled_no_payments=1,"",SUM($I$13:$I117))</f>
        <v>55997.483290176046</v>
      </c>
      <c r="L117" s="38"/>
    </row>
    <row r="118" spans="2:12" ht="16.5" customHeight="1" x14ac:dyDescent="0.25">
      <c r="B118" s="32">
        <f ca="1">IF(AND(Values_Entered,scheduled_no_payments&lt;&gt;1),B117+1,"")</f>
        <v>106</v>
      </c>
      <c r="C118" s="33">
        <f ca="1">IF(Pay_Num&lt;&gt;"",DATE(YEAR(C117)+VLOOKUP(Interval,LoanLookup[],4,FALSE),MONTH(C117)+VLOOKUP(Interval,LoanLookup[],2,FALSE),DAY(C117)+VLOOKUP(Interval,LoanLookup[],3,FALSE)),"")</f>
        <v>48063</v>
      </c>
      <c r="D118" s="34">
        <f t="shared" ca="1" si="5"/>
        <v>102054.45436355245</v>
      </c>
      <c r="E118" s="35">
        <f t="shared" ca="1" si="7"/>
        <v>989.93360882498609</v>
      </c>
      <c r="F118" s="36">
        <f ca="1">IF(scheduled_no_payments=1,"",IF(Sched_Pay+Scheduled_Extra_Payments&lt;Beg_Bal,Scheduled_Extra_Payments,IF(AND(Pay_Num&lt;&gt;"",Beg_Bal-Sched_Pay&gt;0),Beg_Bal-Sched_Pay,IF(Pay_Num&lt;&gt;"",0,""))))</f>
        <v>0</v>
      </c>
      <c r="G118" s="34">
        <f ca="1">IF(scheduled_no_payments=1,"",IF(Sched_Pay+Extra_Pay&lt;Beg_Bal,Sched_Pay+Extra_Pay,IF(Pay_Num&lt;&gt;"",Beg_Bal,"")))</f>
        <v>989.93360882498609</v>
      </c>
      <c r="H118" s="34">
        <f t="shared" ca="1" si="6"/>
        <v>564.70671564351755</v>
      </c>
      <c r="I118" s="34">
        <f ca="1">IF(Pay_Num&lt;&gt;"",Beg_Bal*(Interest_Rate/VLOOKUP(Interval,LoanLookup[],5,FALSE)),"")</f>
        <v>425.22689318146854</v>
      </c>
      <c r="J118" s="34">
        <f ca="1">IF(scheduled_no_payments=1,"",IF(AND(Pay_Num&lt;&gt;"",Sched_Pay+Extra_Pay&lt;Beg_Bal),Beg_Bal-Princ,IF(Pay_Num&lt;&gt;"",0,"")))</f>
        <v>101489.74764790892</v>
      </c>
      <c r="K118" s="34">
        <f ca="1">IF(scheduled_no_payments=1,"",SUM($I$13:$I118))</f>
        <v>56422.710183357514</v>
      </c>
      <c r="L118" s="38"/>
    </row>
    <row r="119" spans="2:12" ht="16.5" customHeight="1" x14ac:dyDescent="0.25">
      <c r="B119" s="32">
        <f ca="1">IF(AND(Values_Entered,scheduled_no_payments&lt;&gt;1),B118+1,"")</f>
        <v>107</v>
      </c>
      <c r="C119" s="33">
        <f ca="1">IF(Pay_Num&lt;&gt;"",DATE(YEAR(C118)+VLOOKUP(Interval,LoanLookup[],4,FALSE),MONTH(C118)+VLOOKUP(Interval,LoanLookup[],2,FALSE),DAY(C118)+VLOOKUP(Interval,LoanLookup[],3,FALSE)),"")</f>
        <v>48094</v>
      </c>
      <c r="D119" s="34">
        <f t="shared" ca="1" si="5"/>
        <v>101489.74764790892</v>
      </c>
      <c r="E119" s="35">
        <f t="shared" ca="1" si="7"/>
        <v>989.93360882498609</v>
      </c>
      <c r="F119" s="36">
        <f ca="1">IF(scheduled_no_payments=1,"",IF(Sched_Pay+Scheduled_Extra_Payments&lt;Beg_Bal,Scheduled_Extra_Payments,IF(AND(Pay_Num&lt;&gt;"",Beg_Bal-Sched_Pay&gt;0),Beg_Bal-Sched_Pay,IF(Pay_Num&lt;&gt;"",0,""))))</f>
        <v>0</v>
      </c>
      <c r="G119" s="34">
        <f ca="1">IF(scheduled_no_payments=1,"",IF(Sched_Pay+Extra_Pay&lt;Beg_Bal,Sched_Pay+Extra_Pay,IF(Pay_Num&lt;&gt;"",Beg_Bal,"")))</f>
        <v>989.93360882498609</v>
      </c>
      <c r="H119" s="34">
        <f t="shared" ca="1" si="6"/>
        <v>567.05966029203228</v>
      </c>
      <c r="I119" s="34">
        <f ca="1">IF(Pay_Num&lt;&gt;"",Beg_Bal*(Interest_Rate/VLOOKUP(Interval,LoanLookup[],5,FALSE)),"")</f>
        <v>422.87394853295382</v>
      </c>
      <c r="J119" s="34">
        <f ca="1">IF(scheduled_no_payments=1,"",IF(AND(Pay_Num&lt;&gt;"",Sched_Pay+Extra_Pay&lt;Beg_Bal),Beg_Bal-Princ,IF(Pay_Num&lt;&gt;"",0,"")))</f>
        <v>100922.6879876169</v>
      </c>
      <c r="K119" s="34">
        <f ca="1">IF(scheduled_no_payments=1,"",SUM($I$13:$I119))</f>
        <v>56845.584131890471</v>
      </c>
      <c r="L119" s="38"/>
    </row>
    <row r="120" spans="2:12" ht="16.5" customHeight="1" x14ac:dyDescent="0.25">
      <c r="B120" s="32">
        <f ca="1">IF(AND(Values_Entered,scheduled_no_payments&lt;&gt;1),B119+1,"")</f>
        <v>108</v>
      </c>
      <c r="C120" s="33">
        <f ca="1">IF(Pay_Num&lt;&gt;"",DATE(YEAR(C119)+VLOOKUP(Interval,LoanLookup[],4,FALSE),MONTH(C119)+VLOOKUP(Interval,LoanLookup[],2,FALSE),DAY(C119)+VLOOKUP(Interval,LoanLookup[],3,FALSE)),"")</f>
        <v>48124</v>
      </c>
      <c r="D120" s="34">
        <f t="shared" ca="1" si="5"/>
        <v>100922.6879876169</v>
      </c>
      <c r="E120" s="35">
        <f t="shared" ca="1" si="7"/>
        <v>989.93360882498609</v>
      </c>
      <c r="F120" s="36">
        <f ca="1">IF(scheduled_no_payments=1,"",IF(Sched_Pay+Scheduled_Extra_Payments&lt;Beg_Bal,Scheduled_Extra_Payments,IF(AND(Pay_Num&lt;&gt;"",Beg_Bal-Sched_Pay&gt;0),Beg_Bal-Sched_Pay,IF(Pay_Num&lt;&gt;"",0,""))))</f>
        <v>0</v>
      </c>
      <c r="G120" s="34">
        <f ca="1">IF(scheduled_no_payments=1,"",IF(Sched_Pay+Extra_Pay&lt;Beg_Bal,Sched_Pay+Extra_Pay,IF(Pay_Num&lt;&gt;"",Beg_Bal,"")))</f>
        <v>989.93360882498609</v>
      </c>
      <c r="H120" s="34">
        <f t="shared" ca="1" si="6"/>
        <v>569.42240887658238</v>
      </c>
      <c r="I120" s="34">
        <f ca="1">IF(Pay_Num&lt;&gt;"",Beg_Bal*(Interest_Rate/VLOOKUP(Interval,LoanLookup[],5,FALSE)),"")</f>
        <v>420.51119994840371</v>
      </c>
      <c r="J120" s="34">
        <f ca="1">IF(scheduled_no_payments=1,"",IF(AND(Pay_Num&lt;&gt;"",Sched_Pay+Extra_Pay&lt;Beg_Bal),Beg_Bal-Princ,IF(Pay_Num&lt;&gt;"",0,"")))</f>
        <v>100353.26557874032</v>
      </c>
      <c r="K120" s="34">
        <f ca="1">IF(scheduled_no_payments=1,"",SUM($I$13:$I120))</f>
        <v>57266.095331838878</v>
      </c>
      <c r="L120" s="38"/>
    </row>
    <row r="121" spans="2:12" ht="16.5" customHeight="1" x14ac:dyDescent="0.25">
      <c r="B121" s="32">
        <f ca="1">IF(AND(Values_Entered,scheduled_no_payments&lt;&gt;1),B120+1,"")</f>
        <v>109</v>
      </c>
      <c r="C121" s="33">
        <f ca="1">IF(Pay_Num&lt;&gt;"",DATE(YEAR(C120)+VLOOKUP(Interval,LoanLookup[],4,FALSE),MONTH(C120)+VLOOKUP(Interval,LoanLookup[],2,FALSE),DAY(C120)+VLOOKUP(Interval,LoanLookup[],3,FALSE)),"")</f>
        <v>48155</v>
      </c>
      <c r="D121" s="34">
        <f t="shared" ca="1" si="5"/>
        <v>100353.26557874032</v>
      </c>
      <c r="E121" s="35">
        <f t="shared" ca="1" si="7"/>
        <v>989.93360882498609</v>
      </c>
      <c r="F121" s="36">
        <f ca="1">IF(scheduled_no_payments=1,"",IF(Sched_Pay+Scheduled_Extra_Payments&lt;Beg_Bal,Scheduled_Extra_Payments,IF(AND(Pay_Num&lt;&gt;"",Beg_Bal-Sched_Pay&gt;0),Beg_Bal-Sched_Pay,IF(Pay_Num&lt;&gt;"",0,""))))</f>
        <v>0</v>
      </c>
      <c r="G121" s="34">
        <f ca="1">IF(scheduled_no_payments=1,"",IF(Sched_Pay+Extra_Pay&lt;Beg_Bal,Sched_Pay+Extra_Pay,IF(Pay_Num&lt;&gt;"",Beg_Bal,"")))</f>
        <v>989.93360882498609</v>
      </c>
      <c r="H121" s="34">
        <f t="shared" ca="1" si="6"/>
        <v>571.7950022469015</v>
      </c>
      <c r="I121" s="34">
        <f ca="1">IF(Pay_Num&lt;&gt;"",Beg_Bal*(Interest_Rate/VLOOKUP(Interval,LoanLookup[],5,FALSE)),"")</f>
        <v>418.13860657808465</v>
      </c>
      <c r="J121" s="34">
        <f ca="1">IF(scheduled_no_payments=1,"",IF(AND(Pay_Num&lt;&gt;"",Sched_Pay+Extra_Pay&lt;Beg_Bal),Beg_Bal-Princ,IF(Pay_Num&lt;&gt;"",0,"")))</f>
        <v>99781.470576493419</v>
      </c>
      <c r="K121" s="34">
        <f ca="1">IF(scheduled_no_payments=1,"",SUM($I$13:$I121))</f>
        <v>57684.233938416961</v>
      </c>
      <c r="L121" s="38"/>
    </row>
    <row r="122" spans="2:12" ht="16.5" customHeight="1" x14ac:dyDescent="0.25">
      <c r="B122" s="32">
        <f ca="1">IF(AND(Values_Entered,scheduled_no_payments&lt;&gt;1),B121+1,"")</f>
        <v>110</v>
      </c>
      <c r="C122" s="33">
        <f ca="1">IF(Pay_Num&lt;&gt;"",DATE(YEAR(C121)+VLOOKUP(Interval,LoanLookup[],4,FALSE),MONTH(C121)+VLOOKUP(Interval,LoanLookup[],2,FALSE),DAY(C121)+VLOOKUP(Interval,LoanLookup[],3,FALSE)),"")</f>
        <v>48185</v>
      </c>
      <c r="D122" s="34">
        <f t="shared" ca="1" si="5"/>
        <v>99781.470576493419</v>
      </c>
      <c r="E122" s="35">
        <f t="shared" ca="1" si="7"/>
        <v>989.93360882498609</v>
      </c>
      <c r="F122" s="36">
        <f ca="1">IF(scheduled_no_payments=1,"",IF(Sched_Pay+Scheduled_Extra_Payments&lt;Beg_Bal,Scheduled_Extra_Payments,IF(AND(Pay_Num&lt;&gt;"",Beg_Bal-Sched_Pay&gt;0),Beg_Bal-Sched_Pay,IF(Pay_Num&lt;&gt;"",0,""))))</f>
        <v>0</v>
      </c>
      <c r="G122" s="34">
        <f ca="1">IF(scheduled_no_payments=1,"",IF(Sched_Pay+Extra_Pay&lt;Beg_Bal,Sched_Pay+Extra_Pay,IF(Pay_Num&lt;&gt;"",Beg_Bal,"")))</f>
        <v>989.93360882498609</v>
      </c>
      <c r="H122" s="34">
        <f t="shared" ca="1" si="6"/>
        <v>574.17748142293021</v>
      </c>
      <c r="I122" s="34">
        <f ca="1">IF(Pay_Num&lt;&gt;"",Beg_Bal*(Interest_Rate/VLOOKUP(Interval,LoanLookup[],5,FALSE)),"")</f>
        <v>415.75612740205588</v>
      </c>
      <c r="J122" s="34">
        <f ca="1">IF(scheduled_no_payments=1,"",IF(AND(Pay_Num&lt;&gt;"",Sched_Pay+Extra_Pay&lt;Beg_Bal),Beg_Bal-Princ,IF(Pay_Num&lt;&gt;"",0,"")))</f>
        <v>99207.29309507049</v>
      </c>
      <c r="K122" s="34">
        <f ca="1">IF(scheduled_no_payments=1,"",SUM($I$13:$I122))</f>
        <v>58099.990065819016</v>
      </c>
      <c r="L122" s="38"/>
    </row>
    <row r="123" spans="2:12" ht="16.5" customHeight="1" x14ac:dyDescent="0.25">
      <c r="B123" s="32">
        <f ca="1">IF(AND(Values_Entered,scheduled_no_payments&lt;&gt;1),B122+1,"")</f>
        <v>111</v>
      </c>
      <c r="C123" s="33">
        <f ca="1">IF(Pay_Num&lt;&gt;"",DATE(YEAR(C122)+VLOOKUP(Interval,LoanLookup[],4,FALSE),MONTH(C122)+VLOOKUP(Interval,LoanLookup[],2,FALSE),DAY(C122)+VLOOKUP(Interval,LoanLookup[],3,FALSE)),"")</f>
        <v>48216</v>
      </c>
      <c r="D123" s="34">
        <f t="shared" ca="1" si="5"/>
        <v>99207.29309507049</v>
      </c>
      <c r="E123" s="35">
        <f t="shared" ca="1" si="7"/>
        <v>989.93360882498609</v>
      </c>
      <c r="F123" s="36">
        <f ca="1">IF(scheduled_no_payments=1,"",IF(Sched_Pay+Scheduled_Extra_Payments&lt;Beg_Bal,Scheduled_Extra_Payments,IF(AND(Pay_Num&lt;&gt;"",Beg_Bal-Sched_Pay&gt;0),Beg_Bal-Sched_Pay,IF(Pay_Num&lt;&gt;"",0,""))))</f>
        <v>0</v>
      </c>
      <c r="G123" s="34">
        <f ca="1">IF(scheduled_no_payments=1,"",IF(Sched_Pay+Extra_Pay&lt;Beg_Bal,Sched_Pay+Extra_Pay,IF(Pay_Num&lt;&gt;"",Beg_Bal,"")))</f>
        <v>989.93360882498609</v>
      </c>
      <c r="H123" s="34">
        <f t="shared" ca="1" si="6"/>
        <v>576.56988759552564</v>
      </c>
      <c r="I123" s="34">
        <f ca="1">IF(Pay_Num&lt;&gt;"",Beg_Bal*(Interest_Rate/VLOOKUP(Interval,LoanLookup[],5,FALSE)),"")</f>
        <v>413.3637212294604</v>
      </c>
      <c r="J123" s="34">
        <f ca="1">IF(scheduled_no_payments=1,"",IF(AND(Pay_Num&lt;&gt;"",Sched_Pay+Extra_Pay&lt;Beg_Bal),Beg_Bal-Princ,IF(Pay_Num&lt;&gt;"",0,"")))</f>
        <v>98630.723207474963</v>
      </c>
      <c r="K123" s="34">
        <f ca="1">IF(scheduled_no_payments=1,"",SUM($I$13:$I123))</f>
        <v>58513.35378704848</v>
      </c>
      <c r="L123" s="38"/>
    </row>
    <row r="124" spans="2:12" ht="16.5" customHeight="1" x14ac:dyDescent="0.25">
      <c r="B124" s="32">
        <f ca="1">IF(AND(Values_Entered,scheduled_no_payments&lt;&gt;1),B123+1,"")</f>
        <v>112</v>
      </c>
      <c r="C124" s="33">
        <f ca="1">IF(Pay_Num&lt;&gt;"",DATE(YEAR(C123)+VLOOKUP(Interval,LoanLookup[],4,FALSE),MONTH(C123)+VLOOKUP(Interval,LoanLookup[],2,FALSE),DAY(C123)+VLOOKUP(Interval,LoanLookup[],3,FALSE)),"")</f>
        <v>48247</v>
      </c>
      <c r="D124" s="34">
        <f t="shared" ca="1" si="5"/>
        <v>98630.723207474963</v>
      </c>
      <c r="E124" s="35">
        <f t="shared" ca="1" si="7"/>
        <v>989.93360882498609</v>
      </c>
      <c r="F124" s="36">
        <f ca="1">IF(scheduled_no_payments=1,"",IF(Sched_Pay+Scheduled_Extra_Payments&lt;Beg_Bal,Scheduled_Extra_Payments,IF(AND(Pay_Num&lt;&gt;"",Beg_Bal-Sched_Pay&gt;0),Beg_Bal-Sched_Pay,IF(Pay_Num&lt;&gt;"",0,""))))</f>
        <v>0</v>
      </c>
      <c r="G124" s="34">
        <f ca="1">IF(scheduled_no_payments=1,"",IF(Sched_Pay+Extra_Pay&lt;Beg_Bal,Sched_Pay+Extra_Pay,IF(Pay_Num&lt;&gt;"",Beg_Bal,"")))</f>
        <v>989.93360882498609</v>
      </c>
      <c r="H124" s="34">
        <f t="shared" ca="1" si="6"/>
        <v>578.97226212717374</v>
      </c>
      <c r="I124" s="34">
        <f ca="1">IF(Pay_Num&lt;&gt;"",Beg_Bal*(Interest_Rate/VLOOKUP(Interval,LoanLookup[],5,FALSE)),"")</f>
        <v>410.96134669781236</v>
      </c>
      <c r="J124" s="34">
        <f ca="1">IF(scheduled_no_payments=1,"",IF(AND(Pay_Num&lt;&gt;"",Sched_Pay+Extra_Pay&lt;Beg_Bal),Beg_Bal-Princ,IF(Pay_Num&lt;&gt;"",0,"")))</f>
        <v>98051.750945347783</v>
      </c>
      <c r="K124" s="34">
        <f ca="1">IF(scheduled_no_payments=1,"",SUM($I$13:$I124))</f>
        <v>58924.315133746291</v>
      </c>
      <c r="L124" s="38"/>
    </row>
    <row r="125" spans="2:12" ht="16.5" customHeight="1" x14ac:dyDescent="0.25">
      <c r="B125" s="32">
        <f ca="1">IF(AND(Values_Entered,scheduled_no_payments&lt;&gt;1),B124+1,"")</f>
        <v>113</v>
      </c>
      <c r="C125" s="33">
        <f ca="1">IF(Pay_Num&lt;&gt;"",DATE(YEAR(C124)+VLOOKUP(Interval,LoanLookup[],4,FALSE),MONTH(C124)+VLOOKUP(Interval,LoanLookup[],2,FALSE),DAY(C124)+VLOOKUP(Interval,LoanLookup[],3,FALSE)),"")</f>
        <v>48276</v>
      </c>
      <c r="D125" s="34">
        <f t="shared" ca="1" si="5"/>
        <v>98051.750945347783</v>
      </c>
      <c r="E125" s="35">
        <f t="shared" ca="1" si="7"/>
        <v>989.93360882498609</v>
      </c>
      <c r="F125" s="36">
        <f ca="1">IF(scheduled_no_payments=1,"",IF(Sched_Pay+Scheduled_Extra_Payments&lt;Beg_Bal,Scheduled_Extra_Payments,IF(AND(Pay_Num&lt;&gt;"",Beg_Bal-Sched_Pay&gt;0),Beg_Bal-Sched_Pay,IF(Pay_Num&lt;&gt;"",0,""))))</f>
        <v>0</v>
      </c>
      <c r="G125" s="34">
        <f ca="1">IF(scheduled_no_payments=1,"",IF(Sched_Pay+Extra_Pay&lt;Beg_Bal,Sched_Pay+Extra_Pay,IF(Pay_Num&lt;&gt;"",Beg_Bal,"")))</f>
        <v>989.93360882498609</v>
      </c>
      <c r="H125" s="34">
        <f t="shared" ca="1" si="6"/>
        <v>581.38464655270366</v>
      </c>
      <c r="I125" s="34">
        <f ca="1">IF(Pay_Num&lt;&gt;"",Beg_Bal*(Interest_Rate/VLOOKUP(Interval,LoanLookup[],5,FALSE)),"")</f>
        <v>408.54896227228244</v>
      </c>
      <c r="J125" s="34">
        <f ca="1">IF(scheduled_no_payments=1,"",IF(AND(Pay_Num&lt;&gt;"",Sched_Pay+Extra_Pay&lt;Beg_Bal),Beg_Bal-Princ,IF(Pay_Num&lt;&gt;"",0,"")))</f>
        <v>97470.366298795081</v>
      </c>
      <c r="K125" s="34">
        <f ca="1">IF(scheduled_no_payments=1,"",SUM($I$13:$I125))</f>
        <v>59332.864096018573</v>
      </c>
      <c r="L125" s="38"/>
    </row>
    <row r="126" spans="2:12" ht="16.5" customHeight="1" x14ac:dyDescent="0.25">
      <c r="B126" s="32">
        <f ca="1">IF(AND(Values_Entered,scheduled_no_payments&lt;&gt;1),B125+1,"")</f>
        <v>114</v>
      </c>
      <c r="C126" s="33">
        <f ca="1">IF(Pay_Num&lt;&gt;"",DATE(YEAR(C125)+VLOOKUP(Interval,LoanLookup[],4,FALSE),MONTH(C125)+VLOOKUP(Interval,LoanLookup[],2,FALSE),DAY(C125)+VLOOKUP(Interval,LoanLookup[],3,FALSE)),"")</f>
        <v>48307</v>
      </c>
      <c r="D126" s="34">
        <f t="shared" ca="1" si="5"/>
        <v>97470.366298795081</v>
      </c>
      <c r="E126" s="35">
        <f t="shared" ca="1" si="7"/>
        <v>989.93360882498609</v>
      </c>
      <c r="F126" s="36">
        <f ca="1">IF(scheduled_no_payments=1,"",IF(Sched_Pay+Scheduled_Extra_Payments&lt;Beg_Bal,Scheduled_Extra_Payments,IF(AND(Pay_Num&lt;&gt;"",Beg_Bal-Sched_Pay&gt;0),Beg_Bal-Sched_Pay,IF(Pay_Num&lt;&gt;"",0,""))))</f>
        <v>0</v>
      </c>
      <c r="G126" s="34">
        <f ca="1">IF(scheduled_no_payments=1,"",IF(Sched_Pay+Extra_Pay&lt;Beg_Bal,Sched_Pay+Extra_Pay,IF(Pay_Num&lt;&gt;"",Beg_Bal,"")))</f>
        <v>989.93360882498609</v>
      </c>
      <c r="H126" s="34">
        <f t="shared" ca="1" si="6"/>
        <v>583.80708258000664</v>
      </c>
      <c r="I126" s="34">
        <f ca="1">IF(Pay_Num&lt;&gt;"",Beg_Bal*(Interest_Rate/VLOOKUP(Interval,LoanLookup[],5,FALSE)),"")</f>
        <v>406.12652624497952</v>
      </c>
      <c r="J126" s="34">
        <f ca="1">IF(scheduled_no_payments=1,"",IF(AND(Pay_Num&lt;&gt;"",Sched_Pay+Extra_Pay&lt;Beg_Bal),Beg_Bal-Princ,IF(Pay_Num&lt;&gt;"",0,"")))</f>
        <v>96886.559216215072</v>
      </c>
      <c r="K126" s="34">
        <f ca="1">IF(scheduled_no_payments=1,"",SUM($I$13:$I126))</f>
        <v>59738.990622263555</v>
      </c>
      <c r="L126" s="38"/>
    </row>
    <row r="127" spans="2:12" ht="16.5" customHeight="1" x14ac:dyDescent="0.25">
      <c r="B127" s="32">
        <f ca="1">IF(AND(Values_Entered,scheduled_no_payments&lt;&gt;1),B126+1,"")</f>
        <v>115</v>
      </c>
      <c r="C127" s="33">
        <f ca="1">IF(Pay_Num&lt;&gt;"",DATE(YEAR(C126)+VLOOKUP(Interval,LoanLookup[],4,FALSE),MONTH(C126)+VLOOKUP(Interval,LoanLookup[],2,FALSE),DAY(C126)+VLOOKUP(Interval,LoanLookup[],3,FALSE)),"")</f>
        <v>48337</v>
      </c>
      <c r="D127" s="34">
        <f t="shared" ca="1" si="5"/>
        <v>96886.559216215072</v>
      </c>
      <c r="E127" s="35">
        <f t="shared" ca="1" si="7"/>
        <v>989.93360882498609</v>
      </c>
      <c r="F127" s="36">
        <f ca="1">IF(scheduled_no_payments=1,"",IF(Sched_Pay+Scheduled_Extra_Payments&lt;Beg_Bal,Scheduled_Extra_Payments,IF(AND(Pay_Num&lt;&gt;"",Beg_Bal-Sched_Pay&gt;0),Beg_Bal-Sched_Pay,IF(Pay_Num&lt;&gt;"",0,""))))</f>
        <v>0</v>
      </c>
      <c r="G127" s="34">
        <f ca="1">IF(scheduled_no_payments=1,"",IF(Sched_Pay+Extra_Pay&lt;Beg_Bal,Sched_Pay+Extra_Pay,IF(Pay_Num&lt;&gt;"",Beg_Bal,"")))</f>
        <v>989.93360882498609</v>
      </c>
      <c r="H127" s="34">
        <f t="shared" ca="1" si="6"/>
        <v>586.23961209075662</v>
      </c>
      <c r="I127" s="34">
        <f ca="1">IF(Pay_Num&lt;&gt;"",Beg_Bal*(Interest_Rate/VLOOKUP(Interval,LoanLookup[],5,FALSE)),"")</f>
        <v>403.69399673422947</v>
      </c>
      <c r="J127" s="34">
        <f ca="1">IF(scheduled_no_payments=1,"",IF(AND(Pay_Num&lt;&gt;"",Sched_Pay+Extra_Pay&lt;Beg_Bal),Beg_Bal-Princ,IF(Pay_Num&lt;&gt;"",0,"")))</f>
        <v>96300.319604124321</v>
      </c>
      <c r="K127" s="34">
        <f ca="1">IF(scheduled_no_payments=1,"",SUM($I$13:$I127))</f>
        <v>60142.68461899778</v>
      </c>
      <c r="L127" s="38"/>
    </row>
    <row r="128" spans="2:12" ht="16.5" customHeight="1" x14ac:dyDescent="0.25">
      <c r="B128" s="32">
        <f ca="1">IF(AND(Values_Entered,scheduled_no_payments&lt;&gt;1),B127+1,"")</f>
        <v>116</v>
      </c>
      <c r="C128" s="33">
        <f ca="1">IF(Pay_Num&lt;&gt;"",DATE(YEAR(C127)+VLOOKUP(Interval,LoanLookup[],4,FALSE),MONTH(C127)+VLOOKUP(Interval,LoanLookup[],2,FALSE),DAY(C127)+VLOOKUP(Interval,LoanLookup[],3,FALSE)),"")</f>
        <v>48368</v>
      </c>
      <c r="D128" s="34">
        <f t="shared" ca="1" si="5"/>
        <v>96300.319604124321</v>
      </c>
      <c r="E128" s="35">
        <f t="shared" ca="1" si="7"/>
        <v>989.93360882498609</v>
      </c>
      <c r="F128" s="36">
        <f ca="1">IF(scheduled_no_payments=1,"",IF(Sched_Pay+Scheduled_Extra_Payments&lt;Beg_Bal,Scheduled_Extra_Payments,IF(AND(Pay_Num&lt;&gt;"",Beg_Bal-Sched_Pay&gt;0),Beg_Bal-Sched_Pay,IF(Pay_Num&lt;&gt;"",0,""))))</f>
        <v>0</v>
      </c>
      <c r="G128" s="34">
        <f ca="1">IF(scheduled_no_payments=1,"",IF(Sched_Pay+Extra_Pay&lt;Beg_Bal,Sched_Pay+Extra_Pay,IF(Pay_Num&lt;&gt;"",Beg_Bal,"")))</f>
        <v>989.93360882498609</v>
      </c>
      <c r="H128" s="34">
        <f t="shared" ca="1" si="6"/>
        <v>588.68227714113482</v>
      </c>
      <c r="I128" s="34">
        <f ca="1">IF(Pay_Num&lt;&gt;"",Beg_Bal*(Interest_Rate/VLOOKUP(Interval,LoanLookup[],5,FALSE)),"")</f>
        <v>401.25133168385133</v>
      </c>
      <c r="J128" s="34">
        <f ca="1">IF(scheduled_no_payments=1,"",IF(AND(Pay_Num&lt;&gt;"",Sched_Pay+Extra_Pay&lt;Beg_Bal),Beg_Bal-Princ,IF(Pay_Num&lt;&gt;"",0,"")))</f>
        <v>95711.637326983182</v>
      </c>
      <c r="K128" s="34">
        <f ca="1">IF(scheduled_no_payments=1,"",SUM($I$13:$I128))</f>
        <v>60543.935950681633</v>
      </c>
      <c r="L128" s="38"/>
    </row>
    <row r="129" spans="2:12" ht="16.5" customHeight="1" x14ac:dyDescent="0.25">
      <c r="B129" s="32">
        <f ca="1">IF(AND(Values_Entered,scheduled_no_payments&lt;&gt;1),B128+1,"")</f>
        <v>117</v>
      </c>
      <c r="C129" s="33">
        <f ca="1">IF(Pay_Num&lt;&gt;"",DATE(YEAR(C128)+VLOOKUP(Interval,LoanLookup[],4,FALSE),MONTH(C128)+VLOOKUP(Interval,LoanLookup[],2,FALSE),DAY(C128)+VLOOKUP(Interval,LoanLookup[],3,FALSE)),"")</f>
        <v>48398</v>
      </c>
      <c r="D129" s="34">
        <f t="shared" ca="1" si="5"/>
        <v>95711.637326983182</v>
      </c>
      <c r="E129" s="35">
        <f t="shared" ca="1" si="7"/>
        <v>989.93360882498609</v>
      </c>
      <c r="F129" s="36">
        <f ca="1">IF(scheduled_no_payments=1,"",IF(Sched_Pay+Scheduled_Extra_Payments&lt;Beg_Bal,Scheduled_Extra_Payments,IF(AND(Pay_Num&lt;&gt;"",Beg_Bal-Sched_Pay&gt;0),Beg_Bal-Sched_Pay,IF(Pay_Num&lt;&gt;"",0,""))))</f>
        <v>0</v>
      </c>
      <c r="G129" s="34">
        <f ca="1">IF(scheduled_no_payments=1,"",IF(Sched_Pay+Extra_Pay&lt;Beg_Bal,Sched_Pay+Extra_Pay,IF(Pay_Num&lt;&gt;"",Beg_Bal,"")))</f>
        <v>989.93360882498609</v>
      </c>
      <c r="H129" s="34">
        <f t="shared" ca="1" si="6"/>
        <v>591.13511996255625</v>
      </c>
      <c r="I129" s="34">
        <f ca="1">IF(Pay_Num&lt;&gt;"",Beg_Bal*(Interest_Rate/VLOOKUP(Interval,LoanLookup[],5,FALSE)),"")</f>
        <v>398.79848886242991</v>
      </c>
      <c r="J129" s="34">
        <f ca="1">IF(scheduled_no_payments=1,"",IF(AND(Pay_Num&lt;&gt;"",Sched_Pay+Extra_Pay&lt;Beg_Bal),Beg_Bal-Princ,IF(Pay_Num&lt;&gt;"",0,"")))</f>
        <v>95120.502207020632</v>
      </c>
      <c r="K129" s="34">
        <f ca="1">IF(scheduled_no_payments=1,"",SUM($I$13:$I129))</f>
        <v>60942.73443954406</v>
      </c>
      <c r="L129" s="38"/>
    </row>
    <row r="130" spans="2:12" ht="16.5" customHeight="1" x14ac:dyDescent="0.25">
      <c r="B130" s="32">
        <f ca="1">IF(AND(Values_Entered,scheduled_no_payments&lt;&gt;1),B129+1,"")</f>
        <v>118</v>
      </c>
      <c r="C130" s="33">
        <f ca="1">IF(Pay_Num&lt;&gt;"",DATE(YEAR(C129)+VLOOKUP(Interval,LoanLookup[],4,FALSE),MONTH(C129)+VLOOKUP(Interval,LoanLookup[],2,FALSE),DAY(C129)+VLOOKUP(Interval,LoanLookup[],3,FALSE)),"")</f>
        <v>48429</v>
      </c>
      <c r="D130" s="34">
        <f t="shared" ca="1" si="5"/>
        <v>95120.502207020632</v>
      </c>
      <c r="E130" s="35">
        <f t="shared" ca="1" si="7"/>
        <v>989.93360882498609</v>
      </c>
      <c r="F130" s="36">
        <f ca="1">IF(scheduled_no_payments=1,"",IF(Sched_Pay+Scheduled_Extra_Payments&lt;Beg_Bal,Scheduled_Extra_Payments,IF(AND(Pay_Num&lt;&gt;"",Beg_Bal-Sched_Pay&gt;0),Beg_Bal-Sched_Pay,IF(Pay_Num&lt;&gt;"",0,""))))</f>
        <v>0</v>
      </c>
      <c r="G130" s="34">
        <f ca="1">IF(scheduled_no_payments=1,"",IF(Sched_Pay+Extra_Pay&lt;Beg_Bal,Sched_Pay+Extra_Pay,IF(Pay_Num&lt;&gt;"",Beg_Bal,"")))</f>
        <v>989.93360882498609</v>
      </c>
      <c r="H130" s="34">
        <f t="shared" ca="1" si="6"/>
        <v>593.59818296240019</v>
      </c>
      <c r="I130" s="34">
        <f ca="1">IF(Pay_Num&lt;&gt;"",Beg_Bal*(Interest_Rate/VLOOKUP(Interval,LoanLookup[],5,FALSE)),"")</f>
        <v>396.33542586258596</v>
      </c>
      <c r="J130" s="34">
        <f ca="1">IF(scheduled_no_payments=1,"",IF(AND(Pay_Num&lt;&gt;"",Sched_Pay+Extra_Pay&lt;Beg_Bal),Beg_Bal-Princ,IF(Pay_Num&lt;&gt;"",0,"")))</f>
        <v>94526.904024058225</v>
      </c>
      <c r="K130" s="34">
        <f ca="1">IF(scheduled_no_payments=1,"",SUM($I$13:$I130))</f>
        <v>61339.069865406644</v>
      </c>
      <c r="L130" s="38"/>
    </row>
    <row r="131" spans="2:12" ht="16.5" customHeight="1" x14ac:dyDescent="0.25">
      <c r="B131" s="32">
        <f ca="1">IF(AND(Values_Entered,scheduled_no_payments&lt;&gt;1),B130+1,"")</f>
        <v>119</v>
      </c>
      <c r="C131" s="33">
        <f ca="1">IF(Pay_Num&lt;&gt;"",DATE(YEAR(C130)+VLOOKUP(Interval,LoanLookup[],4,FALSE),MONTH(C130)+VLOOKUP(Interval,LoanLookup[],2,FALSE),DAY(C130)+VLOOKUP(Interval,LoanLookup[],3,FALSE)),"")</f>
        <v>48460</v>
      </c>
      <c r="D131" s="34">
        <f t="shared" ca="1" si="5"/>
        <v>94526.904024058225</v>
      </c>
      <c r="E131" s="35">
        <f t="shared" ca="1" si="7"/>
        <v>989.93360882498609</v>
      </c>
      <c r="F131" s="36">
        <f ca="1">IF(scheduled_no_payments=1,"",IF(Sched_Pay+Scheduled_Extra_Payments&lt;Beg_Bal,Scheduled_Extra_Payments,IF(AND(Pay_Num&lt;&gt;"",Beg_Bal-Sched_Pay&gt;0),Beg_Bal-Sched_Pay,IF(Pay_Num&lt;&gt;"",0,""))))</f>
        <v>0</v>
      </c>
      <c r="G131" s="34">
        <f ca="1">IF(scheduled_no_payments=1,"",IF(Sched_Pay+Extra_Pay&lt;Beg_Bal,Sched_Pay+Extra_Pay,IF(Pay_Num&lt;&gt;"",Beg_Bal,"")))</f>
        <v>989.93360882498609</v>
      </c>
      <c r="H131" s="34">
        <f t="shared" ca="1" si="6"/>
        <v>596.07150872474347</v>
      </c>
      <c r="I131" s="34">
        <f ca="1">IF(Pay_Num&lt;&gt;"",Beg_Bal*(Interest_Rate/VLOOKUP(Interval,LoanLookup[],5,FALSE)),"")</f>
        <v>393.86210010024263</v>
      </c>
      <c r="J131" s="34">
        <f ca="1">IF(scheduled_no_payments=1,"",IF(AND(Pay_Num&lt;&gt;"",Sched_Pay+Extra_Pay&lt;Beg_Bal),Beg_Bal-Princ,IF(Pay_Num&lt;&gt;"",0,"")))</f>
        <v>93930.832515333488</v>
      </c>
      <c r="K131" s="34">
        <f ca="1">IF(scheduled_no_payments=1,"",SUM($I$13:$I131))</f>
        <v>61732.931965506883</v>
      </c>
      <c r="L131" s="38"/>
    </row>
    <row r="132" spans="2:12" ht="16.5" customHeight="1" x14ac:dyDescent="0.25">
      <c r="B132" s="32">
        <f ca="1">IF(AND(Values_Entered,scheduled_no_payments&lt;&gt;1),B131+1,"")</f>
        <v>120</v>
      </c>
      <c r="C132" s="33">
        <f ca="1">IF(Pay_Num&lt;&gt;"",DATE(YEAR(C131)+VLOOKUP(Interval,LoanLookup[],4,FALSE),MONTH(C131)+VLOOKUP(Interval,LoanLookup[],2,FALSE),DAY(C131)+VLOOKUP(Interval,LoanLookup[],3,FALSE)),"")</f>
        <v>48490</v>
      </c>
      <c r="D132" s="34">
        <f t="shared" ca="1" si="5"/>
        <v>93930.832515333488</v>
      </c>
      <c r="E132" s="35">
        <f t="shared" ca="1" si="7"/>
        <v>989.93360882498609</v>
      </c>
      <c r="F132" s="36">
        <f ca="1">IF(scheduled_no_payments=1,"",IF(Sched_Pay+Scheduled_Extra_Payments&lt;Beg_Bal,Scheduled_Extra_Payments,IF(AND(Pay_Num&lt;&gt;"",Beg_Bal-Sched_Pay&gt;0),Beg_Bal-Sched_Pay,IF(Pay_Num&lt;&gt;"",0,""))))</f>
        <v>0</v>
      </c>
      <c r="G132" s="34">
        <f ca="1">IF(scheduled_no_payments=1,"",IF(Sched_Pay+Extra_Pay&lt;Beg_Bal,Sched_Pay+Extra_Pay,IF(Pay_Num&lt;&gt;"",Beg_Bal,"")))</f>
        <v>989.93360882498609</v>
      </c>
      <c r="H132" s="34">
        <f t="shared" ca="1" si="6"/>
        <v>598.55514001109657</v>
      </c>
      <c r="I132" s="34">
        <f ca="1">IF(Pay_Num&lt;&gt;"",Beg_Bal*(Interest_Rate/VLOOKUP(Interval,LoanLookup[],5,FALSE)),"")</f>
        <v>391.37846881388953</v>
      </c>
      <c r="J132" s="34">
        <f ca="1">IF(scheduled_no_payments=1,"",IF(AND(Pay_Num&lt;&gt;"",Sched_Pay+Extra_Pay&lt;Beg_Bal),Beg_Bal-Princ,IF(Pay_Num&lt;&gt;"",0,"")))</f>
        <v>93332.277375322388</v>
      </c>
      <c r="K132" s="34">
        <f ca="1">IF(scheduled_no_payments=1,"",SUM($I$13:$I132))</f>
        <v>62124.310434320774</v>
      </c>
      <c r="L132" s="38"/>
    </row>
    <row r="133" spans="2:12" ht="16.5" customHeight="1" x14ac:dyDescent="0.25">
      <c r="B133" s="32">
        <f ca="1">IF(AND(Values_Entered,scheduled_no_payments&lt;&gt;1),B132+1,"")</f>
        <v>121</v>
      </c>
      <c r="C133" s="33">
        <f ca="1">IF(Pay_Num&lt;&gt;"",DATE(YEAR(C132)+VLOOKUP(Interval,LoanLookup[],4,FALSE),MONTH(C132)+VLOOKUP(Interval,LoanLookup[],2,FALSE),DAY(C132)+VLOOKUP(Interval,LoanLookup[],3,FALSE)),"")</f>
        <v>48521</v>
      </c>
      <c r="D133" s="34">
        <f t="shared" ca="1" si="5"/>
        <v>93332.277375322388</v>
      </c>
      <c r="E133" s="35">
        <f t="shared" ca="1" si="7"/>
        <v>989.93360882498609</v>
      </c>
      <c r="F133" s="36">
        <f ca="1">IF(scheduled_no_payments=1,"",IF(Sched_Pay+Scheduled_Extra_Payments&lt;Beg_Bal,Scheduled_Extra_Payments,IF(AND(Pay_Num&lt;&gt;"",Beg_Bal-Sched_Pay&gt;0),Beg_Bal-Sched_Pay,IF(Pay_Num&lt;&gt;"",0,""))))</f>
        <v>0</v>
      </c>
      <c r="G133" s="34">
        <f ca="1">IF(scheduled_no_payments=1,"",IF(Sched_Pay+Extra_Pay&lt;Beg_Bal,Sched_Pay+Extra_Pay,IF(Pay_Num&lt;&gt;"",Beg_Bal,"")))</f>
        <v>989.93360882498609</v>
      </c>
      <c r="H133" s="34">
        <f t="shared" ca="1" si="6"/>
        <v>601.04911976114283</v>
      </c>
      <c r="I133" s="34">
        <f ca="1">IF(Pay_Num&lt;&gt;"",Beg_Bal*(Interest_Rate/VLOOKUP(Interval,LoanLookup[],5,FALSE)),"")</f>
        <v>388.88448906384326</v>
      </c>
      <c r="J133" s="34">
        <f ca="1">IF(scheduled_no_payments=1,"",IF(AND(Pay_Num&lt;&gt;"",Sched_Pay+Extra_Pay&lt;Beg_Bal),Beg_Bal-Princ,IF(Pay_Num&lt;&gt;"",0,"")))</f>
        <v>92731.228255561247</v>
      </c>
      <c r="K133" s="34">
        <f ca="1">IF(scheduled_no_payments=1,"",SUM($I$13:$I133))</f>
        <v>62513.194923384617</v>
      </c>
      <c r="L133" s="38"/>
    </row>
    <row r="134" spans="2:12" ht="16.5" customHeight="1" x14ac:dyDescent="0.25">
      <c r="B134" s="32">
        <f ca="1">IF(AND(Values_Entered,scheduled_no_payments&lt;&gt;1),B133+1,"")</f>
        <v>122</v>
      </c>
      <c r="C134" s="33">
        <f ca="1">IF(Pay_Num&lt;&gt;"",DATE(YEAR(C133)+VLOOKUP(Interval,LoanLookup[],4,FALSE),MONTH(C133)+VLOOKUP(Interval,LoanLookup[],2,FALSE),DAY(C133)+VLOOKUP(Interval,LoanLookup[],3,FALSE)),"")</f>
        <v>48551</v>
      </c>
      <c r="D134" s="34">
        <f t="shared" ca="1" si="5"/>
        <v>92731.228255561247</v>
      </c>
      <c r="E134" s="35">
        <f t="shared" ca="1" si="7"/>
        <v>989.93360882498609</v>
      </c>
      <c r="F134" s="36">
        <f ca="1">IF(scheduled_no_payments=1,"",IF(Sched_Pay+Scheduled_Extra_Payments&lt;Beg_Bal,Scheduled_Extra_Payments,IF(AND(Pay_Num&lt;&gt;"",Beg_Bal-Sched_Pay&gt;0),Beg_Bal-Sched_Pay,IF(Pay_Num&lt;&gt;"",0,""))))</f>
        <v>0</v>
      </c>
      <c r="G134" s="34">
        <f ca="1">IF(scheduled_no_payments=1,"",IF(Sched_Pay+Extra_Pay&lt;Beg_Bal,Sched_Pay+Extra_Pay,IF(Pay_Num&lt;&gt;"",Beg_Bal,"")))</f>
        <v>989.93360882498609</v>
      </c>
      <c r="H134" s="34">
        <f t="shared" ca="1" si="6"/>
        <v>603.55349109348094</v>
      </c>
      <c r="I134" s="34">
        <f ca="1">IF(Pay_Num&lt;&gt;"",Beg_Bal*(Interest_Rate/VLOOKUP(Interval,LoanLookup[],5,FALSE)),"")</f>
        <v>386.38011773150521</v>
      </c>
      <c r="J134" s="34">
        <f ca="1">IF(scheduled_no_payments=1,"",IF(AND(Pay_Num&lt;&gt;"",Sched_Pay+Extra_Pay&lt;Beg_Bal),Beg_Bal-Princ,IF(Pay_Num&lt;&gt;"",0,"")))</f>
        <v>92127.674764467767</v>
      </c>
      <c r="K134" s="34">
        <f ca="1">IF(scheduled_no_payments=1,"",SUM($I$13:$I134))</f>
        <v>62899.575041116121</v>
      </c>
      <c r="L134" s="38"/>
    </row>
    <row r="135" spans="2:12" ht="16.5" customHeight="1" x14ac:dyDescent="0.25">
      <c r="B135" s="32">
        <f ca="1">IF(AND(Values_Entered,scheduled_no_payments&lt;&gt;1),B134+1,"")</f>
        <v>123</v>
      </c>
      <c r="C135" s="33">
        <f ca="1">IF(Pay_Num&lt;&gt;"",DATE(YEAR(C134)+VLOOKUP(Interval,LoanLookup[],4,FALSE),MONTH(C134)+VLOOKUP(Interval,LoanLookup[],2,FALSE),DAY(C134)+VLOOKUP(Interval,LoanLookup[],3,FALSE)),"")</f>
        <v>48582</v>
      </c>
      <c r="D135" s="34">
        <f t="shared" ca="1" si="5"/>
        <v>92127.674764467767</v>
      </c>
      <c r="E135" s="35">
        <f t="shared" ca="1" si="7"/>
        <v>989.93360882498609</v>
      </c>
      <c r="F135" s="36">
        <f ca="1">IF(scheduled_no_payments=1,"",IF(Sched_Pay+Scheduled_Extra_Payments&lt;Beg_Bal,Scheduled_Extra_Payments,IF(AND(Pay_Num&lt;&gt;"",Beg_Bal-Sched_Pay&gt;0),Beg_Bal-Sched_Pay,IF(Pay_Num&lt;&gt;"",0,""))))</f>
        <v>0</v>
      </c>
      <c r="G135" s="34">
        <f ca="1">IF(scheduled_no_payments=1,"",IF(Sched_Pay+Extra_Pay&lt;Beg_Bal,Sched_Pay+Extra_Pay,IF(Pay_Num&lt;&gt;"",Beg_Bal,"")))</f>
        <v>989.93360882498609</v>
      </c>
      <c r="H135" s="34">
        <f t="shared" ca="1" si="6"/>
        <v>606.06829730637037</v>
      </c>
      <c r="I135" s="34">
        <f ca="1">IF(Pay_Num&lt;&gt;"",Beg_Bal*(Interest_Rate/VLOOKUP(Interval,LoanLookup[],5,FALSE)),"")</f>
        <v>383.86531151861567</v>
      </c>
      <c r="J135" s="34">
        <f ca="1">IF(scheduled_no_payments=1,"",IF(AND(Pay_Num&lt;&gt;"",Sched_Pay+Extra_Pay&lt;Beg_Bal),Beg_Bal-Princ,IF(Pay_Num&lt;&gt;"",0,"")))</f>
        <v>91521.6064671614</v>
      </c>
      <c r="K135" s="34">
        <f ca="1">IF(scheduled_no_payments=1,"",SUM($I$13:$I135))</f>
        <v>63283.440352634738</v>
      </c>
      <c r="L135" s="38"/>
    </row>
    <row r="136" spans="2:12" ht="16.5" customHeight="1" x14ac:dyDescent="0.25">
      <c r="B136" s="32">
        <f ca="1">IF(AND(Values_Entered,scheduled_no_payments&lt;&gt;1),B135+1,"")</f>
        <v>124</v>
      </c>
      <c r="C136" s="33">
        <f ca="1">IF(Pay_Num&lt;&gt;"",DATE(YEAR(C135)+VLOOKUP(Interval,LoanLookup[],4,FALSE),MONTH(C135)+VLOOKUP(Interval,LoanLookup[],2,FALSE),DAY(C135)+VLOOKUP(Interval,LoanLookup[],3,FALSE)),"")</f>
        <v>48613</v>
      </c>
      <c r="D136" s="34">
        <f t="shared" ca="1" si="5"/>
        <v>91521.6064671614</v>
      </c>
      <c r="E136" s="35">
        <f t="shared" ca="1" si="7"/>
        <v>989.93360882498609</v>
      </c>
      <c r="F136" s="36">
        <f ca="1">IF(scheduled_no_payments=1,"",IF(Sched_Pay+Scheduled_Extra_Payments&lt;Beg_Bal,Scheduled_Extra_Payments,IF(AND(Pay_Num&lt;&gt;"",Beg_Bal-Sched_Pay&gt;0),Beg_Bal-Sched_Pay,IF(Pay_Num&lt;&gt;"",0,""))))</f>
        <v>0</v>
      </c>
      <c r="G136" s="34">
        <f ca="1">IF(scheduled_no_payments=1,"",IF(Sched_Pay+Extra_Pay&lt;Beg_Bal,Sched_Pay+Extra_Pay,IF(Pay_Num&lt;&gt;"",Beg_Bal,"")))</f>
        <v>989.93360882498609</v>
      </c>
      <c r="H136" s="34">
        <f t="shared" ca="1" si="6"/>
        <v>608.59358187848034</v>
      </c>
      <c r="I136" s="34">
        <f ca="1">IF(Pay_Num&lt;&gt;"",Beg_Bal*(Interest_Rate/VLOOKUP(Interval,LoanLookup[],5,FALSE)),"")</f>
        <v>381.34002694650582</v>
      </c>
      <c r="J136" s="34">
        <f ca="1">IF(scheduled_no_payments=1,"",IF(AND(Pay_Num&lt;&gt;"",Sched_Pay+Extra_Pay&lt;Beg_Bal),Beg_Bal-Princ,IF(Pay_Num&lt;&gt;"",0,"")))</f>
        <v>90913.012885282922</v>
      </c>
      <c r="K136" s="34">
        <f ca="1">IF(scheduled_no_payments=1,"",SUM($I$13:$I136))</f>
        <v>63664.780379581243</v>
      </c>
      <c r="L136" s="38"/>
    </row>
    <row r="137" spans="2:12" ht="16.5" customHeight="1" x14ac:dyDescent="0.25">
      <c r="B137" s="32">
        <f ca="1">IF(AND(Values_Entered,scheduled_no_payments&lt;&gt;1),B136+1,"")</f>
        <v>125</v>
      </c>
      <c r="C137" s="33">
        <f ca="1">IF(Pay_Num&lt;&gt;"",DATE(YEAR(C136)+VLOOKUP(Interval,LoanLookup[],4,FALSE),MONTH(C136)+VLOOKUP(Interval,LoanLookup[],2,FALSE),DAY(C136)+VLOOKUP(Interval,LoanLookup[],3,FALSE)),"")</f>
        <v>48641</v>
      </c>
      <c r="D137" s="34">
        <f t="shared" ca="1" si="5"/>
        <v>90913.012885282922</v>
      </c>
      <c r="E137" s="35">
        <f t="shared" ca="1" si="7"/>
        <v>989.93360882498609</v>
      </c>
      <c r="F137" s="36">
        <f ca="1">IF(scheduled_no_payments=1,"",IF(Sched_Pay+Scheduled_Extra_Payments&lt;Beg_Bal,Scheduled_Extra_Payments,IF(AND(Pay_Num&lt;&gt;"",Beg_Bal-Sched_Pay&gt;0),Beg_Bal-Sched_Pay,IF(Pay_Num&lt;&gt;"",0,""))))</f>
        <v>0</v>
      </c>
      <c r="G137" s="34">
        <f ca="1">IF(scheduled_no_payments=1,"",IF(Sched_Pay+Extra_Pay&lt;Beg_Bal,Sched_Pay+Extra_Pay,IF(Pay_Num&lt;&gt;"",Beg_Bal,"")))</f>
        <v>989.93360882498609</v>
      </c>
      <c r="H137" s="34">
        <f t="shared" ca="1" si="6"/>
        <v>611.12938846964062</v>
      </c>
      <c r="I137" s="34">
        <f ca="1">IF(Pay_Num&lt;&gt;"",Beg_Bal*(Interest_Rate/VLOOKUP(Interval,LoanLookup[],5,FALSE)),"")</f>
        <v>378.80422035534548</v>
      </c>
      <c r="J137" s="34">
        <f ca="1">IF(scheduled_no_payments=1,"",IF(AND(Pay_Num&lt;&gt;"",Sched_Pay+Extra_Pay&lt;Beg_Bal),Beg_Bal-Princ,IF(Pay_Num&lt;&gt;"",0,"")))</f>
        <v>90301.883496813287</v>
      </c>
      <c r="K137" s="34">
        <f ca="1">IF(scheduled_no_payments=1,"",SUM($I$13:$I137))</f>
        <v>64043.584599936592</v>
      </c>
      <c r="L137" s="38"/>
    </row>
    <row r="138" spans="2:12" ht="16.5" customHeight="1" x14ac:dyDescent="0.25">
      <c r="B138" s="32">
        <f ca="1">IF(AND(Values_Entered,scheduled_no_payments&lt;&gt;1),B137+1,"")</f>
        <v>126</v>
      </c>
      <c r="C138" s="33">
        <f ca="1">IF(Pay_Num&lt;&gt;"",DATE(YEAR(C137)+VLOOKUP(Interval,LoanLookup[],4,FALSE),MONTH(C137)+VLOOKUP(Interval,LoanLookup[],2,FALSE),DAY(C137)+VLOOKUP(Interval,LoanLookup[],3,FALSE)),"")</f>
        <v>48672</v>
      </c>
      <c r="D138" s="34">
        <f t="shared" ca="1" si="5"/>
        <v>90301.883496813287</v>
      </c>
      <c r="E138" s="35">
        <f t="shared" ca="1" si="7"/>
        <v>989.93360882498609</v>
      </c>
      <c r="F138" s="36">
        <f ca="1">IF(scheduled_no_payments=1,"",IF(Sched_Pay+Scheduled_Extra_Payments&lt;Beg_Bal,Scheduled_Extra_Payments,IF(AND(Pay_Num&lt;&gt;"",Beg_Bal-Sched_Pay&gt;0),Beg_Bal-Sched_Pay,IF(Pay_Num&lt;&gt;"",0,""))))</f>
        <v>0</v>
      </c>
      <c r="G138" s="34">
        <f ca="1">IF(scheduled_no_payments=1,"",IF(Sched_Pay+Extra_Pay&lt;Beg_Bal,Sched_Pay+Extra_Pay,IF(Pay_Num&lt;&gt;"",Beg_Bal,"")))</f>
        <v>989.93360882498609</v>
      </c>
      <c r="H138" s="34">
        <f t="shared" ca="1" si="6"/>
        <v>613.67576092159743</v>
      </c>
      <c r="I138" s="34">
        <f ca="1">IF(Pay_Num&lt;&gt;"",Beg_Bal*(Interest_Rate/VLOOKUP(Interval,LoanLookup[],5,FALSE)),"")</f>
        <v>376.25784790338867</v>
      </c>
      <c r="J138" s="34">
        <f ca="1">IF(scheduled_no_payments=1,"",IF(AND(Pay_Num&lt;&gt;"",Sched_Pay+Extra_Pay&lt;Beg_Bal),Beg_Bal-Princ,IF(Pay_Num&lt;&gt;"",0,"")))</f>
        <v>89688.207735891687</v>
      </c>
      <c r="K138" s="34">
        <f ca="1">IF(scheduled_no_payments=1,"",SUM($I$13:$I138))</f>
        <v>64419.842447839983</v>
      </c>
      <c r="L138" s="38"/>
    </row>
    <row r="139" spans="2:12" ht="16.5" customHeight="1" x14ac:dyDescent="0.25">
      <c r="B139" s="32">
        <f ca="1">IF(AND(Values_Entered,scheduled_no_payments&lt;&gt;1),B138+1,"")</f>
        <v>127</v>
      </c>
      <c r="C139" s="33">
        <f ca="1">IF(Pay_Num&lt;&gt;"",DATE(YEAR(C138)+VLOOKUP(Interval,LoanLookup[],4,FALSE),MONTH(C138)+VLOOKUP(Interval,LoanLookup[],2,FALSE),DAY(C138)+VLOOKUP(Interval,LoanLookup[],3,FALSE)),"")</f>
        <v>48702</v>
      </c>
      <c r="D139" s="34">
        <f t="shared" ca="1" si="5"/>
        <v>89688.207735891687</v>
      </c>
      <c r="E139" s="35">
        <f t="shared" ca="1" si="7"/>
        <v>989.93360882498609</v>
      </c>
      <c r="F139" s="36">
        <f ca="1">IF(scheduled_no_payments=1,"",IF(Sched_Pay+Scheduled_Extra_Payments&lt;Beg_Bal,Scheduled_Extra_Payments,IF(AND(Pay_Num&lt;&gt;"",Beg_Bal-Sched_Pay&gt;0),Beg_Bal-Sched_Pay,IF(Pay_Num&lt;&gt;"",0,""))))</f>
        <v>0</v>
      </c>
      <c r="G139" s="34">
        <f ca="1">IF(scheduled_no_payments=1,"",IF(Sched_Pay+Extra_Pay&lt;Beg_Bal,Sched_Pay+Extra_Pay,IF(Pay_Num&lt;&gt;"",Beg_Bal,"")))</f>
        <v>989.93360882498609</v>
      </c>
      <c r="H139" s="34">
        <f t="shared" ca="1" si="6"/>
        <v>616.23274325877071</v>
      </c>
      <c r="I139" s="34">
        <f ca="1">IF(Pay_Num&lt;&gt;"",Beg_Bal*(Interest_Rate/VLOOKUP(Interval,LoanLookup[],5,FALSE)),"")</f>
        <v>373.70086556621538</v>
      </c>
      <c r="J139" s="34">
        <f ca="1">IF(scheduled_no_payments=1,"",IF(AND(Pay_Num&lt;&gt;"",Sched_Pay+Extra_Pay&lt;Beg_Bal),Beg_Bal-Princ,IF(Pay_Num&lt;&gt;"",0,"")))</f>
        <v>89071.97499263291</v>
      </c>
      <c r="K139" s="34">
        <f ca="1">IF(scheduled_no_payments=1,"",SUM($I$13:$I139))</f>
        <v>64793.543313406197</v>
      </c>
      <c r="L139" s="38"/>
    </row>
    <row r="140" spans="2:12" ht="16.5" customHeight="1" x14ac:dyDescent="0.25">
      <c r="B140" s="32">
        <f ca="1">IF(AND(Values_Entered,scheduled_no_payments&lt;&gt;1),B139+1,"")</f>
        <v>128</v>
      </c>
      <c r="C140" s="33">
        <f ca="1">IF(Pay_Num&lt;&gt;"",DATE(YEAR(C139)+VLOOKUP(Interval,LoanLookup[],4,FALSE),MONTH(C139)+VLOOKUP(Interval,LoanLookup[],2,FALSE),DAY(C139)+VLOOKUP(Interval,LoanLookup[],3,FALSE)),"")</f>
        <v>48733</v>
      </c>
      <c r="D140" s="34">
        <f t="shared" ca="1" si="5"/>
        <v>89071.97499263291</v>
      </c>
      <c r="E140" s="35">
        <f t="shared" ca="1" si="7"/>
        <v>989.93360882498609</v>
      </c>
      <c r="F140" s="36">
        <f ca="1">IF(scheduled_no_payments=1,"",IF(Sched_Pay+Scheduled_Extra_Payments&lt;Beg_Bal,Scheduled_Extra_Payments,IF(AND(Pay_Num&lt;&gt;"",Beg_Bal-Sched_Pay&gt;0),Beg_Bal-Sched_Pay,IF(Pay_Num&lt;&gt;"",0,""))))</f>
        <v>0</v>
      </c>
      <c r="G140" s="34">
        <f ca="1">IF(scheduled_no_payments=1,"",IF(Sched_Pay+Extra_Pay&lt;Beg_Bal,Sched_Pay+Extra_Pay,IF(Pay_Num&lt;&gt;"",Beg_Bal,"")))</f>
        <v>989.93360882498609</v>
      </c>
      <c r="H140" s="34">
        <f t="shared" ca="1" si="6"/>
        <v>618.8003796890157</v>
      </c>
      <c r="I140" s="34">
        <f ca="1">IF(Pay_Num&lt;&gt;"",Beg_Bal*(Interest_Rate/VLOOKUP(Interval,LoanLookup[],5,FALSE)),"")</f>
        <v>371.13322913597045</v>
      </c>
      <c r="J140" s="34">
        <f ca="1">IF(scheduled_no_payments=1,"",IF(AND(Pay_Num&lt;&gt;"",Sched_Pay+Extra_Pay&lt;Beg_Bal),Beg_Bal-Princ,IF(Pay_Num&lt;&gt;"",0,"")))</f>
        <v>88453.174612943898</v>
      </c>
      <c r="K140" s="34">
        <f ca="1">IF(scheduled_no_payments=1,"",SUM($I$13:$I140))</f>
        <v>65164.676542542169</v>
      </c>
      <c r="L140" s="38"/>
    </row>
    <row r="141" spans="2:12" ht="16.5" customHeight="1" x14ac:dyDescent="0.25">
      <c r="B141" s="32">
        <f ca="1">IF(AND(Values_Entered,scheduled_no_payments&lt;&gt;1),B140+1,"")</f>
        <v>129</v>
      </c>
      <c r="C141" s="33">
        <f ca="1">IF(Pay_Num&lt;&gt;"",DATE(YEAR(C140)+VLOOKUP(Interval,LoanLookup[],4,FALSE),MONTH(C140)+VLOOKUP(Interval,LoanLookup[],2,FALSE),DAY(C140)+VLOOKUP(Interval,LoanLookup[],3,FALSE)),"")</f>
        <v>48763</v>
      </c>
      <c r="D141" s="34">
        <f t="shared" ca="1" si="5"/>
        <v>88453.174612943898</v>
      </c>
      <c r="E141" s="35">
        <f t="shared" ca="1" si="7"/>
        <v>989.93360882498609</v>
      </c>
      <c r="F141" s="36">
        <f ca="1">IF(scheduled_no_payments=1,"",IF(Sched_Pay+Scheduled_Extra_Payments&lt;Beg_Bal,Scheduled_Extra_Payments,IF(AND(Pay_Num&lt;&gt;"",Beg_Bal-Sched_Pay&gt;0),Beg_Bal-Sched_Pay,IF(Pay_Num&lt;&gt;"",0,""))))</f>
        <v>0</v>
      </c>
      <c r="G141" s="34">
        <f ca="1">IF(scheduled_no_payments=1,"",IF(Sched_Pay+Extra_Pay&lt;Beg_Bal,Sched_Pay+Extra_Pay,IF(Pay_Num&lt;&gt;"",Beg_Bal,"")))</f>
        <v>989.93360882498609</v>
      </c>
      <c r="H141" s="34">
        <f t="shared" ca="1" si="6"/>
        <v>621.37871460438646</v>
      </c>
      <c r="I141" s="34">
        <f ca="1">IF(Pay_Num&lt;&gt;"",Beg_Bal*(Interest_Rate/VLOOKUP(Interval,LoanLookup[],5,FALSE)),"")</f>
        <v>368.55489422059958</v>
      </c>
      <c r="J141" s="34">
        <f ca="1">IF(scheduled_no_payments=1,"",IF(AND(Pay_Num&lt;&gt;"",Sched_Pay+Extra_Pay&lt;Beg_Bal),Beg_Bal-Princ,IF(Pay_Num&lt;&gt;"",0,"")))</f>
        <v>87831.795898339507</v>
      </c>
      <c r="K141" s="34">
        <f ca="1">IF(scheduled_no_payments=1,"",SUM($I$13:$I141))</f>
        <v>65533.23143676277</v>
      </c>
      <c r="L141" s="38"/>
    </row>
    <row r="142" spans="2:12" ht="16.5" customHeight="1" x14ac:dyDescent="0.25">
      <c r="B142" s="32">
        <f ca="1">IF(AND(Values_Entered,scheduled_no_payments&lt;&gt;1),B141+1,"")</f>
        <v>130</v>
      </c>
      <c r="C142" s="33">
        <f ca="1">IF(Pay_Num&lt;&gt;"",DATE(YEAR(C141)+VLOOKUP(Interval,LoanLookup[],4,FALSE),MONTH(C141)+VLOOKUP(Interval,LoanLookup[],2,FALSE),DAY(C141)+VLOOKUP(Interval,LoanLookup[],3,FALSE)),"")</f>
        <v>48794</v>
      </c>
      <c r="D142" s="34">
        <f t="shared" ref="D142:D205" ca="1" si="8">IF(Pay_Num&lt;&gt;"",J141,"")</f>
        <v>87831.795898339507</v>
      </c>
      <c r="E142" s="35">
        <f t="shared" ca="1" si="7"/>
        <v>989.93360882498609</v>
      </c>
      <c r="F142" s="36">
        <f ca="1">IF(scheduled_no_payments=1,"",IF(Sched_Pay+Scheduled_Extra_Payments&lt;Beg_Bal,Scheduled_Extra_Payments,IF(AND(Pay_Num&lt;&gt;"",Beg_Bal-Sched_Pay&gt;0),Beg_Bal-Sched_Pay,IF(Pay_Num&lt;&gt;"",0,""))))</f>
        <v>0</v>
      </c>
      <c r="G142" s="34">
        <f ca="1">IF(scheduled_no_payments=1,"",IF(Sched_Pay+Extra_Pay&lt;Beg_Bal,Sched_Pay+Extra_Pay,IF(Pay_Num&lt;&gt;"",Beg_Bal,"")))</f>
        <v>989.93360882498609</v>
      </c>
      <c r="H142" s="34">
        <f t="shared" ref="H142:H205" ca="1" si="9">IF(Pay_Num&lt;&gt;"",Total_Pay-Int,"")</f>
        <v>623.96779258190486</v>
      </c>
      <c r="I142" s="34">
        <f ca="1">IF(Pay_Num&lt;&gt;"",Beg_Bal*(Interest_Rate/VLOOKUP(Interval,LoanLookup[],5,FALSE)),"")</f>
        <v>365.96581624308129</v>
      </c>
      <c r="J142" s="34">
        <f ca="1">IF(scheduled_no_payments=1,"",IF(AND(Pay_Num&lt;&gt;"",Sched_Pay+Extra_Pay&lt;Beg_Bal),Beg_Bal-Princ,IF(Pay_Num&lt;&gt;"",0,"")))</f>
        <v>87207.82810575761</v>
      </c>
      <c r="K142" s="34">
        <f ca="1">IF(scheduled_no_payments=1,"",SUM($I$13:$I142))</f>
        <v>65899.197253005856</v>
      </c>
      <c r="L142" s="38"/>
    </row>
    <row r="143" spans="2:12" ht="16.5" customHeight="1" x14ac:dyDescent="0.25">
      <c r="B143" s="32">
        <f ca="1">IF(AND(Values_Entered,scheduled_no_payments&lt;&gt;1),B142+1,"")</f>
        <v>131</v>
      </c>
      <c r="C143" s="33">
        <f ca="1">IF(Pay_Num&lt;&gt;"",DATE(YEAR(C142)+VLOOKUP(Interval,LoanLookup[],4,FALSE),MONTH(C142)+VLOOKUP(Interval,LoanLookup[],2,FALSE),DAY(C142)+VLOOKUP(Interval,LoanLookup[],3,FALSE)),"")</f>
        <v>48825</v>
      </c>
      <c r="D143" s="34">
        <f t="shared" ca="1" si="8"/>
        <v>87207.82810575761</v>
      </c>
      <c r="E143" s="35">
        <f t="shared" ref="E143:E206" ca="1" si="10">IF(Pay_Num&lt;&gt;"",Scheduled_Monthly_Payment,"")</f>
        <v>989.93360882498609</v>
      </c>
      <c r="F143" s="36">
        <f ca="1">IF(scheduled_no_payments=1,"",IF(Sched_Pay+Scheduled_Extra_Payments&lt;Beg_Bal,Scheduled_Extra_Payments,IF(AND(Pay_Num&lt;&gt;"",Beg_Bal-Sched_Pay&gt;0),Beg_Bal-Sched_Pay,IF(Pay_Num&lt;&gt;"",0,""))))</f>
        <v>0</v>
      </c>
      <c r="G143" s="34">
        <f ca="1">IF(scheduled_no_payments=1,"",IF(Sched_Pay+Extra_Pay&lt;Beg_Bal,Sched_Pay+Extra_Pay,IF(Pay_Num&lt;&gt;"",Beg_Bal,"")))</f>
        <v>989.93360882498609</v>
      </c>
      <c r="H143" s="34">
        <f t="shared" ca="1" si="9"/>
        <v>626.56765838432943</v>
      </c>
      <c r="I143" s="34">
        <f ca="1">IF(Pay_Num&lt;&gt;"",Beg_Bal*(Interest_Rate/VLOOKUP(Interval,LoanLookup[],5,FALSE)),"")</f>
        <v>363.36595044065672</v>
      </c>
      <c r="J143" s="34">
        <f ca="1">IF(scheduled_no_payments=1,"",IF(AND(Pay_Num&lt;&gt;"",Sched_Pay+Extra_Pay&lt;Beg_Bal),Beg_Bal-Princ,IF(Pay_Num&lt;&gt;"",0,"")))</f>
        <v>86581.260447373279</v>
      </c>
      <c r="K143" s="34">
        <f ca="1">IF(scheduled_no_payments=1,"",SUM($I$13:$I143))</f>
        <v>66262.563203446509</v>
      </c>
      <c r="L143" s="38"/>
    </row>
    <row r="144" spans="2:12" ht="16.5" customHeight="1" x14ac:dyDescent="0.25">
      <c r="B144" s="32">
        <f ca="1">IF(AND(Values_Entered,scheduled_no_payments&lt;&gt;1),B143+1,"")</f>
        <v>132</v>
      </c>
      <c r="C144" s="33">
        <f ca="1">IF(Pay_Num&lt;&gt;"",DATE(YEAR(C143)+VLOOKUP(Interval,LoanLookup[],4,FALSE),MONTH(C143)+VLOOKUP(Interval,LoanLookup[],2,FALSE),DAY(C143)+VLOOKUP(Interval,LoanLookup[],3,FALSE)),"")</f>
        <v>48855</v>
      </c>
      <c r="D144" s="34">
        <f t="shared" ca="1" si="8"/>
        <v>86581.260447373279</v>
      </c>
      <c r="E144" s="35">
        <f t="shared" ca="1" si="10"/>
        <v>989.93360882498609</v>
      </c>
      <c r="F144" s="36">
        <f ca="1">IF(scheduled_no_payments=1,"",IF(Sched_Pay+Scheduled_Extra_Payments&lt;Beg_Bal,Scheduled_Extra_Payments,IF(AND(Pay_Num&lt;&gt;"",Beg_Bal-Sched_Pay&gt;0),Beg_Bal-Sched_Pay,IF(Pay_Num&lt;&gt;"",0,""))))</f>
        <v>0</v>
      </c>
      <c r="G144" s="34">
        <f ca="1">IF(scheduled_no_payments=1,"",IF(Sched_Pay+Extra_Pay&lt;Beg_Bal,Sched_Pay+Extra_Pay,IF(Pay_Num&lt;&gt;"",Beg_Bal,"")))</f>
        <v>989.93360882498609</v>
      </c>
      <c r="H144" s="34">
        <f t="shared" ca="1" si="9"/>
        <v>629.17835696093084</v>
      </c>
      <c r="I144" s="34">
        <f ca="1">IF(Pay_Num&lt;&gt;"",Beg_Bal*(Interest_Rate/VLOOKUP(Interval,LoanLookup[],5,FALSE)),"")</f>
        <v>360.75525186405531</v>
      </c>
      <c r="J144" s="34">
        <f ca="1">IF(scheduled_no_payments=1,"",IF(AND(Pay_Num&lt;&gt;"",Sched_Pay+Extra_Pay&lt;Beg_Bal),Beg_Bal-Princ,IF(Pay_Num&lt;&gt;"",0,"")))</f>
        <v>85952.082090412354</v>
      </c>
      <c r="K144" s="34">
        <f ca="1">IF(scheduled_no_payments=1,"",SUM($I$13:$I144))</f>
        <v>66623.318455310568</v>
      </c>
      <c r="L144" s="38"/>
    </row>
    <row r="145" spans="2:12" ht="16.5" customHeight="1" x14ac:dyDescent="0.25">
      <c r="B145" s="32">
        <f ca="1">IF(AND(Values_Entered,scheduled_no_payments&lt;&gt;1),B144+1,"")</f>
        <v>133</v>
      </c>
      <c r="C145" s="33">
        <f ca="1">IF(Pay_Num&lt;&gt;"",DATE(YEAR(C144)+VLOOKUP(Interval,LoanLookup[],4,FALSE),MONTH(C144)+VLOOKUP(Interval,LoanLookup[],2,FALSE),DAY(C144)+VLOOKUP(Interval,LoanLookup[],3,FALSE)),"")</f>
        <v>48886</v>
      </c>
      <c r="D145" s="34">
        <f t="shared" ca="1" si="8"/>
        <v>85952.082090412354</v>
      </c>
      <c r="E145" s="35">
        <f t="shared" ca="1" si="10"/>
        <v>989.93360882498609</v>
      </c>
      <c r="F145" s="36">
        <f ca="1">IF(scheduled_no_payments=1,"",IF(Sched_Pay+Scheduled_Extra_Payments&lt;Beg_Bal,Scheduled_Extra_Payments,IF(AND(Pay_Num&lt;&gt;"",Beg_Bal-Sched_Pay&gt;0),Beg_Bal-Sched_Pay,IF(Pay_Num&lt;&gt;"",0,""))))</f>
        <v>0</v>
      </c>
      <c r="G145" s="34">
        <f ca="1">IF(scheduled_no_payments=1,"",IF(Sched_Pay+Extra_Pay&lt;Beg_Bal,Sched_Pay+Extra_Pay,IF(Pay_Num&lt;&gt;"",Beg_Bal,"")))</f>
        <v>989.93360882498609</v>
      </c>
      <c r="H145" s="34">
        <f t="shared" ca="1" si="9"/>
        <v>631.79993344826789</v>
      </c>
      <c r="I145" s="34">
        <f ca="1">IF(Pay_Num&lt;&gt;"",Beg_Bal*(Interest_Rate/VLOOKUP(Interval,LoanLookup[],5,FALSE)),"")</f>
        <v>358.13367537671814</v>
      </c>
      <c r="J145" s="34">
        <f ca="1">IF(scheduled_no_payments=1,"",IF(AND(Pay_Num&lt;&gt;"",Sched_Pay+Extra_Pay&lt;Beg_Bal),Beg_Bal-Princ,IF(Pay_Num&lt;&gt;"",0,"")))</f>
        <v>85320.28215696408</v>
      </c>
      <c r="K145" s="34">
        <f ca="1">IF(scheduled_no_payments=1,"",SUM($I$13:$I145))</f>
        <v>66981.452130687292</v>
      </c>
      <c r="L145" s="38"/>
    </row>
    <row r="146" spans="2:12" ht="16.5" customHeight="1" x14ac:dyDescent="0.25">
      <c r="B146" s="32">
        <f ca="1">IF(AND(Values_Entered,scheduled_no_payments&lt;&gt;1),B145+1,"")</f>
        <v>134</v>
      </c>
      <c r="C146" s="33">
        <f ca="1">IF(Pay_Num&lt;&gt;"",DATE(YEAR(C145)+VLOOKUP(Interval,LoanLookup[],4,FALSE),MONTH(C145)+VLOOKUP(Interval,LoanLookup[],2,FALSE),DAY(C145)+VLOOKUP(Interval,LoanLookup[],3,FALSE)),"")</f>
        <v>48916</v>
      </c>
      <c r="D146" s="34">
        <f t="shared" ca="1" si="8"/>
        <v>85320.28215696408</v>
      </c>
      <c r="E146" s="35">
        <f t="shared" ca="1" si="10"/>
        <v>989.93360882498609</v>
      </c>
      <c r="F146" s="36">
        <f ca="1">IF(scheduled_no_payments=1,"",IF(Sched_Pay+Scheduled_Extra_Payments&lt;Beg_Bal,Scheduled_Extra_Payments,IF(AND(Pay_Num&lt;&gt;"",Beg_Bal-Sched_Pay&gt;0),Beg_Bal-Sched_Pay,IF(Pay_Num&lt;&gt;"",0,""))))</f>
        <v>0</v>
      </c>
      <c r="G146" s="34">
        <f ca="1">IF(scheduled_no_payments=1,"",IF(Sched_Pay+Extra_Pay&lt;Beg_Bal,Sched_Pay+Extra_Pay,IF(Pay_Num&lt;&gt;"",Beg_Bal,"")))</f>
        <v>989.93360882498609</v>
      </c>
      <c r="H146" s="34">
        <f t="shared" ca="1" si="9"/>
        <v>634.43243317096903</v>
      </c>
      <c r="I146" s="34">
        <f ca="1">IF(Pay_Num&lt;&gt;"",Beg_Bal*(Interest_Rate/VLOOKUP(Interval,LoanLookup[],5,FALSE)),"")</f>
        <v>355.501175654017</v>
      </c>
      <c r="J146" s="34">
        <f ca="1">IF(scheduled_no_payments=1,"",IF(AND(Pay_Num&lt;&gt;"",Sched_Pay+Extra_Pay&lt;Beg_Bal),Beg_Bal-Princ,IF(Pay_Num&lt;&gt;"",0,"")))</f>
        <v>84685.849723793115</v>
      </c>
      <c r="K146" s="34">
        <f ca="1">IF(scheduled_no_payments=1,"",SUM($I$13:$I146))</f>
        <v>67336.953306341311</v>
      </c>
      <c r="L146" s="38"/>
    </row>
    <row r="147" spans="2:12" ht="16.5" customHeight="1" x14ac:dyDescent="0.25">
      <c r="B147" s="32">
        <f ca="1">IF(AND(Values_Entered,scheduled_no_payments&lt;&gt;1),B146+1,"")</f>
        <v>135</v>
      </c>
      <c r="C147" s="33">
        <f ca="1">IF(Pay_Num&lt;&gt;"",DATE(YEAR(C146)+VLOOKUP(Interval,LoanLookup[],4,FALSE),MONTH(C146)+VLOOKUP(Interval,LoanLookup[],2,FALSE),DAY(C146)+VLOOKUP(Interval,LoanLookup[],3,FALSE)),"")</f>
        <v>48947</v>
      </c>
      <c r="D147" s="34">
        <f t="shared" ca="1" si="8"/>
        <v>84685.849723793115</v>
      </c>
      <c r="E147" s="35">
        <f t="shared" ca="1" si="10"/>
        <v>989.93360882498609</v>
      </c>
      <c r="F147" s="36">
        <f ca="1">IF(scheduled_no_payments=1,"",IF(Sched_Pay+Scheduled_Extra_Payments&lt;Beg_Bal,Scheduled_Extra_Payments,IF(AND(Pay_Num&lt;&gt;"",Beg_Bal-Sched_Pay&gt;0),Beg_Bal-Sched_Pay,IF(Pay_Num&lt;&gt;"",0,""))))</f>
        <v>0</v>
      </c>
      <c r="G147" s="34">
        <f ca="1">IF(scheduled_no_payments=1,"",IF(Sched_Pay+Extra_Pay&lt;Beg_Bal,Sched_Pay+Extra_Pay,IF(Pay_Num&lt;&gt;"",Beg_Bal,"")))</f>
        <v>989.93360882498609</v>
      </c>
      <c r="H147" s="34">
        <f t="shared" ca="1" si="9"/>
        <v>637.07590164251474</v>
      </c>
      <c r="I147" s="34">
        <f ca="1">IF(Pay_Num&lt;&gt;"",Beg_Bal*(Interest_Rate/VLOOKUP(Interval,LoanLookup[],5,FALSE)),"")</f>
        <v>352.8577071824713</v>
      </c>
      <c r="J147" s="34">
        <f ca="1">IF(scheduled_no_payments=1,"",IF(AND(Pay_Num&lt;&gt;"",Sched_Pay+Extra_Pay&lt;Beg_Bal),Beg_Bal-Princ,IF(Pay_Num&lt;&gt;"",0,"")))</f>
        <v>84048.773822150601</v>
      </c>
      <c r="K147" s="34">
        <f ca="1">IF(scheduled_no_payments=1,"",SUM($I$13:$I147))</f>
        <v>67689.81101352378</v>
      </c>
      <c r="L147" s="38"/>
    </row>
    <row r="148" spans="2:12" ht="16.5" customHeight="1" x14ac:dyDescent="0.25">
      <c r="B148" s="32">
        <f ca="1">IF(AND(Values_Entered,scheduled_no_payments&lt;&gt;1),B147+1,"")</f>
        <v>136</v>
      </c>
      <c r="C148" s="33">
        <f ca="1">IF(Pay_Num&lt;&gt;"",DATE(YEAR(C147)+VLOOKUP(Interval,LoanLookup[],4,FALSE),MONTH(C147)+VLOOKUP(Interval,LoanLookup[],2,FALSE),DAY(C147)+VLOOKUP(Interval,LoanLookup[],3,FALSE)),"")</f>
        <v>48978</v>
      </c>
      <c r="D148" s="34">
        <f t="shared" ca="1" si="8"/>
        <v>84048.773822150601</v>
      </c>
      <c r="E148" s="35">
        <f t="shared" ca="1" si="10"/>
        <v>989.93360882498609</v>
      </c>
      <c r="F148" s="36">
        <f ca="1">IF(scheduled_no_payments=1,"",IF(Sched_Pay+Scheduled_Extra_Payments&lt;Beg_Bal,Scheduled_Extra_Payments,IF(AND(Pay_Num&lt;&gt;"",Beg_Bal-Sched_Pay&gt;0),Beg_Bal-Sched_Pay,IF(Pay_Num&lt;&gt;"",0,""))))</f>
        <v>0</v>
      </c>
      <c r="G148" s="34">
        <f ca="1">IF(scheduled_no_payments=1,"",IF(Sched_Pay+Extra_Pay&lt;Beg_Bal,Sched_Pay+Extra_Pay,IF(Pay_Num&lt;&gt;"",Beg_Bal,"")))</f>
        <v>989.93360882498609</v>
      </c>
      <c r="H148" s="34">
        <f t="shared" ca="1" si="9"/>
        <v>639.73038456602524</v>
      </c>
      <c r="I148" s="34">
        <f ca="1">IF(Pay_Num&lt;&gt;"",Beg_Bal*(Interest_Rate/VLOOKUP(Interval,LoanLookup[],5,FALSE)),"")</f>
        <v>350.20322425896086</v>
      </c>
      <c r="J148" s="34">
        <f ca="1">IF(scheduled_no_payments=1,"",IF(AND(Pay_Num&lt;&gt;"",Sched_Pay+Extra_Pay&lt;Beg_Bal),Beg_Bal-Princ,IF(Pay_Num&lt;&gt;"",0,"")))</f>
        <v>83409.04343758458</v>
      </c>
      <c r="K148" s="34">
        <f ca="1">IF(scheduled_no_payments=1,"",SUM($I$13:$I148))</f>
        <v>68040.014237782743</v>
      </c>
      <c r="L148" s="38"/>
    </row>
    <row r="149" spans="2:12" ht="16.5" customHeight="1" x14ac:dyDescent="0.25">
      <c r="B149" s="32">
        <f ca="1">IF(AND(Values_Entered,scheduled_no_payments&lt;&gt;1),B148+1,"")</f>
        <v>137</v>
      </c>
      <c r="C149" s="33">
        <f ca="1">IF(Pay_Num&lt;&gt;"",DATE(YEAR(C148)+VLOOKUP(Interval,LoanLookup[],4,FALSE),MONTH(C148)+VLOOKUP(Interval,LoanLookup[],2,FALSE),DAY(C148)+VLOOKUP(Interval,LoanLookup[],3,FALSE)),"")</f>
        <v>49006</v>
      </c>
      <c r="D149" s="34">
        <f t="shared" ca="1" si="8"/>
        <v>83409.04343758458</v>
      </c>
      <c r="E149" s="35">
        <f t="shared" ca="1" si="10"/>
        <v>989.93360882498609</v>
      </c>
      <c r="F149" s="36">
        <f ca="1">IF(scheduled_no_payments=1,"",IF(Sched_Pay+Scheduled_Extra_Payments&lt;Beg_Bal,Scheduled_Extra_Payments,IF(AND(Pay_Num&lt;&gt;"",Beg_Bal-Sched_Pay&gt;0),Beg_Bal-Sched_Pay,IF(Pay_Num&lt;&gt;"",0,""))))</f>
        <v>0</v>
      </c>
      <c r="G149" s="34">
        <f ca="1">IF(scheduled_no_payments=1,"",IF(Sched_Pay+Extra_Pay&lt;Beg_Bal,Sched_Pay+Extra_Pay,IF(Pay_Num&lt;&gt;"",Beg_Bal,"")))</f>
        <v>989.93360882498609</v>
      </c>
      <c r="H149" s="34">
        <f t="shared" ca="1" si="9"/>
        <v>642.39592783505032</v>
      </c>
      <c r="I149" s="34">
        <f ca="1">IF(Pay_Num&lt;&gt;"",Beg_Bal*(Interest_Rate/VLOOKUP(Interval,LoanLookup[],5,FALSE)),"")</f>
        <v>347.53768098993572</v>
      </c>
      <c r="J149" s="34">
        <f ca="1">IF(scheduled_no_payments=1,"",IF(AND(Pay_Num&lt;&gt;"",Sched_Pay+Extra_Pay&lt;Beg_Bal),Beg_Bal-Princ,IF(Pay_Num&lt;&gt;"",0,"")))</f>
        <v>82766.647509749528</v>
      </c>
      <c r="K149" s="34">
        <f ca="1">IF(scheduled_no_payments=1,"",SUM($I$13:$I149))</f>
        <v>68387.551918772675</v>
      </c>
      <c r="L149" s="38"/>
    </row>
    <row r="150" spans="2:12" ht="16.5" customHeight="1" x14ac:dyDescent="0.25">
      <c r="B150" s="32">
        <f ca="1">IF(AND(Values_Entered,scheduled_no_payments&lt;&gt;1),B149+1,"")</f>
        <v>138</v>
      </c>
      <c r="C150" s="33">
        <f ca="1">IF(Pay_Num&lt;&gt;"",DATE(YEAR(C149)+VLOOKUP(Interval,LoanLookup[],4,FALSE),MONTH(C149)+VLOOKUP(Interval,LoanLookup[],2,FALSE),DAY(C149)+VLOOKUP(Interval,LoanLookup[],3,FALSE)),"")</f>
        <v>49037</v>
      </c>
      <c r="D150" s="34">
        <f t="shared" ca="1" si="8"/>
        <v>82766.647509749528</v>
      </c>
      <c r="E150" s="35">
        <f t="shared" ca="1" si="10"/>
        <v>989.93360882498609</v>
      </c>
      <c r="F150" s="36">
        <f ca="1">IF(scheduled_no_payments=1,"",IF(Sched_Pay+Scheduled_Extra_Payments&lt;Beg_Bal,Scheduled_Extra_Payments,IF(AND(Pay_Num&lt;&gt;"",Beg_Bal-Sched_Pay&gt;0),Beg_Bal-Sched_Pay,IF(Pay_Num&lt;&gt;"",0,""))))</f>
        <v>0</v>
      </c>
      <c r="G150" s="34">
        <f ca="1">IF(scheduled_no_payments=1,"",IF(Sched_Pay+Extra_Pay&lt;Beg_Bal,Sched_Pay+Extra_Pay,IF(Pay_Num&lt;&gt;"",Beg_Bal,"")))</f>
        <v>989.93360882498609</v>
      </c>
      <c r="H150" s="34">
        <f t="shared" ca="1" si="9"/>
        <v>645.07257753436306</v>
      </c>
      <c r="I150" s="34">
        <f ca="1">IF(Pay_Num&lt;&gt;"",Beg_Bal*(Interest_Rate/VLOOKUP(Interval,LoanLookup[],5,FALSE)),"")</f>
        <v>344.86103129062303</v>
      </c>
      <c r="J150" s="34">
        <f ca="1">IF(scheduled_no_payments=1,"",IF(AND(Pay_Num&lt;&gt;"",Sched_Pay+Extra_Pay&lt;Beg_Bal),Beg_Bal-Princ,IF(Pay_Num&lt;&gt;"",0,"")))</f>
        <v>82121.574932215168</v>
      </c>
      <c r="K150" s="34">
        <f ca="1">IF(scheduled_no_payments=1,"",SUM($I$13:$I150))</f>
        <v>68732.412950063299</v>
      </c>
      <c r="L150" s="38"/>
    </row>
    <row r="151" spans="2:12" ht="16.5" customHeight="1" x14ac:dyDescent="0.25">
      <c r="B151" s="32">
        <f ca="1">IF(AND(Values_Entered,scheduled_no_payments&lt;&gt;1),B150+1,"")</f>
        <v>139</v>
      </c>
      <c r="C151" s="33">
        <f ca="1">IF(Pay_Num&lt;&gt;"",DATE(YEAR(C150)+VLOOKUP(Interval,LoanLookup[],4,FALSE),MONTH(C150)+VLOOKUP(Interval,LoanLookup[],2,FALSE),DAY(C150)+VLOOKUP(Interval,LoanLookup[],3,FALSE)),"")</f>
        <v>49067</v>
      </c>
      <c r="D151" s="34">
        <f t="shared" ca="1" si="8"/>
        <v>82121.574932215168</v>
      </c>
      <c r="E151" s="35">
        <f t="shared" ca="1" si="10"/>
        <v>989.93360882498609</v>
      </c>
      <c r="F151" s="36">
        <f ca="1">IF(scheduled_no_payments=1,"",IF(Sched_Pay+Scheduled_Extra_Payments&lt;Beg_Bal,Scheduled_Extra_Payments,IF(AND(Pay_Num&lt;&gt;"",Beg_Bal-Sched_Pay&gt;0),Beg_Bal-Sched_Pay,IF(Pay_Num&lt;&gt;"",0,""))))</f>
        <v>0</v>
      </c>
      <c r="G151" s="34">
        <f ca="1">IF(scheduled_no_payments=1,"",IF(Sched_Pay+Extra_Pay&lt;Beg_Bal,Sched_Pay+Extra_Pay,IF(Pay_Num&lt;&gt;"",Beg_Bal,"")))</f>
        <v>989.93360882498609</v>
      </c>
      <c r="H151" s="34">
        <f t="shared" ca="1" si="9"/>
        <v>647.76037994075625</v>
      </c>
      <c r="I151" s="34">
        <f ca="1">IF(Pay_Num&lt;&gt;"",Beg_Bal*(Interest_Rate/VLOOKUP(Interval,LoanLookup[],5,FALSE)),"")</f>
        <v>342.17322888422984</v>
      </c>
      <c r="J151" s="34">
        <f ca="1">IF(scheduled_no_payments=1,"",IF(AND(Pay_Num&lt;&gt;"",Sched_Pay+Extra_Pay&lt;Beg_Bal),Beg_Bal-Princ,IF(Pay_Num&lt;&gt;"",0,"")))</f>
        <v>81473.814552274416</v>
      </c>
      <c r="K151" s="34">
        <f ca="1">IF(scheduled_no_payments=1,"",SUM($I$13:$I151))</f>
        <v>69074.586178947531</v>
      </c>
      <c r="L151" s="38"/>
    </row>
    <row r="152" spans="2:12" ht="16.5" customHeight="1" x14ac:dyDescent="0.25">
      <c r="B152" s="32">
        <f ca="1">IF(AND(Values_Entered,scheduled_no_payments&lt;&gt;1),B151+1,"")</f>
        <v>140</v>
      </c>
      <c r="C152" s="33">
        <f ca="1">IF(Pay_Num&lt;&gt;"",DATE(YEAR(C151)+VLOOKUP(Interval,LoanLookup[],4,FALSE),MONTH(C151)+VLOOKUP(Interval,LoanLookup[],2,FALSE),DAY(C151)+VLOOKUP(Interval,LoanLookup[],3,FALSE)),"")</f>
        <v>49098</v>
      </c>
      <c r="D152" s="34">
        <f t="shared" ca="1" si="8"/>
        <v>81473.814552274416</v>
      </c>
      <c r="E152" s="35">
        <f t="shared" ca="1" si="10"/>
        <v>989.93360882498609</v>
      </c>
      <c r="F152" s="36">
        <f ca="1">IF(scheduled_no_payments=1,"",IF(Sched_Pay+Scheduled_Extra_Payments&lt;Beg_Bal,Scheduled_Extra_Payments,IF(AND(Pay_Num&lt;&gt;"",Beg_Bal-Sched_Pay&gt;0),Beg_Bal-Sched_Pay,IF(Pay_Num&lt;&gt;"",0,""))))</f>
        <v>0</v>
      </c>
      <c r="G152" s="34">
        <f ca="1">IF(scheduled_no_payments=1,"",IF(Sched_Pay+Extra_Pay&lt;Beg_Bal,Sched_Pay+Extra_Pay,IF(Pay_Num&lt;&gt;"",Beg_Bal,"")))</f>
        <v>989.93360882498609</v>
      </c>
      <c r="H152" s="34">
        <f t="shared" ca="1" si="9"/>
        <v>650.45938152384269</v>
      </c>
      <c r="I152" s="34">
        <f ca="1">IF(Pay_Num&lt;&gt;"",Beg_Bal*(Interest_Rate/VLOOKUP(Interval,LoanLookup[],5,FALSE)),"")</f>
        <v>339.4742273011434</v>
      </c>
      <c r="J152" s="34">
        <f ca="1">IF(scheduled_no_payments=1,"",IF(AND(Pay_Num&lt;&gt;"",Sched_Pay+Extra_Pay&lt;Beg_Bal),Beg_Bal-Princ,IF(Pay_Num&lt;&gt;"",0,"")))</f>
        <v>80823.355170750569</v>
      </c>
      <c r="K152" s="34">
        <f ca="1">IF(scheduled_no_payments=1,"",SUM($I$13:$I152))</f>
        <v>69414.060406248667</v>
      </c>
      <c r="L152" s="38"/>
    </row>
    <row r="153" spans="2:12" ht="16.5" customHeight="1" x14ac:dyDescent="0.25">
      <c r="B153" s="32">
        <f ca="1">IF(AND(Values_Entered,scheduled_no_payments&lt;&gt;1),B152+1,"")</f>
        <v>141</v>
      </c>
      <c r="C153" s="33">
        <f ca="1">IF(Pay_Num&lt;&gt;"",DATE(YEAR(C152)+VLOOKUP(Interval,LoanLookup[],4,FALSE),MONTH(C152)+VLOOKUP(Interval,LoanLookup[],2,FALSE),DAY(C152)+VLOOKUP(Interval,LoanLookup[],3,FALSE)),"")</f>
        <v>49128</v>
      </c>
      <c r="D153" s="34">
        <f t="shared" ca="1" si="8"/>
        <v>80823.355170750569</v>
      </c>
      <c r="E153" s="35">
        <f t="shared" ca="1" si="10"/>
        <v>989.93360882498609</v>
      </c>
      <c r="F153" s="36">
        <f ca="1">IF(scheduled_no_payments=1,"",IF(Sched_Pay+Scheduled_Extra_Payments&lt;Beg_Bal,Scheduled_Extra_Payments,IF(AND(Pay_Num&lt;&gt;"",Beg_Bal-Sched_Pay&gt;0),Beg_Bal-Sched_Pay,IF(Pay_Num&lt;&gt;"",0,""))))</f>
        <v>0</v>
      </c>
      <c r="G153" s="34">
        <f ca="1">IF(scheduled_no_payments=1,"",IF(Sched_Pay+Extra_Pay&lt;Beg_Bal,Sched_Pay+Extra_Pay,IF(Pay_Num&lt;&gt;"",Beg_Bal,"")))</f>
        <v>989.93360882498609</v>
      </c>
      <c r="H153" s="34">
        <f t="shared" ca="1" si="9"/>
        <v>653.16962894685867</v>
      </c>
      <c r="I153" s="34">
        <f ca="1">IF(Pay_Num&lt;&gt;"",Beg_Bal*(Interest_Rate/VLOOKUP(Interval,LoanLookup[],5,FALSE)),"")</f>
        <v>336.76397987812737</v>
      </c>
      <c r="J153" s="34">
        <f ca="1">IF(scheduled_no_payments=1,"",IF(AND(Pay_Num&lt;&gt;"",Sched_Pay+Extra_Pay&lt;Beg_Bal),Beg_Bal-Princ,IF(Pay_Num&lt;&gt;"",0,"")))</f>
        <v>80170.185541803716</v>
      </c>
      <c r="K153" s="34">
        <f ca="1">IF(scheduled_no_payments=1,"",SUM($I$13:$I153))</f>
        <v>69750.824386126798</v>
      </c>
      <c r="L153" s="38"/>
    </row>
    <row r="154" spans="2:12" ht="16.5" customHeight="1" x14ac:dyDescent="0.25">
      <c r="B154" s="32">
        <f ca="1">IF(AND(Values_Entered,scheduled_no_payments&lt;&gt;1),B153+1,"")</f>
        <v>142</v>
      </c>
      <c r="C154" s="33">
        <f ca="1">IF(Pay_Num&lt;&gt;"",DATE(YEAR(C153)+VLOOKUP(Interval,LoanLookup[],4,FALSE),MONTH(C153)+VLOOKUP(Interval,LoanLookup[],2,FALSE),DAY(C153)+VLOOKUP(Interval,LoanLookup[],3,FALSE)),"")</f>
        <v>49159</v>
      </c>
      <c r="D154" s="34">
        <f t="shared" ca="1" si="8"/>
        <v>80170.185541803716</v>
      </c>
      <c r="E154" s="35">
        <f t="shared" ca="1" si="10"/>
        <v>989.93360882498609</v>
      </c>
      <c r="F154" s="36">
        <f ca="1">IF(scheduled_no_payments=1,"",IF(Sched_Pay+Scheduled_Extra_Payments&lt;Beg_Bal,Scheduled_Extra_Payments,IF(AND(Pay_Num&lt;&gt;"",Beg_Bal-Sched_Pay&gt;0),Beg_Bal-Sched_Pay,IF(Pay_Num&lt;&gt;"",0,""))))</f>
        <v>0</v>
      </c>
      <c r="G154" s="34">
        <f ca="1">IF(scheduled_no_payments=1,"",IF(Sched_Pay+Extra_Pay&lt;Beg_Bal,Sched_Pay+Extra_Pay,IF(Pay_Num&lt;&gt;"",Beg_Bal,"")))</f>
        <v>989.93360882498609</v>
      </c>
      <c r="H154" s="34">
        <f t="shared" ca="1" si="9"/>
        <v>655.89116906747063</v>
      </c>
      <c r="I154" s="34">
        <f ca="1">IF(Pay_Num&lt;&gt;"",Beg_Bal*(Interest_Rate/VLOOKUP(Interval,LoanLookup[],5,FALSE)),"")</f>
        <v>334.04243975751547</v>
      </c>
      <c r="J154" s="34">
        <f ca="1">IF(scheduled_no_payments=1,"",IF(AND(Pay_Num&lt;&gt;"",Sched_Pay+Extra_Pay&lt;Beg_Bal),Beg_Bal-Princ,IF(Pay_Num&lt;&gt;"",0,"")))</f>
        <v>79514.294372736244</v>
      </c>
      <c r="K154" s="34">
        <f ca="1">IF(scheduled_no_payments=1,"",SUM($I$13:$I154))</f>
        <v>70084.86682588431</v>
      </c>
      <c r="L154" s="38"/>
    </row>
    <row r="155" spans="2:12" ht="16.5" customHeight="1" x14ac:dyDescent="0.25">
      <c r="B155" s="32">
        <f ca="1">IF(AND(Values_Entered,scheduled_no_payments&lt;&gt;1),B154+1,"")</f>
        <v>143</v>
      </c>
      <c r="C155" s="33">
        <f ca="1">IF(Pay_Num&lt;&gt;"",DATE(YEAR(C154)+VLOOKUP(Interval,LoanLookup[],4,FALSE),MONTH(C154)+VLOOKUP(Interval,LoanLookup[],2,FALSE),DAY(C154)+VLOOKUP(Interval,LoanLookup[],3,FALSE)),"")</f>
        <v>49190</v>
      </c>
      <c r="D155" s="34">
        <f t="shared" ca="1" si="8"/>
        <v>79514.294372736244</v>
      </c>
      <c r="E155" s="35">
        <f t="shared" ca="1" si="10"/>
        <v>989.93360882498609</v>
      </c>
      <c r="F155" s="36">
        <f ca="1">IF(scheduled_no_payments=1,"",IF(Sched_Pay+Scheduled_Extra_Payments&lt;Beg_Bal,Scheduled_Extra_Payments,IF(AND(Pay_Num&lt;&gt;"",Beg_Bal-Sched_Pay&gt;0),Beg_Bal-Sched_Pay,IF(Pay_Num&lt;&gt;"",0,""))))</f>
        <v>0</v>
      </c>
      <c r="G155" s="34">
        <f ca="1">IF(scheduled_no_payments=1,"",IF(Sched_Pay+Extra_Pay&lt;Beg_Bal,Sched_Pay+Extra_Pay,IF(Pay_Num&lt;&gt;"",Beg_Bal,"")))</f>
        <v>989.93360882498609</v>
      </c>
      <c r="H155" s="34">
        <f t="shared" ca="1" si="9"/>
        <v>658.62404893858502</v>
      </c>
      <c r="I155" s="34">
        <f ca="1">IF(Pay_Num&lt;&gt;"",Beg_Bal*(Interest_Rate/VLOOKUP(Interval,LoanLookup[],5,FALSE)),"")</f>
        <v>331.30955988640102</v>
      </c>
      <c r="J155" s="34">
        <f ca="1">IF(scheduled_no_payments=1,"",IF(AND(Pay_Num&lt;&gt;"",Sched_Pay+Extra_Pay&lt;Beg_Bal),Beg_Bal-Princ,IF(Pay_Num&lt;&gt;"",0,"")))</f>
        <v>78855.670323797662</v>
      </c>
      <c r="K155" s="34">
        <f ca="1">IF(scheduled_no_payments=1,"",SUM($I$13:$I155))</f>
        <v>70416.176385770712</v>
      </c>
      <c r="L155" s="38"/>
    </row>
    <row r="156" spans="2:12" ht="16.5" customHeight="1" x14ac:dyDescent="0.25">
      <c r="B156" s="32">
        <f ca="1">IF(AND(Values_Entered,scheduled_no_payments&lt;&gt;1),B155+1,"")</f>
        <v>144</v>
      </c>
      <c r="C156" s="33">
        <f ca="1">IF(Pay_Num&lt;&gt;"",DATE(YEAR(C155)+VLOOKUP(Interval,LoanLookup[],4,FALSE),MONTH(C155)+VLOOKUP(Interval,LoanLookup[],2,FALSE),DAY(C155)+VLOOKUP(Interval,LoanLookup[],3,FALSE)),"")</f>
        <v>49220</v>
      </c>
      <c r="D156" s="34">
        <f t="shared" ca="1" si="8"/>
        <v>78855.670323797662</v>
      </c>
      <c r="E156" s="35">
        <f t="shared" ca="1" si="10"/>
        <v>989.93360882498609</v>
      </c>
      <c r="F156" s="36">
        <f ca="1">IF(scheduled_no_payments=1,"",IF(Sched_Pay+Scheduled_Extra_Payments&lt;Beg_Bal,Scheduled_Extra_Payments,IF(AND(Pay_Num&lt;&gt;"",Beg_Bal-Sched_Pay&gt;0),Beg_Bal-Sched_Pay,IF(Pay_Num&lt;&gt;"",0,""))))</f>
        <v>0</v>
      </c>
      <c r="G156" s="34">
        <f ca="1">IF(scheduled_no_payments=1,"",IF(Sched_Pay+Extra_Pay&lt;Beg_Bal,Sched_Pay+Extra_Pay,IF(Pay_Num&lt;&gt;"",Beg_Bal,"")))</f>
        <v>989.93360882498609</v>
      </c>
      <c r="H156" s="34">
        <f t="shared" ca="1" si="9"/>
        <v>661.36831580916248</v>
      </c>
      <c r="I156" s="34">
        <f ca="1">IF(Pay_Num&lt;&gt;"",Beg_Bal*(Interest_Rate/VLOOKUP(Interval,LoanLookup[],5,FALSE)),"")</f>
        <v>328.56529301582361</v>
      </c>
      <c r="J156" s="34">
        <f ca="1">IF(scheduled_no_payments=1,"",IF(AND(Pay_Num&lt;&gt;"",Sched_Pay+Extra_Pay&lt;Beg_Bal),Beg_Bal-Princ,IF(Pay_Num&lt;&gt;"",0,"")))</f>
        <v>78194.302007988503</v>
      </c>
      <c r="K156" s="34">
        <f ca="1">IF(scheduled_no_payments=1,"",SUM($I$13:$I156))</f>
        <v>70744.741678786537</v>
      </c>
      <c r="L156" s="38"/>
    </row>
    <row r="157" spans="2:12" ht="16.5" customHeight="1" x14ac:dyDescent="0.25">
      <c r="B157" s="32">
        <f ca="1">IF(AND(Values_Entered,scheduled_no_payments&lt;&gt;1),B156+1,"")</f>
        <v>145</v>
      </c>
      <c r="C157" s="33">
        <f ca="1">IF(Pay_Num&lt;&gt;"",DATE(YEAR(C156)+VLOOKUP(Interval,LoanLookup[],4,FALSE),MONTH(C156)+VLOOKUP(Interval,LoanLookup[],2,FALSE),DAY(C156)+VLOOKUP(Interval,LoanLookup[],3,FALSE)),"")</f>
        <v>49251</v>
      </c>
      <c r="D157" s="34">
        <f t="shared" ca="1" si="8"/>
        <v>78194.302007988503</v>
      </c>
      <c r="E157" s="35">
        <f t="shared" ca="1" si="10"/>
        <v>989.93360882498609</v>
      </c>
      <c r="F157" s="36">
        <f ca="1">IF(scheduled_no_payments=1,"",IF(Sched_Pay+Scheduled_Extra_Payments&lt;Beg_Bal,Scheduled_Extra_Payments,IF(AND(Pay_Num&lt;&gt;"",Beg_Bal-Sched_Pay&gt;0),Beg_Bal-Sched_Pay,IF(Pay_Num&lt;&gt;"",0,""))))</f>
        <v>0</v>
      </c>
      <c r="G157" s="34">
        <f ca="1">IF(scheduled_no_payments=1,"",IF(Sched_Pay+Extra_Pay&lt;Beg_Bal,Sched_Pay+Extra_Pay,IF(Pay_Num&lt;&gt;"",Beg_Bal,"")))</f>
        <v>989.93360882498609</v>
      </c>
      <c r="H157" s="34">
        <f t="shared" ca="1" si="9"/>
        <v>664.12401712503402</v>
      </c>
      <c r="I157" s="34">
        <f ca="1">IF(Pay_Num&lt;&gt;"",Beg_Bal*(Interest_Rate/VLOOKUP(Interval,LoanLookup[],5,FALSE)),"")</f>
        <v>325.80959169995208</v>
      </c>
      <c r="J157" s="34">
        <f ca="1">IF(scheduled_no_payments=1,"",IF(AND(Pay_Num&lt;&gt;"",Sched_Pay+Extra_Pay&lt;Beg_Bal),Beg_Bal-Princ,IF(Pay_Num&lt;&gt;"",0,"")))</f>
        <v>77530.177990863463</v>
      </c>
      <c r="K157" s="34">
        <f ca="1">IF(scheduled_no_payments=1,"",SUM($I$13:$I157))</f>
        <v>71070.551270486496</v>
      </c>
      <c r="L157" s="38"/>
    </row>
    <row r="158" spans="2:12" ht="16.5" customHeight="1" x14ac:dyDescent="0.25">
      <c r="B158" s="32">
        <f ca="1">IF(AND(Values_Entered,scheduled_no_payments&lt;&gt;1),B157+1,"")</f>
        <v>146</v>
      </c>
      <c r="C158" s="33">
        <f ca="1">IF(Pay_Num&lt;&gt;"",DATE(YEAR(C157)+VLOOKUP(Interval,LoanLookup[],4,FALSE),MONTH(C157)+VLOOKUP(Interval,LoanLookup[],2,FALSE),DAY(C157)+VLOOKUP(Interval,LoanLookup[],3,FALSE)),"")</f>
        <v>49281</v>
      </c>
      <c r="D158" s="34">
        <f t="shared" ca="1" si="8"/>
        <v>77530.177990863463</v>
      </c>
      <c r="E158" s="35">
        <f t="shared" ca="1" si="10"/>
        <v>989.93360882498609</v>
      </c>
      <c r="F158" s="36">
        <f ca="1">IF(scheduled_no_payments=1,"",IF(Sched_Pay+Scheduled_Extra_Payments&lt;Beg_Bal,Scheduled_Extra_Payments,IF(AND(Pay_Num&lt;&gt;"",Beg_Bal-Sched_Pay&gt;0),Beg_Bal-Sched_Pay,IF(Pay_Num&lt;&gt;"",0,""))))</f>
        <v>0</v>
      </c>
      <c r="G158" s="34">
        <f ca="1">IF(scheduled_no_payments=1,"",IF(Sched_Pay+Extra_Pay&lt;Beg_Bal,Sched_Pay+Extra_Pay,IF(Pay_Num&lt;&gt;"",Beg_Bal,"")))</f>
        <v>989.93360882498609</v>
      </c>
      <c r="H158" s="34">
        <f t="shared" ca="1" si="9"/>
        <v>666.89120052972169</v>
      </c>
      <c r="I158" s="34">
        <f ca="1">IF(Pay_Num&lt;&gt;"",Beg_Bal*(Interest_Rate/VLOOKUP(Interval,LoanLookup[],5,FALSE)),"")</f>
        <v>323.04240829526441</v>
      </c>
      <c r="J158" s="34">
        <f ca="1">IF(scheduled_no_payments=1,"",IF(AND(Pay_Num&lt;&gt;"",Sched_Pay+Extra_Pay&lt;Beg_Bal),Beg_Bal-Princ,IF(Pay_Num&lt;&gt;"",0,"")))</f>
        <v>76863.286790333746</v>
      </c>
      <c r="K158" s="34">
        <f ca="1">IF(scheduled_no_payments=1,"",SUM($I$13:$I158))</f>
        <v>71393.593678781763</v>
      </c>
      <c r="L158" s="38"/>
    </row>
    <row r="159" spans="2:12" ht="16.5" customHeight="1" x14ac:dyDescent="0.25">
      <c r="B159" s="32">
        <f ca="1">IF(AND(Values_Entered,scheduled_no_payments&lt;&gt;1),B158+1,"")</f>
        <v>147</v>
      </c>
      <c r="C159" s="33">
        <f ca="1">IF(Pay_Num&lt;&gt;"",DATE(YEAR(C158)+VLOOKUP(Interval,LoanLookup[],4,FALSE),MONTH(C158)+VLOOKUP(Interval,LoanLookup[],2,FALSE),DAY(C158)+VLOOKUP(Interval,LoanLookup[],3,FALSE)),"")</f>
        <v>49312</v>
      </c>
      <c r="D159" s="34">
        <f t="shared" ca="1" si="8"/>
        <v>76863.286790333746</v>
      </c>
      <c r="E159" s="35">
        <f t="shared" ca="1" si="10"/>
        <v>989.93360882498609</v>
      </c>
      <c r="F159" s="36">
        <f ca="1">IF(scheduled_no_payments=1,"",IF(Sched_Pay+Scheduled_Extra_Payments&lt;Beg_Bal,Scheduled_Extra_Payments,IF(AND(Pay_Num&lt;&gt;"",Beg_Bal-Sched_Pay&gt;0),Beg_Bal-Sched_Pay,IF(Pay_Num&lt;&gt;"",0,""))))</f>
        <v>0</v>
      </c>
      <c r="G159" s="34">
        <f ca="1">IF(scheduled_no_payments=1,"",IF(Sched_Pay+Extra_Pay&lt;Beg_Bal,Sched_Pay+Extra_Pay,IF(Pay_Num&lt;&gt;"",Beg_Bal,"")))</f>
        <v>989.93360882498609</v>
      </c>
      <c r="H159" s="34">
        <f t="shared" ca="1" si="9"/>
        <v>669.66991386526217</v>
      </c>
      <c r="I159" s="34">
        <f ca="1">IF(Pay_Num&lt;&gt;"",Beg_Bal*(Interest_Rate/VLOOKUP(Interval,LoanLookup[],5,FALSE)),"")</f>
        <v>320.26369495972392</v>
      </c>
      <c r="J159" s="34">
        <f ca="1">IF(scheduled_no_payments=1,"",IF(AND(Pay_Num&lt;&gt;"",Sched_Pay+Extra_Pay&lt;Beg_Bal),Beg_Bal-Princ,IF(Pay_Num&lt;&gt;"",0,"")))</f>
        <v>76193.616876468484</v>
      </c>
      <c r="K159" s="34">
        <f ca="1">IF(scheduled_no_payments=1,"",SUM($I$13:$I159))</f>
        <v>71713.857373741484</v>
      </c>
      <c r="L159" s="38"/>
    </row>
    <row r="160" spans="2:12" ht="16.5" customHeight="1" x14ac:dyDescent="0.25">
      <c r="B160" s="32">
        <f ca="1">IF(AND(Values_Entered,scheduled_no_payments&lt;&gt;1),B159+1,"")</f>
        <v>148</v>
      </c>
      <c r="C160" s="33">
        <f ca="1">IF(Pay_Num&lt;&gt;"",DATE(YEAR(C159)+VLOOKUP(Interval,LoanLookup[],4,FALSE),MONTH(C159)+VLOOKUP(Interval,LoanLookup[],2,FALSE),DAY(C159)+VLOOKUP(Interval,LoanLookup[],3,FALSE)),"")</f>
        <v>49343</v>
      </c>
      <c r="D160" s="34">
        <f t="shared" ca="1" si="8"/>
        <v>76193.616876468484</v>
      </c>
      <c r="E160" s="35">
        <f t="shared" ca="1" si="10"/>
        <v>989.93360882498609</v>
      </c>
      <c r="F160" s="36">
        <f ca="1">IF(scheduled_no_payments=1,"",IF(Sched_Pay+Scheduled_Extra_Payments&lt;Beg_Bal,Scheduled_Extra_Payments,IF(AND(Pay_Num&lt;&gt;"",Beg_Bal-Sched_Pay&gt;0),Beg_Bal-Sched_Pay,IF(Pay_Num&lt;&gt;"",0,""))))</f>
        <v>0</v>
      </c>
      <c r="G160" s="34">
        <f ca="1">IF(scheduled_no_payments=1,"",IF(Sched_Pay+Extra_Pay&lt;Beg_Bal,Sched_Pay+Extra_Pay,IF(Pay_Num&lt;&gt;"",Beg_Bal,"")))</f>
        <v>989.93360882498609</v>
      </c>
      <c r="H160" s="34">
        <f t="shared" ca="1" si="9"/>
        <v>672.46020517303407</v>
      </c>
      <c r="I160" s="34">
        <f ca="1">IF(Pay_Num&lt;&gt;"",Beg_Bal*(Interest_Rate/VLOOKUP(Interval,LoanLookup[],5,FALSE)),"")</f>
        <v>317.47340365195203</v>
      </c>
      <c r="J160" s="34">
        <f ca="1">IF(scheduled_no_payments=1,"",IF(AND(Pay_Num&lt;&gt;"",Sched_Pay+Extra_Pay&lt;Beg_Bal),Beg_Bal-Princ,IF(Pay_Num&lt;&gt;"",0,"")))</f>
        <v>75521.156671295452</v>
      </c>
      <c r="K160" s="34">
        <f ca="1">IF(scheduled_no_payments=1,"",SUM($I$13:$I160))</f>
        <v>72031.330777393436</v>
      </c>
      <c r="L160" s="38"/>
    </row>
    <row r="161" spans="2:12" ht="16.5" customHeight="1" x14ac:dyDescent="0.25">
      <c r="B161" s="32">
        <f ca="1">IF(AND(Values_Entered,scheduled_no_payments&lt;&gt;1),B160+1,"")</f>
        <v>149</v>
      </c>
      <c r="C161" s="33">
        <f ca="1">IF(Pay_Num&lt;&gt;"",DATE(YEAR(C160)+VLOOKUP(Interval,LoanLookup[],4,FALSE),MONTH(C160)+VLOOKUP(Interval,LoanLookup[],2,FALSE),DAY(C160)+VLOOKUP(Interval,LoanLookup[],3,FALSE)),"")</f>
        <v>49371</v>
      </c>
      <c r="D161" s="34">
        <f t="shared" ca="1" si="8"/>
        <v>75521.156671295452</v>
      </c>
      <c r="E161" s="35">
        <f t="shared" ca="1" si="10"/>
        <v>989.93360882498609</v>
      </c>
      <c r="F161" s="36">
        <f ca="1">IF(scheduled_no_payments=1,"",IF(Sched_Pay+Scheduled_Extra_Payments&lt;Beg_Bal,Scheduled_Extra_Payments,IF(AND(Pay_Num&lt;&gt;"",Beg_Bal-Sched_Pay&gt;0),Beg_Bal-Sched_Pay,IF(Pay_Num&lt;&gt;"",0,""))))</f>
        <v>0</v>
      </c>
      <c r="G161" s="34">
        <f ca="1">IF(scheduled_no_payments=1,"",IF(Sched_Pay+Extra_Pay&lt;Beg_Bal,Sched_Pay+Extra_Pay,IF(Pay_Num&lt;&gt;"",Beg_Bal,"")))</f>
        <v>989.93360882498609</v>
      </c>
      <c r="H161" s="34">
        <f t="shared" ca="1" si="9"/>
        <v>675.26212269458836</v>
      </c>
      <c r="I161" s="34">
        <f ca="1">IF(Pay_Num&lt;&gt;"",Beg_Bal*(Interest_Rate/VLOOKUP(Interval,LoanLookup[],5,FALSE)),"")</f>
        <v>314.67148613039774</v>
      </c>
      <c r="J161" s="34">
        <f ca="1">IF(scheduled_no_payments=1,"",IF(AND(Pay_Num&lt;&gt;"",Sched_Pay+Extra_Pay&lt;Beg_Bal),Beg_Bal-Princ,IF(Pay_Num&lt;&gt;"",0,"")))</f>
        <v>74845.89454860086</v>
      </c>
      <c r="K161" s="34">
        <f ca="1">IF(scheduled_no_payments=1,"",SUM($I$13:$I161))</f>
        <v>72346.002263523827</v>
      </c>
      <c r="L161" s="38"/>
    </row>
    <row r="162" spans="2:12" ht="16.5" customHeight="1" x14ac:dyDescent="0.25">
      <c r="B162" s="32">
        <f ca="1">IF(AND(Values_Entered,scheduled_no_payments&lt;&gt;1),B161+1,"")</f>
        <v>150</v>
      </c>
      <c r="C162" s="33">
        <f ca="1">IF(Pay_Num&lt;&gt;"",DATE(YEAR(C161)+VLOOKUP(Interval,LoanLookup[],4,FALSE),MONTH(C161)+VLOOKUP(Interval,LoanLookup[],2,FALSE),DAY(C161)+VLOOKUP(Interval,LoanLookup[],3,FALSE)),"")</f>
        <v>49402</v>
      </c>
      <c r="D162" s="34">
        <f t="shared" ca="1" si="8"/>
        <v>74845.89454860086</v>
      </c>
      <c r="E162" s="35">
        <f t="shared" ca="1" si="10"/>
        <v>989.93360882498609</v>
      </c>
      <c r="F162" s="36">
        <f ca="1">IF(scheduled_no_payments=1,"",IF(Sched_Pay+Scheduled_Extra_Payments&lt;Beg_Bal,Scheduled_Extra_Payments,IF(AND(Pay_Num&lt;&gt;"",Beg_Bal-Sched_Pay&gt;0),Beg_Bal-Sched_Pay,IF(Pay_Num&lt;&gt;"",0,""))))</f>
        <v>0</v>
      </c>
      <c r="G162" s="34">
        <f ca="1">IF(scheduled_no_payments=1,"",IF(Sched_Pay+Extra_Pay&lt;Beg_Bal,Sched_Pay+Extra_Pay,IF(Pay_Num&lt;&gt;"",Beg_Bal,"")))</f>
        <v>989.93360882498609</v>
      </c>
      <c r="H162" s="34">
        <f t="shared" ca="1" si="9"/>
        <v>678.07571487248254</v>
      </c>
      <c r="I162" s="34">
        <f ca="1">IF(Pay_Num&lt;&gt;"",Beg_Bal*(Interest_Rate/VLOOKUP(Interval,LoanLookup[],5,FALSE)),"")</f>
        <v>311.85789395250356</v>
      </c>
      <c r="J162" s="34">
        <f ca="1">IF(scheduled_no_payments=1,"",IF(AND(Pay_Num&lt;&gt;"",Sched_Pay+Extra_Pay&lt;Beg_Bal),Beg_Bal-Princ,IF(Pay_Num&lt;&gt;"",0,"")))</f>
        <v>74167.818833728379</v>
      </c>
      <c r="K162" s="34">
        <f ca="1">IF(scheduled_no_payments=1,"",SUM($I$13:$I162))</f>
        <v>72657.860157476331</v>
      </c>
      <c r="L162" s="38"/>
    </row>
    <row r="163" spans="2:12" ht="16.5" customHeight="1" x14ac:dyDescent="0.25">
      <c r="B163" s="32">
        <f ca="1">IF(AND(Values_Entered,scheduled_no_payments&lt;&gt;1),B162+1,"")</f>
        <v>151</v>
      </c>
      <c r="C163" s="33">
        <f ca="1">IF(Pay_Num&lt;&gt;"",DATE(YEAR(C162)+VLOOKUP(Interval,LoanLookup[],4,FALSE),MONTH(C162)+VLOOKUP(Interval,LoanLookup[],2,FALSE),DAY(C162)+VLOOKUP(Interval,LoanLookup[],3,FALSE)),"")</f>
        <v>49432</v>
      </c>
      <c r="D163" s="34">
        <f t="shared" ca="1" si="8"/>
        <v>74167.818833728379</v>
      </c>
      <c r="E163" s="35">
        <f t="shared" ca="1" si="10"/>
        <v>989.93360882498609</v>
      </c>
      <c r="F163" s="36">
        <f ca="1">IF(scheduled_no_payments=1,"",IF(Sched_Pay+Scheduled_Extra_Payments&lt;Beg_Bal,Scheduled_Extra_Payments,IF(AND(Pay_Num&lt;&gt;"",Beg_Bal-Sched_Pay&gt;0),Beg_Bal-Sched_Pay,IF(Pay_Num&lt;&gt;"",0,""))))</f>
        <v>0</v>
      </c>
      <c r="G163" s="34">
        <f ca="1">IF(scheduled_no_payments=1,"",IF(Sched_Pay+Extra_Pay&lt;Beg_Bal,Sched_Pay+Extra_Pay,IF(Pay_Num&lt;&gt;"",Beg_Bal,"")))</f>
        <v>989.93360882498609</v>
      </c>
      <c r="H163" s="34">
        <f t="shared" ca="1" si="9"/>
        <v>680.90103035111792</v>
      </c>
      <c r="I163" s="34">
        <f ca="1">IF(Pay_Num&lt;&gt;"",Beg_Bal*(Interest_Rate/VLOOKUP(Interval,LoanLookup[],5,FALSE)),"")</f>
        <v>309.03257847386823</v>
      </c>
      <c r="J163" s="34">
        <f ca="1">IF(scheduled_no_payments=1,"",IF(AND(Pay_Num&lt;&gt;"",Sched_Pay+Extra_Pay&lt;Beg_Bal),Beg_Bal-Princ,IF(Pay_Num&lt;&gt;"",0,"")))</f>
        <v>73486.917803377262</v>
      </c>
      <c r="K163" s="34">
        <f ca="1">IF(scheduled_no_payments=1,"",SUM($I$13:$I163))</f>
        <v>72966.892735950198</v>
      </c>
      <c r="L163" s="38"/>
    </row>
    <row r="164" spans="2:12" ht="16.5" customHeight="1" x14ac:dyDescent="0.25">
      <c r="B164" s="32">
        <f ca="1">IF(AND(Values_Entered,scheduled_no_payments&lt;&gt;1),B163+1,"")</f>
        <v>152</v>
      </c>
      <c r="C164" s="33">
        <f ca="1">IF(Pay_Num&lt;&gt;"",DATE(YEAR(C163)+VLOOKUP(Interval,LoanLookup[],4,FALSE),MONTH(C163)+VLOOKUP(Interval,LoanLookup[],2,FALSE),DAY(C163)+VLOOKUP(Interval,LoanLookup[],3,FALSE)),"")</f>
        <v>49463</v>
      </c>
      <c r="D164" s="34">
        <f t="shared" ca="1" si="8"/>
        <v>73486.917803377262</v>
      </c>
      <c r="E164" s="35">
        <f t="shared" ca="1" si="10"/>
        <v>989.93360882498609</v>
      </c>
      <c r="F164" s="36">
        <f ca="1">IF(scheduled_no_payments=1,"",IF(Sched_Pay+Scheduled_Extra_Payments&lt;Beg_Bal,Scheduled_Extra_Payments,IF(AND(Pay_Num&lt;&gt;"",Beg_Bal-Sched_Pay&gt;0),Beg_Bal-Sched_Pay,IF(Pay_Num&lt;&gt;"",0,""))))</f>
        <v>0</v>
      </c>
      <c r="G164" s="34">
        <f ca="1">IF(scheduled_no_payments=1,"",IF(Sched_Pay+Extra_Pay&lt;Beg_Bal,Sched_Pay+Extra_Pay,IF(Pay_Num&lt;&gt;"",Beg_Bal,"")))</f>
        <v>989.93360882498609</v>
      </c>
      <c r="H164" s="34">
        <f t="shared" ca="1" si="9"/>
        <v>683.73811797758083</v>
      </c>
      <c r="I164" s="34">
        <f ca="1">IF(Pay_Num&lt;&gt;"",Beg_Bal*(Interest_Rate/VLOOKUP(Interval,LoanLookup[],5,FALSE)),"")</f>
        <v>306.19549084740527</v>
      </c>
      <c r="J164" s="34">
        <f ca="1">IF(scheduled_no_payments=1,"",IF(AND(Pay_Num&lt;&gt;"",Sched_Pay+Extra_Pay&lt;Beg_Bal),Beg_Bal-Princ,IF(Pay_Num&lt;&gt;"",0,"")))</f>
        <v>72803.179685399678</v>
      </c>
      <c r="K164" s="34">
        <f ca="1">IF(scheduled_no_payments=1,"",SUM($I$13:$I164))</f>
        <v>73273.088226797598</v>
      </c>
      <c r="L164" s="38"/>
    </row>
    <row r="165" spans="2:12" ht="16.5" customHeight="1" x14ac:dyDescent="0.25">
      <c r="B165" s="32">
        <f ca="1">IF(AND(Values_Entered,scheduled_no_payments&lt;&gt;1),B164+1,"")</f>
        <v>153</v>
      </c>
      <c r="C165" s="33">
        <f ca="1">IF(Pay_Num&lt;&gt;"",DATE(YEAR(C164)+VLOOKUP(Interval,LoanLookup[],4,FALSE),MONTH(C164)+VLOOKUP(Interval,LoanLookup[],2,FALSE),DAY(C164)+VLOOKUP(Interval,LoanLookup[],3,FALSE)),"")</f>
        <v>49493</v>
      </c>
      <c r="D165" s="34">
        <f t="shared" ca="1" si="8"/>
        <v>72803.179685399678</v>
      </c>
      <c r="E165" s="35">
        <f t="shared" ca="1" si="10"/>
        <v>989.93360882498609</v>
      </c>
      <c r="F165" s="36">
        <f ca="1">IF(scheduled_no_payments=1,"",IF(Sched_Pay+Scheduled_Extra_Payments&lt;Beg_Bal,Scheduled_Extra_Payments,IF(AND(Pay_Num&lt;&gt;"",Beg_Bal-Sched_Pay&gt;0),Beg_Bal-Sched_Pay,IF(Pay_Num&lt;&gt;"",0,""))))</f>
        <v>0</v>
      </c>
      <c r="G165" s="34">
        <f ca="1">IF(scheduled_no_payments=1,"",IF(Sched_Pay+Extra_Pay&lt;Beg_Bal,Sched_Pay+Extra_Pay,IF(Pay_Num&lt;&gt;"",Beg_Bal,"")))</f>
        <v>989.93360882498609</v>
      </c>
      <c r="H165" s="34">
        <f t="shared" ca="1" si="9"/>
        <v>686.58702680248746</v>
      </c>
      <c r="I165" s="34">
        <f ca="1">IF(Pay_Num&lt;&gt;"",Beg_Bal*(Interest_Rate/VLOOKUP(Interval,LoanLookup[],5,FALSE)),"")</f>
        <v>303.34658202249864</v>
      </c>
      <c r="J165" s="34">
        <f ca="1">IF(scheduled_no_payments=1,"",IF(AND(Pay_Num&lt;&gt;"",Sched_Pay+Extra_Pay&lt;Beg_Bal),Beg_Bal-Princ,IF(Pay_Num&lt;&gt;"",0,"")))</f>
        <v>72116.59265859719</v>
      </c>
      <c r="K165" s="34">
        <f ca="1">IF(scheduled_no_payments=1,"",SUM($I$13:$I165))</f>
        <v>73576.434808820093</v>
      </c>
      <c r="L165" s="38"/>
    </row>
    <row r="166" spans="2:12" ht="16.5" customHeight="1" x14ac:dyDescent="0.25">
      <c r="B166" s="32">
        <f ca="1">IF(AND(Values_Entered,scheduled_no_payments&lt;&gt;1),B165+1,"")</f>
        <v>154</v>
      </c>
      <c r="C166" s="33">
        <f ca="1">IF(Pay_Num&lt;&gt;"",DATE(YEAR(C165)+VLOOKUP(Interval,LoanLookup[],4,FALSE),MONTH(C165)+VLOOKUP(Interval,LoanLookup[],2,FALSE),DAY(C165)+VLOOKUP(Interval,LoanLookup[],3,FALSE)),"")</f>
        <v>49524</v>
      </c>
      <c r="D166" s="34">
        <f t="shared" ca="1" si="8"/>
        <v>72116.59265859719</v>
      </c>
      <c r="E166" s="35">
        <f t="shared" ca="1" si="10"/>
        <v>989.93360882498609</v>
      </c>
      <c r="F166" s="36">
        <f ca="1">IF(scheduled_no_payments=1,"",IF(Sched_Pay+Scheduled_Extra_Payments&lt;Beg_Bal,Scheduled_Extra_Payments,IF(AND(Pay_Num&lt;&gt;"",Beg_Bal-Sched_Pay&gt;0),Beg_Bal-Sched_Pay,IF(Pay_Num&lt;&gt;"",0,""))))</f>
        <v>0</v>
      </c>
      <c r="G166" s="34">
        <f ca="1">IF(scheduled_no_payments=1,"",IF(Sched_Pay+Extra_Pay&lt;Beg_Bal,Sched_Pay+Extra_Pay,IF(Pay_Num&lt;&gt;"",Beg_Bal,"")))</f>
        <v>989.93360882498609</v>
      </c>
      <c r="H166" s="34">
        <f t="shared" ca="1" si="9"/>
        <v>689.44780608083113</v>
      </c>
      <c r="I166" s="34">
        <f ca="1">IF(Pay_Num&lt;&gt;"",Beg_Bal*(Interest_Rate/VLOOKUP(Interval,LoanLookup[],5,FALSE)),"")</f>
        <v>300.48580274415497</v>
      </c>
      <c r="J166" s="34">
        <f ca="1">IF(scheduled_no_payments=1,"",IF(AND(Pay_Num&lt;&gt;"",Sched_Pay+Extra_Pay&lt;Beg_Bal),Beg_Bal-Princ,IF(Pay_Num&lt;&gt;"",0,"")))</f>
        <v>71427.144852516358</v>
      </c>
      <c r="K166" s="34">
        <f ca="1">IF(scheduled_no_payments=1,"",SUM($I$13:$I166))</f>
        <v>73876.920611564245</v>
      </c>
      <c r="L166" s="38"/>
    </row>
    <row r="167" spans="2:12" ht="16.5" customHeight="1" x14ac:dyDescent="0.25">
      <c r="B167" s="32">
        <f ca="1">IF(AND(Values_Entered,scheduled_no_payments&lt;&gt;1),B166+1,"")</f>
        <v>155</v>
      </c>
      <c r="C167" s="33">
        <f ca="1">IF(Pay_Num&lt;&gt;"",DATE(YEAR(C166)+VLOOKUP(Interval,LoanLookup[],4,FALSE),MONTH(C166)+VLOOKUP(Interval,LoanLookup[],2,FALSE),DAY(C166)+VLOOKUP(Interval,LoanLookup[],3,FALSE)),"")</f>
        <v>49555</v>
      </c>
      <c r="D167" s="34">
        <f t="shared" ca="1" si="8"/>
        <v>71427.144852516358</v>
      </c>
      <c r="E167" s="35">
        <f t="shared" ca="1" si="10"/>
        <v>989.93360882498609</v>
      </c>
      <c r="F167" s="36">
        <f ca="1">IF(scheduled_no_payments=1,"",IF(Sched_Pay+Scheduled_Extra_Payments&lt;Beg_Bal,Scheduled_Extra_Payments,IF(AND(Pay_Num&lt;&gt;"",Beg_Bal-Sched_Pay&gt;0),Beg_Bal-Sched_Pay,IF(Pay_Num&lt;&gt;"",0,""))))</f>
        <v>0</v>
      </c>
      <c r="G167" s="34">
        <f ca="1">IF(scheduled_no_payments=1,"",IF(Sched_Pay+Extra_Pay&lt;Beg_Bal,Sched_Pay+Extra_Pay,IF(Pay_Num&lt;&gt;"",Beg_Bal,"")))</f>
        <v>989.93360882498609</v>
      </c>
      <c r="H167" s="34">
        <f t="shared" ca="1" si="9"/>
        <v>692.32050527283468</v>
      </c>
      <c r="I167" s="34">
        <f ca="1">IF(Pay_Num&lt;&gt;"",Beg_Bal*(Interest_Rate/VLOOKUP(Interval,LoanLookup[],5,FALSE)),"")</f>
        <v>297.61310355215147</v>
      </c>
      <c r="J167" s="34">
        <f ca="1">IF(scheduled_no_payments=1,"",IF(AND(Pay_Num&lt;&gt;"",Sched_Pay+Extra_Pay&lt;Beg_Bal),Beg_Bal-Princ,IF(Pay_Num&lt;&gt;"",0,"")))</f>
        <v>70734.824347243528</v>
      </c>
      <c r="K167" s="34">
        <f ca="1">IF(scheduled_no_payments=1,"",SUM($I$13:$I167))</f>
        <v>74174.533715116399</v>
      </c>
      <c r="L167" s="38"/>
    </row>
    <row r="168" spans="2:12" ht="16.5" customHeight="1" x14ac:dyDescent="0.25">
      <c r="B168" s="32">
        <f ca="1">IF(AND(Values_Entered,scheduled_no_payments&lt;&gt;1),B167+1,"")</f>
        <v>156</v>
      </c>
      <c r="C168" s="33">
        <f ca="1">IF(Pay_Num&lt;&gt;"",DATE(YEAR(C167)+VLOOKUP(Interval,LoanLookup[],4,FALSE),MONTH(C167)+VLOOKUP(Interval,LoanLookup[],2,FALSE),DAY(C167)+VLOOKUP(Interval,LoanLookup[],3,FALSE)),"")</f>
        <v>49585</v>
      </c>
      <c r="D168" s="34">
        <f t="shared" ca="1" si="8"/>
        <v>70734.824347243528</v>
      </c>
      <c r="E168" s="35">
        <f t="shared" ca="1" si="10"/>
        <v>989.93360882498609</v>
      </c>
      <c r="F168" s="36">
        <f ca="1">IF(scheduled_no_payments=1,"",IF(Sched_Pay+Scheduled_Extra_Payments&lt;Beg_Bal,Scheduled_Extra_Payments,IF(AND(Pay_Num&lt;&gt;"",Beg_Bal-Sched_Pay&gt;0),Beg_Bal-Sched_Pay,IF(Pay_Num&lt;&gt;"",0,""))))</f>
        <v>0</v>
      </c>
      <c r="G168" s="34">
        <f ca="1">IF(scheduled_no_payments=1,"",IF(Sched_Pay+Extra_Pay&lt;Beg_Bal,Sched_Pay+Extra_Pay,IF(Pay_Num&lt;&gt;"",Beg_Bal,"")))</f>
        <v>989.93360882498609</v>
      </c>
      <c r="H168" s="34">
        <f t="shared" ca="1" si="9"/>
        <v>695.20517404480472</v>
      </c>
      <c r="I168" s="34">
        <f ca="1">IF(Pay_Num&lt;&gt;"",Beg_Bal*(Interest_Rate/VLOOKUP(Interval,LoanLookup[],5,FALSE)),"")</f>
        <v>294.72843478018137</v>
      </c>
      <c r="J168" s="34">
        <f ca="1">IF(scheduled_no_payments=1,"",IF(AND(Pay_Num&lt;&gt;"",Sched_Pay+Extra_Pay&lt;Beg_Bal),Beg_Bal-Princ,IF(Pay_Num&lt;&gt;"",0,"")))</f>
        <v>70039.61917319872</v>
      </c>
      <c r="K168" s="34">
        <f ca="1">IF(scheduled_no_payments=1,"",SUM($I$13:$I168))</f>
        <v>74469.262149896575</v>
      </c>
      <c r="L168" s="38"/>
    </row>
    <row r="169" spans="2:12" ht="16.5" customHeight="1" x14ac:dyDescent="0.25">
      <c r="B169" s="32">
        <f ca="1">IF(AND(Values_Entered,scheduled_no_payments&lt;&gt;1),B168+1,"")</f>
        <v>157</v>
      </c>
      <c r="C169" s="33">
        <f ca="1">IF(Pay_Num&lt;&gt;"",DATE(YEAR(C168)+VLOOKUP(Interval,LoanLookup[],4,FALSE),MONTH(C168)+VLOOKUP(Interval,LoanLookup[],2,FALSE),DAY(C168)+VLOOKUP(Interval,LoanLookup[],3,FALSE)),"")</f>
        <v>49616</v>
      </c>
      <c r="D169" s="34">
        <f t="shared" ca="1" si="8"/>
        <v>70039.61917319872</v>
      </c>
      <c r="E169" s="35">
        <f t="shared" ca="1" si="10"/>
        <v>989.93360882498609</v>
      </c>
      <c r="F169" s="36">
        <f ca="1">IF(scheduled_no_payments=1,"",IF(Sched_Pay+Scheduled_Extra_Payments&lt;Beg_Bal,Scheduled_Extra_Payments,IF(AND(Pay_Num&lt;&gt;"",Beg_Bal-Sched_Pay&gt;0),Beg_Bal-Sched_Pay,IF(Pay_Num&lt;&gt;"",0,""))))</f>
        <v>0</v>
      </c>
      <c r="G169" s="34">
        <f ca="1">IF(scheduled_no_payments=1,"",IF(Sched_Pay+Extra_Pay&lt;Beg_Bal,Sched_Pay+Extra_Pay,IF(Pay_Num&lt;&gt;"",Beg_Bal,"")))</f>
        <v>989.93360882498609</v>
      </c>
      <c r="H169" s="34">
        <f t="shared" ca="1" si="9"/>
        <v>698.10186226999144</v>
      </c>
      <c r="I169" s="34">
        <f ca="1">IF(Pay_Num&lt;&gt;"",Beg_Bal*(Interest_Rate/VLOOKUP(Interval,LoanLookup[],5,FALSE)),"")</f>
        <v>291.83174655499465</v>
      </c>
      <c r="J169" s="34">
        <f ca="1">IF(scheduled_no_payments=1,"",IF(AND(Pay_Num&lt;&gt;"",Sched_Pay+Extra_Pay&lt;Beg_Bal),Beg_Bal-Princ,IF(Pay_Num&lt;&gt;"",0,"")))</f>
        <v>69341.517310928728</v>
      </c>
      <c r="K169" s="34">
        <f ca="1">IF(scheduled_no_payments=1,"",SUM($I$13:$I169))</f>
        <v>74761.093896451566</v>
      </c>
      <c r="L169" s="38"/>
    </row>
    <row r="170" spans="2:12" ht="16.5" customHeight="1" x14ac:dyDescent="0.25">
      <c r="B170" s="32">
        <f ca="1">IF(AND(Values_Entered,scheduled_no_payments&lt;&gt;1),B169+1,"")</f>
        <v>158</v>
      </c>
      <c r="C170" s="33">
        <f ca="1">IF(Pay_Num&lt;&gt;"",DATE(YEAR(C169)+VLOOKUP(Interval,LoanLookup[],4,FALSE),MONTH(C169)+VLOOKUP(Interval,LoanLookup[],2,FALSE),DAY(C169)+VLOOKUP(Interval,LoanLookup[],3,FALSE)),"")</f>
        <v>49646</v>
      </c>
      <c r="D170" s="34">
        <f t="shared" ca="1" si="8"/>
        <v>69341.517310928728</v>
      </c>
      <c r="E170" s="35">
        <f t="shared" ca="1" si="10"/>
        <v>989.93360882498609</v>
      </c>
      <c r="F170" s="36">
        <f ca="1">IF(scheduled_no_payments=1,"",IF(Sched_Pay+Scheduled_Extra_Payments&lt;Beg_Bal,Scheduled_Extra_Payments,IF(AND(Pay_Num&lt;&gt;"",Beg_Bal-Sched_Pay&gt;0),Beg_Bal-Sched_Pay,IF(Pay_Num&lt;&gt;"",0,""))))</f>
        <v>0</v>
      </c>
      <c r="G170" s="34">
        <f ca="1">IF(scheduled_no_payments=1,"",IF(Sched_Pay+Extra_Pay&lt;Beg_Bal,Sched_Pay+Extra_Pay,IF(Pay_Num&lt;&gt;"",Beg_Bal,"")))</f>
        <v>989.93360882498609</v>
      </c>
      <c r="H170" s="34">
        <f t="shared" ca="1" si="9"/>
        <v>701.01062002944968</v>
      </c>
      <c r="I170" s="34">
        <f ca="1">IF(Pay_Num&lt;&gt;"",Beg_Bal*(Interest_Rate/VLOOKUP(Interval,LoanLookup[],5,FALSE)),"")</f>
        <v>288.92298879553636</v>
      </c>
      <c r="J170" s="34">
        <f ca="1">IF(scheduled_no_payments=1,"",IF(AND(Pay_Num&lt;&gt;"",Sched_Pay+Extra_Pay&lt;Beg_Bal),Beg_Bal-Princ,IF(Pay_Num&lt;&gt;"",0,"")))</f>
        <v>68640.506690899274</v>
      </c>
      <c r="K170" s="34">
        <f ca="1">IF(scheduled_no_payments=1,"",SUM($I$13:$I170))</f>
        <v>75050.016885247096</v>
      </c>
      <c r="L170" s="38"/>
    </row>
    <row r="171" spans="2:12" ht="16.5" customHeight="1" x14ac:dyDescent="0.25">
      <c r="B171" s="32">
        <f ca="1">IF(AND(Values_Entered,scheduled_no_payments&lt;&gt;1),B170+1,"")</f>
        <v>159</v>
      </c>
      <c r="C171" s="33">
        <f ca="1">IF(Pay_Num&lt;&gt;"",DATE(YEAR(C170)+VLOOKUP(Interval,LoanLookup[],4,FALSE),MONTH(C170)+VLOOKUP(Interval,LoanLookup[],2,FALSE),DAY(C170)+VLOOKUP(Interval,LoanLookup[],3,FALSE)),"")</f>
        <v>49677</v>
      </c>
      <c r="D171" s="34">
        <f t="shared" ca="1" si="8"/>
        <v>68640.506690899274</v>
      </c>
      <c r="E171" s="35">
        <f t="shared" ca="1" si="10"/>
        <v>989.93360882498609</v>
      </c>
      <c r="F171" s="36">
        <f ca="1">IF(scheduled_no_payments=1,"",IF(Sched_Pay+Scheduled_Extra_Payments&lt;Beg_Bal,Scheduled_Extra_Payments,IF(AND(Pay_Num&lt;&gt;"",Beg_Bal-Sched_Pay&gt;0),Beg_Bal-Sched_Pay,IF(Pay_Num&lt;&gt;"",0,""))))</f>
        <v>0</v>
      </c>
      <c r="G171" s="34">
        <f ca="1">IF(scheduled_no_payments=1,"",IF(Sched_Pay+Extra_Pay&lt;Beg_Bal,Sched_Pay+Extra_Pay,IF(Pay_Num&lt;&gt;"",Beg_Bal,"")))</f>
        <v>989.93360882498609</v>
      </c>
      <c r="H171" s="34">
        <f t="shared" ca="1" si="9"/>
        <v>703.93149761290579</v>
      </c>
      <c r="I171" s="34">
        <f ca="1">IF(Pay_Num&lt;&gt;"",Beg_Bal*(Interest_Rate/VLOOKUP(Interval,LoanLookup[],5,FALSE)),"")</f>
        <v>286.00211121208031</v>
      </c>
      <c r="J171" s="34">
        <f ca="1">IF(scheduled_no_payments=1,"",IF(AND(Pay_Num&lt;&gt;"",Sched_Pay+Extra_Pay&lt;Beg_Bal),Beg_Bal-Princ,IF(Pay_Num&lt;&gt;"",0,"")))</f>
        <v>67936.575193286364</v>
      </c>
      <c r="K171" s="34">
        <f ca="1">IF(scheduled_no_payments=1,"",SUM($I$13:$I171))</f>
        <v>75336.01899645917</v>
      </c>
      <c r="L171" s="38"/>
    </row>
    <row r="172" spans="2:12" ht="16.5" customHeight="1" x14ac:dyDescent="0.25">
      <c r="B172" s="32">
        <f ca="1">IF(AND(Values_Entered,scheduled_no_payments&lt;&gt;1),B171+1,"")</f>
        <v>160</v>
      </c>
      <c r="C172" s="33">
        <f ca="1">IF(Pay_Num&lt;&gt;"",DATE(YEAR(C171)+VLOOKUP(Interval,LoanLookup[],4,FALSE),MONTH(C171)+VLOOKUP(Interval,LoanLookup[],2,FALSE),DAY(C171)+VLOOKUP(Interval,LoanLookup[],3,FALSE)),"")</f>
        <v>49708</v>
      </c>
      <c r="D172" s="34">
        <f t="shared" ca="1" si="8"/>
        <v>67936.575193286364</v>
      </c>
      <c r="E172" s="35">
        <f t="shared" ca="1" si="10"/>
        <v>989.93360882498609</v>
      </c>
      <c r="F172" s="36">
        <f ca="1">IF(scheduled_no_payments=1,"",IF(Sched_Pay+Scheduled_Extra_Payments&lt;Beg_Bal,Scheduled_Extra_Payments,IF(AND(Pay_Num&lt;&gt;"",Beg_Bal-Sched_Pay&gt;0),Beg_Bal-Sched_Pay,IF(Pay_Num&lt;&gt;"",0,""))))</f>
        <v>0</v>
      </c>
      <c r="G172" s="34">
        <f ca="1">IF(scheduled_no_payments=1,"",IF(Sched_Pay+Extra_Pay&lt;Beg_Bal,Sched_Pay+Extra_Pay,IF(Pay_Num&lt;&gt;"",Beg_Bal,"")))</f>
        <v>989.93360882498609</v>
      </c>
      <c r="H172" s="34">
        <f t="shared" ca="1" si="9"/>
        <v>706.86454551962629</v>
      </c>
      <c r="I172" s="34">
        <f ca="1">IF(Pay_Num&lt;&gt;"",Beg_Bal*(Interest_Rate/VLOOKUP(Interval,LoanLookup[],5,FALSE)),"")</f>
        <v>283.06906330535986</v>
      </c>
      <c r="J172" s="34">
        <f ca="1">IF(scheduled_no_payments=1,"",IF(AND(Pay_Num&lt;&gt;"",Sched_Pay+Extra_Pay&lt;Beg_Bal),Beg_Bal-Princ,IF(Pay_Num&lt;&gt;"",0,"")))</f>
        <v>67229.71064776674</v>
      </c>
      <c r="K172" s="34">
        <f ca="1">IF(scheduled_no_payments=1,"",SUM($I$13:$I172))</f>
        <v>75619.08805976453</v>
      </c>
      <c r="L172" s="38"/>
    </row>
    <row r="173" spans="2:12" ht="16.5" customHeight="1" x14ac:dyDescent="0.25">
      <c r="B173" s="32">
        <f ca="1">IF(AND(Values_Entered,scheduled_no_payments&lt;&gt;1),B172+1,"")</f>
        <v>161</v>
      </c>
      <c r="C173" s="33">
        <f ca="1">IF(Pay_Num&lt;&gt;"",DATE(YEAR(C172)+VLOOKUP(Interval,LoanLookup[],4,FALSE),MONTH(C172)+VLOOKUP(Interval,LoanLookup[],2,FALSE),DAY(C172)+VLOOKUP(Interval,LoanLookup[],3,FALSE)),"")</f>
        <v>49737</v>
      </c>
      <c r="D173" s="34">
        <f t="shared" ca="1" si="8"/>
        <v>67229.71064776674</v>
      </c>
      <c r="E173" s="35">
        <f t="shared" ca="1" si="10"/>
        <v>989.93360882498609</v>
      </c>
      <c r="F173" s="36">
        <f ca="1">IF(scheduled_no_payments=1,"",IF(Sched_Pay+Scheduled_Extra_Payments&lt;Beg_Bal,Scheduled_Extra_Payments,IF(AND(Pay_Num&lt;&gt;"",Beg_Bal-Sched_Pay&gt;0),Beg_Bal-Sched_Pay,IF(Pay_Num&lt;&gt;"",0,""))))</f>
        <v>0</v>
      </c>
      <c r="G173" s="34">
        <f ca="1">IF(scheduled_no_payments=1,"",IF(Sched_Pay+Extra_Pay&lt;Beg_Bal,Sched_Pay+Extra_Pay,IF(Pay_Num&lt;&gt;"",Beg_Bal,"")))</f>
        <v>989.93360882498609</v>
      </c>
      <c r="H173" s="34">
        <f t="shared" ca="1" si="9"/>
        <v>709.80981445929137</v>
      </c>
      <c r="I173" s="34">
        <f ca="1">IF(Pay_Num&lt;&gt;"",Beg_Bal*(Interest_Rate/VLOOKUP(Interval,LoanLookup[],5,FALSE)),"")</f>
        <v>280.12379436569472</v>
      </c>
      <c r="J173" s="34">
        <f ca="1">IF(scheduled_no_payments=1,"",IF(AND(Pay_Num&lt;&gt;"",Sched_Pay+Extra_Pay&lt;Beg_Bal),Beg_Bal-Princ,IF(Pay_Num&lt;&gt;"",0,"")))</f>
        <v>66519.900833307445</v>
      </c>
      <c r="K173" s="34">
        <f ca="1">IF(scheduled_no_payments=1,"",SUM($I$13:$I173))</f>
        <v>75899.211854130219</v>
      </c>
      <c r="L173" s="38"/>
    </row>
    <row r="174" spans="2:12" ht="16.5" customHeight="1" x14ac:dyDescent="0.25">
      <c r="B174" s="32">
        <f ca="1">IF(AND(Values_Entered,scheduled_no_payments&lt;&gt;1),B173+1,"")</f>
        <v>162</v>
      </c>
      <c r="C174" s="33">
        <f ca="1">IF(Pay_Num&lt;&gt;"",DATE(YEAR(C173)+VLOOKUP(Interval,LoanLookup[],4,FALSE),MONTH(C173)+VLOOKUP(Interval,LoanLookup[],2,FALSE),DAY(C173)+VLOOKUP(Interval,LoanLookup[],3,FALSE)),"")</f>
        <v>49768</v>
      </c>
      <c r="D174" s="34">
        <f t="shared" ca="1" si="8"/>
        <v>66519.900833307445</v>
      </c>
      <c r="E174" s="35">
        <f t="shared" ca="1" si="10"/>
        <v>989.93360882498609</v>
      </c>
      <c r="F174" s="36">
        <f ca="1">IF(scheduled_no_payments=1,"",IF(Sched_Pay+Scheduled_Extra_Payments&lt;Beg_Bal,Scheduled_Extra_Payments,IF(AND(Pay_Num&lt;&gt;"",Beg_Bal-Sched_Pay&gt;0),Beg_Bal-Sched_Pay,IF(Pay_Num&lt;&gt;"",0,""))))</f>
        <v>0</v>
      </c>
      <c r="G174" s="34">
        <f ca="1">IF(scheduled_no_payments=1,"",IF(Sched_Pay+Extra_Pay&lt;Beg_Bal,Sched_Pay+Extra_Pay,IF(Pay_Num&lt;&gt;"",Beg_Bal,"")))</f>
        <v>989.93360882498609</v>
      </c>
      <c r="H174" s="34">
        <f t="shared" ca="1" si="9"/>
        <v>712.76735535287173</v>
      </c>
      <c r="I174" s="34">
        <f ca="1">IF(Pay_Num&lt;&gt;"",Beg_Bal*(Interest_Rate/VLOOKUP(Interval,LoanLookup[],5,FALSE)),"")</f>
        <v>277.16625347211436</v>
      </c>
      <c r="J174" s="34">
        <f ca="1">IF(scheduled_no_payments=1,"",IF(AND(Pay_Num&lt;&gt;"",Sched_Pay+Extra_Pay&lt;Beg_Bal),Beg_Bal-Princ,IF(Pay_Num&lt;&gt;"",0,"")))</f>
        <v>65807.133477954572</v>
      </c>
      <c r="K174" s="34">
        <f ca="1">IF(scheduled_no_payments=1,"",SUM($I$13:$I174))</f>
        <v>76176.37810760233</v>
      </c>
      <c r="L174" s="38"/>
    </row>
    <row r="175" spans="2:12" ht="16.5" customHeight="1" x14ac:dyDescent="0.25">
      <c r="B175" s="32">
        <f ca="1">IF(AND(Values_Entered,scheduled_no_payments&lt;&gt;1),B174+1,"")</f>
        <v>163</v>
      </c>
      <c r="C175" s="33">
        <f ca="1">IF(Pay_Num&lt;&gt;"",DATE(YEAR(C174)+VLOOKUP(Interval,LoanLookup[],4,FALSE),MONTH(C174)+VLOOKUP(Interval,LoanLookup[],2,FALSE),DAY(C174)+VLOOKUP(Interval,LoanLookup[],3,FALSE)),"")</f>
        <v>49798</v>
      </c>
      <c r="D175" s="34">
        <f t="shared" ca="1" si="8"/>
        <v>65807.133477954572</v>
      </c>
      <c r="E175" s="35">
        <f t="shared" ca="1" si="10"/>
        <v>989.93360882498609</v>
      </c>
      <c r="F175" s="36">
        <f ca="1">IF(scheduled_no_payments=1,"",IF(Sched_Pay+Scheduled_Extra_Payments&lt;Beg_Bal,Scheduled_Extra_Payments,IF(AND(Pay_Num&lt;&gt;"",Beg_Bal-Sched_Pay&gt;0),Beg_Bal-Sched_Pay,IF(Pay_Num&lt;&gt;"",0,""))))</f>
        <v>0</v>
      </c>
      <c r="G175" s="34">
        <f ca="1">IF(scheduled_no_payments=1,"",IF(Sched_Pay+Extra_Pay&lt;Beg_Bal,Sched_Pay+Extra_Pay,IF(Pay_Num&lt;&gt;"",Beg_Bal,"")))</f>
        <v>989.93360882498609</v>
      </c>
      <c r="H175" s="34">
        <f t="shared" ca="1" si="9"/>
        <v>715.73721933350873</v>
      </c>
      <c r="I175" s="34">
        <f ca="1">IF(Pay_Num&lt;&gt;"",Beg_Bal*(Interest_Rate/VLOOKUP(Interval,LoanLookup[],5,FALSE)),"")</f>
        <v>274.19638949147736</v>
      </c>
      <c r="J175" s="34">
        <f ca="1">IF(scheduled_no_payments=1,"",IF(AND(Pay_Num&lt;&gt;"",Sched_Pay+Extra_Pay&lt;Beg_Bal),Beg_Bal-Princ,IF(Pay_Num&lt;&gt;"",0,"")))</f>
        <v>65091.396258621062</v>
      </c>
      <c r="K175" s="34">
        <f ca="1">IF(scheduled_no_payments=1,"",SUM($I$13:$I175))</f>
        <v>76450.57449709381</v>
      </c>
      <c r="L175" s="38"/>
    </row>
    <row r="176" spans="2:12" ht="16.5" customHeight="1" x14ac:dyDescent="0.25">
      <c r="B176" s="32">
        <f ca="1">IF(AND(Values_Entered,scheduled_no_payments&lt;&gt;1),B175+1,"")</f>
        <v>164</v>
      </c>
      <c r="C176" s="33">
        <f ca="1">IF(Pay_Num&lt;&gt;"",DATE(YEAR(C175)+VLOOKUP(Interval,LoanLookup[],4,FALSE),MONTH(C175)+VLOOKUP(Interval,LoanLookup[],2,FALSE),DAY(C175)+VLOOKUP(Interval,LoanLookup[],3,FALSE)),"")</f>
        <v>49829</v>
      </c>
      <c r="D176" s="34">
        <f t="shared" ca="1" si="8"/>
        <v>65091.396258621062</v>
      </c>
      <c r="E176" s="35">
        <f t="shared" ca="1" si="10"/>
        <v>989.93360882498609</v>
      </c>
      <c r="F176" s="36">
        <f ca="1">IF(scheduled_no_payments=1,"",IF(Sched_Pay+Scheduled_Extra_Payments&lt;Beg_Bal,Scheduled_Extra_Payments,IF(AND(Pay_Num&lt;&gt;"",Beg_Bal-Sched_Pay&gt;0),Beg_Bal-Sched_Pay,IF(Pay_Num&lt;&gt;"",0,""))))</f>
        <v>0</v>
      </c>
      <c r="G176" s="34">
        <f ca="1">IF(scheduled_no_payments=1,"",IF(Sched_Pay+Extra_Pay&lt;Beg_Bal,Sched_Pay+Extra_Pay,IF(Pay_Num&lt;&gt;"",Beg_Bal,"")))</f>
        <v>989.93360882498609</v>
      </c>
      <c r="H176" s="34">
        <f t="shared" ca="1" si="9"/>
        <v>718.71945774739834</v>
      </c>
      <c r="I176" s="34">
        <f ca="1">IF(Pay_Num&lt;&gt;"",Beg_Bal*(Interest_Rate/VLOOKUP(Interval,LoanLookup[],5,FALSE)),"")</f>
        <v>271.21415107758776</v>
      </c>
      <c r="J176" s="34">
        <f ca="1">IF(scheduled_no_payments=1,"",IF(AND(Pay_Num&lt;&gt;"",Sched_Pay+Extra_Pay&lt;Beg_Bal),Beg_Bal-Princ,IF(Pay_Num&lt;&gt;"",0,"")))</f>
        <v>64372.676800873662</v>
      </c>
      <c r="K176" s="34">
        <f ca="1">IF(scheduled_no_payments=1,"",SUM($I$13:$I176))</f>
        <v>76721.788648171394</v>
      </c>
      <c r="L176" s="38"/>
    </row>
    <row r="177" spans="2:12" ht="16.5" customHeight="1" x14ac:dyDescent="0.25">
      <c r="B177" s="32">
        <f ca="1">IF(AND(Values_Entered,scheduled_no_payments&lt;&gt;1),B176+1,"")</f>
        <v>165</v>
      </c>
      <c r="C177" s="33">
        <f ca="1">IF(Pay_Num&lt;&gt;"",DATE(YEAR(C176)+VLOOKUP(Interval,LoanLookup[],4,FALSE),MONTH(C176)+VLOOKUP(Interval,LoanLookup[],2,FALSE),DAY(C176)+VLOOKUP(Interval,LoanLookup[],3,FALSE)),"")</f>
        <v>49859</v>
      </c>
      <c r="D177" s="34">
        <f t="shared" ca="1" si="8"/>
        <v>64372.676800873662</v>
      </c>
      <c r="E177" s="35">
        <f t="shared" ca="1" si="10"/>
        <v>989.93360882498609</v>
      </c>
      <c r="F177" s="36">
        <f ca="1">IF(scheduled_no_payments=1,"",IF(Sched_Pay+Scheduled_Extra_Payments&lt;Beg_Bal,Scheduled_Extra_Payments,IF(AND(Pay_Num&lt;&gt;"",Beg_Bal-Sched_Pay&gt;0),Beg_Bal-Sched_Pay,IF(Pay_Num&lt;&gt;"",0,""))))</f>
        <v>0</v>
      </c>
      <c r="G177" s="34">
        <f ca="1">IF(scheduled_no_payments=1,"",IF(Sched_Pay+Extra_Pay&lt;Beg_Bal,Sched_Pay+Extra_Pay,IF(Pay_Num&lt;&gt;"",Beg_Bal,"")))</f>
        <v>989.93360882498609</v>
      </c>
      <c r="H177" s="34">
        <f t="shared" ca="1" si="9"/>
        <v>721.71412215467922</v>
      </c>
      <c r="I177" s="34">
        <f ca="1">IF(Pay_Num&lt;&gt;"",Beg_Bal*(Interest_Rate/VLOOKUP(Interval,LoanLookup[],5,FALSE)),"")</f>
        <v>268.21948667030694</v>
      </c>
      <c r="J177" s="34">
        <f ca="1">IF(scheduled_no_payments=1,"",IF(AND(Pay_Num&lt;&gt;"",Sched_Pay+Extra_Pay&lt;Beg_Bal),Beg_Bal-Princ,IF(Pay_Num&lt;&gt;"",0,"")))</f>
        <v>63650.962678718985</v>
      </c>
      <c r="K177" s="34">
        <f ca="1">IF(scheduled_no_payments=1,"",SUM($I$13:$I177))</f>
        <v>76990.008134841701</v>
      </c>
      <c r="L177" s="38"/>
    </row>
    <row r="178" spans="2:12" ht="16.5" customHeight="1" x14ac:dyDescent="0.25">
      <c r="B178" s="32">
        <f ca="1">IF(AND(Values_Entered,scheduled_no_payments&lt;&gt;1),B177+1,"")</f>
        <v>166</v>
      </c>
      <c r="C178" s="33">
        <f ca="1">IF(Pay_Num&lt;&gt;"",DATE(YEAR(C177)+VLOOKUP(Interval,LoanLookup[],4,FALSE),MONTH(C177)+VLOOKUP(Interval,LoanLookup[],2,FALSE),DAY(C177)+VLOOKUP(Interval,LoanLookup[],3,FALSE)),"")</f>
        <v>49890</v>
      </c>
      <c r="D178" s="34">
        <f t="shared" ca="1" si="8"/>
        <v>63650.962678718985</v>
      </c>
      <c r="E178" s="35">
        <f t="shared" ca="1" si="10"/>
        <v>989.93360882498609</v>
      </c>
      <c r="F178" s="36">
        <f ca="1">IF(scheduled_no_payments=1,"",IF(Sched_Pay+Scheduled_Extra_Payments&lt;Beg_Bal,Scheduled_Extra_Payments,IF(AND(Pay_Num&lt;&gt;"",Beg_Bal-Sched_Pay&gt;0),Beg_Bal-Sched_Pay,IF(Pay_Num&lt;&gt;"",0,""))))</f>
        <v>0</v>
      </c>
      <c r="G178" s="34">
        <f ca="1">IF(scheduled_no_payments=1,"",IF(Sched_Pay+Extra_Pay&lt;Beg_Bal,Sched_Pay+Extra_Pay,IF(Pay_Num&lt;&gt;"",Beg_Bal,"")))</f>
        <v>989.93360882498609</v>
      </c>
      <c r="H178" s="34">
        <f t="shared" ca="1" si="9"/>
        <v>724.72126433032372</v>
      </c>
      <c r="I178" s="34">
        <f ca="1">IF(Pay_Num&lt;&gt;"",Beg_Bal*(Interest_Rate/VLOOKUP(Interval,LoanLookup[],5,FALSE)),"")</f>
        <v>265.21234449466243</v>
      </c>
      <c r="J178" s="34">
        <f ca="1">IF(scheduled_no_payments=1,"",IF(AND(Pay_Num&lt;&gt;"",Sched_Pay+Extra_Pay&lt;Beg_Bal),Beg_Bal-Princ,IF(Pay_Num&lt;&gt;"",0,"")))</f>
        <v>62926.241414388664</v>
      </c>
      <c r="K178" s="34">
        <f ca="1">IF(scheduled_no_payments=1,"",SUM($I$13:$I178))</f>
        <v>77255.220479336363</v>
      </c>
      <c r="L178" s="38"/>
    </row>
    <row r="179" spans="2:12" ht="16.5" customHeight="1" x14ac:dyDescent="0.25">
      <c r="B179" s="32">
        <f ca="1">IF(AND(Values_Entered,scheduled_no_payments&lt;&gt;1),B178+1,"")</f>
        <v>167</v>
      </c>
      <c r="C179" s="33">
        <f ca="1">IF(Pay_Num&lt;&gt;"",DATE(YEAR(C178)+VLOOKUP(Interval,LoanLookup[],4,FALSE),MONTH(C178)+VLOOKUP(Interval,LoanLookup[],2,FALSE),DAY(C178)+VLOOKUP(Interval,LoanLookup[],3,FALSE)),"")</f>
        <v>49921</v>
      </c>
      <c r="D179" s="34">
        <f t="shared" ca="1" si="8"/>
        <v>62926.241414388664</v>
      </c>
      <c r="E179" s="35">
        <f t="shared" ca="1" si="10"/>
        <v>989.93360882498609</v>
      </c>
      <c r="F179" s="36">
        <f ca="1">IF(scheduled_no_payments=1,"",IF(Sched_Pay+Scheduled_Extra_Payments&lt;Beg_Bal,Scheduled_Extra_Payments,IF(AND(Pay_Num&lt;&gt;"",Beg_Bal-Sched_Pay&gt;0),Beg_Bal-Sched_Pay,IF(Pay_Num&lt;&gt;"",0,""))))</f>
        <v>0</v>
      </c>
      <c r="G179" s="34">
        <f ca="1">IF(scheduled_no_payments=1,"",IF(Sched_Pay+Extra_Pay&lt;Beg_Bal,Sched_Pay+Extra_Pay,IF(Pay_Num&lt;&gt;"",Beg_Bal,"")))</f>
        <v>989.93360882498609</v>
      </c>
      <c r="H179" s="34">
        <f t="shared" ca="1" si="9"/>
        <v>727.74093626503327</v>
      </c>
      <c r="I179" s="34">
        <f ca="1">IF(Pay_Num&lt;&gt;"",Beg_Bal*(Interest_Rate/VLOOKUP(Interval,LoanLookup[],5,FALSE)),"")</f>
        <v>262.19267255995277</v>
      </c>
      <c r="J179" s="34">
        <f ca="1">IF(scheduled_no_payments=1,"",IF(AND(Pay_Num&lt;&gt;"",Sched_Pay+Extra_Pay&lt;Beg_Bal),Beg_Bal-Princ,IF(Pay_Num&lt;&gt;"",0,"")))</f>
        <v>62198.500478123628</v>
      </c>
      <c r="K179" s="34">
        <f ca="1">IF(scheduled_no_payments=1,"",SUM($I$13:$I179))</f>
        <v>77517.413151896311</v>
      </c>
      <c r="L179" s="38"/>
    </row>
    <row r="180" spans="2:12" ht="16.5" customHeight="1" x14ac:dyDescent="0.25">
      <c r="B180" s="32">
        <f ca="1">IF(AND(Values_Entered,scheduled_no_payments&lt;&gt;1),B179+1,"")</f>
        <v>168</v>
      </c>
      <c r="C180" s="33">
        <f ca="1">IF(Pay_Num&lt;&gt;"",DATE(YEAR(C179)+VLOOKUP(Interval,LoanLookup[],4,FALSE),MONTH(C179)+VLOOKUP(Interval,LoanLookup[],2,FALSE),DAY(C179)+VLOOKUP(Interval,LoanLookup[],3,FALSE)),"")</f>
        <v>49951</v>
      </c>
      <c r="D180" s="34">
        <f t="shared" ca="1" si="8"/>
        <v>62198.500478123628</v>
      </c>
      <c r="E180" s="35">
        <f t="shared" ca="1" si="10"/>
        <v>989.93360882498609</v>
      </c>
      <c r="F180" s="36">
        <f ca="1">IF(scheduled_no_payments=1,"",IF(Sched_Pay+Scheduled_Extra_Payments&lt;Beg_Bal,Scheduled_Extra_Payments,IF(AND(Pay_Num&lt;&gt;"",Beg_Bal-Sched_Pay&gt;0),Beg_Bal-Sched_Pay,IF(Pay_Num&lt;&gt;"",0,""))))</f>
        <v>0</v>
      </c>
      <c r="G180" s="34">
        <f ca="1">IF(scheduled_no_payments=1,"",IF(Sched_Pay+Extra_Pay&lt;Beg_Bal,Sched_Pay+Extra_Pay,IF(Pay_Num&lt;&gt;"",Beg_Bal,"")))</f>
        <v>989.93360882498609</v>
      </c>
      <c r="H180" s="34">
        <f t="shared" ca="1" si="9"/>
        <v>730.77319016613762</v>
      </c>
      <c r="I180" s="34">
        <f ca="1">IF(Pay_Num&lt;&gt;"",Beg_Bal*(Interest_Rate/VLOOKUP(Interval,LoanLookup[],5,FALSE)),"")</f>
        <v>259.16041865884847</v>
      </c>
      <c r="J180" s="34">
        <f ca="1">IF(scheduled_no_payments=1,"",IF(AND(Pay_Num&lt;&gt;"",Sched_Pay+Extra_Pay&lt;Beg_Bal),Beg_Bal-Princ,IF(Pay_Num&lt;&gt;"",0,"")))</f>
        <v>61467.727287957488</v>
      </c>
      <c r="K180" s="34">
        <f ca="1">IF(scheduled_no_payments=1,"",SUM($I$13:$I180))</f>
        <v>77776.573570555163</v>
      </c>
      <c r="L180" s="38"/>
    </row>
    <row r="181" spans="2:12" ht="16.5" customHeight="1" x14ac:dyDescent="0.25">
      <c r="B181" s="32">
        <f ca="1">IF(AND(Values_Entered,scheduled_no_payments&lt;&gt;1),B180+1,"")</f>
        <v>169</v>
      </c>
      <c r="C181" s="33">
        <f ca="1">IF(Pay_Num&lt;&gt;"",DATE(YEAR(C180)+VLOOKUP(Interval,LoanLookup[],4,FALSE),MONTH(C180)+VLOOKUP(Interval,LoanLookup[],2,FALSE),DAY(C180)+VLOOKUP(Interval,LoanLookup[],3,FALSE)),"")</f>
        <v>49982</v>
      </c>
      <c r="D181" s="34">
        <f t="shared" ca="1" si="8"/>
        <v>61467.727287957488</v>
      </c>
      <c r="E181" s="35">
        <f t="shared" ca="1" si="10"/>
        <v>989.93360882498609</v>
      </c>
      <c r="F181" s="36">
        <f ca="1">IF(scheduled_no_payments=1,"",IF(Sched_Pay+Scheduled_Extra_Payments&lt;Beg_Bal,Scheduled_Extra_Payments,IF(AND(Pay_Num&lt;&gt;"",Beg_Bal-Sched_Pay&gt;0),Beg_Bal-Sched_Pay,IF(Pay_Num&lt;&gt;"",0,""))))</f>
        <v>0</v>
      </c>
      <c r="G181" s="34">
        <f ca="1">IF(scheduled_no_payments=1,"",IF(Sched_Pay+Extra_Pay&lt;Beg_Bal,Sched_Pay+Extra_Pay,IF(Pay_Num&lt;&gt;"",Beg_Bal,"")))</f>
        <v>989.93360882498609</v>
      </c>
      <c r="H181" s="34">
        <f t="shared" ca="1" si="9"/>
        <v>733.81807845849653</v>
      </c>
      <c r="I181" s="34">
        <f ca="1">IF(Pay_Num&lt;&gt;"",Beg_Bal*(Interest_Rate/VLOOKUP(Interval,LoanLookup[],5,FALSE)),"")</f>
        <v>256.11553036648951</v>
      </c>
      <c r="J181" s="34">
        <f ca="1">IF(scheduled_no_payments=1,"",IF(AND(Pay_Num&lt;&gt;"",Sched_Pay+Extra_Pay&lt;Beg_Bal),Beg_Bal-Princ,IF(Pay_Num&lt;&gt;"",0,"")))</f>
        <v>60733.90920949899</v>
      </c>
      <c r="K181" s="34">
        <f ca="1">IF(scheduled_no_payments=1,"",SUM($I$13:$I181))</f>
        <v>78032.689100921649</v>
      </c>
      <c r="L181" s="38"/>
    </row>
    <row r="182" spans="2:12" ht="16.5" customHeight="1" x14ac:dyDescent="0.25">
      <c r="B182" s="32">
        <f ca="1">IF(AND(Values_Entered,scheduled_no_payments&lt;&gt;1),B181+1,"")</f>
        <v>170</v>
      </c>
      <c r="C182" s="33">
        <f ca="1">IF(Pay_Num&lt;&gt;"",DATE(YEAR(C181)+VLOOKUP(Interval,LoanLookup[],4,FALSE),MONTH(C181)+VLOOKUP(Interval,LoanLookup[],2,FALSE),DAY(C181)+VLOOKUP(Interval,LoanLookup[],3,FALSE)),"")</f>
        <v>50012</v>
      </c>
      <c r="D182" s="34">
        <f t="shared" ca="1" si="8"/>
        <v>60733.90920949899</v>
      </c>
      <c r="E182" s="35">
        <f t="shared" ca="1" si="10"/>
        <v>989.93360882498609</v>
      </c>
      <c r="F182" s="36">
        <f ca="1">IF(scheduled_no_payments=1,"",IF(Sched_Pay+Scheduled_Extra_Payments&lt;Beg_Bal,Scheduled_Extra_Payments,IF(AND(Pay_Num&lt;&gt;"",Beg_Bal-Sched_Pay&gt;0),Beg_Bal-Sched_Pay,IF(Pay_Num&lt;&gt;"",0,""))))</f>
        <v>0</v>
      </c>
      <c r="G182" s="34">
        <f ca="1">IF(scheduled_no_payments=1,"",IF(Sched_Pay+Extra_Pay&lt;Beg_Bal,Sched_Pay+Extra_Pay,IF(Pay_Num&lt;&gt;"",Beg_Bal,"")))</f>
        <v>989.93360882498609</v>
      </c>
      <c r="H182" s="34">
        <f t="shared" ca="1" si="9"/>
        <v>736.87565378540694</v>
      </c>
      <c r="I182" s="34">
        <f ca="1">IF(Pay_Num&lt;&gt;"",Beg_Bal*(Interest_Rate/VLOOKUP(Interval,LoanLookup[],5,FALSE)),"")</f>
        <v>253.05795503957913</v>
      </c>
      <c r="J182" s="34">
        <f ca="1">IF(scheduled_no_payments=1,"",IF(AND(Pay_Num&lt;&gt;"",Sched_Pay+Extra_Pay&lt;Beg_Bal),Beg_Bal-Princ,IF(Pay_Num&lt;&gt;"",0,"")))</f>
        <v>59997.033555713584</v>
      </c>
      <c r="K182" s="34">
        <f ca="1">IF(scheduled_no_payments=1,"",SUM($I$13:$I182))</f>
        <v>78285.747055961227</v>
      </c>
      <c r="L182" s="38"/>
    </row>
    <row r="183" spans="2:12" ht="16.5" customHeight="1" x14ac:dyDescent="0.25">
      <c r="B183" s="32">
        <f ca="1">IF(AND(Values_Entered,scheduled_no_payments&lt;&gt;1),B182+1,"")</f>
        <v>171</v>
      </c>
      <c r="C183" s="33">
        <f ca="1">IF(Pay_Num&lt;&gt;"",DATE(YEAR(C182)+VLOOKUP(Interval,LoanLookup[],4,FALSE),MONTH(C182)+VLOOKUP(Interval,LoanLookup[],2,FALSE),DAY(C182)+VLOOKUP(Interval,LoanLookup[],3,FALSE)),"")</f>
        <v>50043</v>
      </c>
      <c r="D183" s="34">
        <f t="shared" ca="1" si="8"/>
        <v>59997.033555713584</v>
      </c>
      <c r="E183" s="35">
        <f t="shared" ca="1" si="10"/>
        <v>989.93360882498609</v>
      </c>
      <c r="F183" s="36">
        <f ca="1">IF(scheduled_no_payments=1,"",IF(Sched_Pay+Scheduled_Extra_Payments&lt;Beg_Bal,Scheduled_Extra_Payments,IF(AND(Pay_Num&lt;&gt;"",Beg_Bal-Sched_Pay&gt;0),Beg_Bal-Sched_Pay,IF(Pay_Num&lt;&gt;"",0,""))))</f>
        <v>0</v>
      </c>
      <c r="G183" s="34">
        <f ca="1">IF(scheduled_no_payments=1,"",IF(Sched_Pay+Extra_Pay&lt;Beg_Bal,Sched_Pay+Extra_Pay,IF(Pay_Num&lt;&gt;"",Beg_Bal,"")))</f>
        <v>989.93360882498609</v>
      </c>
      <c r="H183" s="34">
        <f t="shared" ca="1" si="9"/>
        <v>739.94596900951285</v>
      </c>
      <c r="I183" s="34">
        <f ca="1">IF(Pay_Num&lt;&gt;"",Beg_Bal*(Interest_Rate/VLOOKUP(Interval,LoanLookup[],5,FALSE)),"")</f>
        <v>249.98763981547327</v>
      </c>
      <c r="J183" s="34">
        <f ca="1">IF(scheduled_no_payments=1,"",IF(AND(Pay_Num&lt;&gt;"",Sched_Pay+Extra_Pay&lt;Beg_Bal),Beg_Bal-Princ,IF(Pay_Num&lt;&gt;"",0,"")))</f>
        <v>59257.087586704074</v>
      </c>
      <c r="K183" s="34">
        <f ca="1">IF(scheduled_no_payments=1,"",SUM($I$13:$I183))</f>
        <v>78535.7346957767</v>
      </c>
      <c r="L183" s="38"/>
    </row>
    <row r="184" spans="2:12" ht="16.5" customHeight="1" x14ac:dyDescent="0.25">
      <c r="B184" s="32">
        <f ca="1">IF(AND(Values_Entered,scheduled_no_payments&lt;&gt;1),B183+1,"")</f>
        <v>172</v>
      </c>
      <c r="C184" s="33">
        <f ca="1">IF(Pay_Num&lt;&gt;"",DATE(YEAR(C183)+VLOOKUP(Interval,LoanLookup[],4,FALSE),MONTH(C183)+VLOOKUP(Interval,LoanLookup[],2,FALSE),DAY(C183)+VLOOKUP(Interval,LoanLookup[],3,FALSE)),"")</f>
        <v>50074</v>
      </c>
      <c r="D184" s="34">
        <f t="shared" ca="1" si="8"/>
        <v>59257.087586704074</v>
      </c>
      <c r="E184" s="35">
        <f t="shared" ca="1" si="10"/>
        <v>989.93360882498609</v>
      </c>
      <c r="F184" s="36">
        <f ca="1">IF(scheduled_no_payments=1,"",IF(Sched_Pay+Scheduled_Extra_Payments&lt;Beg_Bal,Scheduled_Extra_Payments,IF(AND(Pay_Num&lt;&gt;"",Beg_Bal-Sched_Pay&gt;0),Beg_Bal-Sched_Pay,IF(Pay_Num&lt;&gt;"",0,""))))</f>
        <v>0</v>
      </c>
      <c r="G184" s="34">
        <f ca="1">IF(scheduled_no_payments=1,"",IF(Sched_Pay+Extra_Pay&lt;Beg_Bal,Sched_Pay+Extra_Pay,IF(Pay_Num&lt;&gt;"",Beg_Bal,"")))</f>
        <v>989.93360882498609</v>
      </c>
      <c r="H184" s="34">
        <f t="shared" ca="1" si="9"/>
        <v>743.02907721371912</v>
      </c>
      <c r="I184" s="34">
        <f ca="1">IF(Pay_Num&lt;&gt;"",Beg_Bal*(Interest_Rate/VLOOKUP(Interval,LoanLookup[],5,FALSE)),"")</f>
        <v>246.90453161126698</v>
      </c>
      <c r="J184" s="34">
        <f ca="1">IF(scheduled_no_payments=1,"",IF(AND(Pay_Num&lt;&gt;"",Sched_Pay+Extra_Pay&lt;Beg_Bal),Beg_Bal-Princ,IF(Pay_Num&lt;&gt;"",0,"")))</f>
        <v>58514.058509490358</v>
      </c>
      <c r="K184" s="34">
        <f ca="1">IF(scheduled_no_payments=1,"",SUM($I$13:$I184))</f>
        <v>78782.639227387961</v>
      </c>
      <c r="L184" s="38"/>
    </row>
    <row r="185" spans="2:12" ht="16.5" customHeight="1" x14ac:dyDescent="0.25">
      <c r="B185" s="32">
        <f ca="1">IF(AND(Values_Entered,scheduled_no_payments&lt;&gt;1),B184+1,"")</f>
        <v>173</v>
      </c>
      <c r="C185" s="33">
        <f ca="1">IF(Pay_Num&lt;&gt;"",DATE(YEAR(C184)+VLOOKUP(Interval,LoanLookup[],4,FALSE),MONTH(C184)+VLOOKUP(Interval,LoanLookup[],2,FALSE),DAY(C184)+VLOOKUP(Interval,LoanLookup[],3,FALSE)),"")</f>
        <v>50102</v>
      </c>
      <c r="D185" s="34">
        <f t="shared" ca="1" si="8"/>
        <v>58514.058509490358</v>
      </c>
      <c r="E185" s="35">
        <f t="shared" ca="1" si="10"/>
        <v>989.93360882498609</v>
      </c>
      <c r="F185" s="36">
        <f ca="1">IF(scheduled_no_payments=1,"",IF(Sched_Pay+Scheduled_Extra_Payments&lt;Beg_Bal,Scheduled_Extra_Payments,IF(AND(Pay_Num&lt;&gt;"",Beg_Bal-Sched_Pay&gt;0),Beg_Bal-Sched_Pay,IF(Pay_Num&lt;&gt;"",0,""))))</f>
        <v>0</v>
      </c>
      <c r="G185" s="34">
        <f ca="1">IF(scheduled_no_payments=1,"",IF(Sched_Pay+Extra_Pay&lt;Beg_Bal,Sched_Pay+Extra_Pay,IF(Pay_Num&lt;&gt;"",Beg_Bal,"")))</f>
        <v>989.93360882498609</v>
      </c>
      <c r="H185" s="34">
        <f t="shared" ca="1" si="9"/>
        <v>746.1250317021096</v>
      </c>
      <c r="I185" s="34">
        <f ca="1">IF(Pay_Num&lt;&gt;"",Beg_Bal*(Interest_Rate/VLOOKUP(Interval,LoanLookup[],5,FALSE)),"")</f>
        <v>243.8085771228765</v>
      </c>
      <c r="J185" s="34">
        <f ca="1">IF(scheduled_no_payments=1,"",IF(AND(Pay_Num&lt;&gt;"",Sched_Pay+Extra_Pay&lt;Beg_Bal),Beg_Bal-Princ,IF(Pay_Num&lt;&gt;"",0,"")))</f>
        <v>57767.933477788247</v>
      </c>
      <c r="K185" s="34">
        <f ca="1">IF(scheduled_no_payments=1,"",SUM($I$13:$I185))</f>
        <v>79026.447804510841</v>
      </c>
      <c r="L185" s="38"/>
    </row>
    <row r="186" spans="2:12" ht="16.5" customHeight="1" x14ac:dyDescent="0.25">
      <c r="B186" s="32">
        <f ca="1">IF(AND(Values_Entered,scheduled_no_payments&lt;&gt;1),B185+1,"")</f>
        <v>174</v>
      </c>
      <c r="C186" s="33">
        <f ca="1">IF(Pay_Num&lt;&gt;"",DATE(YEAR(C185)+VLOOKUP(Interval,LoanLookup[],4,FALSE),MONTH(C185)+VLOOKUP(Interval,LoanLookup[],2,FALSE),DAY(C185)+VLOOKUP(Interval,LoanLookup[],3,FALSE)),"")</f>
        <v>50133</v>
      </c>
      <c r="D186" s="34">
        <f t="shared" ca="1" si="8"/>
        <v>57767.933477788247</v>
      </c>
      <c r="E186" s="35">
        <f t="shared" ca="1" si="10"/>
        <v>989.93360882498609</v>
      </c>
      <c r="F186" s="36">
        <f ca="1">IF(scheduled_no_payments=1,"",IF(Sched_Pay+Scheduled_Extra_Payments&lt;Beg_Bal,Scheduled_Extra_Payments,IF(AND(Pay_Num&lt;&gt;"",Beg_Bal-Sched_Pay&gt;0),Beg_Bal-Sched_Pay,IF(Pay_Num&lt;&gt;"",0,""))))</f>
        <v>0</v>
      </c>
      <c r="G186" s="34">
        <f ca="1">IF(scheduled_no_payments=1,"",IF(Sched_Pay+Extra_Pay&lt;Beg_Bal,Sched_Pay+Extra_Pay,IF(Pay_Num&lt;&gt;"",Beg_Bal,"")))</f>
        <v>989.93360882498609</v>
      </c>
      <c r="H186" s="34">
        <f t="shared" ca="1" si="9"/>
        <v>749.23388600086844</v>
      </c>
      <c r="I186" s="34">
        <f ca="1">IF(Pay_Num&lt;&gt;"",Beg_Bal*(Interest_Rate/VLOOKUP(Interval,LoanLookup[],5,FALSE)),"")</f>
        <v>240.69972282411769</v>
      </c>
      <c r="J186" s="34">
        <f ca="1">IF(scheduled_no_payments=1,"",IF(AND(Pay_Num&lt;&gt;"",Sched_Pay+Extra_Pay&lt;Beg_Bal),Beg_Bal-Princ,IF(Pay_Num&lt;&gt;"",0,"")))</f>
        <v>57018.699591787379</v>
      </c>
      <c r="K186" s="34">
        <f ca="1">IF(scheduled_no_payments=1,"",SUM($I$13:$I186))</f>
        <v>79267.147527334964</v>
      </c>
      <c r="L186" s="38"/>
    </row>
    <row r="187" spans="2:12" ht="16.5" customHeight="1" x14ac:dyDescent="0.25">
      <c r="B187" s="32">
        <f ca="1">IF(AND(Values_Entered,scheduled_no_payments&lt;&gt;1),B186+1,"")</f>
        <v>175</v>
      </c>
      <c r="C187" s="33">
        <f ca="1">IF(Pay_Num&lt;&gt;"",DATE(YEAR(C186)+VLOOKUP(Interval,LoanLookup[],4,FALSE),MONTH(C186)+VLOOKUP(Interval,LoanLookup[],2,FALSE),DAY(C186)+VLOOKUP(Interval,LoanLookup[],3,FALSE)),"")</f>
        <v>50163</v>
      </c>
      <c r="D187" s="34">
        <f t="shared" ca="1" si="8"/>
        <v>57018.699591787379</v>
      </c>
      <c r="E187" s="35">
        <f t="shared" ca="1" si="10"/>
        <v>989.93360882498609</v>
      </c>
      <c r="F187" s="36">
        <f ca="1">IF(scheduled_no_payments=1,"",IF(Sched_Pay+Scheduled_Extra_Payments&lt;Beg_Bal,Scheduled_Extra_Payments,IF(AND(Pay_Num&lt;&gt;"",Beg_Bal-Sched_Pay&gt;0),Beg_Bal-Sched_Pay,IF(Pay_Num&lt;&gt;"",0,""))))</f>
        <v>0</v>
      </c>
      <c r="G187" s="34">
        <f ca="1">IF(scheduled_no_payments=1,"",IF(Sched_Pay+Extra_Pay&lt;Beg_Bal,Sched_Pay+Extra_Pay,IF(Pay_Num&lt;&gt;"",Beg_Bal,"")))</f>
        <v>989.93360882498609</v>
      </c>
      <c r="H187" s="34">
        <f t="shared" ca="1" si="9"/>
        <v>752.3556938592053</v>
      </c>
      <c r="I187" s="34">
        <f ca="1">IF(Pay_Num&lt;&gt;"",Beg_Bal*(Interest_Rate/VLOOKUP(Interval,LoanLookup[],5,FALSE)),"")</f>
        <v>237.57791496578074</v>
      </c>
      <c r="J187" s="34">
        <f ca="1">IF(scheduled_no_payments=1,"",IF(AND(Pay_Num&lt;&gt;"",Sched_Pay+Extra_Pay&lt;Beg_Bal),Beg_Bal-Princ,IF(Pay_Num&lt;&gt;"",0,"")))</f>
        <v>56266.343897928171</v>
      </c>
      <c r="K187" s="34">
        <f ca="1">IF(scheduled_no_payments=1,"",SUM($I$13:$I187))</f>
        <v>79504.72544230074</v>
      </c>
      <c r="L187" s="38"/>
    </row>
    <row r="188" spans="2:12" ht="16.5" customHeight="1" x14ac:dyDescent="0.25">
      <c r="B188" s="32">
        <f ca="1">IF(AND(Values_Entered,scheduled_no_payments&lt;&gt;1),B187+1,"")</f>
        <v>176</v>
      </c>
      <c r="C188" s="33">
        <f ca="1">IF(Pay_Num&lt;&gt;"",DATE(YEAR(C187)+VLOOKUP(Interval,LoanLookup[],4,FALSE),MONTH(C187)+VLOOKUP(Interval,LoanLookup[],2,FALSE),DAY(C187)+VLOOKUP(Interval,LoanLookup[],3,FALSE)),"")</f>
        <v>50194</v>
      </c>
      <c r="D188" s="34">
        <f t="shared" ca="1" si="8"/>
        <v>56266.343897928171</v>
      </c>
      <c r="E188" s="35">
        <f t="shared" ca="1" si="10"/>
        <v>989.93360882498609</v>
      </c>
      <c r="F188" s="36">
        <f ca="1">IF(scheduled_no_payments=1,"",IF(Sched_Pay+Scheduled_Extra_Payments&lt;Beg_Bal,Scheduled_Extra_Payments,IF(AND(Pay_Num&lt;&gt;"",Beg_Bal-Sched_Pay&gt;0),Beg_Bal-Sched_Pay,IF(Pay_Num&lt;&gt;"",0,""))))</f>
        <v>0</v>
      </c>
      <c r="G188" s="34">
        <f ca="1">IF(scheduled_no_payments=1,"",IF(Sched_Pay+Extra_Pay&lt;Beg_Bal,Sched_Pay+Extra_Pay,IF(Pay_Num&lt;&gt;"",Beg_Bal,"")))</f>
        <v>989.93360882498609</v>
      </c>
      <c r="H188" s="34">
        <f t="shared" ca="1" si="9"/>
        <v>755.49050925028541</v>
      </c>
      <c r="I188" s="34">
        <f ca="1">IF(Pay_Num&lt;&gt;"",Beg_Bal*(Interest_Rate/VLOOKUP(Interval,LoanLookup[],5,FALSE)),"")</f>
        <v>234.44309957470071</v>
      </c>
      <c r="J188" s="34">
        <f ca="1">IF(scheduled_no_payments=1,"",IF(AND(Pay_Num&lt;&gt;"",Sched_Pay+Extra_Pay&lt;Beg_Bal),Beg_Bal-Princ,IF(Pay_Num&lt;&gt;"",0,"")))</f>
        <v>55510.853388677882</v>
      </c>
      <c r="K188" s="34">
        <f ca="1">IF(scheduled_no_payments=1,"",SUM($I$13:$I188))</f>
        <v>79739.168541875435</v>
      </c>
      <c r="L188" s="38"/>
    </row>
    <row r="189" spans="2:12" ht="16.5" customHeight="1" x14ac:dyDescent="0.25">
      <c r="B189" s="32">
        <f ca="1">IF(AND(Values_Entered,scheduled_no_payments&lt;&gt;1),B188+1,"")</f>
        <v>177</v>
      </c>
      <c r="C189" s="33">
        <f ca="1">IF(Pay_Num&lt;&gt;"",DATE(YEAR(C188)+VLOOKUP(Interval,LoanLookup[],4,FALSE),MONTH(C188)+VLOOKUP(Interval,LoanLookup[],2,FALSE),DAY(C188)+VLOOKUP(Interval,LoanLookup[],3,FALSE)),"")</f>
        <v>50224</v>
      </c>
      <c r="D189" s="34">
        <f t="shared" ca="1" si="8"/>
        <v>55510.853388677882</v>
      </c>
      <c r="E189" s="35">
        <f t="shared" ca="1" si="10"/>
        <v>989.93360882498609</v>
      </c>
      <c r="F189" s="36">
        <f ca="1">IF(scheduled_no_payments=1,"",IF(Sched_Pay+Scheduled_Extra_Payments&lt;Beg_Bal,Scheduled_Extra_Payments,IF(AND(Pay_Num&lt;&gt;"",Beg_Bal-Sched_Pay&gt;0),Beg_Bal-Sched_Pay,IF(Pay_Num&lt;&gt;"",0,""))))</f>
        <v>0</v>
      </c>
      <c r="G189" s="34">
        <f ca="1">IF(scheduled_no_payments=1,"",IF(Sched_Pay+Extra_Pay&lt;Beg_Bal,Sched_Pay+Extra_Pay,IF(Pay_Num&lt;&gt;"",Beg_Bal,"")))</f>
        <v>989.93360882498609</v>
      </c>
      <c r="H189" s="34">
        <f t="shared" ca="1" si="9"/>
        <v>758.63838637216156</v>
      </c>
      <c r="I189" s="34">
        <f ca="1">IF(Pay_Num&lt;&gt;"",Beg_Bal*(Interest_Rate/VLOOKUP(Interval,LoanLookup[],5,FALSE)),"")</f>
        <v>231.2952224528245</v>
      </c>
      <c r="J189" s="34">
        <f ca="1">IF(scheduled_no_payments=1,"",IF(AND(Pay_Num&lt;&gt;"",Sched_Pay+Extra_Pay&lt;Beg_Bal),Beg_Bal-Princ,IF(Pay_Num&lt;&gt;"",0,"")))</f>
        <v>54752.215002305718</v>
      </c>
      <c r="K189" s="34">
        <f ca="1">IF(scheduled_no_payments=1,"",SUM($I$13:$I189))</f>
        <v>79970.463764328262</v>
      </c>
      <c r="L189" s="38"/>
    </row>
    <row r="190" spans="2:12" ht="16.5" customHeight="1" x14ac:dyDescent="0.25">
      <c r="B190" s="32">
        <f ca="1">IF(AND(Values_Entered,scheduled_no_payments&lt;&gt;1),B189+1,"")</f>
        <v>178</v>
      </c>
      <c r="C190" s="33">
        <f ca="1">IF(Pay_Num&lt;&gt;"",DATE(YEAR(C189)+VLOOKUP(Interval,LoanLookup[],4,FALSE),MONTH(C189)+VLOOKUP(Interval,LoanLookup[],2,FALSE),DAY(C189)+VLOOKUP(Interval,LoanLookup[],3,FALSE)),"")</f>
        <v>50255</v>
      </c>
      <c r="D190" s="34">
        <f t="shared" ca="1" si="8"/>
        <v>54752.215002305718</v>
      </c>
      <c r="E190" s="35">
        <f t="shared" ca="1" si="10"/>
        <v>989.93360882498609</v>
      </c>
      <c r="F190" s="36">
        <f ca="1">IF(scheduled_no_payments=1,"",IF(Sched_Pay+Scheduled_Extra_Payments&lt;Beg_Bal,Scheduled_Extra_Payments,IF(AND(Pay_Num&lt;&gt;"",Beg_Bal-Sched_Pay&gt;0),Beg_Bal-Sched_Pay,IF(Pay_Num&lt;&gt;"",0,""))))</f>
        <v>0</v>
      </c>
      <c r="G190" s="34">
        <f ca="1">IF(scheduled_no_payments=1,"",IF(Sched_Pay+Extra_Pay&lt;Beg_Bal,Sched_Pay+Extra_Pay,IF(Pay_Num&lt;&gt;"",Beg_Bal,"")))</f>
        <v>989.93360882498609</v>
      </c>
      <c r="H190" s="34">
        <f t="shared" ca="1" si="9"/>
        <v>761.79937964871226</v>
      </c>
      <c r="I190" s="34">
        <f ca="1">IF(Pay_Num&lt;&gt;"",Beg_Bal*(Interest_Rate/VLOOKUP(Interval,LoanLookup[],5,FALSE)),"")</f>
        <v>228.13422917627383</v>
      </c>
      <c r="J190" s="34">
        <f ca="1">IF(scheduled_no_payments=1,"",IF(AND(Pay_Num&lt;&gt;"",Sched_Pay+Extra_Pay&lt;Beg_Bal),Beg_Bal-Princ,IF(Pay_Num&lt;&gt;"",0,"")))</f>
        <v>53990.415622657005</v>
      </c>
      <c r="K190" s="34">
        <f ca="1">IF(scheduled_no_payments=1,"",SUM($I$13:$I190))</f>
        <v>80198.597993504532</v>
      </c>
      <c r="L190" s="38"/>
    </row>
    <row r="191" spans="2:12" ht="16.5" customHeight="1" x14ac:dyDescent="0.25">
      <c r="B191" s="32">
        <f ca="1">IF(AND(Values_Entered,scheduled_no_payments&lt;&gt;1),B190+1,"")</f>
        <v>179</v>
      </c>
      <c r="C191" s="33">
        <f ca="1">IF(Pay_Num&lt;&gt;"",DATE(YEAR(C190)+VLOOKUP(Interval,LoanLookup[],4,FALSE),MONTH(C190)+VLOOKUP(Interval,LoanLookup[],2,FALSE),DAY(C190)+VLOOKUP(Interval,LoanLookup[],3,FALSE)),"")</f>
        <v>50286</v>
      </c>
      <c r="D191" s="34">
        <f t="shared" ca="1" si="8"/>
        <v>53990.415622657005</v>
      </c>
      <c r="E191" s="35">
        <f t="shared" ca="1" si="10"/>
        <v>989.93360882498609</v>
      </c>
      <c r="F191" s="36">
        <f ca="1">IF(scheduled_no_payments=1,"",IF(Sched_Pay+Scheduled_Extra_Payments&lt;Beg_Bal,Scheduled_Extra_Payments,IF(AND(Pay_Num&lt;&gt;"",Beg_Bal-Sched_Pay&gt;0),Beg_Bal-Sched_Pay,IF(Pay_Num&lt;&gt;"",0,""))))</f>
        <v>0</v>
      </c>
      <c r="G191" s="34">
        <f ca="1">IF(scheduled_no_payments=1,"",IF(Sched_Pay+Extra_Pay&lt;Beg_Bal,Sched_Pay+Extra_Pay,IF(Pay_Num&lt;&gt;"",Beg_Bal,"")))</f>
        <v>989.93360882498609</v>
      </c>
      <c r="H191" s="34">
        <f t="shared" ca="1" si="9"/>
        <v>764.97354373058192</v>
      </c>
      <c r="I191" s="34">
        <f ca="1">IF(Pay_Num&lt;&gt;"",Beg_Bal*(Interest_Rate/VLOOKUP(Interval,LoanLookup[],5,FALSE)),"")</f>
        <v>224.96006509440417</v>
      </c>
      <c r="J191" s="34">
        <f ca="1">IF(scheduled_no_payments=1,"",IF(AND(Pay_Num&lt;&gt;"",Sched_Pay+Extra_Pay&lt;Beg_Bal),Beg_Bal-Princ,IF(Pay_Num&lt;&gt;"",0,"")))</f>
        <v>53225.442078926426</v>
      </c>
      <c r="K191" s="34">
        <f ca="1">IF(scheduled_no_payments=1,"",SUM($I$13:$I191))</f>
        <v>80423.558058598937</v>
      </c>
      <c r="L191" s="38"/>
    </row>
    <row r="192" spans="2:12" ht="16.5" customHeight="1" x14ac:dyDescent="0.25">
      <c r="B192" s="32">
        <f ca="1">IF(AND(Values_Entered,scheduled_no_payments&lt;&gt;1),B191+1,"")</f>
        <v>180</v>
      </c>
      <c r="C192" s="33">
        <f ca="1">IF(Pay_Num&lt;&gt;"",DATE(YEAR(C191)+VLOOKUP(Interval,LoanLookup[],4,FALSE),MONTH(C191)+VLOOKUP(Interval,LoanLookup[],2,FALSE),DAY(C191)+VLOOKUP(Interval,LoanLookup[],3,FALSE)),"")</f>
        <v>50316</v>
      </c>
      <c r="D192" s="34">
        <f t="shared" ca="1" si="8"/>
        <v>53225.442078926426</v>
      </c>
      <c r="E192" s="35">
        <f t="shared" ca="1" si="10"/>
        <v>989.93360882498609</v>
      </c>
      <c r="F192" s="36">
        <f ca="1">IF(scheduled_no_payments=1,"",IF(Sched_Pay+Scheduled_Extra_Payments&lt;Beg_Bal,Scheduled_Extra_Payments,IF(AND(Pay_Num&lt;&gt;"",Beg_Bal-Sched_Pay&gt;0),Beg_Bal-Sched_Pay,IF(Pay_Num&lt;&gt;"",0,""))))</f>
        <v>0</v>
      </c>
      <c r="G192" s="34">
        <f ca="1">IF(scheduled_no_payments=1,"",IF(Sched_Pay+Extra_Pay&lt;Beg_Bal,Sched_Pay+Extra_Pay,IF(Pay_Num&lt;&gt;"",Beg_Bal,"")))</f>
        <v>989.93360882498609</v>
      </c>
      <c r="H192" s="34">
        <f t="shared" ca="1" si="9"/>
        <v>768.16093349612595</v>
      </c>
      <c r="I192" s="34">
        <f ca="1">IF(Pay_Num&lt;&gt;"",Beg_Bal*(Interest_Rate/VLOOKUP(Interval,LoanLookup[],5,FALSE)),"")</f>
        <v>221.77267532886012</v>
      </c>
      <c r="J192" s="34">
        <f ca="1">IF(scheduled_no_payments=1,"",IF(AND(Pay_Num&lt;&gt;"",Sched_Pay+Extra_Pay&lt;Beg_Bal),Beg_Bal-Princ,IF(Pay_Num&lt;&gt;"",0,"")))</f>
        <v>52457.281145430301</v>
      </c>
      <c r="K192" s="34">
        <f ca="1">IF(scheduled_no_payments=1,"",SUM($I$13:$I192))</f>
        <v>80645.330733927796</v>
      </c>
      <c r="L192" s="38"/>
    </row>
    <row r="193" spans="2:12" ht="16.5" customHeight="1" x14ac:dyDescent="0.25">
      <c r="B193" s="32">
        <f ca="1">IF(AND(Values_Entered,scheduled_no_payments&lt;&gt;1),B192+1,"")</f>
        <v>181</v>
      </c>
      <c r="C193" s="33">
        <f ca="1">IF(Pay_Num&lt;&gt;"",DATE(YEAR(C192)+VLOOKUP(Interval,LoanLookup[],4,FALSE),MONTH(C192)+VLOOKUP(Interval,LoanLookup[],2,FALSE),DAY(C192)+VLOOKUP(Interval,LoanLookup[],3,FALSE)),"")</f>
        <v>50347</v>
      </c>
      <c r="D193" s="34">
        <f t="shared" ca="1" si="8"/>
        <v>52457.281145430301</v>
      </c>
      <c r="E193" s="35">
        <f t="shared" ca="1" si="10"/>
        <v>989.93360882498609</v>
      </c>
      <c r="F193" s="36">
        <f ca="1">IF(scheduled_no_payments=1,"",IF(Sched_Pay+Scheduled_Extra_Payments&lt;Beg_Bal,Scheduled_Extra_Payments,IF(AND(Pay_Num&lt;&gt;"",Beg_Bal-Sched_Pay&gt;0),Beg_Bal-Sched_Pay,IF(Pay_Num&lt;&gt;"",0,""))))</f>
        <v>0</v>
      </c>
      <c r="G193" s="34">
        <f ca="1">IF(scheduled_no_payments=1,"",IF(Sched_Pay+Extra_Pay&lt;Beg_Bal,Sched_Pay+Extra_Pay,IF(Pay_Num&lt;&gt;"",Beg_Bal,"")))</f>
        <v>989.93360882498609</v>
      </c>
      <c r="H193" s="34">
        <f t="shared" ca="1" si="9"/>
        <v>771.36160405235978</v>
      </c>
      <c r="I193" s="34">
        <f ca="1">IF(Pay_Num&lt;&gt;"",Beg_Bal*(Interest_Rate/VLOOKUP(Interval,LoanLookup[],5,FALSE)),"")</f>
        <v>218.57200477262626</v>
      </c>
      <c r="J193" s="34">
        <f ca="1">IF(scheduled_no_payments=1,"",IF(AND(Pay_Num&lt;&gt;"",Sched_Pay+Extra_Pay&lt;Beg_Bal),Beg_Bal-Princ,IF(Pay_Num&lt;&gt;"",0,"")))</f>
        <v>51685.919541377938</v>
      </c>
      <c r="K193" s="34">
        <f ca="1">IF(scheduled_no_payments=1,"",SUM($I$13:$I193))</f>
        <v>80863.902738700417</v>
      </c>
      <c r="L193" s="38"/>
    </row>
    <row r="194" spans="2:12" ht="16.5" customHeight="1" x14ac:dyDescent="0.25">
      <c r="B194" s="32">
        <f ca="1">IF(AND(Values_Entered,scheduled_no_payments&lt;&gt;1),B193+1,"")</f>
        <v>182</v>
      </c>
      <c r="C194" s="33">
        <f ca="1">IF(Pay_Num&lt;&gt;"",DATE(YEAR(C193)+VLOOKUP(Interval,LoanLookup[],4,FALSE),MONTH(C193)+VLOOKUP(Interval,LoanLookup[],2,FALSE),DAY(C193)+VLOOKUP(Interval,LoanLookup[],3,FALSE)),"")</f>
        <v>50377</v>
      </c>
      <c r="D194" s="34">
        <f t="shared" ca="1" si="8"/>
        <v>51685.919541377938</v>
      </c>
      <c r="E194" s="35">
        <f t="shared" ca="1" si="10"/>
        <v>989.93360882498609</v>
      </c>
      <c r="F194" s="36">
        <f ca="1">IF(scheduled_no_payments=1,"",IF(Sched_Pay+Scheduled_Extra_Payments&lt;Beg_Bal,Scheduled_Extra_Payments,IF(AND(Pay_Num&lt;&gt;"",Beg_Bal-Sched_Pay&gt;0),Beg_Bal-Sched_Pay,IF(Pay_Num&lt;&gt;"",0,""))))</f>
        <v>0</v>
      </c>
      <c r="G194" s="34">
        <f ca="1">IF(scheduled_no_payments=1,"",IF(Sched_Pay+Extra_Pay&lt;Beg_Bal,Sched_Pay+Extra_Pay,IF(Pay_Num&lt;&gt;"",Beg_Bal,"")))</f>
        <v>989.93360882498609</v>
      </c>
      <c r="H194" s="34">
        <f t="shared" ca="1" si="9"/>
        <v>774.57561073591137</v>
      </c>
      <c r="I194" s="34">
        <f ca="1">IF(Pay_Num&lt;&gt;"",Beg_Bal*(Interest_Rate/VLOOKUP(Interval,LoanLookup[],5,FALSE)),"")</f>
        <v>215.35799808907473</v>
      </c>
      <c r="J194" s="34">
        <f ca="1">IF(scheduled_no_payments=1,"",IF(AND(Pay_Num&lt;&gt;"",Sched_Pay+Extra_Pay&lt;Beg_Bal),Beg_Bal-Princ,IF(Pay_Num&lt;&gt;"",0,"")))</f>
        <v>50911.343930642026</v>
      </c>
      <c r="K194" s="34">
        <f ca="1">IF(scheduled_no_payments=1,"",SUM($I$13:$I194))</f>
        <v>81079.260736789496</v>
      </c>
      <c r="L194" s="38"/>
    </row>
    <row r="195" spans="2:12" ht="16.5" customHeight="1" x14ac:dyDescent="0.25">
      <c r="B195" s="32">
        <f ca="1">IF(AND(Values_Entered,scheduled_no_payments&lt;&gt;1),B194+1,"")</f>
        <v>183</v>
      </c>
      <c r="C195" s="33">
        <f ca="1">IF(Pay_Num&lt;&gt;"",DATE(YEAR(C194)+VLOOKUP(Interval,LoanLookup[],4,FALSE),MONTH(C194)+VLOOKUP(Interval,LoanLookup[],2,FALSE),DAY(C194)+VLOOKUP(Interval,LoanLookup[],3,FALSE)),"")</f>
        <v>50408</v>
      </c>
      <c r="D195" s="34">
        <f t="shared" ca="1" si="8"/>
        <v>50911.343930642026</v>
      </c>
      <c r="E195" s="35">
        <f t="shared" ca="1" si="10"/>
        <v>989.93360882498609</v>
      </c>
      <c r="F195" s="36">
        <f ca="1">IF(scheduled_no_payments=1,"",IF(Sched_Pay+Scheduled_Extra_Payments&lt;Beg_Bal,Scheduled_Extra_Payments,IF(AND(Pay_Num&lt;&gt;"",Beg_Bal-Sched_Pay&gt;0),Beg_Bal-Sched_Pay,IF(Pay_Num&lt;&gt;"",0,""))))</f>
        <v>0</v>
      </c>
      <c r="G195" s="34">
        <f ca="1">IF(scheduled_no_payments=1,"",IF(Sched_Pay+Extra_Pay&lt;Beg_Bal,Sched_Pay+Extra_Pay,IF(Pay_Num&lt;&gt;"",Beg_Bal,"")))</f>
        <v>989.93360882498609</v>
      </c>
      <c r="H195" s="34">
        <f t="shared" ca="1" si="9"/>
        <v>777.80300911397762</v>
      </c>
      <c r="I195" s="34">
        <f ca="1">IF(Pay_Num&lt;&gt;"",Beg_Bal*(Interest_Rate/VLOOKUP(Interval,LoanLookup[],5,FALSE)),"")</f>
        <v>212.13059971100844</v>
      </c>
      <c r="J195" s="34">
        <f ca="1">IF(scheduled_no_payments=1,"",IF(AND(Pay_Num&lt;&gt;"",Sched_Pay+Extra_Pay&lt;Beg_Bal),Beg_Bal-Princ,IF(Pay_Num&lt;&gt;"",0,"")))</f>
        <v>50133.540921528045</v>
      </c>
      <c r="K195" s="34">
        <f ca="1">IF(scheduled_no_payments=1,"",SUM($I$13:$I195))</f>
        <v>81291.391336500499</v>
      </c>
      <c r="L195" s="38"/>
    </row>
    <row r="196" spans="2:12" ht="16.5" customHeight="1" x14ac:dyDescent="0.25">
      <c r="B196" s="32">
        <f ca="1">IF(AND(Values_Entered,scheduled_no_payments&lt;&gt;1),B195+1,"")</f>
        <v>184</v>
      </c>
      <c r="C196" s="33">
        <f ca="1">IF(Pay_Num&lt;&gt;"",DATE(YEAR(C195)+VLOOKUP(Interval,LoanLookup[],4,FALSE),MONTH(C195)+VLOOKUP(Interval,LoanLookup[],2,FALSE),DAY(C195)+VLOOKUP(Interval,LoanLookup[],3,FALSE)),"")</f>
        <v>50439</v>
      </c>
      <c r="D196" s="34">
        <f t="shared" ca="1" si="8"/>
        <v>50133.540921528045</v>
      </c>
      <c r="E196" s="35">
        <f t="shared" ca="1" si="10"/>
        <v>989.93360882498609</v>
      </c>
      <c r="F196" s="36">
        <f ca="1">IF(scheduled_no_payments=1,"",IF(Sched_Pay+Scheduled_Extra_Payments&lt;Beg_Bal,Scheduled_Extra_Payments,IF(AND(Pay_Num&lt;&gt;"",Beg_Bal-Sched_Pay&gt;0),Beg_Bal-Sched_Pay,IF(Pay_Num&lt;&gt;"",0,""))))</f>
        <v>0</v>
      </c>
      <c r="G196" s="34">
        <f ca="1">IF(scheduled_no_payments=1,"",IF(Sched_Pay+Extra_Pay&lt;Beg_Bal,Sched_Pay+Extra_Pay,IF(Pay_Num&lt;&gt;"",Beg_Bal,"")))</f>
        <v>989.93360882498609</v>
      </c>
      <c r="H196" s="34">
        <f t="shared" ca="1" si="9"/>
        <v>781.04385498528586</v>
      </c>
      <c r="I196" s="34">
        <f ca="1">IF(Pay_Num&lt;&gt;"",Beg_Bal*(Interest_Rate/VLOOKUP(Interval,LoanLookup[],5,FALSE)),"")</f>
        <v>208.88975383970018</v>
      </c>
      <c r="J196" s="34">
        <f ca="1">IF(scheduled_no_payments=1,"",IF(AND(Pay_Num&lt;&gt;"",Sched_Pay+Extra_Pay&lt;Beg_Bal),Beg_Bal-Princ,IF(Pay_Num&lt;&gt;"",0,"")))</f>
        <v>49352.497066542761</v>
      </c>
      <c r="K196" s="34">
        <f ca="1">IF(scheduled_no_payments=1,"",SUM($I$13:$I196))</f>
        <v>81500.281090340199</v>
      </c>
      <c r="L196" s="38"/>
    </row>
    <row r="197" spans="2:12" ht="16.5" customHeight="1" x14ac:dyDescent="0.25">
      <c r="B197" s="32">
        <f ca="1">IF(AND(Values_Entered,scheduled_no_payments&lt;&gt;1),B196+1,"")</f>
        <v>185</v>
      </c>
      <c r="C197" s="33">
        <f ca="1">IF(Pay_Num&lt;&gt;"",DATE(YEAR(C196)+VLOOKUP(Interval,LoanLookup[],4,FALSE),MONTH(C196)+VLOOKUP(Interval,LoanLookup[],2,FALSE),DAY(C196)+VLOOKUP(Interval,LoanLookup[],3,FALSE)),"")</f>
        <v>50467</v>
      </c>
      <c r="D197" s="34">
        <f t="shared" ca="1" si="8"/>
        <v>49352.497066542761</v>
      </c>
      <c r="E197" s="35">
        <f t="shared" ca="1" si="10"/>
        <v>989.93360882498609</v>
      </c>
      <c r="F197" s="36">
        <f ca="1">IF(scheduled_no_payments=1,"",IF(Sched_Pay+Scheduled_Extra_Payments&lt;Beg_Bal,Scheduled_Extra_Payments,IF(AND(Pay_Num&lt;&gt;"",Beg_Bal-Sched_Pay&gt;0),Beg_Bal-Sched_Pay,IF(Pay_Num&lt;&gt;"",0,""))))</f>
        <v>0</v>
      </c>
      <c r="G197" s="34">
        <f ca="1">IF(scheduled_no_payments=1,"",IF(Sched_Pay+Extra_Pay&lt;Beg_Bal,Sched_Pay+Extra_Pay,IF(Pay_Num&lt;&gt;"",Beg_Bal,"")))</f>
        <v>989.93360882498609</v>
      </c>
      <c r="H197" s="34">
        <f t="shared" ca="1" si="9"/>
        <v>784.29820438105799</v>
      </c>
      <c r="I197" s="34">
        <f ca="1">IF(Pay_Num&lt;&gt;"",Beg_Bal*(Interest_Rate/VLOOKUP(Interval,LoanLookup[],5,FALSE)),"")</f>
        <v>205.63540444392817</v>
      </c>
      <c r="J197" s="34">
        <f ca="1">IF(scheduled_no_payments=1,"",IF(AND(Pay_Num&lt;&gt;"",Sched_Pay+Extra_Pay&lt;Beg_Bal),Beg_Bal-Princ,IF(Pay_Num&lt;&gt;"",0,"")))</f>
        <v>48568.198862161706</v>
      </c>
      <c r="K197" s="34">
        <f ca="1">IF(scheduled_no_payments=1,"",SUM($I$13:$I197))</f>
        <v>81705.91649478412</v>
      </c>
      <c r="L197" s="38"/>
    </row>
    <row r="198" spans="2:12" ht="16.5" customHeight="1" x14ac:dyDescent="0.25">
      <c r="B198" s="32">
        <f ca="1">IF(AND(Values_Entered,scheduled_no_payments&lt;&gt;1),B197+1,"")</f>
        <v>186</v>
      </c>
      <c r="C198" s="33">
        <f ca="1">IF(Pay_Num&lt;&gt;"",DATE(YEAR(C197)+VLOOKUP(Interval,LoanLookup[],4,FALSE),MONTH(C197)+VLOOKUP(Interval,LoanLookup[],2,FALSE),DAY(C197)+VLOOKUP(Interval,LoanLookup[],3,FALSE)),"")</f>
        <v>50498</v>
      </c>
      <c r="D198" s="34">
        <f t="shared" ca="1" si="8"/>
        <v>48568.198862161706</v>
      </c>
      <c r="E198" s="35">
        <f t="shared" ca="1" si="10"/>
        <v>989.93360882498609</v>
      </c>
      <c r="F198" s="36">
        <f ca="1">IF(scheduled_no_payments=1,"",IF(Sched_Pay+Scheduled_Extra_Payments&lt;Beg_Bal,Scheduled_Extra_Payments,IF(AND(Pay_Num&lt;&gt;"",Beg_Bal-Sched_Pay&gt;0),Beg_Bal-Sched_Pay,IF(Pay_Num&lt;&gt;"",0,""))))</f>
        <v>0</v>
      </c>
      <c r="G198" s="34">
        <f ca="1">IF(scheduled_no_payments=1,"",IF(Sched_Pay+Extra_Pay&lt;Beg_Bal,Sched_Pay+Extra_Pay,IF(Pay_Num&lt;&gt;"",Beg_Bal,"")))</f>
        <v>989.93360882498609</v>
      </c>
      <c r="H198" s="34">
        <f t="shared" ca="1" si="9"/>
        <v>787.56611356597898</v>
      </c>
      <c r="I198" s="34">
        <f ca="1">IF(Pay_Num&lt;&gt;"",Beg_Bal*(Interest_Rate/VLOOKUP(Interval,LoanLookup[],5,FALSE)),"")</f>
        <v>202.36749525900711</v>
      </c>
      <c r="J198" s="34">
        <f ca="1">IF(scheduled_no_payments=1,"",IF(AND(Pay_Num&lt;&gt;"",Sched_Pay+Extra_Pay&lt;Beg_Bal),Beg_Bal-Princ,IF(Pay_Num&lt;&gt;"",0,"")))</f>
        <v>47780.63274859573</v>
      </c>
      <c r="K198" s="34">
        <f ca="1">IF(scheduled_no_payments=1,"",SUM($I$13:$I198))</f>
        <v>81908.283990043128</v>
      </c>
      <c r="L198" s="38"/>
    </row>
    <row r="199" spans="2:12" ht="16.5" customHeight="1" x14ac:dyDescent="0.25">
      <c r="B199" s="32">
        <f ca="1">IF(AND(Values_Entered,scheduled_no_payments&lt;&gt;1),B198+1,"")</f>
        <v>187</v>
      </c>
      <c r="C199" s="33">
        <f ca="1">IF(Pay_Num&lt;&gt;"",DATE(YEAR(C198)+VLOOKUP(Interval,LoanLookup[],4,FALSE),MONTH(C198)+VLOOKUP(Interval,LoanLookup[],2,FALSE),DAY(C198)+VLOOKUP(Interval,LoanLookup[],3,FALSE)),"")</f>
        <v>50528</v>
      </c>
      <c r="D199" s="34">
        <f t="shared" ca="1" si="8"/>
        <v>47780.63274859573</v>
      </c>
      <c r="E199" s="35">
        <f t="shared" ca="1" si="10"/>
        <v>989.93360882498609</v>
      </c>
      <c r="F199" s="36">
        <f ca="1">IF(scheduled_no_payments=1,"",IF(Sched_Pay+Scheduled_Extra_Payments&lt;Beg_Bal,Scheduled_Extra_Payments,IF(AND(Pay_Num&lt;&gt;"",Beg_Bal-Sched_Pay&gt;0),Beg_Bal-Sched_Pay,IF(Pay_Num&lt;&gt;"",0,""))))</f>
        <v>0</v>
      </c>
      <c r="G199" s="34">
        <f ca="1">IF(scheduled_no_payments=1,"",IF(Sched_Pay+Extra_Pay&lt;Beg_Bal,Sched_Pay+Extra_Pay,IF(Pay_Num&lt;&gt;"",Beg_Bal,"")))</f>
        <v>989.93360882498609</v>
      </c>
      <c r="H199" s="34">
        <f t="shared" ca="1" si="9"/>
        <v>790.84763903917053</v>
      </c>
      <c r="I199" s="34">
        <f ca="1">IF(Pay_Num&lt;&gt;"",Beg_Bal*(Interest_Rate/VLOOKUP(Interval,LoanLookup[],5,FALSE)),"")</f>
        <v>199.08596978581554</v>
      </c>
      <c r="J199" s="34">
        <f ca="1">IF(scheduled_no_payments=1,"",IF(AND(Pay_Num&lt;&gt;"",Sched_Pay+Extra_Pay&lt;Beg_Bal),Beg_Bal-Princ,IF(Pay_Num&lt;&gt;"",0,"")))</f>
        <v>46989.785109556557</v>
      </c>
      <c r="K199" s="34">
        <f ca="1">IF(scheduled_no_payments=1,"",SUM($I$13:$I199))</f>
        <v>82107.369959828939</v>
      </c>
      <c r="L199" s="38"/>
    </row>
    <row r="200" spans="2:12" ht="16.5" customHeight="1" x14ac:dyDescent="0.25">
      <c r="B200" s="32">
        <f ca="1">IF(AND(Values_Entered,scheduled_no_payments&lt;&gt;1),B199+1,"")</f>
        <v>188</v>
      </c>
      <c r="C200" s="33">
        <f ca="1">IF(Pay_Num&lt;&gt;"",DATE(YEAR(C199)+VLOOKUP(Interval,LoanLookup[],4,FALSE),MONTH(C199)+VLOOKUP(Interval,LoanLookup[],2,FALSE),DAY(C199)+VLOOKUP(Interval,LoanLookup[],3,FALSE)),"")</f>
        <v>50559</v>
      </c>
      <c r="D200" s="34">
        <f t="shared" ca="1" si="8"/>
        <v>46989.785109556557</v>
      </c>
      <c r="E200" s="35">
        <f t="shared" ca="1" si="10"/>
        <v>989.93360882498609</v>
      </c>
      <c r="F200" s="36">
        <f ca="1">IF(scheduled_no_payments=1,"",IF(Sched_Pay+Scheduled_Extra_Payments&lt;Beg_Bal,Scheduled_Extra_Payments,IF(AND(Pay_Num&lt;&gt;"",Beg_Bal-Sched_Pay&gt;0),Beg_Bal-Sched_Pay,IF(Pay_Num&lt;&gt;"",0,""))))</f>
        <v>0</v>
      </c>
      <c r="G200" s="34">
        <f ca="1">IF(scheduled_no_payments=1,"",IF(Sched_Pay+Extra_Pay&lt;Beg_Bal,Sched_Pay+Extra_Pay,IF(Pay_Num&lt;&gt;"",Beg_Bal,"")))</f>
        <v>989.93360882498609</v>
      </c>
      <c r="H200" s="34">
        <f t="shared" ca="1" si="9"/>
        <v>794.14283753516713</v>
      </c>
      <c r="I200" s="34">
        <f ca="1">IF(Pay_Num&lt;&gt;"",Beg_Bal*(Interest_Rate/VLOOKUP(Interval,LoanLookup[],5,FALSE)),"")</f>
        <v>195.79077128981899</v>
      </c>
      <c r="J200" s="34">
        <f ca="1">IF(scheduled_no_payments=1,"",IF(AND(Pay_Num&lt;&gt;"",Sched_Pay+Extra_Pay&lt;Beg_Bal),Beg_Bal-Princ,IF(Pay_Num&lt;&gt;"",0,"")))</f>
        <v>46195.642272021389</v>
      </c>
      <c r="K200" s="34">
        <f ca="1">IF(scheduled_no_payments=1,"",SUM($I$13:$I200))</f>
        <v>82303.160731118754</v>
      </c>
      <c r="L200" s="38"/>
    </row>
    <row r="201" spans="2:12" ht="16.5" customHeight="1" x14ac:dyDescent="0.25">
      <c r="B201" s="32">
        <f ca="1">IF(AND(Values_Entered,scheduled_no_payments&lt;&gt;1),B200+1,"")</f>
        <v>189</v>
      </c>
      <c r="C201" s="33">
        <f ca="1">IF(Pay_Num&lt;&gt;"",DATE(YEAR(C200)+VLOOKUP(Interval,LoanLookup[],4,FALSE),MONTH(C200)+VLOOKUP(Interval,LoanLookup[],2,FALSE),DAY(C200)+VLOOKUP(Interval,LoanLookup[],3,FALSE)),"")</f>
        <v>50589</v>
      </c>
      <c r="D201" s="34">
        <f t="shared" ca="1" si="8"/>
        <v>46195.642272021389</v>
      </c>
      <c r="E201" s="35">
        <f t="shared" ca="1" si="10"/>
        <v>989.93360882498609</v>
      </c>
      <c r="F201" s="36">
        <f ca="1">IF(scheduled_no_payments=1,"",IF(Sched_Pay+Scheduled_Extra_Payments&lt;Beg_Bal,Scheduled_Extra_Payments,IF(AND(Pay_Num&lt;&gt;"",Beg_Bal-Sched_Pay&gt;0),Beg_Bal-Sched_Pay,IF(Pay_Num&lt;&gt;"",0,""))))</f>
        <v>0</v>
      </c>
      <c r="G201" s="34">
        <f ca="1">IF(scheduled_no_payments=1,"",IF(Sched_Pay+Extra_Pay&lt;Beg_Bal,Sched_Pay+Extra_Pay,IF(Pay_Num&lt;&gt;"",Beg_Bal,"")))</f>
        <v>989.93360882498609</v>
      </c>
      <c r="H201" s="34">
        <f t="shared" ca="1" si="9"/>
        <v>797.45176602489698</v>
      </c>
      <c r="I201" s="34">
        <f ca="1">IF(Pay_Num&lt;&gt;"",Beg_Bal*(Interest_Rate/VLOOKUP(Interval,LoanLookup[],5,FALSE)),"")</f>
        <v>192.48184280008911</v>
      </c>
      <c r="J201" s="34">
        <f ca="1">IF(scheduled_no_payments=1,"",IF(AND(Pay_Num&lt;&gt;"",Sched_Pay+Extra_Pay&lt;Beg_Bal),Beg_Bal-Princ,IF(Pay_Num&lt;&gt;"",0,"")))</f>
        <v>45398.190505996492</v>
      </c>
      <c r="K201" s="34">
        <f ca="1">IF(scheduled_no_payments=1,"",SUM($I$13:$I201))</f>
        <v>82495.642573918842</v>
      </c>
      <c r="L201" s="38"/>
    </row>
    <row r="202" spans="2:12" ht="16.5" customHeight="1" x14ac:dyDescent="0.25">
      <c r="B202" s="32">
        <f ca="1">IF(AND(Values_Entered,scheduled_no_payments&lt;&gt;1),B201+1,"")</f>
        <v>190</v>
      </c>
      <c r="C202" s="33">
        <f ca="1">IF(Pay_Num&lt;&gt;"",DATE(YEAR(C201)+VLOOKUP(Interval,LoanLookup[],4,FALSE),MONTH(C201)+VLOOKUP(Interval,LoanLookup[],2,FALSE),DAY(C201)+VLOOKUP(Interval,LoanLookup[],3,FALSE)),"")</f>
        <v>50620</v>
      </c>
      <c r="D202" s="34">
        <f t="shared" ca="1" si="8"/>
        <v>45398.190505996492</v>
      </c>
      <c r="E202" s="35">
        <f t="shared" ca="1" si="10"/>
        <v>989.93360882498609</v>
      </c>
      <c r="F202" s="36">
        <f ca="1">IF(scheduled_no_payments=1,"",IF(Sched_Pay+Scheduled_Extra_Payments&lt;Beg_Bal,Scheduled_Extra_Payments,IF(AND(Pay_Num&lt;&gt;"",Beg_Bal-Sched_Pay&gt;0),Beg_Bal-Sched_Pay,IF(Pay_Num&lt;&gt;"",0,""))))</f>
        <v>0</v>
      </c>
      <c r="G202" s="34">
        <f ca="1">IF(scheduled_no_payments=1,"",IF(Sched_Pay+Extra_Pay&lt;Beg_Bal,Sched_Pay+Extra_Pay,IF(Pay_Num&lt;&gt;"",Beg_Bal,"")))</f>
        <v>989.93360882498609</v>
      </c>
      <c r="H202" s="34">
        <f t="shared" ca="1" si="9"/>
        <v>800.77448171666742</v>
      </c>
      <c r="I202" s="34">
        <f ca="1">IF(Pay_Num&lt;&gt;"",Beg_Bal*(Interest_Rate/VLOOKUP(Interval,LoanLookup[],5,FALSE)),"")</f>
        <v>189.15912710831873</v>
      </c>
      <c r="J202" s="34">
        <f ca="1">IF(scheduled_no_payments=1,"",IF(AND(Pay_Num&lt;&gt;"",Sched_Pay+Extra_Pay&lt;Beg_Bal),Beg_Bal-Princ,IF(Pay_Num&lt;&gt;"",0,"")))</f>
        <v>44597.416024279824</v>
      </c>
      <c r="K202" s="34">
        <f ca="1">IF(scheduled_no_payments=1,"",SUM($I$13:$I202))</f>
        <v>82684.801701027158</v>
      </c>
      <c r="L202" s="38"/>
    </row>
    <row r="203" spans="2:12" ht="16.5" customHeight="1" x14ac:dyDescent="0.25">
      <c r="B203" s="32">
        <f ca="1">IF(AND(Values_Entered,scheduled_no_payments&lt;&gt;1),B202+1,"")</f>
        <v>191</v>
      </c>
      <c r="C203" s="33">
        <f ca="1">IF(Pay_Num&lt;&gt;"",DATE(YEAR(C202)+VLOOKUP(Interval,LoanLookup[],4,FALSE),MONTH(C202)+VLOOKUP(Interval,LoanLookup[],2,FALSE),DAY(C202)+VLOOKUP(Interval,LoanLookup[],3,FALSE)),"")</f>
        <v>50651</v>
      </c>
      <c r="D203" s="34">
        <f t="shared" ca="1" si="8"/>
        <v>44597.416024279824</v>
      </c>
      <c r="E203" s="35">
        <f t="shared" ca="1" si="10"/>
        <v>989.93360882498609</v>
      </c>
      <c r="F203" s="36">
        <f ca="1">IF(scheduled_no_payments=1,"",IF(Sched_Pay+Scheduled_Extra_Payments&lt;Beg_Bal,Scheduled_Extra_Payments,IF(AND(Pay_Num&lt;&gt;"",Beg_Bal-Sched_Pay&gt;0),Beg_Bal-Sched_Pay,IF(Pay_Num&lt;&gt;"",0,""))))</f>
        <v>0</v>
      </c>
      <c r="G203" s="34">
        <f ca="1">IF(scheduled_no_payments=1,"",IF(Sched_Pay+Extra_Pay&lt;Beg_Bal,Sched_Pay+Extra_Pay,IF(Pay_Num&lt;&gt;"",Beg_Bal,"")))</f>
        <v>989.93360882498609</v>
      </c>
      <c r="H203" s="34">
        <f t="shared" ca="1" si="9"/>
        <v>804.11104205715355</v>
      </c>
      <c r="I203" s="34">
        <f ca="1">IF(Pay_Num&lt;&gt;"",Beg_Bal*(Interest_Rate/VLOOKUP(Interval,LoanLookup[],5,FALSE)),"")</f>
        <v>185.8225667678326</v>
      </c>
      <c r="J203" s="34">
        <f ca="1">IF(scheduled_no_payments=1,"",IF(AND(Pay_Num&lt;&gt;"",Sched_Pay+Extra_Pay&lt;Beg_Bal),Beg_Bal-Princ,IF(Pay_Num&lt;&gt;"",0,"")))</f>
        <v>43793.304982222668</v>
      </c>
      <c r="K203" s="34">
        <f ca="1">IF(scheduled_no_payments=1,"",SUM($I$13:$I203))</f>
        <v>82870.624267794992</v>
      </c>
      <c r="L203" s="38"/>
    </row>
    <row r="204" spans="2:12" ht="16.5" customHeight="1" x14ac:dyDescent="0.25">
      <c r="B204" s="32">
        <f ca="1">IF(AND(Values_Entered,scheduled_no_payments&lt;&gt;1),B203+1,"")</f>
        <v>192</v>
      </c>
      <c r="C204" s="33">
        <f ca="1">IF(Pay_Num&lt;&gt;"",DATE(YEAR(C203)+VLOOKUP(Interval,LoanLookup[],4,FALSE),MONTH(C203)+VLOOKUP(Interval,LoanLookup[],2,FALSE),DAY(C203)+VLOOKUP(Interval,LoanLookup[],3,FALSE)),"")</f>
        <v>50681</v>
      </c>
      <c r="D204" s="34">
        <f t="shared" ca="1" si="8"/>
        <v>43793.304982222668</v>
      </c>
      <c r="E204" s="35">
        <f t="shared" ca="1" si="10"/>
        <v>989.93360882498609</v>
      </c>
      <c r="F204" s="36">
        <f ca="1">IF(scheduled_no_payments=1,"",IF(Sched_Pay+Scheduled_Extra_Payments&lt;Beg_Bal,Scheduled_Extra_Payments,IF(AND(Pay_Num&lt;&gt;"",Beg_Bal-Sched_Pay&gt;0),Beg_Bal-Sched_Pay,IF(Pay_Num&lt;&gt;"",0,""))))</f>
        <v>0</v>
      </c>
      <c r="G204" s="34">
        <f ca="1">IF(scheduled_no_payments=1,"",IF(Sched_Pay+Extra_Pay&lt;Beg_Bal,Sched_Pay+Extra_Pay,IF(Pay_Num&lt;&gt;"",Beg_Bal,"")))</f>
        <v>989.93360882498609</v>
      </c>
      <c r="H204" s="34">
        <f t="shared" ca="1" si="9"/>
        <v>807.46150473239163</v>
      </c>
      <c r="I204" s="34">
        <f ca="1">IF(Pay_Num&lt;&gt;"",Beg_Bal*(Interest_Rate/VLOOKUP(Interval,LoanLookup[],5,FALSE)),"")</f>
        <v>182.47210409259444</v>
      </c>
      <c r="J204" s="34">
        <f ca="1">IF(scheduled_no_payments=1,"",IF(AND(Pay_Num&lt;&gt;"",Sched_Pay+Extra_Pay&lt;Beg_Bal),Beg_Bal-Princ,IF(Pay_Num&lt;&gt;"",0,"")))</f>
        <v>42985.843477490278</v>
      </c>
      <c r="K204" s="34">
        <f ca="1">IF(scheduled_no_payments=1,"",SUM($I$13:$I204))</f>
        <v>83053.096371887586</v>
      </c>
      <c r="L204" s="38"/>
    </row>
    <row r="205" spans="2:12" ht="16.5" customHeight="1" x14ac:dyDescent="0.25">
      <c r="B205" s="32">
        <f ca="1">IF(AND(Values_Entered,scheduled_no_payments&lt;&gt;1),B204+1,"")</f>
        <v>193</v>
      </c>
      <c r="C205" s="33">
        <f ca="1">IF(Pay_Num&lt;&gt;"",DATE(YEAR(C204)+VLOOKUP(Interval,LoanLookup[],4,FALSE),MONTH(C204)+VLOOKUP(Interval,LoanLookup[],2,FALSE),DAY(C204)+VLOOKUP(Interval,LoanLookup[],3,FALSE)),"")</f>
        <v>50712</v>
      </c>
      <c r="D205" s="34">
        <f t="shared" ca="1" si="8"/>
        <v>42985.843477490278</v>
      </c>
      <c r="E205" s="35">
        <f t="shared" ca="1" si="10"/>
        <v>989.93360882498609</v>
      </c>
      <c r="F205" s="36">
        <f ca="1">IF(scheduled_no_payments=1,"",IF(Sched_Pay+Scheduled_Extra_Payments&lt;Beg_Bal,Scheduled_Extra_Payments,IF(AND(Pay_Num&lt;&gt;"",Beg_Bal-Sched_Pay&gt;0),Beg_Bal-Sched_Pay,IF(Pay_Num&lt;&gt;"",0,""))))</f>
        <v>0</v>
      </c>
      <c r="G205" s="34">
        <f ca="1">IF(scheduled_no_payments=1,"",IF(Sched_Pay+Extra_Pay&lt;Beg_Bal,Sched_Pay+Extra_Pay,IF(Pay_Num&lt;&gt;"",Beg_Bal,"")))</f>
        <v>989.93360882498609</v>
      </c>
      <c r="H205" s="34">
        <f t="shared" ca="1" si="9"/>
        <v>810.82592766877656</v>
      </c>
      <c r="I205" s="34">
        <f ca="1">IF(Pay_Num&lt;&gt;"",Beg_Bal*(Interest_Rate/VLOOKUP(Interval,LoanLookup[],5,FALSE)),"")</f>
        <v>179.10768115620948</v>
      </c>
      <c r="J205" s="34">
        <f ca="1">IF(scheduled_no_payments=1,"",IF(AND(Pay_Num&lt;&gt;"",Sched_Pay+Extra_Pay&lt;Beg_Bal),Beg_Bal-Princ,IF(Pay_Num&lt;&gt;"",0,"")))</f>
        <v>42175.017549821503</v>
      </c>
      <c r="K205" s="34">
        <f ca="1">IF(scheduled_no_payments=1,"",SUM($I$13:$I205))</f>
        <v>83232.204053043795</v>
      </c>
      <c r="L205" s="38"/>
    </row>
    <row r="206" spans="2:12" ht="16.5" customHeight="1" x14ac:dyDescent="0.25">
      <c r="B206" s="32">
        <f ca="1">IF(AND(Values_Entered,scheduled_no_payments&lt;&gt;1),B205+1,"")</f>
        <v>194</v>
      </c>
      <c r="C206" s="33">
        <f ca="1">IF(Pay_Num&lt;&gt;"",DATE(YEAR(C205)+VLOOKUP(Interval,LoanLookup[],4,FALSE),MONTH(C205)+VLOOKUP(Interval,LoanLookup[],2,FALSE),DAY(C205)+VLOOKUP(Interval,LoanLookup[],3,FALSE)),"")</f>
        <v>50742</v>
      </c>
      <c r="D206" s="34">
        <f t="shared" ref="D206:D269" ca="1" si="11">IF(Pay_Num&lt;&gt;"",J205,"")</f>
        <v>42175.017549821503</v>
      </c>
      <c r="E206" s="35">
        <f t="shared" ca="1" si="10"/>
        <v>989.93360882498609</v>
      </c>
      <c r="F206" s="36">
        <f ca="1">IF(scheduled_no_payments=1,"",IF(Sched_Pay+Scheduled_Extra_Payments&lt;Beg_Bal,Scheduled_Extra_Payments,IF(AND(Pay_Num&lt;&gt;"",Beg_Bal-Sched_Pay&gt;0),Beg_Bal-Sched_Pay,IF(Pay_Num&lt;&gt;"",0,""))))</f>
        <v>0</v>
      </c>
      <c r="G206" s="34">
        <f ca="1">IF(scheduled_no_payments=1,"",IF(Sched_Pay+Extra_Pay&lt;Beg_Bal,Sched_Pay+Extra_Pay,IF(Pay_Num&lt;&gt;"",Beg_Bal,"")))</f>
        <v>989.93360882498609</v>
      </c>
      <c r="H206" s="34">
        <f t="shared" ref="H206:H269" ca="1" si="12">IF(Pay_Num&lt;&gt;"",Total_Pay-Int,"")</f>
        <v>814.20436903406312</v>
      </c>
      <c r="I206" s="34">
        <f ca="1">IF(Pay_Num&lt;&gt;"",Beg_Bal*(Interest_Rate/VLOOKUP(Interval,LoanLookup[],5,FALSE)),"")</f>
        <v>175.72923979092292</v>
      </c>
      <c r="J206" s="34">
        <f ca="1">IF(scheduled_no_payments=1,"",IF(AND(Pay_Num&lt;&gt;"",Sched_Pay+Extra_Pay&lt;Beg_Bal),Beg_Bal-Princ,IF(Pay_Num&lt;&gt;"",0,"")))</f>
        <v>41360.813180787438</v>
      </c>
      <c r="K206" s="34">
        <f ca="1">IF(scheduled_no_payments=1,"",SUM($I$13:$I206))</f>
        <v>83407.933292834714</v>
      </c>
      <c r="L206" s="38"/>
    </row>
    <row r="207" spans="2:12" ht="16.5" customHeight="1" x14ac:dyDescent="0.25">
      <c r="B207" s="32">
        <f ca="1">IF(AND(Values_Entered,scheduled_no_payments&lt;&gt;1),B206+1,"")</f>
        <v>195</v>
      </c>
      <c r="C207" s="33">
        <f ca="1">IF(Pay_Num&lt;&gt;"",DATE(YEAR(C206)+VLOOKUP(Interval,LoanLookup[],4,FALSE),MONTH(C206)+VLOOKUP(Interval,LoanLookup[],2,FALSE),DAY(C206)+VLOOKUP(Interval,LoanLookup[],3,FALSE)),"")</f>
        <v>50773</v>
      </c>
      <c r="D207" s="34">
        <f t="shared" ca="1" si="11"/>
        <v>41360.813180787438</v>
      </c>
      <c r="E207" s="35">
        <f t="shared" ref="E207:E270" ca="1" si="13">IF(Pay_Num&lt;&gt;"",Scheduled_Monthly_Payment,"")</f>
        <v>989.93360882498609</v>
      </c>
      <c r="F207" s="36">
        <f ca="1">IF(scheduled_no_payments=1,"",IF(Sched_Pay+Scheduled_Extra_Payments&lt;Beg_Bal,Scheduled_Extra_Payments,IF(AND(Pay_Num&lt;&gt;"",Beg_Bal-Sched_Pay&gt;0),Beg_Bal-Sched_Pay,IF(Pay_Num&lt;&gt;"",0,""))))</f>
        <v>0</v>
      </c>
      <c r="G207" s="34">
        <f ca="1">IF(scheduled_no_payments=1,"",IF(Sched_Pay+Extra_Pay&lt;Beg_Bal,Sched_Pay+Extra_Pay,IF(Pay_Num&lt;&gt;"",Beg_Bal,"")))</f>
        <v>989.93360882498609</v>
      </c>
      <c r="H207" s="34">
        <f t="shared" ca="1" si="12"/>
        <v>817.59688723837178</v>
      </c>
      <c r="I207" s="34">
        <f ca="1">IF(Pay_Num&lt;&gt;"",Beg_Bal*(Interest_Rate/VLOOKUP(Interval,LoanLookup[],5,FALSE)),"")</f>
        <v>172.33672158661432</v>
      </c>
      <c r="J207" s="34">
        <f ca="1">IF(scheduled_no_payments=1,"",IF(AND(Pay_Num&lt;&gt;"",Sched_Pay+Extra_Pay&lt;Beg_Bal),Beg_Bal-Princ,IF(Pay_Num&lt;&gt;"",0,"")))</f>
        <v>40543.216293549063</v>
      </c>
      <c r="K207" s="34">
        <f ca="1">IF(scheduled_no_payments=1,"",SUM($I$13:$I207))</f>
        <v>83580.27001442133</v>
      </c>
      <c r="L207" s="38"/>
    </row>
    <row r="208" spans="2:12" ht="16.5" customHeight="1" x14ac:dyDescent="0.25">
      <c r="B208" s="32">
        <f ca="1">IF(AND(Values_Entered,scheduled_no_payments&lt;&gt;1),B207+1,"")</f>
        <v>196</v>
      </c>
      <c r="C208" s="33">
        <f ca="1">IF(Pay_Num&lt;&gt;"",DATE(YEAR(C207)+VLOOKUP(Interval,LoanLookup[],4,FALSE),MONTH(C207)+VLOOKUP(Interval,LoanLookup[],2,FALSE),DAY(C207)+VLOOKUP(Interval,LoanLookup[],3,FALSE)),"")</f>
        <v>50804</v>
      </c>
      <c r="D208" s="34">
        <f t="shared" ca="1" si="11"/>
        <v>40543.216293549063</v>
      </c>
      <c r="E208" s="35">
        <f t="shared" ca="1" si="13"/>
        <v>989.93360882498609</v>
      </c>
      <c r="F208" s="36">
        <f ca="1">IF(scheduled_no_payments=1,"",IF(Sched_Pay+Scheduled_Extra_Payments&lt;Beg_Bal,Scheduled_Extra_Payments,IF(AND(Pay_Num&lt;&gt;"",Beg_Bal-Sched_Pay&gt;0),Beg_Bal-Sched_Pay,IF(Pay_Num&lt;&gt;"",0,""))))</f>
        <v>0</v>
      </c>
      <c r="G208" s="34">
        <f ca="1">IF(scheduled_no_payments=1,"",IF(Sched_Pay+Extra_Pay&lt;Beg_Bal,Sched_Pay+Extra_Pay,IF(Pay_Num&lt;&gt;"",Beg_Bal,"")))</f>
        <v>989.93360882498609</v>
      </c>
      <c r="H208" s="34">
        <f t="shared" ca="1" si="12"/>
        <v>821.00354093519832</v>
      </c>
      <c r="I208" s="34">
        <f ca="1">IF(Pay_Num&lt;&gt;"",Beg_Bal*(Interest_Rate/VLOOKUP(Interval,LoanLookup[],5,FALSE)),"")</f>
        <v>168.93006788978775</v>
      </c>
      <c r="J208" s="34">
        <f ca="1">IF(scheduled_no_payments=1,"",IF(AND(Pay_Num&lt;&gt;"",Sched_Pay+Extra_Pay&lt;Beg_Bal),Beg_Bal-Princ,IF(Pay_Num&lt;&gt;"",0,"")))</f>
        <v>39722.212752613865</v>
      </c>
      <c r="K208" s="34">
        <f ca="1">IF(scheduled_no_payments=1,"",SUM($I$13:$I208))</f>
        <v>83749.200082311116</v>
      </c>
      <c r="L208" s="38"/>
    </row>
    <row r="209" spans="2:12" ht="16.5" customHeight="1" x14ac:dyDescent="0.25">
      <c r="B209" s="32">
        <f ca="1">IF(AND(Values_Entered,scheduled_no_payments&lt;&gt;1),B208+1,"")</f>
        <v>197</v>
      </c>
      <c r="C209" s="33">
        <f ca="1">IF(Pay_Num&lt;&gt;"",DATE(YEAR(C208)+VLOOKUP(Interval,LoanLookup[],4,FALSE),MONTH(C208)+VLOOKUP(Interval,LoanLookup[],2,FALSE),DAY(C208)+VLOOKUP(Interval,LoanLookup[],3,FALSE)),"")</f>
        <v>50832</v>
      </c>
      <c r="D209" s="34">
        <f t="shared" ca="1" si="11"/>
        <v>39722.212752613865</v>
      </c>
      <c r="E209" s="35">
        <f t="shared" ca="1" si="13"/>
        <v>989.93360882498609</v>
      </c>
      <c r="F209" s="36">
        <f ca="1">IF(scheduled_no_payments=1,"",IF(Sched_Pay+Scheduled_Extra_Payments&lt;Beg_Bal,Scheduled_Extra_Payments,IF(AND(Pay_Num&lt;&gt;"",Beg_Bal-Sched_Pay&gt;0),Beg_Bal-Sched_Pay,IF(Pay_Num&lt;&gt;"",0,""))))</f>
        <v>0</v>
      </c>
      <c r="G209" s="34">
        <f ca="1">IF(scheduled_no_payments=1,"",IF(Sched_Pay+Extra_Pay&lt;Beg_Bal,Sched_Pay+Extra_Pay,IF(Pay_Num&lt;&gt;"",Beg_Bal,"")))</f>
        <v>989.93360882498609</v>
      </c>
      <c r="H209" s="34">
        <f t="shared" ca="1" si="12"/>
        <v>824.42438902242839</v>
      </c>
      <c r="I209" s="34">
        <f ca="1">IF(Pay_Num&lt;&gt;"",Beg_Bal*(Interest_Rate/VLOOKUP(Interval,LoanLookup[],5,FALSE)),"")</f>
        <v>165.50921980255777</v>
      </c>
      <c r="J209" s="34">
        <f ca="1">IF(scheduled_no_payments=1,"",IF(AND(Pay_Num&lt;&gt;"",Sched_Pay+Extra_Pay&lt;Beg_Bal),Beg_Bal-Princ,IF(Pay_Num&lt;&gt;"",0,"")))</f>
        <v>38897.788363591433</v>
      </c>
      <c r="K209" s="34">
        <f ca="1">IF(scheduled_no_payments=1,"",SUM($I$13:$I209))</f>
        <v>83914.709302113668</v>
      </c>
      <c r="L209" s="38"/>
    </row>
    <row r="210" spans="2:12" ht="16.5" customHeight="1" x14ac:dyDescent="0.25">
      <c r="B210" s="32">
        <f ca="1">IF(AND(Values_Entered,scheduled_no_payments&lt;&gt;1),B209+1,"")</f>
        <v>198</v>
      </c>
      <c r="C210" s="33">
        <f ca="1">IF(Pay_Num&lt;&gt;"",DATE(YEAR(C209)+VLOOKUP(Interval,LoanLookup[],4,FALSE),MONTH(C209)+VLOOKUP(Interval,LoanLookup[],2,FALSE),DAY(C209)+VLOOKUP(Interval,LoanLookup[],3,FALSE)),"")</f>
        <v>50863</v>
      </c>
      <c r="D210" s="34">
        <f t="shared" ca="1" si="11"/>
        <v>38897.788363591433</v>
      </c>
      <c r="E210" s="35">
        <f t="shared" ca="1" si="13"/>
        <v>989.93360882498609</v>
      </c>
      <c r="F210" s="36">
        <f ca="1">IF(scheduled_no_payments=1,"",IF(Sched_Pay+Scheduled_Extra_Payments&lt;Beg_Bal,Scheduled_Extra_Payments,IF(AND(Pay_Num&lt;&gt;"",Beg_Bal-Sched_Pay&gt;0),Beg_Bal-Sched_Pay,IF(Pay_Num&lt;&gt;"",0,""))))</f>
        <v>0</v>
      </c>
      <c r="G210" s="34">
        <f ca="1">IF(scheduled_no_payments=1,"",IF(Sched_Pay+Extra_Pay&lt;Beg_Bal,Sched_Pay+Extra_Pay,IF(Pay_Num&lt;&gt;"",Beg_Bal,"")))</f>
        <v>989.93360882498609</v>
      </c>
      <c r="H210" s="34">
        <f t="shared" ca="1" si="12"/>
        <v>827.85949064335512</v>
      </c>
      <c r="I210" s="34">
        <f ca="1">IF(Pay_Num&lt;&gt;"",Beg_Bal*(Interest_Rate/VLOOKUP(Interval,LoanLookup[],5,FALSE)),"")</f>
        <v>162.07411818163098</v>
      </c>
      <c r="J210" s="34">
        <f ca="1">IF(scheduled_no_payments=1,"",IF(AND(Pay_Num&lt;&gt;"",Sched_Pay+Extra_Pay&lt;Beg_Bal),Beg_Bal-Princ,IF(Pay_Num&lt;&gt;"",0,"")))</f>
        <v>38069.928872948076</v>
      </c>
      <c r="K210" s="34">
        <f ca="1">IF(scheduled_no_payments=1,"",SUM($I$13:$I210))</f>
        <v>84076.783420295294</v>
      </c>
      <c r="L210" s="38"/>
    </row>
    <row r="211" spans="2:12" ht="16.5" customHeight="1" x14ac:dyDescent="0.25">
      <c r="B211" s="32">
        <f ca="1">IF(AND(Values_Entered,scheduled_no_payments&lt;&gt;1),B210+1,"")</f>
        <v>199</v>
      </c>
      <c r="C211" s="33">
        <f ca="1">IF(Pay_Num&lt;&gt;"",DATE(YEAR(C210)+VLOOKUP(Interval,LoanLookup[],4,FALSE),MONTH(C210)+VLOOKUP(Interval,LoanLookup[],2,FALSE),DAY(C210)+VLOOKUP(Interval,LoanLookup[],3,FALSE)),"")</f>
        <v>50893</v>
      </c>
      <c r="D211" s="34">
        <f t="shared" ca="1" si="11"/>
        <v>38069.928872948076</v>
      </c>
      <c r="E211" s="35">
        <f t="shared" ca="1" si="13"/>
        <v>989.93360882498609</v>
      </c>
      <c r="F211" s="36">
        <f ca="1">IF(scheduled_no_payments=1,"",IF(Sched_Pay+Scheduled_Extra_Payments&lt;Beg_Bal,Scheduled_Extra_Payments,IF(AND(Pay_Num&lt;&gt;"",Beg_Bal-Sched_Pay&gt;0),Beg_Bal-Sched_Pay,IF(Pay_Num&lt;&gt;"",0,""))))</f>
        <v>0</v>
      </c>
      <c r="G211" s="34">
        <f ca="1">IF(scheduled_no_payments=1,"",IF(Sched_Pay+Extra_Pay&lt;Beg_Bal,Sched_Pay+Extra_Pay,IF(Pay_Num&lt;&gt;"",Beg_Bal,"")))</f>
        <v>989.93360882498609</v>
      </c>
      <c r="H211" s="34">
        <f t="shared" ca="1" si="12"/>
        <v>831.30890518770241</v>
      </c>
      <c r="I211" s="34">
        <f ca="1">IF(Pay_Num&lt;&gt;"",Beg_Bal*(Interest_Rate/VLOOKUP(Interval,LoanLookup[],5,FALSE)),"")</f>
        <v>158.62470363728366</v>
      </c>
      <c r="J211" s="34">
        <f ca="1">IF(scheduled_no_payments=1,"",IF(AND(Pay_Num&lt;&gt;"",Sched_Pay+Extra_Pay&lt;Beg_Bal),Beg_Bal-Princ,IF(Pay_Num&lt;&gt;"",0,"")))</f>
        <v>37238.619967760373</v>
      </c>
      <c r="K211" s="34">
        <f ca="1">IF(scheduled_no_payments=1,"",SUM($I$13:$I211))</f>
        <v>84235.408123932575</v>
      </c>
      <c r="L211" s="38"/>
    </row>
    <row r="212" spans="2:12" ht="16.5" customHeight="1" x14ac:dyDescent="0.25">
      <c r="B212" s="32">
        <f ca="1">IF(AND(Values_Entered,scheduled_no_payments&lt;&gt;1),B211+1,"")</f>
        <v>200</v>
      </c>
      <c r="C212" s="33">
        <f ca="1">IF(Pay_Num&lt;&gt;"",DATE(YEAR(C211)+VLOOKUP(Interval,LoanLookup[],4,FALSE),MONTH(C211)+VLOOKUP(Interval,LoanLookup[],2,FALSE),DAY(C211)+VLOOKUP(Interval,LoanLookup[],3,FALSE)),"")</f>
        <v>50924</v>
      </c>
      <c r="D212" s="34">
        <f t="shared" ca="1" si="11"/>
        <v>37238.619967760373</v>
      </c>
      <c r="E212" s="35">
        <f t="shared" ca="1" si="13"/>
        <v>989.93360882498609</v>
      </c>
      <c r="F212" s="36">
        <f ca="1">IF(scheduled_no_payments=1,"",IF(Sched_Pay+Scheduled_Extra_Payments&lt;Beg_Bal,Scheduled_Extra_Payments,IF(AND(Pay_Num&lt;&gt;"",Beg_Bal-Sched_Pay&gt;0),Beg_Bal-Sched_Pay,IF(Pay_Num&lt;&gt;"",0,""))))</f>
        <v>0</v>
      </c>
      <c r="G212" s="34">
        <f ca="1">IF(scheduled_no_payments=1,"",IF(Sched_Pay+Extra_Pay&lt;Beg_Bal,Sched_Pay+Extra_Pay,IF(Pay_Num&lt;&gt;"",Beg_Bal,"")))</f>
        <v>989.93360882498609</v>
      </c>
      <c r="H212" s="34">
        <f t="shared" ca="1" si="12"/>
        <v>834.77269229265119</v>
      </c>
      <c r="I212" s="34">
        <f ca="1">IF(Pay_Num&lt;&gt;"",Beg_Bal*(Interest_Rate/VLOOKUP(Interval,LoanLookup[],5,FALSE)),"")</f>
        <v>155.16091653233488</v>
      </c>
      <c r="J212" s="34">
        <f ca="1">IF(scheduled_no_payments=1,"",IF(AND(Pay_Num&lt;&gt;"",Sched_Pay+Extra_Pay&lt;Beg_Bal),Beg_Bal-Princ,IF(Pay_Num&lt;&gt;"",0,"")))</f>
        <v>36403.84727546772</v>
      </c>
      <c r="K212" s="34">
        <f ca="1">IF(scheduled_no_payments=1,"",SUM($I$13:$I212))</f>
        <v>84390.569040464907</v>
      </c>
      <c r="L212" s="38"/>
    </row>
    <row r="213" spans="2:12" ht="16.5" customHeight="1" x14ac:dyDescent="0.25">
      <c r="B213" s="32">
        <f ca="1">IF(AND(Values_Entered,scheduled_no_payments&lt;&gt;1),B212+1,"")</f>
        <v>201</v>
      </c>
      <c r="C213" s="33">
        <f ca="1">IF(Pay_Num&lt;&gt;"",DATE(YEAR(C212)+VLOOKUP(Interval,LoanLookup[],4,FALSE),MONTH(C212)+VLOOKUP(Interval,LoanLookup[],2,FALSE),DAY(C212)+VLOOKUP(Interval,LoanLookup[],3,FALSE)),"")</f>
        <v>50954</v>
      </c>
      <c r="D213" s="34">
        <f t="shared" ca="1" si="11"/>
        <v>36403.84727546772</v>
      </c>
      <c r="E213" s="35">
        <f t="shared" ca="1" si="13"/>
        <v>989.93360882498609</v>
      </c>
      <c r="F213" s="36">
        <f ca="1">IF(scheduled_no_payments=1,"",IF(Sched_Pay+Scheduled_Extra_Payments&lt;Beg_Bal,Scheduled_Extra_Payments,IF(AND(Pay_Num&lt;&gt;"",Beg_Bal-Sched_Pay&gt;0),Beg_Bal-Sched_Pay,IF(Pay_Num&lt;&gt;"",0,""))))</f>
        <v>0</v>
      </c>
      <c r="G213" s="34">
        <f ca="1">IF(scheduled_no_payments=1,"",IF(Sched_Pay+Extra_Pay&lt;Beg_Bal,Sched_Pay+Extra_Pay,IF(Pay_Num&lt;&gt;"",Beg_Bal,"")))</f>
        <v>989.93360882498609</v>
      </c>
      <c r="H213" s="34">
        <f t="shared" ca="1" si="12"/>
        <v>838.25091184387065</v>
      </c>
      <c r="I213" s="34">
        <f ca="1">IF(Pay_Num&lt;&gt;"",Beg_Bal*(Interest_Rate/VLOOKUP(Interval,LoanLookup[],5,FALSE)),"")</f>
        <v>151.6826969811155</v>
      </c>
      <c r="J213" s="34">
        <f ca="1">IF(scheduled_no_payments=1,"",IF(AND(Pay_Num&lt;&gt;"",Sched_Pay+Extra_Pay&lt;Beg_Bal),Beg_Bal-Princ,IF(Pay_Num&lt;&gt;"",0,"")))</f>
        <v>35565.596363623852</v>
      </c>
      <c r="K213" s="34">
        <f ca="1">IF(scheduled_no_payments=1,"",SUM($I$13:$I213))</f>
        <v>84542.251737446029</v>
      </c>
      <c r="L213" s="38"/>
    </row>
    <row r="214" spans="2:12" ht="16.5" customHeight="1" x14ac:dyDescent="0.25">
      <c r="B214" s="32">
        <f ca="1">IF(AND(Values_Entered,scheduled_no_payments&lt;&gt;1),B213+1,"")</f>
        <v>202</v>
      </c>
      <c r="C214" s="33">
        <f ca="1">IF(Pay_Num&lt;&gt;"",DATE(YEAR(C213)+VLOOKUP(Interval,LoanLookup[],4,FALSE),MONTH(C213)+VLOOKUP(Interval,LoanLookup[],2,FALSE),DAY(C213)+VLOOKUP(Interval,LoanLookup[],3,FALSE)),"")</f>
        <v>50985</v>
      </c>
      <c r="D214" s="34">
        <f t="shared" ca="1" si="11"/>
        <v>35565.596363623852</v>
      </c>
      <c r="E214" s="35">
        <f t="shared" ca="1" si="13"/>
        <v>989.93360882498609</v>
      </c>
      <c r="F214" s="36">
        <f ca="1">IF(scheduled_no_payments=1,"",IF(Sched_Pay+Scheduled_Extra_Payments&lt;Beg_Bal,Scheduled_Extra_Payments,IF(AND(Pay_Num&lt;&gt;"",Beg_Bal-Sched_Pay&gt;0),Beg_Bal-Sched_Pay,IF(Pay_Num&lt;&gt;"",0,""))))</f>
        <v>0</v>
      </c>
      <c r="G214" s="34">
        <f ca="1">IF(scheduled_no_payments=1,"",IF(Sched_Pay+Extra_Pay&lt;Beg_Bal,Sched_Pay+Extra_Pay,IF(Pay_Num&lt;&gt;"",Beg_Bal,"")))</f>
        <v>989.93360882498609</v>
      </c>
      <c r="H214" s="34">
        <f t="shared" ca="1" si="12"/>
        <v>841.74362397655341</v>
      </c>
      <c r="I214" s="34">
        <f ca="1">IF(Pay_Num&lt;&gt;"",Beg_Bal*(Interest_Rate/VLOOKUP(Interval,LoanLookup[],5,FALSE)),"")</f>
        <v>148.18998484843272</v>
      </c>
      <c r="J214" s="34">
        <f ca="1">IF(scheduled_no_payments=1,"",IF(AND(Pay_Num&lt;&gt;"",Sched_Pay+Extra_Pay&lt;Beg_Bal),Beg_Bal-Princ,IF(Pay_Num&lt;&gt;"",0,"")))</f>
        <v>34723.8527396473</v>
      </c>
      <c r="K214" s="34">
        <f ca="1">IF(scheduled_no_payments=1,"",SUM($I$13:$I214))</f>
        <v>84690.441722294461</v>
      </c>
      <c r="L214" s="38"/>
    </row>
    <row r="215" spans="2:12" ht="16.5" customHeight="1" x14ac:dyDescent="0.25">
      <c r="B215" s="32">
        <f ca="1">IF(AND(Values_Entered,scheduled_no_payments&lt;&gt;1),B214+1,"")</f>
        <v>203</v>
      </c>
      <c r="C215" s="33">
        <f ca="1">IF(Pay_Num&lt;&gt;"",DATE(YEAR(C214)+VLOOKUP(Interval,LoanLookup[],4,FALSE),MONTH(C214)+VLOOKUP(Interval,LoanLookup[],2,FALSE),DAY(C214)+VLOOKUP(Interval,LoanLookup[],3,FALSE)),"")</f>
        <v>51016</v>
      </c>
      <c r="D215" s="34">
        <f t="shared" ca="1" si="11"/>
        <v>34723.8527396473</v>
      </c>
      <c r="E215" s="35">
        <f t="shared" ca="1" si="13"/>
        <v>989.93360882498609</v>
      </c>
      <c r="F215" s="36">
        <f ca="1">IF(scheduled_no_payments=1,"",IF(Sched_Pay+Scheduled_Extra_Payments&lt;Beg_Bal,Scheduled_Extra_Payments,IF(AND(Pay_Num&lt;&gt;"",Beg_Bal-Sched_Pay&gt;0),Beg_Bal-Sched_Pay,IF(Pay_Num&lt;&gt;"",0,""))))</f>
        <v>0</v>
      </c>
      <c r="G215" s="34">
        <f ca="1">IF(scheduled_no_payments=1,"",IF(Sched_Pay+Extra_Pay&lt;Beg_Bal,Sched_Pay+Extra_Pay,IF(Pay_Num&lt;&gt;"",Beg_Bal,"")))</f>
        <v>989.93360882498609</v>
      </c>
      <c r="H215" s="34">
        <f t="shared" ca="1" si="12"/>
        <v>845.25088907645568</v>
      </c>
      <c r="I215" s="34">
        <f ca="1">IF(Pay_Num&lt;&gt;"",Beg_Bal*(Interest_Rate/VLOOKUP(Interval,LoanLookup[],5,FALSE)),"")</f>
        <v>144.68271974853042</v>
      </c>
      <c r="J215" s="34">
        <f ca="1">IF(scheduled_no_payments=1,"",IF(AND(Pay_Num&lt;&gt;"",Sched_Pay+Extra_Pay&lt;Beg_Bal),Beg_Bal-Princ,IF(Pay_Num&lt;&gt;"",0,"")))</f>
        <v>33878.601850570842</v>
      </c>
      <c r="K215" s="34">
        <f ca="1">IF(scheduled_no_payments=1,"",SUM($I$13:$I215))</f>
        <v>84835.124442042987</v>
      </c>
      <c r="L215" s="38"/>
    </row>
    <row r="216" spans="2:12" ht="16.5" customHeight="1" x14ac:dyDescent="0.25">
      <c r="B216" s="32">
        <f ca="1">IF(AND(Values_Entered,scheduled_no_payments&lt;&gt;1),B215+1,"")</f>
        <v>204</v>
      </c>
      <c r="C216" s="33">
        <f ca="1">IF(Pay_Num&lt;&gt;"",DATE(YEAR(C215)+VLOOKUP(Interval,LoanLookup[],4,FALSE),MONTH(C215)+VLOOKUP(Interval,LoanLookup[],2,FALSE),DAY(C215)+VLOOKUP(Interval,LoanLookup[],3,FALSE)),"")</f>
        <v>51046</v>
      </c>
      <c r="D216" s="34">
        <f t="shared" ca="1" si="11"/>
        <v>33878.601850570842</v>
      </c>
      <c r="E216" s="35">
        <f t="shared" ca="1" si="13"/>
        <v>989.93360882498609</v>
      </c>
      <c r="F216" s="36">
        <f ca="1">IF(scheduled_no_payments=1,"",IF(Sched_Pay+Scheduled_Extra_Payments&lt;Beg_Bal,Scheduled_Extra_Payments,IF(AND(Pay_Num&lt;&gt;"",Beg_Bal-Sched_Pay&gt;0),Beg_Bal-Sched_Pay,IF(Pay_Num&lt;&gt;"",0,""))))</f>
        <v>0</v>
      </c>
      <c r="G216" s="34">
        <f ca="1">IF(scheduled_no_payments=1,"",IF(Sched_Pay+Extra_Pay&lt;Beg_Bal,Sched_Pay+Extra_Pay,IF(Pay_Num&lt;&gt;"",Beg_Bal,"")))</f>
        <v>989.93360882498609</v>
      </c>
      <c r="H216" s="34">
        <f t="shared" ca="1" si="12"/>
        <v>848.77276778094097</v>
      </c>
      <c r="I216" s="34">
        <f ca="1">IF(Pay_Num&lt;&gt;"",Beg_Bal*(Interest_Rate/VLOOKUP(Interval,LoanLookup[],5,FALSE)),"")</f>
        <v>141.16084104404518</v>
      </c>
      <c r="J216" s="34">
        <f ca="1">IF(scheduled_no_payments=1,"",IF(AND(Pay_Num&lt;&gt;"",Sched_Pay+Extra_Pay&lt;Beg_Bal),Beg_Bal-Princ,IF(Pay_Num&lt;&gt;"",0,"")))</f>
        <v>33029.829082789904</v>
      </c>
      <c r="K216" s="34">
        <f ca="1">IF(scheduled_no_payments=1,"",SUM($I$13:$I216))</f>
        <v>84976.285283087025</v>
      </c>
      <c r="L216" s="38"/>
    </row>
    <row r="217" spans="2:12" ht="16.5" customHeight="1" x14ac:dyDescent="0.25">
      <c r="B217" s="32">
        <f ca="1">IF(AND(Values_Entered,scheduled_no_payments&lt;&gt;1),B216+1,"")</f>
        <v>205</v>
      </c>
      <c r="C217" s="33">
        <f ca="1">IF(Pay_Num&lt;&gt;"",DATE(YEAR(C216)+VLOOKUP(Interval,LoanLookup[],4,FALSE),MONTH(C216)+VLOOKUP(Interval,LoanLookup[],2,FALSE),DAY(C216)+VLOOKUP(Interval,LoanLookup[],3,FALSE)),"")</f>
        <v>51077</v>
      </c>
      <c r="D217" s="34">
        <f t="shared" ca="1" si="11"/>
        <v>33029.829082789904</v>
      </c>
      <c r="E217" s="35">
        <f t="shared" ca="1" si="13"/>
        <v>989.93360882498609</v>
      </c>
      <c r="F217" s="36">
        <f ca="1">IF(scheduled_no_payments=1,"",IF(Sched_Pay+Scheduled_Extra_Payments&lt;Beg_Bal,Scheduled_Extra_Payments,IF(AND(Pay_Num&lt;&gt;"",Beg_Bal-Sched_Pay&gt;0),Beg_Bal-Sched_Pay,IF(Pay_Num&lt;&gt;"",0,""))))</f>
        <v>0</v>
      </c>
      <c r="G217" s="34">
        <f ca="1">IF(scheduled_no_payments=1,"",IF(Sched_Pay+Extra_Pay&lt;Beg_Bal,Sched_Pay+Extra_Pay,IF(Pay_Num&lt;&gt;"",Beg_Bal,"")))</f>
        <v>989.93360882498609</v>
      </c>
      <c r="H217" s="34">
        <f t="shared" ca="1" si="12"/>
        <v>852.30932098002813</v>
      </c>
      <c r="I217" s="34">
        <f ca="1">IF(Pay_Num&lt;&gt;"",Beg_Bal*(Interest_Rate/VLOOKUP(Interval,LoanLookup[],5,FALSE)),"")</f>
        <v>137.62428784495793</v>
      </c>
      <c r="J217" s="34">
        <f ca="1">IF(scheduled_no_payments=1,"",IF(AND(Pay_Num&lt;&gt;"",Sched_Pay+Extra_Pay&lt;Beg_Bal),Beg_Bal-Princ,IF(Pay_Num&lt;&gt;"",0,"")))</f>
        <v>32177.519761809875</v>
      </c>
      <c r="K217" s="34">
        <f ca="1">IF(scheduled_no_payments=1,"",SUM($I$13:$I217))</f>
        <v>85113.909570931981</v>
      </c>
      <c r="L217" s="38"/>
    </row>
    <row r="218" spans="2:12" ht="16.5" customHeight="1" x14ac:dyDescent="0.25">
      <c r="B218" s="32">
        <f ca="1">IF(AND(Values_Entered,scheduled_no_payments&lt;&gt;1),B217+1,"")</f>
        <v>206</v>
      </c>
      <c r="C218" s="33">
        <f ca="1">IF(Pay_Num&lt;&gt;"",DATE(YEAR(C217)+VLOOKUP(Interval,LoanLookup[],4,FALSE),MONTH(C217)+VLOOKUP(Interval,LoanLookup[],2,FALSE),DAY(C217)+VLOOKUP(Interval,LoanLookup[],3,FALSE)),"")</f>
        <v>51107</v>
      </c>
      <c r="D218" s="34">
        <f t="shared" ca="1" si="11"/>
        <v>32177.519761809875</v>
      </c>
      <c r="E218" s="35">
        <f t="shared" ca="1" si="13"/>
        <v>989.93360882498609</v>
      </c>
      <c r="F218" s="36">
        <f ca="1">IF(scheduled_no_payments=1,"",IF(Sched_Pay+Scheduled_Extra_Payments&lt;Beg_Bal,Scheduled_Extra_Payments,IF(AND(Pay_Num&lt;&gt;"",Beg_Bal-Sched_Pay&gt;0),Beg_Bal-Sched_Pay,IF(Pay_Num&lt;&gt;"",0,""))))</f>
        <v>0</v>
      </c>
      <c r="G218" s="34">
        <f ca="1">IF(scheduled_no_payments=1,"",IF(Sched_Pay+Extra_Pay&lt;Beg_Bal,Sched_Pay+Extra_Pay,IF(Pay_Num&lt;&gt;"",Beg_Bal,"")))</f>
        <v>989.93360882498609</v>
      </c>
      <c r="H218" s="34">
        <f t="shared" ca="1" si="12"/>
        <v>855.86060981744492</v>
      </c>
      <c r="I218" s="34">
        <f ca="1">IF(Pay_Num&lt;&gt;"",Beg_Bal*(Interest_Rate/VLOOKUP(Interval,LoanLookup[],5,FALSE)),"")</f>
        <v>134.07299900754114</v>
      </c>
      <c r="J218" s="34">
        <f ca="1">IF(scheduled_no_payments=1,"",IF(AND(Pay_Num&lt;&gt;"",Sched_Pay+Extra_Pay&lt;Beg_Bal),Beg_Bal-Princ,IF(Pay_Num&lt;&gt;"",0,"")))</f>
        <v>31321.65915199243</v>
      </c>
      <c r="K218" s="34">
        <f ca="1">IF(scheduled_no_payments=1,"",SUM($I$13:$I218))</f>
        <v>85247.982569939515</v>
      </c>
      <c r="L218" s="38"/>
    </row>
    <row r="219" spans="2:12" ht="16.5" customHeight="1" x14ac:dyDescent="0.25">
      <c r="B219" s="32">
        <f ca="1">IF(AND(Values_Entered,scheduled_no_payments&lt;&gt;1),B218+1,"")</f>
        <v>207</v>
      </c>
      <c r="C219" s="33">
        <f ca="1">IF(Pay_Num&lt;&gt;"",DATE(YEAR(C218)+VLOOKUP(Interval,LoanLookup[],4,FALSE),MONTH(C218)+VLOOKUP(Interval,LoanLookup[],2,FALSE),DAY(C218)+VLOOKUP(Interval,LoanLookup[],3,FALSE)),"")</f>
        <v>51138</v>
      </c>
      <c r="D219" s="34">
        <f t="shared" ca="1" si="11"/>
        <v>31321.65915199243</v>
      </c>
      <c r="E219" s="35">
        <f t="shared" ca="1" si="13"/>
        <v>989.93360882498609</v>
      </c>
      <c r="F219" s="36">
        <f ca="1">IF(scheduled_no_payments=1,"",IF(Sched_Pay+Scheduled_Extra_Payments&lt;Beg_Bal,Scheduled_Extra_Payments,IF(AND(Pay_Num&lt;&gt;"",Beg_Bal-Sched_Pay&gt;0),Beg_Bal-Sched_Pay,IF(Pay_Num&lt;&gt;"",0,""))))</f>
        <v>0</v>
      </c>
      <c r="G219" s="34">
        <f ca="1">IF(scheduled_no_payments=1,"",IF(Sched_Pay+Extra_Pay&lt;Beg_Bal,Sched_Pay+Extra_Pay,IF(Pay_Num&lt;&gt;"",Beg_Bal,"")))</f>
        <v>989.93360882498609</v>
      </c>
      <c r="H219" s="34">
        <f t="shared" ca="1" si="12"/>
        <v>859.42669569168424</v>
      </c>
      <c r="I219" s="34">
        <f ca="1">IF(Pay_Num&lt;&gt;"",Beg_Bal*(Interest_Rate/VLOOKUP(Interval,LoanLookup[],5,FALSE)),"")</f>
        <v>130.50691313330179</v>
      </c>
      <c r="J219" s="34">
        <f ca="1">IF(scheduled_no_payments=1,"",IF(AND(Pay_Num&lt;&gt;"",Sched_Pay+Extra_Pay&lt;Beg_Bal),Beg_Bal-Princ,IF(Pay_Num&lt;&gt;"",0,"")))</f>
        <v>30462.232456300746</v>
      </c>
      <c r="K219" s="34">
        <f ca="1">IF(scheduled_no_payments=1,"",SUM($I$13:$I219))</f>
        <v>85378.489483072815</v>
      </c>
      <c r="L219" s="38"/>
    </row>
    <row r="220" spans="2:12" ht="16.5" customHeight="1" x14ac:dyDescent="0.25">
      <c r="B220" s="32">
        <f ca="1">IF(AND(Values_Entered,scheduled_no_payments&lt;&gt;1),B219+1,"")</f>
        <v>208</v>
      </c>
      <c r="C220" s="33">
        <f ca="1">IF(Pay_Num&lt;&gt;"",DATE(YEAR(C219)+VLOOKUP(Interval,LoanLookup[],4,FALSE),MONTH(C219)+VLOOKUP(Interval,LoanLookup[],2,FALSE),DAY(C219)+VLOOKUP(Interval,LoanLookup[],3,FALSE)),"")</f>
        <v>51169</v>
      </c>
      <c r="D220" s="34">
        <f t="shared" ca="1" si="11"/>
        <v>30462.232456300746</v>
      </c>
      <c r="E220" s="35">
        <f t="shared" ca="1" si="13"/>
        <v>989.93360882498609</v>
      </c>
      <c r="F220" s="36">
        <f ca="1">IF(scheduled_no_payments=1,"",IF(Sched_Pay+Scheduled_Extra_Payments&lt;Beg_Bal,Scheduled_Extra_Payments,IF(AND(Pay_Num&lt;&gt;"",Beg_Bal-Sched_Pay&gt;0),Beg_Bal-Sched_Pay,IF(Pay_Num&lt;&gt;"",0,""))))</f>
        <v>0</v>
      </c>
      <c r="G220" s="34">
        <f ca="1">IF(scheduled_no_payments=1,"",IF(Sched_Pay+Extra_Pay&lt;Beg_Bal,Sched_Pay+Extra_Pay,IF(Pay_Num&lt;&gt;"",Beg_Bal,"")))</f>
        <v>989.93360882498609</v>
      </c>
      <c r="H220" s="34">
        <f t="shared" ca="1" si="12"/>
        <v>863.00764025706633</v>
      </c>
      <c r="I220" s="34">
        <f ca="1">IF(Pay_Num&lt;&gt;"",Beg_Bal*(Interest_Rate/VLOOKUP(Interval,LoanLookup[],5,FALSE)),"")</f>
        <v>126.92596856791977</v>
      </c>
      <c r="J220" s="34">
        <f ca="1">IF(scheduled_no_payments=1,"",IF(AND(Pay_Num&lt;&gt;"",Sched_Pay+Extra_Pay&lt;Beg_Bal),Beg_Bal-Princ,IF(Pay_Num&lt;&gt;"",0,"")))</f>
        <v>29599.224816043679</v>
      </c>
      <c r="K220" s="34">
        <f ca="1">IF(scheduled_no_payments=1,"",SUM($I$13:$I220))</f>
        <v>85505.415451640729</v>
      </c>
      <c r="L220" s="38"/>
    </row>
    <row r="221" spans="2:12" ht="16.5" customHeight="1" x14ac:dyDescent="0.25">
      <c r="B221" s="32">
        <f ca="1">IF(AND(Values_Entered,scheduled_no_payments&lt;&gt;1),B220+1,"")</f>
        <v>209</v>
      </c>
      <c r="C221" s="33">
        <f ca="1">IF(Pay_Num&lt;&gt;"",DATE(YEAR(C220)+VLOOKUP(Interval,LoanLookup[],4,FALSE),MONTH(C220)+VLOOKUP(Interval,LoanLookup[],2,FALSE),DAY(C220)+VLOOKUP(Interval,LoanLookup[],3,FALSE)),"")</f>
        <v>51198</v>
      </c>
      <c r="D221" s="34">
        <f t="shared" ca="1" si="11"/>
        <v>29599.224816043679</v>
      </c>
      <c r="E221" s="35">
        <f t="shared" ca="1" si="13"/>
        <v>989.93360882498609</v>
      </c>
      <c r="F221" s="36">
        <f ca="1">IF(scheduled_no_payments=1,"",IF(Sched_Pay+Scheduled_Extra_Payments&lt;Beg_Bal,Scheduled_Extra_Payments,IF(AND(Pay_Num&lt;&gt;"",Beg_Bal-Sched_Pay&gt;0),Beg_Bal-Sched_Pay,IF(Pay_Num&lt;&gt;"",0,""))))</f>
        <v>0</v>
      </c>
      <c r="G221" s="34">
        <f ca="1">IF(scheduled_no_payments=1,"",IF(Sched_Pay+Extra_Pay&lt;Beg_Bal,Sched_Pay+Extra_Pay,IF(Pay_Num&lt;&gt;"",Beg_Bal,"")))</f>
        <v>989.93360882498609</v>
      </c>
      <c r="H221" s="34">
        <f t="shared" ca="1" si="12"/>
        <v>866.6035054248041</v>
      </c>
      <c r="I221" s="34">
        <f ca="1">IF(Pay_Num&lt;&gt;"",Beg_Bal*(Interest_Rate/VLOOKUP(Interval,LoanLookup[],5,FALSE)),"")</f>
        <v>123.330103400182</v>
      </c>
      <c r="J221" s="34">
        <f ca="1">IF(scheduled_no_payments=1,"",IF(AND(Pay_Num&lt;&gt;"",Sched_Pay+Extra_Pay&lt;Beg_Bal),Beg_Bal-Princ,IF(Pay_Num&lt;&gt;"",0,"")))</f>
        <v>28732.621310618873</v>
      </c>
      <c r="K221" s="34">
        <f ca="1">IF(scheduled_no_payments=1,"",SUM($I$13:$I221))</f>
        <v>85628.745555040907</v>
      </c>
      <c r="L221" s="38"/>
    </row>
    <row r="222" spans="2:12" ht="16.5" customHeight="1" x14ac:dyDescent="0.25">
      <c r="B222" s="32">
        <f ca="1">IF(AND(Values_Entered,scheduled_no_payments&lt;&gt;1),B221+1,"")</f>
        <v>210</v>
      </c>
      <c r="C222" s="33">
        <f ca="1">IF(Pay_Num&lt;&gt;"",DATE(YEAR(C221)+VLOOKUP(Interval,LoanLookup[],4,FALSE),MONTH(C221)+VLOOKUP(Interval,LoanLookup[],2,FALSE),DAY(C221)+VLOOKUP(Interval,LoanLookup[],3,FALSE)),"")</f>
        <v>51229</v>
      </c>
      <c r="D222" s="34">
        <f t="shared" ca="1" si="11"/>
        <v>28732.621310618873</v>
      </c>
      <c r="E222" s="35">
        <f t="shared" ca="1" si="13"/>
        <v>989.93360882498609</v>
      </c>
      <c r="F222" s="36">
        <f ca="1">IF(scheduled_no_payments=1,"",IF(Sched_Pay+Scheduled_Extra_Payments&lt;Beg_Bal,Scheduled_Extra_Payments,IF(AND(Pay_Num&lt;&gt;"",Beg_Bal-Sched_Pay&gt;0),Beg_Bal-Sched_Pay,IF(Pay_Num&lt;&gt;"",0,""))))</f>
        <v>0</v>
      </c>
      <c r="G222" s="34">
        <f ca="1">IF(scheduled_no_payments=1,"",IF(Sched_Pay+Extra_Pay&lt;Beg_Bal,Sched_Pay+Extra_Pay,IF(Pay_Num&lt;&gt;"",Beg_Bal,"")))</f>
        <v>989.93360882498609</v>
      </c>
      <c r="H222" s="34">
        <f t="shared" ca="1" si="12"/>
        <v>870.2143533640741</v>
      </c>
      <c r="I222" s="34">
        <f ca="1">IF(Pay_Num&lt;&gt;"",Beg_Bal*(Interest_Rate/VLOOKUP(Interval,LoanLookup[],5,FALSE)),"")</f>
        <v>119.71925546091197</v>
      </c>
      <c r="J222" s="34">
        <f ca="1">IF(scheduled_no_payments=1,"",IF(AND(Pay_Num&lt;&gt;"",Sched_Pay+Extra_Pay&lt;Beg_Bal),Beg_Bal-Princ,IF(Pay_Num&lt;&gt;"",0,"")))</f>
        <v>27862.4069572548</v>
      </c>
      <c r="K222" s="34">
        <f ca="1">IF(scheduled_no_payments=1,"",SUM($I$13:$I222))</f>
        <v>85748.464810501813</v>
      </c>
      <c r="L222" s="38"/>
    </row>
    <row r="223" spans="2:12" ht="16.5" customHeight="1" x14ac:dyDescent="0.25">
      <c r="B223" s="32">
        <f ca="1">IF(AND(Values_Entered,scheduled_no_payments&lt;&gt;1),B222+1,"")</f>
        <v>211</v>
      </c>
      <c r="C223" s="33">
        <f ca="1">IF(Pay_Num&lt;&gt;"",DATE(YEAR(C222)+VLOOKUP(Interval,LoanLookup[],4,FALSE),MONTH(C222)+VLOOKUP(Interval,LoanLookup[],2,FALSE),DAY(C222)+VLOOKUP(Interval,LoanLookup[],3,FALSE)),"")</f>
        <v>51259</v>
      </c>
      <c r="D223" s="34">
        <f t="shared" ca="1" si="11"/>
        <v>27862.4069572548</v>
      </c>
      <c r="E223" s="35">
        <f t="shared" ca="1" si="13"/>
        <v>989.93360882498609</v>
      </c>
      <c r="F223" s="36">
        <f ca="1">IF(scheduled_no_payments=1,"",IF(Sched_Pay+Scheduled_Extra_Payments&lt;Beg_Bal,Scheduled_Extra_Payments,IF(AND(Pay_Num&lt;&gt;"",Beg_Bal-Sched_Pay&gt;0),Beg_Bal-Sched_Pay,IF(Pay_Num&lt;&gt;"",0,""))))</f>
        <v>0</v>
      </c>
      <c r="G223" s="34">
        <f ca="1">IF(scheduled_no_payments=1,"",IF(Sched_Pay+Extra_Pay&lt;Beg_Bal,Sched_Pay+Extra_Pay,IF(Pay_Num&lt;&gt;"",Beg_Bal,"")))</f>
        <v>989.93360882498609</v>
      </c>
      <c r="H223" s="34">
        <f t="shared" ca="1" si="12"/>
        <v>873.84024650309107</v>
      </c>
      <c r="I223" s="34">
        <f ca="1">IF(Pay_Num&lt;&gt;"",Beg_Bal*(Interest_Rate/VLOOKUP(Interval,LoanLookup[],5,FALSE)),"")</f>
        <v>116.093362321895</v>
      </c>
      <c r="J223" s="34">
        <f ca="1">IF(scheduled_no_payments=1,"",IF(AND(Pay_Num&lt;&gt;"",Sched_Pay+Extra_Pay&lt;Beg_Bal),Beg_Bal-Princ,IF(Pay_Num&lt;&gt;"",0,"")))</f>
        <v>26988.566710751707</v>
      </c>
      <c r="K223" s="34">
        <f ca="1">IF(scheduled_no_payments=1,"",SUM($I$13:$I223))</f>
        <v>85864.558172823701</v>
      </c>
      <c r="L223" s="38"/>
    </row>
    <row r="224" spans="2:12" ht="16.5" customHeight="1" x14ac:dyDescent="0.25">
      <c r="B224" s="32">
        <f ca="1">IF(AND(Values_Entered,scheduled_no_payments&lt;&gt;1),B223+1,"")</f>
        <v>212</v>
      </c>
      <c r="C224" s="33">
        <f ca="1">IF(Pay_Num&lt;&gt;"",DATE(YEAR(C223)+VLOOKUP(Interval,LoanLookup[],4,FALSE),MONTH(C223)+VLOOKUP(Interval,LoanLookup[],2,FALSE),DAY(C223)+VLOOKUP(Interval,LoanLookup[],3,FALSE)),"")</f>
        <v>51290</v>
      </c>
      <c r="D224" s="34">
        <f t="shared" ca="1" si="11"/>
        <v>26988.566710751707</v>
      </c>
      <c r="E224" s="35">
        <f t="shared" ca="1" si="13"/>
        <v>989.93360882498609</v>
      </c>
      <c r="F224" s="36">
        <f ca="1">IF(scheduled_no_payments=1,"",IF(Sched_Pay+Scheduled_Extra_Payments&lt;Beg_Bal,Scheduled_Extra_Payments,IF(AND(Pay_Num&lt;&gt;"",Beg_Bal-Sched_Pay&gt;0),Beg_Bal-Sched_Pay,IF(Pay_Num&lt;&gt;"",0,""))))</f>
        <v>0</v>
      </c>
      <c r="G224" s="34">
        <f ca="1">IF(scheduled_no_payments=1,"",IF(Sched_Pay+Extra_Pay&lt;Beg_Bal,Sched_Pay+Extra_Pay,IF(Pay_Num&lt;&gt;"",Beg_Bal,"")))</f>
        <v>989.93360882498609</v>
      </c>
      <c r="H224" s="34">
        <f t="shared" ca="1" si="12"/>
        <v>877.48124753018737</v>
      </c>
      <c r="I224" s="34">
        <f ca="1">IF(Pay_Num&lt;&gt;"",Beg_Bal*(Interest_Rate/VLOOKUP(Interval,LoanLookup[],5,FALSE)),"")</f>
        <v>112.45236129479878</v>
      </c>
      <c r="J224" s="34">
        <f ca="1">IF(scheduled_no_payments=1,"",IF(AND(Pay_Num&lt;&gt;"",Sched_Pay+Extra_Pay&lt;Beg_Bal),Beg_Bal-Princ,IF(Pay_Num&lt;&gt;"",0,"")))</f>
        <v>26111.08546322152</v>
      </c>
      <c r="K224" s="34">
        <f ca="1">IF(scheduled_no_payments=1,"",SUM($I$13:$I224))</f>
        <v>85977.010534118497</v>
      </c>
      <c r="L224" s="38"/>
    </row>
    <row r="225" spans="2:12" ht="16.5" customHeight="1" x14ac:dyDescent="0.25">
      <c r="B225" s="32">
        <f ca="1">IF(AND(Values_Entered,scheduled_no_payments&lt;&gt;1),B224+1,"")</f>
        <v>213</v>
      </c>
      <c r="C225" s="33">
        <f ca="1">IF(Pay_Num&lt;&gt;"",DATE(YEAR(C224)+VLOOKUP(Interval,LoanLookup[],4,FALSE),MONTH(C224)+VLOOKUP(Interval,LoanLookup[],2,FALSE),DAY(C224)+VLOOKUP(Interval,LoanLookup[],3,FALSE)),"")</f>
        <v>51320</v>
      </c>
      <c r="D225" s="34">
        <f t="shared" ca="1" si="11"/>
        <v>26111.08546322152</v>
      </c>
      <c r="E225" s="35">
        <f t="shared" ca="1" si="13"/>
        <v>989.93360882498609</v>
      </c>
      <c r="F225" s="36">
        <f ca="1">IF(scheduled_no_payments=1,"",IF(Sched_Pay+Scheduled_Extra_Payments&lt;Beg_Bal,Scheduled_Extra_Payments,IF(AND(Pay_Num&lt;&gt;"",Beg_Bal-Sched_Pay&gt;0),Beg_Bal-Sched_Pay,IF(Pay_Num&lt;&gt;"",0,""))))</f>
        <v>0</v>
      </c>
      <c r="G225" s="34">
        <f ca="1">IF(scheduled_no_payments=1,"",IF(Sched_Pay+Extra_Pay&lt;Beg_Bal,Sched_Pay+Extra_Pay,IF(Pay_Num&lt;&gt;"",Beg_Bal,"")))</f>
        <v>989.93360882498609</v>
      </c>
      <c r="H225" s="34">
        <f t="shared" ca="1" si="12"/>
        <v>881.13741939489637</v>
      </c>
      <c r="I225" s="34">
        <f ca="1">IF(Pay_Num&lt;&gt;"",Beg_Bal*(Interest_Rate/VLOOKUP(Interval,LoanLookup[],5,FALSE)),"")</f>
        <v>108.79618943008967</v>
      </c>
      <c r="J225" s="34">
        <f ca="1">IF(scheduled_no_payments=1,"",IF(AND(Pay_Num&lt;&gt;"",Sched_Pay+Extra_Pay&lt;Beg_Bal),Beg_Bal-Princ,IF(Pay_Num&lt;&gt;"",0,"")))</f>
        <v>25229.948043826622</v>
      </c>
      <c r="K225" s="34">
        <f ca="1">IF(scheduled_no_payments=1,"",SUM($I$13:$I225))</f>
        <v>86085.80672354858</v>
      </c>
      <c r="L225" s="38"/>
    </row>
    <row r="226" spans="2:12" ht="16.5" customHeight="1" x14ac:dyDescent="0.25">
      <c r="B226" s="32">
        <f ca="1">IF(AND(Values_Entered,scheduled_no_payments&lt;&gt;1),B225+1,"")</f>
        <v>214</v>
      </c>
      <c r="C226" s="33">
        <f ca="1">IF(Pay_Num&lt;&gt;"",DATE(YEAR(C225)+VLOOKUP(Interval,LoanLookup[],4,FALSE),MONTH(C225)+VLOOKUP(Interval,LoanLookup[],2,FALSE),DAY(C225)+VLOOKUP(Interval,LoanLookup[],3,FALSE)),"")</f>
        <v>51351</v>
      </c>
      <c r="D226" s="34">
        <f t="shared" ca="1" si="11"/>
        <v>25229.948043826622</v>
      </c>
      <c r="E226" s="35">
        <f t="shared" ca="1" si="13"/>
        <v>989.93360882498609</v>
      </c>
      <c r="F226" s="36">
        <f ca="1">IF(scheduled_no_payments=1,"",IF(Sched_Pay+Scheduled_Extra_Payments&lt;Beg_Bal,Scheduled_Extra_Payments,IF(AND(Pay_Num&lt;&gt;"",Beg_Bal-Sched_Pay&gt;0),Beg_Bal-Sched_Pay,IF(Pay_Num&lt;&gt;"",0,""))))</f>
        <v>0</v>
      </c>
      <c r="G226" s="34">
        <f ca="1">IF(scheduled_no_payments=1,"",IF(Sched_Pay+Extra_Pay&lt;Beg_Bal,Sched_Pay+Extra_Pay,IF(Pay_Num&lt;&gt;"",Beg_Bal,"")))</f>
        <v>989.93360882498609</v>
      </c>
      <c r="H226" s="34">
        <f t="shared" ca="1" si="12"/>
        <v>884.80882530904182</v>
      </c>
      <c r="I226" s="34">
        <f ca="1">IF(Pay_Num&lt;&gt;"",Beg_Bal*(Interest_Rate/VLOOKUP(Interval,LoanLookup[],5,FALSE)),"")</f>
        <v>105.12478351594426</v>
      </c>
      <c r="J226" s="34">
        <f ca="1">IF(scheduled_no_payments=1,"",IF(AND(Pay_Num&lt;&gt;"",Sched_Pay+Extra_Pay&lt;Beg_Bal),Beg_Bal-Princ,IF(Pay_Num&lt;&gt;"",0,"")))</f>
        <v>24345.139218517579</v>
      </c>
      <c r="K226" s="34">
        <f ca="1">IF(scheduled_no_payments=1,"",SUM($I$13:$I226))</f>
        <v>86190.931507064524</v>
      </c>
      <c r="L226" s="38"/>
    </row>
    <row r="227" spans="2:12" ht="16.5" customHeight="1" x14ac:dyDescent="0.25">
      <c r="B227" s="32">
        <f ca="1">IF(AND(Values_Entered,scheduled_no_payments&lt;&gt;1),B226+1,"")</f>
        <v>215</v>
      </c>
      <c r="C227" s="33">
        <f ca="1">IF(Pay_Num&lt;&gt;"",DATE(YEAR(C226)+VLOOKUP(Interval,LoanLookup[],4,FALSE),MONTH(C226)+VLOOKUP(Interval,LoanLookup[],2,FALSE),DAY(C226)+VLOOKUP(Interval,LoanLookup[],3,FALSE)),"")</f>
        <v>51382</v>
      </c>
      <c r="D227" s="34">
        <f t="shared" ca="1" si="11"/>
        <v>24345.139218517579</v>
      </c>
      <c r="E227" s="35">
        <f t="shared" ca="1" si="13"/>
        <v>989.93360882498609</v>
      </c>
      <c r="F227" s="36">
        <f ca="1">IF(scheduled_no_payments=1,"",IF(Sched_Pay+Scheduled_Extra_Payments&lt;Beg_Bal,Scheduled_Extra_Payments,IF(AND(Pay_Num&lt;&gt;"",Beg_Bal-Sched_Pay&gt;0),Beg_Bal-Sched_Pay,IF(Pay_Num&lt;&gt;"",0,""))))</f>
        <v>0</v>
      </c>
      <c r="G227" s="34">
        <f ca="1">IF(scheduled_no_payments=1,"",IF(Sched_Pay+Extra_Pay&lt;Beg_Bal,Sched_Pay+Extra_Pay,IF(Pay_Num&lt;&gt;"",Beg_Bal,"")))</f>
        <v>989.93360882498609</v>
      </c>
      <c r="H227" s="34">
        <f t="shared" ca="1" si="12"/>
        <v>888.49552874782955</v>
      </c>
      <c r="I227" s="34">
        <f ca="1">IF(Pay_Num&lt;&gt;"",Beg_Bal*(Interest_Rate/VLOOKUP(Interval,LoanLookup[],5,FALSE)),"")</f>
        <v>101.43808007715658</v>
      </c>
      <c r="J227" s="34">
        <f ca="1">IF(scheduled_no_payments=1,"",IF(AND(Pay_Num&lt;&gt;"",Sched_Pay+Extra_Pay&lt;Beg_Bal),Beg_Bal-Princ,IF(Pay_Num&lt;&gt;"",0,"")))</f>
        <v>23456.643689769749</v>
      </c>
      <c r="K227" s="34">
        <f ca="1">IF(scheduled_no_payments=1,"",SUM($I$13:$I227))</f>
        <v>86292.369587141686</v>
      </c>
      <c r="L227" s="38"/>
    </row>
    <row r="228" spans="2:12" ht="16.5" customHeight="1" x14ac:dyDescent="0.25">
      <c r="B228" s="32">
        <f ca="1">IF(AND(Values_Entered,scheduled_no_payments&lt;&gt;1),B227+1,"")</f>
        <v>216</v>
      </c>
      <c r="C228" s="33">
        <f ca="1">IF(Pay_Num&lt;&gt;"",DATE(YEAR(C227)+VLOOKUP(Interval,LoanLookup[],4,FALSE),MONTH(C227)+VLOOKUP(Interval,LoanLookup[],2,FALSE),DAY(C227)+VLOOKUP(Interval,LoanLookup[],3,FALSE)),"")</f>
        <v>51412</v>
      </c>
      <c r="D228" s="34">
        <f t="shared" ca="1" si="11"/>
        <v>23456.643689769749</v>
      </c>
      <c r="E228" s="35">
        <f t="shared" ca="1" si="13"/>
        <v>989.93360882498609</v>
      </c>
      <c r="F228" s="36">
        <f ca="1">IF(scheduled_no_payments=1,"",IF(Sched_Pay+Scheduled_Extra_Payments&lt;Beg_Bal,Scheduled_Extra_Payments,IF(AND(Pay_Num&lt;&gt;"",Beg_Bal-Sched_Pay&gt;0),Beg_Bal-Sched_Pay,IF(Pay_Num&lt;&gt;"",0,""))))</f>
        <v>0</v>
      </c>
      <c r="G228" s="34">
        <f ca="1">IF(scheduled_no_payments=1,"",IF(Sched_Pay+Extra_Pay&lt;Beg_Bal,Sched_Pay+Extra_Pay,IF(Pay_Num&lt;&gt;"",Beg_Bal,"")))</f>
        <v>989.93360882498609</v>
      </c>
      <c r="H228" s="34">
        <f t="shared" ca="1" si="12"/>
        <v>892.19759345094553</v>
      </c>
      <c r="I228" s="34">
        <f ca="1">IF(Pay_Num&lt;&gt;"",Beg_Bal*(Interest_Rate/VLOOKUP(Interval,LoanLookup[],5,FALSE)),"")</f>
        <v>97.736015374040619</v>
      </c>
      <c r="J228" s="34">
        <f ca="1">IF(scheduled_no_payments=1,"",IF(AND(Pay_Num&lt;&gt;"",Sched_Pay+Extra_Pay&lt;Beg_Bal),Beg_Bal-Princ,IF(Pay_Num&lt;&gt;"",0,"")))</f>
        <v>22564.446096318803</v>
      </c>
      <c r="K228" s="34">
        <f ca="1">IF(scheduled_no_payments=1,"",SUM($I$13:$I228))</f>
        <v>86390.10560251573</v>
      </c>
      <c r="L228" s="38"/>
    </row>
    <row r="229" spans="2:12" ht="16.5" customHeight="1" x14ac:dyDescent="0.25">
      <c r="B229" s="32">
        <f ca="1">IF(AND(Values_Entered,scheduled_no_payments&lt;&gt;1),B228+1,"")</f>
        <v>217</v>
      </c>
      <c r="C229" s="33">
        <f ca="1">IF(Pay_Num&lt;&gt;"",DATE(YEAR(C228)+VLOOKUP(Interval,LoanLookup[],4,FALSE),MONTH(C228)+VLOOKUP(Interval,LoanLookup[],2,FALSE),DAY(C228)+VLOOKUP(Interval,LoanLookup[],3,FALSE)),"")</f>
        <v>51443</v>
      </c>
      <c r="D229" s="34">
        <f t="shared" ca="1" si="11"/>
        <v>22564.446096318803</v>
      </c>
      <c r="E229" s="35">
        <f t="shared" ca="1" si="13"/>
        <v>989.93360882498609</v>
      </c>
      <c r="F229" s="36">
        <f ca="1">IF(scheduled_no_payments=1,"",IF(Sched_Pay+Scheduled_Extra_Payments&lt;Beg_Bal,Scheduled_Extra_Payments,IF(AND(Pay_Num&lt;&gt;"",Beg_Bal-Sched_Pay&gt;0),Beg_Bal-Sched_Pay,IF(Pay_Num&lt;&gt;"",0,""))))</f>
        <v>0</v>
      </c>
      <c r="G229" s="34">
        <f ca="1">IF(scheduled_no_payments=1,"",IF(Sched_Pay+Extra_Pay&lt;Beg_Bal,Sched_Pay+Extra_Pay,IF(Pay_Num&lt;&gt;"",Beg_Bal,"")))</f>
        <v>989.93360882498609</v>
      </c>
      <c r="H229" s="34">
        <f t="shared" ca="1" si="12"/>
        <v>895.91508342365773</v>
      </c>
      <c r="I229" s="34">
        <f ca="1">IF(Pay_Num&lt;&gt;"",Beg_Bal*(Interest_Rate/VLOOKUP(Interval,LoanLookup[],5,FALSE)),"")</f>
        <v>94.018525401328347</v>
      </c>
      <c r="J229" s="34">
        <f ca="1">IF(scheduled_no_payments=1,"",IF(AND(Pay_Num&lt;&gt;"",Sched_Pay+Extra_Pay&lt;Beg_Bal),Beg_Bal-Princ,IF(Pay_Num&lt;&gt;"",0,"")))</f>
        <v>21668.531012895146</v>
      </c>
      <c r="K229" s="34">
        <f ca="1">IF(scheduled_no_payments=1,"",SUM($I$13:$I229))</f>
        <v>86484.124127917064</v>
      </c>
      <c r="L229" s="38"/>
    </row>
    <row r="230" spans="2:12" ht="16.5" customHeight="1" x14ac:dyDescent="0.25">
      <c r="B230" s="32">
        <f ca="1">IF(AND(Values_Entered,scheduled_no_payments&lt;&gt;1),B229+1,"")</f>
        <v>218</v>
      </c>
      <c r="C230" s="33">
        <f ca="1">IF(Pay_Num&lt;&gt;"",DATE(YEAR(C229)+VLOOKUP(Interval,LoanLookup[],4,FALSE),MONTH(C229)+VLOOKUP(Interval,LoanLookup[],2,FALSE),DAY(C229)+VLOOKUP(Interval,LoanLookup[],3,FALSE)),"")</f>
        <v>51473</v>
      </c>
      <c r="D230" s="34">
        <f t="shared" ca="1" si="11"/>
        <v>21668.531012895146</v>
      </c>
      <c r="E230" s="35">
        <f t="shared" ca="1" si="13"/>
        <v>989.93360882498609</v>
      </c>
      <c r="F230" s="36">
        <f ca="1">IF(scheduled_no_payments=1,"",IF(Sched_Pay+Scheduled_Extra_Payments&lt;Beg_Bal,Scheduled_Extra_Payments,IF(AND(Pay_Num&lt;&gt;"",Beg_Bal-Sched_Pay&gt;0),Beg_Bal-Sched_Pay,IF(Pay_Num&lt;&gt;"",0,""))))</f>
        <v>0</v>
      </c>
      <c r="G230" s="34">
        <f ca="1">IF(scheduled_no_payments=1,"",IF(Sched_Pay+Extra_Pay&lt;Beg_Bal,Sched_Pay+Extra_Pay,IF(Pay_Num&lt;&gt;"",Beg_Bal,"")))</f>
        <v>989.93360882498609</v>
      </c>
      <c r="H230" s="34">
        <f t="shared" ca="1" si="12"/>
        <v>899.64806293792299</v>
      </c>
      <c r="I230" s="34">
        <f ca="1">IF(Pay_Num&lt;&gt;"",Beg_Bal*(Interest_Rate/VLOOKUP(Interval,LoanLookup[],5,FALSE)),"")</f>
        <v>90.285545887063108</v>
      </c>
      <c r="J230" s="34">
        <f ca="1">IF(scheduled_no_payments=1,"",IF(AND(Pay_Num&lt;&gt;"",Sched_Pay+Extra_Pay&lt;Beg_Bal),Beg_Bal-Princ,IF(Pay_Num&lt;&gt;"",0,"")))</f>
        <v>20768.882949957224</v>
      </c>
      <c r="K230" s="34">
        <f ca="1">IF(scheduled_no_payments=1,"",SUM($I$13:$I230))</f>
        <v>86574.409673804126</v>
      </c>
      <c r="L230" s="38"/>
    </row>
    <row r="231" spans="2:12" ht="16.5" customHeight="1" x14ac:dyDescent="0.25">
      <c r="B231" s="32">
        <f ca="1">IF(AND(Values_Entered,scheduled_no_payments&lt;&gt;1),B230+1,"")</f>
        <v>219</v>
      </c>
      <c r="C231" s="33">
        <f ca="1">IF(Pay_Num&lt;&gt;"",DATE(YEAR(C230)+VLOOKUP(Interval,LoanLookup[],4,FALSE),MONTH(C230)+VLOOKUP(Interval,LoanLookup[],2,FALSE),DAY(C230)+VLOOKUP(Interval,LoanLookup[],3,FALSE)),"")</f>
        <v>51504</v>
      </c>
      <c r="D231" s="34">
        <f t="shared" ca="1" si="11"/>
        <v>20768.882949957224</v>
      </c>
      <c r="E231" s="35">
        <f t="shared" ca="1" si="13"/>
        <v>989.93360882498609</v>
      </c>
      <c r="F231" s="36">
        <f ca="1">IF(scheduled_no_payments=1,"",IF(Sched_Pay+Scheduled_Extra_Payments&lt;Beg_Bal,Scheduled_Extra_Payments,IF(AND(Pay_Num&lt;&gt;"",Beg_Bal-Sched_Pay&gt;0),Beg_Bal-Sched_Pay,IF(Pay_Num&lt;&gt;"",0,""))))</f>
        <v>0</v>
      </c>
      <c r="G231" s="34">
        <f ca="1">IF(scheduled_no_payments=1,"",IF(Sched_Pay+Extra_Pay&lt;Beg_Bal,Sched_Pay+Extra_Pay,IF(Pay_Num&lt;&gt;"",Beg_Bal,"")))</f>
        <v>989.93360882498609</v>
      </c>
      <c r="H231" s="34">
        <f t="shared" ca="1" si="12"/>
        <v>903.3965965334977</v>
      </c>
      <c r="I231" s="34">
        <f ca="1">IF(Pay_Num&lt;&gt;"",Beg_Bal*(Interest_Rate/VLOOKUP(Interval,LoanLookup[],5,FALSE)),"")</f>
        <v>86.537012291488438</v>
      </c>
      <c r="J231" s="34">
        <f ca="1">IF(scheduled_no_payments=1,"",IF(AND(Pay_Num&lt;&gt;"",Sched_Pay+Extra_Pay&lt;Beg_Bal),Beg_Bal-Princ,IF(Pay_Num&lt;&gt;"",0,"")))</f>
        <v>19865.486353423727</v>
      </c>
      <c r="K231" s="34">
        <f ca="1">IF(scheduled_no_payments=1,"",SUM($I$13:$I231))</f>
        <v>86660.946686095616</v>
      </c>
      <c r="L231" s="38"/>
    </row>
    <row r="232" spans="2:12" ht="16.5" customHeight="1" x14ac:dyDescent="0.25">
      <c r="B232" s="32">
        <f ca="1">IF(AND(Values_Entered,scheduled_no_payments&lt;&gt;1),B231+1,"")</f>
        <v>220</v>
      </c>
      <c r="C232" s="33">
        <f ca="1">IF(Pay_Num&lt;&gt;"",DATE(YEAR(C231)+VLOOKUP(Interval,LoanLookup[],4,FALSE),MONTH(C231)+VLOOKUP(Interval,LoanLookup[],2,FALSE),DAY(C231)+VLOOKUP(Interval,LoanLookup[],3,FALSE)),"")</f>
        <v>51535</v>
      </c>
      <c r="D232" s="34">
        <f t="shared" ca="1" si="11"/>
        <v>19865.486353423727</v>
      </c>
      <c r="E232" s="35">
        <f t="shared" ca="1" si="13"/>
        <v>989.93360882498609</v>
      </c>
      <c r="F232" s="36">
        <f ca="1">IF(scheduled_no_payments=1,"",IF(Sched_Pay+Scheduled_Extra_Payments&lt;Beg_Bal,Scheduled_Extra_Payments,IF(AND(Pay_Num&lt;&gt;"",Beg_Bal-Sched_Pay&gt;0),Beg_Bal-Sched_Pay,IF(Pay_Num&lt;&gt;"",0,""))))</f>
        <v>0</v>
      </c>
      <c r="G232" s="34">
        <f ca="1">IF(scheduled_no_payments=1,"",IF(Sched_Pay+Extra_Pay&lt;Beg_Bal,Sched_Pay+Extra_Pay,IF(Pay_Num&lt;&gt;"",Beg_Bal,"")))</f>
        <v>989.93360882498609</v>
      </c>
      <c r="H232" s="34">
        <f t="shared" ca="1" si="12"/>
        <v>907.16074901905392</v>
      </c>
      <c r="I232" s="34">
        <f ca="1">IF(Pay_Num&lt;&gt;"",Beg_Bal*(Interest_Rate/VLOOKUP(Interval,LoanLookup[],5,FALSE)),"")</f>
        <v>82.7728598059322</v>
      </c>
      <c r="J232" s="34">
        <f ca="1">IF(scheduled_no_payments=1,"",IF(AND(Pay_Num&lt;&gt;"",Sched_Pay+Extra_Pay&lt;Beg_Bal),Beg_Bal-Princ,IF(Pay_Num&lt;&gt;"",0,"")))</f>
        <v>18958.325604404672</v>
      </c>
      <c r="K232" s="34">
        <f ca="1">IF(scheduled_no_payments=1,"",SUM($I$13:$I232))</f>
        <v>86743.719545901549</v>
      </c>
      <c r="L232" s="38"/>
    </row>
    <row r="233" spans="2:12" ht="16.5" customHeight="1" x14ac:dyDescent="0.25">
      <c r="B233" s="32">
        <f ca="1">IF(AND(Values_Entered,scheduled_no_payments&lt;&gt;1),B232+1,"")</f>
        <v>221</v>
      </c>
      <c r="C233" s="33">
        <f ca="1">IF(Pay_Num&lt;&gt;"",DATE(YEAR(C232)+VLOOKUP(Interval,LoanLookup[],4,FALSE),MONTH(C232)+VLOOKUP(Interval,LoanLookup[],2,FALSE),DAY(C232)+VLOOKUP(Interval,LoanLookup[],3,FALSE)),"")</f>
        <v>51563</v>
      </c>
      <c r="D233" s="34">
        <f t="shared" ca="1" si="11"/>
        <v>18958.325604404672</v>
      </c>
      <c r="E233" s="35">
        <f t="shared" ca="1" si="13"/>
        <v>989.93360882498609</v>
      </c>
      <c r="F233" s="36">
        <f ca="1">IF(scheduled_no_payments=1,"",IF(Sched_Pay+Scheduled_Extra_Payments&lt;Beg_Bal,Scheduled_Extra_Payments,IF(AND(Pay_Num&lt;&gt;"",Beg_Bal-Sched_Pay&gt;0),Beg_Bal-Sched_Pay,IF(Pay_Num&lt;&gt;"",0,""))))</f>
        <v>0</v>
      </c>
      <c r="G233" s="34">
        <f ca="1">IF(scheduled_no_payments=1,"",IF(Sched_Pay+Extra_Pay&lt;Beg_Bal,Sched_Pay+Extra_Pay,IF(Pay_Num&lt;&gt;"",Beg_Bal,"")))</f>
        <v>989.93360882498609</v>
      </c>
      <c r="H233" s="34">
        <f t="shared" ca="1" si="12"/>
        <v>910.94058547329996</v>
      </c>
      <c r="I233" s="34">
        <f ca="1">IF(Pay_Num&lt;&gt;"",Beg_Bal*(Interest_Rate/VLOOKUP(Interval,LoanLookup[],5,FALSE)),"")</f>
        <v>78.993023351686134</v>
      </c>
      <c r="J233" s="34">
        <f ca="1">IF(scheduled_no_payments=1,"",IF(AND(Pay_Num&lt;&gt;"",Sched_Pay+Extra_Pay&lt;Beg_Bal),Beg_Bal-Princ,IF(Pay_Num&lt;&gt;"",0,"")))</f>
        <v>18047.385018931371</v>
      </c>
      <c r="K233" s="34">
        <f ca="1">IF(scheduled_no_payments=1,"",SUM($I$13:$I233))</f>
        <v>86822.712569253228</v>
      </c>
      <c r="L233" s="38"/>
    </row>
    <row r="234" spans="2:12" ht="16.5" customHeight="1" x14ac:dyDescent="0.25">
      <c r="B234" s="32">
        <f ca="1">IF(AND(Values_Entered,scheduled_no_payments&lt;&gt;1),B233+1,"")</f>
        <v>222</v>
      </c>
      <c r="C234" s="33">
        <f ca="1">IF(Pay_Num&lt;&gt;"",DATE(YEAR(C233)+VLOOKUP(Interval,LoanLookup[],4,FALSE),MONTH(C233)+VLOOKUP(Interval,LoanLookup[],2,FALSE),DAY(C233)+VLOOKUP(Interval,LoanLookup[],3,FALSE)),"")</f>
        <v>51594</v>
      </c>
      <c r="D234" s="34">
        <f t="shared" ca="1" si="11"/>
        <v>18047.385018931371</v>
      </c>
      <c r="E234" s="35">
        <f t="shared" ca="1" si="13"/>
        <v>989.93360882498609</v>
      </c>
      <c r="F234" s="36">
        <f ca="1">IF(scheduled_no_payments=1,"",IF(Sched_Pay+Scheduled_Extra_Payments&lt;Beg_Bal,Scheduled_Extra_Payments,IF(AND(Pay_Num&lt;&gt;"",Beg_Bal-Sched_Pay&gt;0),Beg_Bal-Sched_Pay,IF(Pay_Num&lt;&gt;"",0,""))))</f>
        <v>0</v>
      </c>
      <c r="G234" s="34">
        <f ca="1">IF(scheduled_no_payments=1,"",IF(Sched_Pay+Extra_Pay&lt;Beg_Bal,Sched_Pay+Extra_Pay,IF(Pay_Num&lt;&gt;"",Beg_Bal,"")))</f>
        <v>989.93360882498609</v>
      </c>
      <c r="H234" s="34">
        <f t="shared" ca="1" si="12"/>
        <v>914.73617124610541</v>
      </c>
      <c r="I234" s="34">
        <f ca="1">IF(Pay_Num&lt;&gt;"",Beg_Bal*(Interest_Rate/VLOOKUP(Interval,LoanLookup[],5,FALSE)),"")</f>
        <v>75.197437578880709</v>
      </c>
      <c r="J234" s="34">
        <f ca="1">IF(scheduled_no_payments=1,"",IF(AND(Pay_Num&lt;&gt;"",Sched_Pay+Extra_Pay&lt;Beg_Bal),Beg_Bal-Princ,IF(Pay_Num&lt;&gt;"",0,"")))</f>
        <v>17132.648847685265</v>
      </c>
      <c r="K234" s="34">
        <f ca="1">IF(scheduled_no_payments=1,"",SUM($I$13:$I234))</f>
        <v>86897.910006832113</v>
      </c>
      <c r="L234" s="38"/>
    </row>
    <row r="235" spans="2:12" ht="16.5" customHeight="1" x14ac:dyDescent="0.25">
      <c r="B235" s="32">
        <f ca="1">IF(AND(Values_Entered,scheduled_no_payments&lt;&gt;1),B234+1,"")</f>
        <v>223</v>
      </c>
      <c r="C235" s="33">
        <f ca="1">IF(Pay_Num&lt;&gt;"",DATE(YEAR(C234)+VLOOKUP(Interval,LoanLookup[],4,FALSE),MONTH(C234)+VLOOKUP(Interval,LoanLookup[],2,FALSE),DAY(C234)+VLOOKUP(Interval,LoanLookup[],3,FALSE)),"")</f>
        <v>51624</v>
      </c>
      <c r="D235" s="34">
        <f t="shared" ca="1" si="11"/>
        <v>17132.648847685265</v>
      </c>
      <c r="E235" s="35">
        <f t="shared" ca="1" si="13"/>
        <v>989.93360882498609</v>
      </c>
      <c r="F235" s="36">
        <f ca="1">IF(scheduled_no_payments=1,"",IF(Sched_Pay+Scheduled_Extra_Payments&lt;Beg_Bal,Scheduled_Extra_Payments,IF(AND(Pay_Num&lt;&gt;"",Beg_Bal-Sched_Pay&gt;0),Beg_Bal-Sched_Pay,IF(Pay_Num&lt;&gt;"",0,""))))</f>
        <v>0</v>
      </c>
      <c r="G235" s="34">
        <f ca="1">IF(scheduled_no_payments=1,"",IF(Sched_Pay+Extra_Pay&lt;Beg_Bal,Sched_Pay+Extra_Pay,IF(Pay_Num&lt;&gt;"",Beg_Bal,"")))</f>
        <v>989.93360882498609</v>
      </c>
      <c r="H235" s="34">
        <f t="shared" ca="1" si="12"/>
        <v>918.54757195963089</v>
      </c>
      <c r="I235" s="34">
        <f ca="1">IF(Pay_Num&lt;&gt;"",Beg_Bal*(Interest_Rate/VLOOKUP(Interval,LoanLookup[],5,FALSE)),"")</f>
        <v>71.386036865355265</v>
      </c>
      <c r="J235" s="34">
        <f ca="1">IF(scheduled_no_payments=1,"",IF(AND(Pay_Num&lt;&gt;"",Sched_Pay+Extra_Pay&lt;Beg_Bal),Beg_Bal-Princ,IF(Pay_Num&lt;&gt;"",0,"")))</f>
        <v>16214.101275725634</v>
      </c>
      <c r="K235" s="34">
        <f ca="1">IF(scheduled_no_payments=1,"",SUM($I$13:$I235))</f>
        <v>86969.296043697468</v>
      </c>
      <c r="L235" s="38"/>
    </row>
    <row r="236" spans="2:12" ht="16.5" customHeight="1" x14ac:dyDescent="0.25">
      <c r="B236" s="32">
        <f ca="1">IF(AND(Values_Entered,scheduled_no_payments&lt;&gt;1),B235+1,"")</f>
        <v>224</v>
      </c>
      <c r="C236" s="33">
        <f ca="1">IF(Pay_Num&lt;&gt;"",DATE(YEAR(C235)+VLOOKUP(Interval,LoanLookup[],4,FALSE),MONTH(C235)+VLOOKUP(Interval,LoanLookup[],2,FALSE),DAY(C235)+VLOOKUP(Interval,LoanLookup[],3,FALSE)),"")</f>
        <v>51655</v>
      </c>
      <c r="D236" s="34">
        <f t="shared" ca="1" si="11"/>
        <v>16214.101275725634</v>
      </c>
      <c r="E236" s="35">
        <f t="shared" ca="1" si="13"/>
        <v>989.93360882498609</v>
      </c>
      <c r="F236" s="36">
        <f ca="1">IF(scheduled_no_payments=1,"",IF(Sched_Pay+Scheduled_Extra_Payments&lt;Beg_Bal,Scheduled_Extra_Payments,IF(AND(Pay_Num&lt;&gt;"",Beg_Bal-Sched_Pay&gt;0),Beg_Bal-Sched_Pay,IF(Pay_Num&lt;&gt;"",0,""))))</f>
        <v>0</v>
      </c>
      <c r="G236" s="34">
        <f ca="1">IF(scheduled_no_payments=1,"",IF(Sched_Pay+Extra_Pay&lt;Beg_Bal,Sched_Pay+Extra_Pay,IF(Pay_Num&lt;&gt;"",Beg_Bal,"")))</f>
        <v>989.93360882498609</v>
      </c>
      <c r="H236" s="34">
        <f t="shared" ca="1" si="12"/>
        <v>922.37485350946258</v>
      </c>
      <c r="I236" s="34">
        <f ca="1">IF(Pay_Num&lt;&gt;"",Beg_Bal*(Interest_Rate/VLOOKUP(Interval,LoanLookup[],5,FALSE)),"")</f>
        <v>67.55875531552347</v>
      </c>
      <c r="J236" s="34">
        <f ca="1">IF(scheduled_no_payments=1,"",IF(AND(Pay_Num&lt;&gt;"",Sched_Pay+Extra_Pay&lt;Beg_Bal),Beg_Bal-Princ,IF(Pay_Num&lt;&gt;"",0,"")))</f>
        <v>15291.726422216172</v>
      </c>
      <c r="K236" s="34">
        <f ca="1">IF(scheduled_no_payments=1,"",SUM($I$13:$I236))</f>
        <v>87036.854799012988</v>
      </c>
      <c r="L236" s="38"/>
    </row>
    <row r="237" spans="2:12" ht="16.5" customHeight="1" x14ac:dyDescent="0.25">
      <c r="B237" s="32">
        <f ca="1">IF(AND(Values_Entered,scheduled_no_payments&lt;&gt;1),B236+1,"")</f>
        <v>225</v>
      </c>
      <c r="C237" s="33">
        <f ca="1">IF(Pay_Num&lt;&gt;"",DATE(YEAR(C236)+VLOOKUP(Interval,LoanLookup[],4,FALSE),MONTH(C236)+VLOOKUP(Interval,LoanLookup[],2,FALSE),DAY(C236)+VLOOKUP(Interval,LoanLookup[],3,FALSE)),"")</f>
        <v>51685</v>
      </c>
      <c r="D237" s="34">
        <f t="shared" ca="1" si="11"/>
        <v>15291.726422216172</v>
      </c>
      <c r="E237" s="35">
        <f t="shared" ca="1" si="13"/>
        <v>989.93360882498609</v>
      </c>
      <c r="F237" s="36">
        <f ca="1">IF(scheduled_no_payments=1,"",IF(Sched_Pay+Scheduled_Extra_Payments&lt;Beg_Bal,Scheduled_Extra_Payments,IF(AND(Pay_Num&lt;&gt;"",Beg_Bal-Sched_Pay&gt;0),Beg_Bal-Sched_Pay,IF(Pay_Num&lt;&gt;"",0,""))))</f>
        <v>0</v>
      </c>
      <c r="G237" s="34">
        <f ca="1">IF(scheduled_no_payments=1,"",IF(Sched_Pay+Extra_Pay&lt;Beg_Bal,Sched_Pay+Extra_Pay,IF(Pay_Num&lt;&gt;"",Beg_Bal,"")))</f>
        <v>989.93360882498609</v>
      </c>
      <c r="H237" s="34">
        <f t="shared" ca="1" si="12"/>
        <v>926.21808206575201</v>
      </c>
      <c r="I237" s="34">
        <f ca="1">IF(Pay_Num&lt;&gt;"",Beg_Bal*(Interest_Rate/VLOOKUP(Interval,LoanLookup[],5,FALSE)),"")</f>
        <v>63.715526759234052</v>
      </c>
      <c r="J237" s="34">
        <f ca="1">IF(scheduled_no_payments=1,"",IF(AND(Pay_Num&lt;&gt;"",Sched_Pay+Extra_Pay&lt;Beg_Bal),Beg_Bal-Princ,IF(Pay_Num&lt;&gt;"",0,"")))</f>
        <v>14365.50834015042</v>
      </c>
      <c r="K237" s="34">
        <f ca="1">IF(scheduled_no_payments=1,"",SUM($I$13:$I237))</f>
        <v>87100.57032577222</v>
      </c>
      <c r="L237" s="38"/>
    </row>
    <row r="238" spans="2:12" ht="16.5" customHeight="1" x14ac:dyDescent="0.25">
      <c r="B238" s="32">
        <f ca="1">IF(AND(Values_Entered,scheduled_no_payments&lt;&gt;1),B237+1,"")</f>
        <v>226</v>
      </c>
      <c r="C238" s="33">
        <f ca="1">IF(Pay_Num&lt;&gt;"",DATE(YEAR(C237)+VLOOKUP(Interval,LoanLookup[],4,FALSE),MONTH(C237)+VLOOKUP(Interval,LoanLookup[],2,FALSE),DAY(C237)+VLOOKUP(Interval,LoanLookup[],3,FALSE)),"")</f>
        <v>51716</v>
      </c>
      <c r="D238" s="34">
        <f t="shared" ca="1" si="11"/>
        <v>14365.50834015042</v>
      </c>
      <c r="E238" s="35">
        <f t="shared" ca="1" si="13"/>
        <v>989.93360882498609</v>
      </c>
      <c r="F238" s="36">
        <f ca="1">IF(scheduled_no_payments=1,"",IF(Sched_Pay+Scheduled_Extra_Payments&lt;Beg_Bal,Scheduled_Extra_Payments,IF(AND(Pay_Num&lt;&gt;"",Beg_Bal-Sched_Pay&gt;0),Beg_Bal-Sched_Pay,IF(Pay_Num&lt;&gt;"",0,""))))</f>
        <v>0</v>
      </c>
      <c r="G238" s="34">
        <f ca="1">IF(scheduled_no_payments=1,"",IF(Sched_Pay+Extra_Pay&lt;Beg_Bal,Sched_Pay+Extra_Pay,IF(Pay_Num&lt;&gt;"",Beg_Bal,"")))</f>
        <v>989.93360882498609</v>
      </c>
      <c r="H238" s="34">
        <f t="shared" ca="1" si="12"/>
        <v>930.07732407435935</v>
      </c>
      <c r="I238" s="34">
        <f ca="1">IF(Pay_Num&lt;&gt;"",Beg_Bal*(Interest_Rate/VLOOKUP(Interval,LoanLookup[],5,FALSE)),"")</f>
        <v>59.856284750626749</v>
      </c>
      <c r="J238" s="34">
        <f ca="1">IF(scheduled_no_payments=1,"",IF(AND(Pay_Num&lt;&gt;"",Sched_Pay+Extra_Pay&lt;Beg_Bal),Beg_Bal-Princ,IF(Pay_Num&lt;&gt;"",0,"")))</f>
        <v>13435.43101607606</v>
      </c>
      <c r="K238" s="34">
        <f ca="1">IF(scheduled_no_payments=1,"",SUM($I$13:$I238))</f>
        <v>87160.426610522845</v>
      </c>
      <c r="L238" s="38"/>
    </row>
    <row r="239" spans="2:12" ht="16.5" customHeight="1" x14ac:dyDescent="0.25">
      <c r="B239" s="32">
        <f ca="1">IF(AND(Values_Entered,scheduled_no_payments&lt;&gt;1),B238+1,"")</f>
        <v>227</v>
      </c>
      <c r="C239" s="33">
        <f ca="1">IF(Pay_Num&lt;&gt;"",DATE(YEAR(C238)+VLOOKUP(Interval,LoanLookup[],4,FALSE),MONTH(C238)+VLOOKUP(Interval,LoanLookup[],2,FALSE),DAY(C238)+VLOOKUP(Interval,LoanLookup[],3,FALSE)),"")</f>
        <v>51747</v>
      </c>
      <c r="D239" s="34">
        <f t="shared" ca="1" si="11"/>
        <v>13435.43101607606</v>
      </c>
      <c r="E239" s="35">
        <f t="shared" ca="1" si="13"/>
        <v>989.93360882498609</v>
      </c>
      <c r="F239" s="36">
        <f ca="1">IF(scheduled_no_payments=1,"",IF(Sched_Pay+Scheduled_Extra_Payments&lt;Beg_Bal,Scheduled_Extra_Payments,IF(AND(Pay_Num&lt;&gt;"",Beg_Bal-Sched_Pay&gt;0),Beg_Bal-Sched_Pay,IF(Pay_Num&lt;&gt;"",0,""))))</f>
        <v>0</v>
      </c>
      <c r="G239" s="34">
        <f ca="1">IF(scheduled_no_payments=1,"",IF(Sched_Pay+Extra_Pay&lt;Beg_Bal,Sched_Pay+Extra_Pay,IF(Pay_Num&lt;&gt;"",Beg_Bal,"")))</f>
        <v>989.93360882498609</v>
      </c>
      <c r="H239" s="34">
        <f t="shared" ca="1" si="12"/>
        <v>933.95264625800246</v>
      </c>
      <c r="I239" s="34">
        <f ca="1">IF(Pay_Num&lt;&gt;"",Beg_Bal*(Interest_Rate/VLOOKUP(Interval,LoanLookup[],5,FALSE)),"")</f>
        <v>55.980962566983578</v>
      </c>
      <c r="J239" s="34">
        <f ca="1">IF(scheduled_no_payments=1,"",IF(AND(Pay_Num&lt;&gt;"",Sched_Pay+Extra_Pay&lt;Beg_Bal),Beg_Bal-Princ,IF(Pay_Num&lt;&gt;"",0,"")))</f>
        <v>12501.478369818058</v>
      </c>
      <c r="K239" s="34">
        <f ca="1">IF(scheduled_no_payments=1,"",SUM($I$13:$I239))</f>
        <v>87216.407573089833</v>
      </c>
      <c r="L239" s="38"/>
    </row>
    <row r="240" spans="2:12" ht="16.5" customHeight="1" x14ac:dyDescent="0.25">
      <c r="B240" s="32">
        <f ca="1">IF(AND(Values_Entered,scheduled_no_payments&lt;&gt;1),B239+1,"")</f>
        <v>228</v>
      </c>
      <c r="C240" s="33">
        <f ca="1">IF(Pay_Num&lt;&gt;"",DATE(YEAR(C239)+VLOOKUP(Interval,LoanLookup[],4,FALSE),MONTH(C239)+VLOOKUP(Interval,LoanLookup[],2,FALSE),DAY(C239)+VLOOKUP(Interval,LoanLookup[],3,FALSE)),"")</f>
        <v>51777</v>
      </c>
      <c r="D240" s="34">
        <f t="shared" ca="1" si="11"/>
        <v>12501.478369818058</v>
      </c>
      <c r="E240" s="35">
        <f t="shared" ca="1" si="13"/>
        <v>989.93360882498609</v>
      </c>
      <c r="F240" s="36">
        <f ca="1">IF(scheduled_no_payments=1,"",IF(Sched_Pay+Scheduled_Extra_Payments&lt;Beg_Bal,Scheduled_Extra_Payments,IF(AND(Pay_Num&lt;&gt;"",Beg_Bal-Sched_Pay&gt;0),Beg_Bal-Sched_Pay,IF(Pay_Num&lt;&gt;"",0,""))))</f>
        <v>0</v>
      </c>
      <c r="G240" s="34">
        <f ca="1">IF(scheduled_no_payments=1,"",IF(Sched_Pay+Extra_Pay&lt;Beg_Bal,Sched_Pay+Extra_Pay,IF(Pay_Num&lt;&gt;"",Beg_Bal,"")))</f>
        <v>989.93360882498609</v>
      </c>
      <c r="H240" s="34">
        <f t="shared" ca="1" si="12"/>
        <v>937.84411561741081</v>
      </c>
      <c r="I240" s="34">
        <f ca="1">IF(Pay_Num&lt;&gt;"",Beg_Bal*(Interest_Rate/VLOOKUP(Interval,LoanLookup[],5,FALSE)),"")</f>
        <v>52.089493207575238</v>
      </c>
      <c r="J240" s="34">
        <f ca="1">IF(scheduled_no_payments=1,"",IF(AND(Pay_Num&lt;&gt;"",Sched_Pay+Extra_Pay&lt;Beg_Bal),Beg_Bal-Princ,IF(Pay_Num&lt;&gt;"",0,"")))</f>
        <v>11563.634254200648</v>
      </c>
      <c r="K240" s="34">
        <f ca="1">IF(scheduled_no_payments=1,"",SUM($I$13:$I240))</f>
        <v>87268.497066297408</v>
      </c>
      <c r="L240" s="38"/>
    </row>
    <row r="241" spans="2:12" ht="16.5" customHeight="1" x14ac:dyDescent="0.25">
      <c r="B241" s="32">
        <f ca="1">IF(AND(Values_Entered,scheduled_no_payments&lt;&gt;1),B240+1,"")</f>
        <v>229</v>
      </c>
      <c r="C241" s="33">
        <f ca="1">IF(Pay_Num&lt;&gt;"",DATE(YEAR(C240)+VLOOKUP(Interval,LoanLookup[],4,FALSE),MONTH(C240)+VLOOKUP(Interval,LoanLookup[],2,FALSE),DAY(C240)+VLOOKUP(Interval,LoanLookup[],3,FALSE)),"")</f>
        <v>51808</v>
      </c>
      <c r="D241" s="34">
        <f t="shared" ca="1" si="11"/>
        <v>11563.634254200648</v>
      </c>
      <c r="E241" s="35">
        <f t="shared" ca="1" si="13"/>
        <v>989.93360882498609</v>
      </c>
      <c r="F241" s="36">
        <f ca="1">IF(scheduled_no_payments=1,"",IF(Sched_Pay+Scheduled_Extra_Payments&lt;Beg_Bal,Scheduled_Extra_Payments,IF(AND(Pay_Num&lt;&gt;"",Beg_Bal-Sched_Pay&gt;0),Beg_Bal-Sched_Pay,IF(Pay_Num&lt;&gt;"",0,""))))</f>
        <v>0</v>
      </c>
      <c r="G241" s="34">
        <f ca="1">IF(scheduled_no_payments=1,"",IF(Sched_Pay+Extra_Pay&lt;Beg_Bal,Sched_Pay+Extra_Pay,IF(Pay_Num&lt;&gt;"",Beg_Bal,"")))</f>
        <v>989.93360882498609</v>
      </c>
      <c r="H241" s="34">
        <f t="shared" ca="1" si="12"/>
        <v>941.75179943248338</v>
      </c>
      <c r="I241" s="34">
        <f ca="1">IF(Pay_Num&lt;&gt;"",Beg_Bal*(Interest_Rate/VLOOKUP(Interval,LoanLookup[],5,FALSE)),"")</f>
        <v>48.1818093925027</v>
      </c>
      <c r="J241" s="34">
        <f ca="1">IF(scheduled_no_payments=1,"",IF(AND(Pay_Num&lt;&gt;"",Sched_Pay+Extra_Pay&lt;Beg_Bal),Beg_Bal-Princ,IF(Pay_Num&lt;&gt;"",0,"")))</f>
        <v>10621.882454768165</v>
      </c>
      <c r="K241" s="34">
        <f ca="1">IF(scheduled_no_payments=1,"",SUM($I$13:$I241))</f>
        <v>87316.678875689904</v>
      </c>
      <c r="L241" s="38"/>
    </row>
    <row r="242" spans="2:12" ht="16.5" customHeight="1" x14ac:dyDescent="0.25">
      <c r="B242" s="32">
        <f ca="1">IF(AND(Values_Entered,scheduled_no_payments&lt;&gt;1),B241+1,"")</f>
        <v>230</v>
      </c>
      <c r="C242" s="33">
        <f ca="1">IF(Pay_Num&lt;&gt;"",DATE(YEAR(C241)+VLOOKUP(Interval,LoanLookup[],4,FALSE),MONTH(C241)+VLOOKUP(Interval,LoanLookup[],2,FALSE),DAY(C241)+VLOOKUP(Interval,LoanLookup[],3,FALSE)),"")</f>
        <v>51838</v>
      </c>
      <c r="D242" s="34">
        <f t="shared" ca="1" si="11"/>
        <v>10621.882454768165</v>
      </c>
      <c r="E242" s="35">
        <f t="shared" ca="1" si="13"/>
        <v>989.93360882498609</v>
      </c>
      <c r="F242" s="36">
        <f ca="1">IF(scheduled_no_payments=1,"",IF(Sched_Pay+Scheduled_Extra_Payments&lt;Beg_Bal,Scheduled_Extra_Payments,IF(AND(Pay_Num&lt;&gt;"",Beg_Bal-Sched_Pay&gt;0),Beg_Bal-Sched_Pay,IF(Pay_Num&lt;&gt;"",0,""))))</f>
        <v>0</v>
      </c>
      <c r="G242" s="34">
        <f ca="1">IF(scheduled_no_payments=1,"",IF(Sched_Pay+Extra_Pay&lt;Beg_Bal,Sched_Pay+Extra_Pay,IF(Pay_Num&lt;&gt;"",Beg_Bal,"")))</f>
        <v>989.93360882498609</v>
      </c>
      <c r="H242" s="34">
        <f t="shared" ca="1" si="12"/>
        <v>945.67576526345204</v>
      </c>
      <c r="I242" s="34">
        <f ca="1">IF(Pay_Num&lt;&gt;"",Beg_Bal*(Interest_Rate/VLOOKUP(Interval,LoanLookup[],5,FALSE)),"")</f>
        <v>44.257843561534024</v>
      </c>
      <c r="J242" s="34">
        <f ca="1">IF(scheduled_no_payments=1,"",IF(AND(Pay_Num&lt;&gt;"",Sched_Pay+Extra_Pay&lt;Beg_Bal),Beg_Bal-Princ,IF(Pay_Num&lt;&gt;"",0,"")))</f>
        <v>9676.2066895047137</v>
      </c>
      <c r="K242" s="34">
        <f ca="1">IF(scheduled_no_payments=1,"",SUM($I$13:$I242))</f>
        <v>87360.936719251433</v>
      </c>
      <c r="L242" s="38"/>
    </row>
    <row r="243" spans="2:12" ht="16.5" customHeight="1" x14ac:dyDescent="0.25">
      <c r="B243" s="32">
        <f ca="1">IF(AND(Values_Entered,scheduled_no_payments&lt;&gt;1),B242+1,"")</f>
        <v>231</v>
      </c>
      <c r="C243" s="33">
        <f ca="1">IF(Pay_Num&lt;&gt;"",DATE(YEAR(C242)+VLOOKUP(Interval,LoanLookup[],4,FALSE),MONTH(C242)+VLOOKUP(Interval,LoanLookup[],2,FALSE),DAY(C242)+VLOOKUP(Interval,LoanLookup[],3,FALSE)),"")</f>
        <v>51869</v>
      </c>
      <c r="D243" s="34">
        <f t="shared" ca="1" si="11"/>
        <v>9676.2066895047137</v>
      </c>
      <c r="E243" s="35">
        <f t="shared" ca="1" si="13"/>
        <v>989.93360882498609</v>
      </c>
      <c r="F243" s="36">
        <f ca="1">IF(scheduled_no_payments=1,"",IF(Sched_Pay+Scheduled_Extra_Payments&lt;Beg_Bal,Scheduled_Extra_Payments,IF(AND(Pay_Num&lt;&gt;"",Beg_Bal-Sched_Pay&gt;0),Beg_Bal-Sched_Pay,IF(Pay_Num&lt;&gt;"",0,""))))</f>
        <v>0</v>
      </c>
      <c r="G243" s="34">
        <f ca="1">IF(scheduled_no_payments=1,"",IF(Sched_Pay+Extra_Pay&lt;Beg_Bal,Sched_Pay+Extra_Pay,IF(Pay_Num&lt;&gt;"",Beg_Bal,"")))</f>
        <v>989.93360882498609</v>
      </c>
      <c r="H243" s="34">
        <f t="shared" ca="1" si="12"/>
        <v>949.61608095204974</v>
      </c>
      <c r="I243" s="34">
        <f ca="1">IF(Pay_Num&lt;&gt;"",Beg_Bal*(Interest_Rate/VLOOKUP(Interval,LoanLookup[],5,FALSE)),"")</f>
        <v>40.31752787293631</v>
      </c>
      <c r="J243" s="34">
        <f ca="1">IF(scheduled_no_payments=1,"",IF(AND(Pay_Num&lt;&gt;"",Sched_Pay+Extra_Pay&lt;Beg_Bal),Beg_Bal-Princ,IF(Pay_Num&lt;&gt;"",0,"")))</f>
        <v>8726.590608552664</v>
      </c>
      <c r="K243" s="34">
        <f ca="1">IF(scheduled_no_payments=1,"",SUM($I$13:$I243))</f>
        <v>87401.254247124365</v>
      </c>
      <c r="L243" s="38"/>
    </row>
    <row r="244" spans="2:12" ht="16.5" customHeight="1" x14ac:dyDescent="0.25">
      <c r="B244" s="32">
        <f ca="1">IF(AND(Values_Entered,scheduled_no_payments&lt;&gt;1),B243+1,"")</f>
        <v>232</v>
      </c>
      <c r="C244" s="33">
        <f ca="1">IF(Pay_Num&lt;&gt;"",DATE(YEAR(C243)+VLOOKUP(Interval,LoanLookup[],4,FALSE),MONTH(C243)+VLOOKUP(Interval,LoanLookup[],2,FALSE),DAY(C243)+VLOOKUP(Interval,LoanLookup[],3,FALSE)),"")</f>
        <v>51900</v>
      </c>
      <c r="D244" s="34">
        <f t="shared" ca="1" si="11"/>
        <v>8726.590608552664</v>
      </c>
      <c r="E244" s="35">
        <f t="shared" ca="1" si="13"/>
        <v>989.93360882498609</v>
      </c>
      <c r="F244" s="36">
        <f ca="1">IF(scheduled_no_payments=1,"",IF(Sched_Pay+Scheduled_Extra_Payments&lt;Beg_Bal,Scheduled_Extra_Payments,IF(AND(Pay_Num&lt;&gt;"",Beg_Bal-Sched_Pay&gt;0),Beg_Bal-Sched_Pay,IF(Pay_Num&lt;&gt;"",0,""))))</f>
        <v>0</v>
      </c>
      <c r="G244" s="34">
        <f ca="1">IF(scheduled_no_payments=1,"",IF(Sched_Pay+Extra_Pay&lt;Beg_Bal,Sched_Pay+Extra_Pay,IF(Pay_Num&lt;&gt;"",Beg_Bal,"")))</f>
        <v>989.93360882498609</v>
      </c>
      <c r="H244" s="34">
        <f t="shared" ca="1" si="12"/>
        <v>953.57281462268338</v>
      </c>
      <c r="I244" s="34">
        <f ca="1">IF(Pay_Num&lt;&gt;"",Beg_Bal*(Interest_Rate/VLOOKUP(Interval,LoanLookup[],5,FALSE)),"")</f>
        <v>36.360794202302763</v>
      </c>
      <c r="J244" s="34">
        <f ca="1">IF(scheduled_no_payments=1,"",IF(AND(Pay_Num&lt;&gt;"",Sched_Pay+Extra_Pay&lt;Beg_Bal),Beg_Bal-Princ,IF(Pay_Num&lt;&gt;"",0,"")))</f>
        <v>7773.0177939299811</v>
      </c>
      <c r="K244" s="34">
        <f ca="1">IF(scheduled_no_payments=1,"",SUM($I$13:$I244))</f>
        <v>87437.615041326673</v>
      </c>
      <c r="L244" s="38"/>
    </row>
    <row r="245" spans="2:12" ht="16.5" customHeight="1" x14ac:dyDescent="0.25">
      <c r="B245" s="32">
        <f ca="1">IF(AND(Values_Entered,scheduled_no_payments&lt;&gt;1),B244+1,"")</f>
        <v>233</v>
      </c>
      <c r="C245" s="33">
        <f ca="1">IF(Pay_Num&lt;&gt;"",DATE(YEAR(C244)+VLOOKUP(Interval,LoanLookup[],4,FALSE),MONTH(C244)+VLOOKUP(Interval,LoanLookup[],2,FALSE),DAY(C244)+VLOOKUP(Interval,LoanLookup[],3,FALSE)),"")</f>
        <v>51928</v>
      </c>
      <c r="D245" s="34">
        <f t="shared" ca="1" si="11"/>
        <v>7773.0177939299811</v>
      </c>
      <c r="E245" s="35">
        <f t="shared" ca="1" si="13"/>
        <v>989.93360882498609</v>
      </c>
      <c r="F245" s="36">
        <f ca="1">IF(scheduled_no_payments=1,"",IF(Sched_Pay+Scheduled_Extra_Payments&lt;Beg_Bal,Scheduled_Extra_Payments,IF(AND(Pay_Num&lt;&gt;"",Beg_Bal-Sched_Pay&gt;0),Beg_Bal-Sched_Pay,IF(Pay_Num&lt;&gt;"",0,""))))</f>
        <v>0</v>
      </c>
      <c r="G245" s="34">
        <f ca="1">IF(scheduled_no_payments=1,"",IF(Sched_Pay+Extra_Pay&lt;Beg_Bal,Sched_Pay+Extra_Pay,IF(Pay_Num&lt;&gt;"",Beg_Bal,"")))</f>
        <v>989.93360882498609</v>
      </c>
      <c r="H245" s="34">
        <f t="shared" ca="1" si="12"/>
        <v>957.5460346836112</v>
      </c>
      <c r="I245" s="34">
        <f ca="1">IF(Pay_Num&lt;&gt;"",Beg_Bal*(Interest_Rate/VLOOKUP(Interval,LoanLookup[],5,FALSE)),"")</f>
        <v>32.38757414137492</v>
      </c>
      <c r="J245" s="34">
        <f ca="1">IF(scheduled_no_payments=1,"",IF(AND(Pay_Num&lt;&gt;"",Sched_Pay+Extra_Pay&lt;Beg_Bal),Beg_Bal-Princ,IF(Pay_Num&lt;&gt;"",0,"")))</f>
        <v>6815.4717592463694</v>
      </c>
      <c r="K245" s="34">
        <f ca="1">IF(scheduled_no_payments=1,"",SUM($I$13:$I245))</f>
        <v>87470.002615468053</v>
      </c>
      <c r="L245" s="38"/>
    </row>
    <row r="246" spans="2:12" ht="16.5" customHeight="1" x14ac:dyDescent="0.25">
      <c r="B246" s="32">
        <f ca="1">IF(AND(Values_Entered,scheduled_no_payments&lt;&gt;1),B245+1,"")</f>
        <v>234</v>
      </c>
      <c r="C246" s="33">
        <f ca="1">IF(Pay_Num&lt;&gt;"",DATE(YEAR(C245)+VLOOKUP(Interval,LoanLookup[],4,FALSE),MONTH(C245)+VLOOKUP(Interval,LoanLookup[],2,FALSE),DAY(C245)+VLOOKUP(Interval,LoanLookup[],3,FALSE)),"")</f>
        <v>51959</v>
      </c>
      <c r="D246" s="34">
        <f t="shared" ca="1" si="11"/>
        <v>6815.4717592463694</v>
      </c>
      <c r="E246" s="35">
        <f t="shared" ca="1" si="13"/>
        <v>989.93360882498609</v>
      </c>
      <c r="F246" s="36">
        <f ca="1">IF(scheduled_no_payments=1,"",IF(Sched_Pay+Scheduled_Extra_Payments&lt;Beg_Bal,Scheduled_Extra_Payments,IF(AND(Pay_Num&lt;&gt;"",Beg_Bal-Sched_Pay&gt;0),Beg_Bal-Sched_Pay,IF(Pay_Num&lt;&gt;"",0,""))))</f>
        <v>0</v>
      </c>
      <c r="G246" s="34">
        <f ca="1">IF(scheduled_no_payments=1,"",IF(Sched_Pay+Extra_Pay&lt;Beg_Bal,Sched_Pay+Extra_Pay,IF(Pay_Num&lt;&gt;"",Beg_Bal,"")))</f>
        <v>989.93360882498609</v>
      </c>
      <c r="H246" s="34">
        <f t="shared" ca="1" si="12"/>
        <v>961.53580982812628</v>
      </c>
      <c r="I246" s="34">
        <f ca="1">IF(Pay_Num&lt;&gt;"",Beg_Bal*(Interest_Rate/VLOOKUP(Interval,LoanLookup[],5,FALSE)),"")</f>
        <v>28.397798996859873</v>
      </c>
      <c r="J246" s="34">
        <f ca="1">IF(scheduled_no_payments=1,"",IF(AND(Pay_Num&lt;&gt;"",Sched_Pay+Extra_Pay&lt;Beg_Bal),Beg_Bal-Princ,IF(Pay_Num&lt;&gt;"",0,"")))</f>
        <v>5853.9359494182427</v>
      </c>
      <c r="K246" s="34">
        <f ca="1">IF(scheduled_no_payments=1,"",SUM($I$13:$I246))</f>
        <v>87498.400414464908</v>
      </c>
      <c r="L246" s="38"/>
    </row>
    <row r="247" spans="2:12" ht="16.5" customHeight="1" x14ac:dyDescent="0.25">
      <c r="B247" s="32">
        <f ca="1">IF(AND(Values_Entered,scheduled_no_payments&lt;&gt;1),B246+1,"")</f>
        <v>235</v>
      </c>
      <c r="C247" s="33">
        <f ca="1">IF(Pay_Num&lt;&gt;"",DATE(YEAR(C246)+VLOOKUP(Interval,LoanLookup[],4,FALSE),MONTH(C246)+VLOOKUP(Interval,LoanLookup[],2,FALSE),DAY(C246)+VLOOKUP(Interval,LoanLookup[],3,FALSE)),"")</f>
        <v>51989</v>
      </c>
      <c r="D247" s="34">
        <f t="shared" ca="1" si="11"/>
        <v>5853.9359494182427</v>
      </c>
      <c r="E247" s="35">
        <f t="shared" ca="1" si="13"/>
        <v>989.93360882498609</v>
      </c>
      <c r="F247" s="36">
        <f ca="1">IF(scheduled_no_payments=1,"",IF(Sched_Pay+Scheduled_Extra_Payments&lt;Beg_Bal,Scheduled_Extra_Payments,IF(AND(Pay_Num&lt;&gt;"",Beg_Bal-Sched_Pay&gt;0),Beg_Bal-Sched_Pay,IF(Pay_Num&lt;&gt;"",0,""))))</f>
        <v>0</v>
      </c>
      <c r="G247" s="34">
        <f ca="1">IF(scheduled_no_payments=1,"",IF(Sched_Pay+Extra_Pay&lt;Beg_Bal,Sched_Pay+Extra_Pay,IF(Pay_Num&lt;&gt;"",Beg_Bal,"")))</f>
        <v>989.93360882498609</v>
      </c>
      <c r="H247" s="34">
        <f t="shared" ca="1" si="12"/>
        <v>965.54220903574344</v>
      </c>
      <c r="I247" s="34">
        <f ca="1">IF(Pay_Num&lt;&gt;"",Beg_Bal*(Interest_Rate/VLOOKUP(Interval,LoanLookup[],5,FALSE)),"")</f>
        <v>24.391399789242676</v>
      </c>
      <c r="J247" s="34">
        <f ca="1">IF(scheduled_no_payments=1,"",IF(AND(Pay_Num&lt;&gt;"",Sched_Pay+Extra_Pay&lt;Beg_Bal),Beg_Bal-Princ,IF(Pay_Num&lt;&gt;"",0,"")))</f>
        <v>4888.3937403824993</v>
      </c>
      <c r="K247" s="34">
        <f ca="1">IF(scheduled_no_payments=1,"",SUM($I$13:$I247))</f>
        <v>87522.791814254146</v>
      </c>
      <c r="L247" s="38"/>
    </row>
    <row r="248" spans="2:12" ht="16.5" customHeight="1" x14ac:dyDescent="0.25">
      <c r="B248" s="32">
        <f ca="1">IF(AND(Values_Entered,scheduled_no_payments&lt;&gt;1),B247+1,"")</f>
        <v>236</v>
      </c>
      <c r="C248" s="33">
        <f ca="1">IF(Pay_Num&lt;&gt;"",DATE(YEAR(C247)+VLOOKUP(Interval,LoanLookup[],4,FALSE),MONTH(C247)+VLOOKUP(Interval,LoanLookup[],2,FALSE),DAY(C247)+VLOOKUP(Interval,LoanLookup[],3,FALSE)),"")</f>
        <v>52020</v>
      </c>
      <c r="D248" s="34">
        <f t="shared" ca="1" si="11"/>
        <v>4888.3937403824993</v>
      </c>
      <c r="E248" s="35">
        <f t="shared" ca="1" si="13"/>
        <v>989.93360882498609</v>
      </c>
      <c r="F248" s="36">
        <f ca="1">IF(scheduled_no_payments=1,"",IF(Sched_Pay+Scheduled_Extra_Payments&lt;Beg_Bal,Scheduled_Extra_Payments,IF(AND(Pay_Num&lt;&gt;"",Beg_Bal-Sched_Pay&gt;0),Beg_Bal-Sched_Pay,IF(Pay_Num&lt;&gt;"",0,""))))</f>
        <v>0</v>
      </c>
      <c r="G248" s="34">
        <f ca="1">IF(scheduled_no_payments=1,"",IF(Sched_Pay+Extra_Pay&lt;Beg_Bal,Sched_Pay+Extra_Pay,IF(Pay_Num&lt;&gt;"",Beg_Bal,"")))</f>
        <v>989.93360882498609</v>
      </c>
      <c r="H248" s="34">
        <f t="shared" ca="1" si="12"/>
        <v>969.56530157339239</v>
      </c>
      <c r="I248" s="34">
        <f ca="1">IF(Pay_Num&lt;&gt;"",Beg_Bal*(Interest_Rate/VLOOKUP(Interval,LoanLookup[],5,FALSE)),"")</f>
        <v>20.368307251593748</v>
      </c>
      <c r="J248" s="34">
        <f ca="1">IF(scheduled_no_payments=1,"",IF(AND(Pay_Num&lt;&gt;"",Sched_Pay+Extra_Pay&lt;Beg_Bal),Beg_Bal-Princ,IF(Pay_Num&lt;&gt;"",0,"")))</f>
        <v>3918.828438809107</v>
      </c>
      <c r="K248" s="34">
        <f ca="1">IF(scheduled_no_payments=1,"",SUM($I$13:$I248))</f>
        <v>87543.160121505745</v>
      </c>
      <c r="L248" s="38"/>
    </row>
    <row r="249" spans="2:12" ht="16.5" customHeight="1" x14ac:dyDescent="0.25">
      <c r="B249" s="32">
        <f ca="1">IF(AND(Values_Entered,scheduled_no_payments&lt;&gt;1),B248+1,"")</f>
        <v>237</v>
      </c>
      <c r="C249" s="33">
        <f ca="1">IF(Pay_Num&lt;&gt;"",DATE(YEAR(C248)+VLOOKUP(Interval,LoanLookup[],4,FALSE),MONTH(C248)+VLOOKUP(Interval,LoanLookup[],2,FALSE),DAY(C248)+VLOOKUP(Interval,LoanLookup[],3,FALSE)),"")</f>
        <v>52050</v>
      </c>
      <c r="D249" s="34">
        <f t="shared" ca="1" si="11"/>
        <v>3918.828438809107</v>
      </c>
      <c r="E249" s="35">
        <f t="shared" ca="1" si="13"/>
        <v>989.93360882498609</v>
      </c>
      <c r="F249" s="36">
        <f ca="1">IF(scheduled_no_payments=1,"",IF(Sched_Pay+Scheduled_Extra_Payments&lt;Beg_Bal,Scheduled_Extra_Payments,IF(AND(Pay_Num&lt;&gt;"",Beg_Bal-Sched_Pay&gt;0),Beg_Bal-Sched_Pay,IF(Pay_Num&lt;&gt;"",0,""))))</f>
        <v>0</v>
      </c>
      <c r="G249" s="34">
        <f ca="1">IF(scheduled_no_payments=1,"",IF(Sched_Pay+Extra_Pay&lt;Beg_Bal,Sched_Pay+Extra_Pay,IF(Pay_Num&lt;&gt;"",Beg_Bal,"")))</f>
        <v>989.93360882498609</v>
      </c>
      <c r="H249" s="34">
        <f t="shared" ca="1" si="12"/>
        <v>973.60515699661482</v>
      </c>
      <c r="I249" s="34">
        <f ca="1">IF(Pay_Num&lt;&gt;"",Beg_Bal*(Interest_Rate/VLOOKUP(Interval,LoanLookup[],5,FALSE)),"")</f>
        <v>16.328451828371279</v>
      </c>
      <c r="J249" s="34">
        <f ca="1">IF(scheduled_no_payments=1,"",IF(AND(Pay_Num&lt;&gt;"",Sched_Pay+Extra_Pay&lt;Beg_Bal),Beg_Bal-Princ,IF(Pay_Num&lt;&gt;"",0,"")))</f>
        <v>2945.2232818124921</v>
      </c>
      <c r="K249" s="34">
        <f ca="1">IF(scheduled_no_payments=1,"",SUM($I$13:$I249))</f>
        <v>87559.488573334122</v>
      </c>
      <c r="L249" s="38"/>
    </row>
    <row r="250" spans="2:12" ht="16.5" customHeight="1" x14ac:dyDescent="0.25">
      <c r="B250" s="32">
        <f ca="1">IF(AND(Values_Entered,scheduled_no_payments&lt;&gt;1),B249+1,"")</f>
        <v>238</v>
      </c>
      <c r="C250" s="33">
        <f ca="1">IF(Pay_Num&lt;&gt;"",DATE(YEAR(C249)+VLOOKUP(Interval,LoanLookup[],4,FALSE),MONTH(C249)+VLOOKUP(Interval,LoanLookup[],2,FALSE),DAY(C249)+VLOOKUP(Interval,LoanLookup[],3,FALSE)),"")</f>
        <v>52081</v>
      </c>
      <c r="D250" s="34">
        <f t="shared" ca="1" si="11"/>
        <v>2945.2232818124921</v>
      </c>
      <c r="E250" s="35">
        <f t="shared" ca="1" si="13"/>
        <v>989.93360882498609</v>
      </c>
      <c r="F250" s="36">
        <f ca="1">IF(scheduled_no_payments=1,"",IF(Sched_Pay+Scheduled_Extra_Payments&lt;Beg_Bal,Scheduled_Extra_Payments,IF(AND(Pay_Num&lt;&gt;"",Beg_Bal-Sched_Pay&gt;0),Beg_Bal-Sched_Pay,IF(Pay_Num&lt;&gt;"",0,""))))</f>
        <v>0</v>
      </c>
      <c r="G250" s="34">
        <f ca="1">IF(scheduled_no_payments=1,"",IF(Sched_Pay+Extra_Pay&lt;Beg_Bal,Sched_Pay+Extra_Pay,IF(Pay_Num&lt;&gt;"",Beg_Bal,"")))</f>
        <v>989.93360882498609</v>
      </c>
      <c r="H250" s="34">
        <f t="shared" ca="1" si="12"/>
        <v>977.66184515076736</v>
      </c>
      <c r="I250" s="34">
        <f ca="1">IF(Pay_Num&lt;&gt;"",Beg_Bal*(Interest_Rate/VLOOKUP(Interval,LoanLookup[],5,FALSE)),"")</f>
        <v>12.271763674218716</v>
      </c>
      <c r="J250" s="34">
        <f ca="1">IF(scheduled_no_payments=1,"",IF(AND(Pay_Num&lt;&gt;"",Sched_Pay+Extra_Pay&lt;Beg_Bal),Beg_Bal-Princ,IF(Pay_Num&lt;&gt;"",0,"")))</f>
        <v>1967.5614366617247</v>
      </c>
      <c r="K250" s="34">
        <f ca="1">IF(scheduled_no_payments=1,"",SUM($I$13:$I250))</f>
        <v>87571.760337008338</v>
      </c>
      <c r="L250" s="38"/>
    </row>
    <row r="251" spans="2:12" ht="16.5" customHeight="1" x14ac:dyDescent="0.25">
      <c r="B251" s="32">
        <f ca="1">IF(AND(Values_Entered,scheduled_no_payments&lt;&gt;1),B250+1,"")</f>
        <v>239</v>
      </c>
      <c r="C251" s="33">
        <f ca="1">IF(Pay_Num&lt;&gt;"",DATE(YEAR(C250)+VLOOKUP(Interval,LoanLookup[],4,FALSE),MONTH(C250)+VLOOKUP(Interval,LoanLookup[],2,FALSE),DAY(C250)+VLOOKUP(Interval,LoanLookup[],3,FALSE)),"")</f>
        <v>52112</v>
      </c>
      <c r="D251" s="34">
        <f t="shared" ca="1" si="11"/>
        <v>1967.5614366617247</v>
      </c>
      <c r="E251" s="35">
        <f t="shared" ca="1" si="13"/>
        <v>989.93360882498609</v>
      </c>
      <c r="F251" s="36">
        <f ca="1">IF(scheduled_no_payments=1,"",IF(Sched_Pay+Scheduled_Extra_Payments&lt;Beg_Bal,Scheduled_Extra_Payments,IF(AND(Pay_Num&lt;&gt;"",Beg_Bal-Sched_Pay&gt;0),Beg_Bal-Sched_Pay,IF(Pay_Num&lt;&gt;"",0,""))))</f>
        <v>0</v>
      </c>
      <c r="G251" s="34">
        <f ca="1">IF(scheduled_no_payments=1,"",IF(Sched_Pay+Extra_Pay&lt;Beg_Bal,Sched_Pay+Extra_Pay,IF(Pay_Num&lt;&gt;"",Beg_Bal,"")))</f>
        <v>989.93360882498609</v>
      </c>
      <c r="H251" s="34">
        <f t="shared" ca="1" si="12"/>
        <v>981.7354361722289</v>
      </c>
      <c r="I251" s="34">
        <f ca="1">IF(Pay_Num&lt;&gt;"",Beg_Bal*(Interest_Rate/VLOOKUP(Interval,LoanLookup[],5,FALSE)),"")</f>
        <v>8.1981726527571865</v>
      </c>
      <c r="J251" s="34">
        <f ca="1">IF(scheduled_no_payments=1,"",IF(AND(Pay_Num&lt;&gt;"",Sched_Pay+Extra_Pay&lt;Beg_Bal),Beg_Bal-Princ,IF(Pay_Num&lt;&gt;"",0,"")))</f>
        <v>985.82600048949575</v>
      </c>
      <c r="K251" s="34">
        <f ca="1">IF(scheduled_no_payments=1,"",SUM($I$13:$I251))</f>
        <v>87579.958509661097</v>
      </c>
      <c r="L251" s="38"/>
    </row>
    <row r="252" spans="2:12" ht="16.5" customHeight="1" x14ac:dyDescent="0.25">
      <c r="B252" s="32">
        <f ca="1">IF(AND(Values_Entered,scheduled_no_payments&lt;&gt;1),B251+1,"")</f>
        <v>240</v>
      </c>
      <c r="C252" s="33">
        <f ca="1">IF(Pay_Num&lt;&gt;"",DATE(YEAR(C251)+VLOOKUP(Interval,LoanLookup[],4,FALSE),MONTH(C251)+VLOOKUP(Interval,LoanLookup[],2,FALSE),DAY(C251)+VLOOKUP(Interval,LoanLookup[],3,FALSE)),"")</f>
        <v>52142</v>
      </c>
      <c r="D252" s="34">
        <f t="shared" ca="1" si="11"/>
        <v>985.82600048949575</v>
      </c>
      <c r="E252" s="35">
        <f t="shared" ca="1" si="13"/>
        <v>989.93360882498609</v>
      </c>
      <c r="F252" s="36">
        <f ca="1">IF(scheduled_no_payments=1,"",IF(Sched_Pay+Scheduled_Extra_Payments&lt;Beg_Bal,Scheduled_Extra_Payments,IF(AND(Pay_Num&lt;&gt;"",Beg_Bal-Sched_Pay&gt;0),Beg_Bal-Sched_Pay,IF(Pay_Num&lt;&gt;"",0,""))))</f>
        <v>0</v>
      </c>
      <c r="G252" s="34">
        <f ca="1">IF(scheduled_no_payments=1,"",IF(Sched_Pay+Extra_Pay&lt;Beg_Bal,Sched_Pay+Extra_Pay,IF(Pay_Num&lt;&gt;"",Beg_Bal,"")))</f>
        <v>985.82600048949575</v>
      </c>
      <c r="H252" s="34">
        <f t="shared" ca="1" si="12"/>
        <v>981.71839215412285</v>
      </c>
      <c r="I252" s="34">
        <f ca="1">IF(Pay_Num&lt;&gt;"",Beg_Bal*(Interest_Rate/VLOOKUP(Interval,LoanLookup[],5,FALSE)),"")</f>
        <v>4.1076083353728992</v>
      </c>
      <c r="J252" s="34">
        <f ca="1">IF(scheduled_no_payments=1,"",IF(AND(Pay_Num&lt;&gt;"",Sched_Pay+Extra_Pay&lt;Beg_Bal),Beg_Bal-Princ,IF(Pay_Num&lt;&gt;"",0,"")))</f>
        <v>0</v>
      </c>
      <c r="K252" s="34">
        <f ca="1">IF(scheduled_no_payments=1,"",SUM($I$13:$I252))</f>
        <v>87584.066117996466</v>
      </c>
      <c r="L252" s="38"/>
    </row>
    <row r="253" spans="2:12" ht="16.5" customHeight="1" x14ac:dyDescent="0.25">
      <c r="B253" s="32">
        <f ca="1">IF(AND(Values_Entered,scheduled_no_payments&lt;&gt;1),B252+1,"")</f>
        <v>241</v>
      </c>
      <c r="C253" s="33">
        <f ca="1">IF(Pay_Num&lt;&gt;"",DATE(YEAR(C252)+VLOOKUP(Interval,LoanLookup[],4,FALSE),MONTH(C252)+VLOOKUP(Interval,LoanLookup[],2,FALSE),DAY(C252)+VLOOKUP(Interval,LoanLookup[],3,FALSE)),"")</f>
        <v>52173</v>
      </c>
      <c r="D253" s="34">
        <f t="shared" ca="1" si="11"/>
        <v>0</v>
      </c>
      <c r="E253" s="35">
        <f t="shared" ca="1" si="13"/>
        <v>989.93360882498609</v>
      </c>
      <c r="F253" s="36">
        <f ca="1">IF(scheduled_no_payments=1,"",IF(Sched_Pay+Scheduled_Extra_Payments&lt;Beg_Bal,Scheduled_Extra_Payments,IF(AND(Pay_Num&lt;&gt;"",Beg_Bal-Sched_Pay&gt;0),Beg_Bal-Sched_Pay,IF(Pay_Num&lt;&gt;"",0,""))))</f>
        <v>0</v>
      </c>
      <c r="G253" s="34">
        <f ca="1">IF(scheduled_no_payments=1,"",IF(Sched_Pay+Extra_Pay&lt;Beg_Bal,Sched_Pay+Extra_Pay,IF(Pay_Num&lt;&gt;"",Beg_Bal,"")))</f>
        <v>0</v>
      </c>
      <c r="H253" s="34">
        <f t="shared" ca="1" si="12"/>
        <v>0</v>
      </c>
      <c r="I253" s="34">
        <f ca="1">IF(Pay_Num&lt;&gt;"",Beg_Bal*(Interest_Rate/VLOOKUP(Interval,LoanLookup[],5,FALSE)),"")</f>
        <v>0</v>
      </c>
      <c r="J253" s="34">
        <f ca="1">IF(scheduled_no_payments=1,"",IF(AND(Pay_Num&lt;&gt;"",Sched_Pay+Extra_Pay&lt;Beg_Bal),Beg_Bal-Princ,IF(Pay_Num&lt;&gt;"",0,"")))</f>
        <v>0</v>
      </c>
      <c r="K253" s="34">
        <f ca="1">IF(scheduled_no_payments=1,"",SUM($I$13:$I253))</f>
        <v>87584.066117996466</v>
      </c>
      <c r="L253" s="38"/>
    </row>
    <row r="254" spans="2:12" ht="16.5" customHeight="1" x14ac:dyDescent="0.25">
      <c r="B254" s="32">
        <f ca="1">IF(AND(Values_Entered,scheduled_no_payments&lt;&gt;1),B253+1,"")</f>
        <v>242</v>
      </c>
      <c r="C254" s="33">
        <f ca="1">IF(Pay_Num&lt;&gt;"",DATE(YEAR(C253)+VLOOKUP(Interval,LoanLookup[],4,FALSE),MONTH(C253)+VLOOKUP(Interval,LoanLookup[],2,FALSE),DAY(C253)+VLOOKUP(Interval,LoanLookup[],3,FALSE)),"")</f>
        <v>52203</v>
      </c>
      <c r="D254" s="34">
        <f t="shared" ca="1" si="11"/>
        <v>0</v>
      </c>
      <c r="E254" s="35">
        <f t="shared" ca="1" si="13"/>
        <v>989.93360882498609</v>
      </c>
      <c r="F254" s="36">
        <f ca="1">IF(scheduled_no_payments=1,"",IF(Sched_Pay+Scheduled_Extra_Payments&lt;Beg_Bal,Scheduled_Extra_Payments,IF(AND(Pay_Num&lt;&gt;"",Beg_Bal-Sched_Pay&gt;0),Beg_Bal-Sched_Pay,IF(Pay_Num&lt;&gt;"",0,""))))</f>
        <v>0</v>
      </c>
      <c r="G254" s="34">
        <f ca="1">IF(scheduled_no_payments=1,"",IF(Sched_Pay+Extra_Pay&lt;Beg_Bal,Sched_Pay+Extra_Pay,IF(Pay_Num&lt;&gt;"",Beg_Bal,"")))</f>
        <v>0</v>
      </c>
      <c r="H254" s="34">
        <f t="shared" ca="1" si="12"/>
        <v>0</v>
      </c>
      <c r="I254" s="34">
        <f ca="1">IF(Pay_Num&lt;&gt;"",Beg_Bal*(Interest_Rate/VLOOKUP(Interval,LoanLookup[],5,FALSE)),"")</f>
        <v>0</v>
      </c>
      <c r="J254" s="34">
        <f ca="1">IF(scheduled_no_payments=1,"",IF(AND(Pay_Num&lt;&gt;"",Sched_Pay+Extra_Pay&lt;Beg_Bal),Beg_Bal-Princ,IF(Pay_Num&lt;&gt;"",0,"")))</f>
        <v>0</v>
      </c>
      <c r="K254" s="34">
        <f ca="1">IF(scheduled_no_payments=1,"",SUM($I$13:$I254))</f>
        <v>87584.066117996466</v>
      </c>
      <c r="L254" s="38"/>
    </row>
    <row r="255" spans="2:12" ht="16.5" customHeight="1" x14ac:dyDescent="0.25">
      <c r="B255" s="32">
        <f ca="1">IF(AND(Values_Entered,scheduled_no_payments&lt;&gt;1),B254+1,"")</f>
        <v>243</v>
      </c>
      <c r="C255" s="33">
        <f ca="1">IF(Pay_Num&lt;&gt;"",DATE(YEAR(C254)+VLOOKUP(Interval,LoanLookup[],4,FALSE),MONTH(C254)+VLOOKUP(Interval,LoanLookup[],2,FALSE),DAY(C254)+VLOOKUP(Interval,LoanLookup[],3,FALSE)),"")</f>
        <v>52234</v>
      </c>
      <c r="D255" s="34">
        <f t="shared" ca="1" si="11"/>
        <v>0</v>
      </c>
      <c r="E255" s="35">
        <f t="shared" ca="1" si="13"/>
        <v>989.93360882498609</v>
      </c>
      <c r="F255" s="36">
        <f ca="1">IF(scheduled_no_payments=1,"",IF(Sched_Pay+Scheduled_Extra_Payments&lt;Beg_Bal,Scheduled_Extra_Payments,IF(AND(Pay_Num&lt;&gt;"",Beg_Bal-Sched_Pay&gt;0),Beg_Bal-Sched_Pay,IF(Pay_Num&lt;&gt;"",0,""))))</f>
        <v>0</v>
      </c>
      <c r="G255" s="34">
        <f ca="1">IF(scheduled_no_payments=1,"",IF(Sched_Pay+Extra_Pay&lt;Beg_Bal,Sched_Pay+Extra_Pay,IF(Pay_Num&lt;&gt;"",Beg_Bal,"")))</f>
        <v>0</v>
      </c>
      <c r="H255" s="34">
        <f t="shared" ca="1" si="12"/>
        <v>0</v>
      </c>
      <c r="I255" s="34">
        <f ca="1">IF(Pay_Num&lt;&gt;"",Beg_Bal*(Interest_Rate/VLOOKUP(Interval,LoanLookup[],5,FALSE)),"")</f>
        <v>0</v>
      </c>
      <c r="J255" s="34">
        <f ca="1">IF(scheduled_no_payments=1,"",IF(AND(Pay_Num&lt;&gt;"",Sched_Pay+Extra_Pay&lt;Beg_Bal),Beg_Bal-Princ,IF(Pay_Num&lt;&gt;"",0,"")))</f>
        <v>0</v>
      </c>
      <c r="K255" s="34">
        <f ca="1">IF(scheduled_no_payments=1,"",SUM($I$13:$I255))</f>
        <v>87584.066117996466</v>
      </c>
      <c r="L255" s="38"/>
    </row>
    <row r="256" spans="2:12" ht="16.5" customHeight="1" x14ac:dyDescent="0.25">
      <c r="B256" s="32">
        <f ca="1">IF(AND(Values_Entered,scheduled_no_payments&lt;&gt;1),B255+1,"")</f>
        <v>244</v>
      </c>
      <c r="C256" s="33">
        <f ca="1">IF(Pay_Num&lt;&gt;"",DATE(YEAR(C255)+VLOOKUP(Interval,LoanLookup[],4,FALSE),MONTH(C255)+VLOOKUP(Interval,LoanLookup[],2,FALSE),DAY(C255)+VLOOKUP(Interval,LoanLookup[],3,FALSE)),"")</f>
        <v>52265</v>
      </c>
      <c r="D256" s="34">
        <f t="shared" ca="1" si="11"/>
        <v>0</v>
      </c>
      <c r="E256" s="35">
        <f t="shared" ca="1" si="13"/>
        <v>989.93360882498609</v>
      </c>
      <c r="F256" s="36">
        <f ca="1">IF(scheduled_no_payments=1,"",IF(Sched_Pay+Scheduled_Extra_Payments&lt;Beg_Bal,Scheduled_Extra_Payments,IF(AND(Pay_Num&lt;&gt;"",Beg_Bal-Sched_Pay&gt;0),Beg_Bal-Sched_Pay,IF(Pay_Num&lt;&gt;"",0,""))))</f>
        <v>0</v>
      </c>
      <c r="G256" s="34">
        <f ca="1">IF(scheduled_no_payments=1,"",IF(Sched_Pay+Extra_Pay&lt;Beg_Bal,Sched_Pay+Extra_Pay,IF(Pay_Num&lt;&gt;"",Beg_Bal,"")))</f>
        <v>0</v>
      </c>
      <c r="H256" s="34">
        <f t="shared" ca="1" si="12"/>
        <v>0</v>
      </c>
      <c r="I256" s="34">
        <f ca="1">IF(Pay_Num&lt;&gt;"",Beg_Bal*(Interest_Rate/VLOOKUP(Interval,LoanLookup[],5,FALSE)),"")</f>
        <v>0</v>
      </c>
      <c r="J256" s="34">
        <f ca="1">IF(scheduled_no_payments=1,"",IF(AND(Pay_Num&lt;&gt;"",Sched_Pay+Extra_Pay&lt;Beg_Bal),Beg_Bal-Princ,IF(Pay_Num&lt;&gt;"",0,"")))</f>
        <v>0</v>
      </c>
      <c r="K256" s="34">
        <f ca="1">IF(scheduled_no_payments=1,"",SUM($I$13:$I256))</f>
        <v>87584.066117996466</v>
      </c>
      <c r="L256" s="38"/>
    </row>
    <row r="257" spans="2:12" ht="16.5" customHeight="1" x14ac:dyDescent="0.25">
      <c r="B257" s="32">
        <f ca="1">IF(AND(Values_Entered,scheduled_no_payments&lt;&gt;1),B256+1,"")</f>
        <v>245</v>
      </c>
      <c r="C257" s="33">
        <f ca="1">IF(Pay_Num&lt;&gt;"",DATE(YEAR(C256)+VLOOKUP(Interval,LoanLookup[],4,FALSE),MONTH(C256)+VLOOKUP(Interval,LoanLookup[],2,FALSE),DAY(C256)+VLOOKUP(Interval,LoanLookup[],3,FALSE)),"")</f>
        <v>52293</v>
      </c>
      <c r="D257" s="34">
        <f t="shared" ca="1" si="11"/>
        <v>0</v>
      </c>
      <c r="E257" s="35">
        <f t="shared" ca="1" si="13"/>
        <v>989.93360882498609</v>
      </c>
      <c r="F257" s="36">
        <f ca="1">IF(scheduled_no_payments=1,"",IF(Sched_Pay+Scheduled_Extra_Payments&lt;Beg_Bal,Scheduled_Extra_Payments,IF(AND(Pay_Num&lt;&gt;"",Beg_Bal-Sched_Pay&gt;0),Beg_Bal-Sched_Pay,IF(Pay_Num&lt;&gt;"",0,""))))</f>
        <v>0</v>
      </c>
      <c r="G257" s="34">
        <f ca="1">IF(scheduled_no_payments=1,"",IF(Sched_Pay+Extra_Pay&lt;Beg_Bal,Sched_Pay+Extra_Pay,IF(Pay_Num&lt;&gt;"",Beg_Bal,"")))</f>
        <v>0</v>
      </c>
      <c r="H257" s="34">
        <f t="shared" ca="1" si="12"/>
        <v>0</v>
      </c>
      <c r="I257" s="34">
        <f ca="1">IF(Pay_Num&lt;&gt;"",Beg_Bal*(Interest_Rate/VLOOKUP(Interval,LoanLookup[],5,FALSE)),"")</f>
        <v>0</v>
      </c>
      <c r="J257" s="34">
        <f ca="1">IF(scheduled_no_payments=1,"",IF(AND(Pay_Num&lt;&gt;"",Sched_Pay+Extra_Pay&lt;Beg_Bal),Beg_Bal-Princ,IF(Pay_Num&lt;&gt;"",0,"")))</f>
        <v>0</v>
      </c>
      <c r="K257" s="34">
        <f ca="1">IF(scheduled_no_payments=1,"",SUM($I$13:$I257))</f>
        <v>87584.066117996466</v>
      </c>
      <c r="L257" s="38"/>
    </row>
    <row r="258" spans="2:12" ht="16.5" customHeight="1" x14ac:dyDescent="0.25">
      <c r="B258" s="32">
        <f ca="1">IF(AND(Values_Entered,scheduled_no_payments&lt;&gt;1),B257+1,"")</f>
        <v>246</v>
      </c>
      <c r="C258" s="33">
        <f ca="1">IF(Pay_Num&lt;&gt;"",DATE(YEAR(C257)+VLOOKUP(Interval,LoanLookup[],4,FALSE),MONTH(C257)+VLOOKUP(Interval,LoanLookup[],2,FALSE),DAY(C257)+VLOOKUP(Interval,LoanLookup[],3,FALSE)),"")</f>
        <v>52324</v>
      </c>
      <c r="D258" s="34">
        <f t="shared" ca="1" si="11"/>
        <v>0</v>
      </c>
      <c r="E258" s="35">
        <f t="shared" ca="1" si="13"/>
        <v>989.93360882498609</v>
      </c>
      <c r="F258" s="36">
        <f ca="1">IF(scheduled_no_payments=1,"",IF(Sched_Pay+Scheduled_Extra_Payments&lt;Beg_Bal,Scheduled_Extra_Payments,IF(AND(Pay_Num&lt;&gt;"",Beg_Bal-Sched_Pay&gt;0),Beg_Bal-Sched_Pay,IF(Pay_Num&lt;&gt;"",0,""))))</f>
        <v>0</v>
      </c>
      <c r="G258" s="34">
        <f ca="1">IF(scheduled_no_payments=1,"",IF(Sched_Pay+Extra_Pay&lt;Beg_Bal,Sched_Pay+Extra_Pay,IF(Pay_Num&lt;&gt;"",Beg_Bal,"")))</f>
        <v>0</v>
      </c>
      <c r="H258" s="34">
        <f t="shared" ca="1" si="12"/>
        <v>0</v>
      </c>
      <c r="I258" s="34">
        <f ca="1">IF(Pay_Num&lt;&gt;"",Beg_Bal*(Interest_Rate/VLOOKUP(Interval,LoanLookup[],5,FALSE)),"")</f>
        <v>0</v>
      </c>
      <c r="J258" s="34">
        <f ca="1">IF(scheduled_no_payments=1,"",IF(AND(Pay_Num&lt;&gt;"",Sched_Pay+Extra_Pay&lt;Beg_Bal),Beg_Bal-Princ,IF(Pay_Num&lt;&gt;"",0,"")))</f>
        <v>0</v>
      </c>
      <c r="K258" s="34">
        <f ca="1">IF(scheduled_no_payments=1,"",SUM($I$13:$I258))</f>
        <v>87584.066117996466</v>
      </c>
      <c r="L258" s="38"/>
    </row>
    <row r="259" spans="2:12" ht="16.5" customHeight="1" x14ac:dyDescent="0.25">
      <c r="B259" s="32">
        <f ca="1">IF(AND(Values_Entered,scheduled_no_payments&lt;&gt;1),B258+1,"")</f>
        <v>247</v>
      </c>
      <c r="C259" s="33">
        <f ca="1">IF(Pay_Num&lt;&gt;"",DATE(YEAR(C258)+VLOOKUP(Interval,LoanLookup[],4,FALSE),MONTH(C258)+VLOOKUP(Interval,LoanLookup[],2,FALSE),DAY(C258)+VLOOKUP(Interval,LoanLookup[],3,FALSE)),"")</f>
        <v>52354</v>
      </c>
      <c r="D259" s="34">
        <f t="shared" ca="1" si="11"/>
        <v>0</v>
      </c>
      <c r="E259" s="35">
        <f t="shared" ca="1" si="13"/>
        <v>989.93360882498609</v>
      </c>
      <c r="F259" s="36">
        <f ca="1">IF(scheduled_no_payments=1,"",IF(Sched_Pay+Scheduled_Extra_Payments&lt;Beg_Bal,Scheduled_Extra_Payments,IF(AND(Pay_Num&lt;&gt;"",Beg_Bal-Sched_Pay&gt;0),Beg_Bal-Sched_Pay,IF(Pay_Num&lt;&gt;"",0,""))))</f>
        <v>0</v>
      </c>
      <c r="G259" s="34">
        <f ca="1">IF(scheduled_no_payments=1,"",IF(Sched_Pay+Extra_Pay&lt;Beg_Bal,Sched_Pay+Extra_Pay,IF(Pay_Num&lt;&gt;"",Beg_Bal,"")))</f>
        <v>0</v>
      </c>
      <c r="H259" s="34">
        <f t="shared" ca="1" si="12"/>
        <v>0</v>
      </c>
      <c r="I259" s="34">
        <f ca="1">IF(Pay_Num&lt;&gt;"",Beg_Bal*(Interest_Rate/VLOOKUP(Interval,LoanLookup[],5,FALSE)),"")</f>
        <v>0</v>
      </c>
      <c r="J259" s="34">
        <f ca="1">IF(scheduled_no_payments=1,"",IF(AND(Pay_Num&lt;&gt;"",Sched_Pay+Extra_Pay&lt;Beg_Bal),Beg_Bal-Princ,IF(Pay_Num&lt;&gt;"",0,"")))</f>
        <v>0</v>
      </c>
      <c r="K259" s="34">
        <f ca="1">IF(scheduled_no_payments=1,"",SUM($I$13:$I259))</f>
        <v>87584.066117996466</v>
      </c>
      <c r="L259" s="38"/>
    </row>
    <row r="260" spans="2:12" ht="16.5" customHeight="1" x14ac:dyDescent="0.25">
      <c r="B260" s="32">
        <f ca="1">IF(AND(Values_Entered,scheduled_no_payments&lt;&gt;1),B259+1,"")</f>
        <v>248</v>
      </c>
      <c r="C260" s="33">
        <f ca="1">IF(Pay_Num&lt;&gt;"",DATE(YEAR(C259)+VLOOKUP(Interval,LoanLookup[],4,FALSE),MONTH(C259)+VLOOKUP(Interval,LoanLookup[],2,FALSE),DAY(C259)+VLOOKUP(Interval,LoanLookup[],3,FALSE)),"")</f>
        <v>52385</v>
      </c>
      <c r="D260" s="34">
        <f t="shared" ca="1" si="11"/>
        <v>0</v>
      </c>
      <c r="E260" s="35">
        <f t="shared" ca="1" si="13"/>
        <v>989.93360882498609</v>
      </c>
      <c r="F260" s="36">
        <f ca="1">IF(scheduled_no_payments=1,"",IF(Sched_Pay+Scheduled_Extra_Payments&lt;Beg_Bal,Scheduled_Extra_Payments,IF(AND(Pay_Num&lt;&gt;"",Beg_Bal-Sched_Pay&gt;0),Beg_Bal-Sched_Pay,IF(Pay_Num&lt;&gt;"",0,""))))</f>
        <v>0</v>
      </c>
      <c r="G260" s="34">
        <f ca="1">IF(scheduled_no_payments=1,"",IF(Sched_Pay+Extra_Pay&lt;Beg_Bal,Sched_Pay+Extra_Pay,IF(Pay_Num&lt;&gt;"",Beg_Bal,"")))</f>
        <v>0</v>
      </c>
      <c r="H260" s="34">
        <f t="shared" ca="1" si="12"/>
        <v>0</v>
      </c>
      <c r="I260" s="34">
        <f ca="1">IF(Pay_Num&lt;&gt;"",Beg_Bal*(Interest_Rate/VLOOKUP(Interval,LoanLookup[],5,FALSE)),"")</f>
        <v>0</v>
      </c>
      <c r="J260" s="34">
        <f ca="1">IF(scheduled_no_payments=1,"",IF(AND(Pay_Num&lt;&gt;"",Sched_Pay+Extra_Pay&lt;Beg_Bal),Beg_Bal-Princ,IF(Pay_Num&lt;&gt;"",0,"")))</f>
        <v>0</v>
      </c>
      <c r="K260" s="34">
        <f ca="1">IF(scheduled_no_payments=1,"",SUM($I$13:$I260))</f>
        <v>87584.066117996466</v>
      </c>
      <c r="L260" s="38"/>
    </row>
    <row r="261" spans="2:12" ht="16.5" customHeight="1" x14ac:dyDescent="0.25">
      <c r="B261" s="32">
        <f ca="1">IF(AND(Values_Entered,scheduled_no_payments&lt;&gt;1),B260+1,"")</f>
        <v>249</v>
      </c>
      <c r="C261" s="33">
        <f ca="1">IF(Pay_Num&lt;&gt;"",DATE(YEAR(C260)+VLOOKUP(Interval,LoanLookup[],4,FALSE),MONTH(C260)+VLOOKUP(Interval,LoanLookup[],2,FALSE),DAY(C260)+VLOOKUP(Interval,LoanLookup[],3,FALSE)),"")</f>
        <v>52415</v>
      </c>
      <c r="D261" s="34">
        <f t="shared" ca="1" si="11"/>
        <v>0</v>
      </c>
      <c r="E261" s="35">
        <f t="shared" ca="1" si="13"/>
        <v>989.93360882498609</v>
      </c>
      <c r="F261" s="36">
        <f ca="1">IF(scheduled_no_payments=1,"",IF(Sched_Pay+Scheduled_Extra_Payments&lt;Beg_Bal,Scheduled_Extra_Payments,IF(AND(Pay_Num&lt;&gt;"",Beg_Bal-Sched_Pay&gt;0),Beg_Bal-Sched_Pay,IF(Pay_Num&lt;&gt;"",0,""))))</f>
        <v>0</v>
      </c>
      <c r="G261" s="34">
        <f ca="1">IF(scheduled_no_payments=1,"",IF(Sched_Pay+Extra_Pay&lt;Beg_Bal,Sched_Pay+Extra_Pay,IF(Pay_Num&lt;&gt;"",Beg_Bal,"")))</f>
        <v>0</v>
      </c>
      <c r="H261" s="34">
        <f t="shared" ca="1" si="12"/>
        <v>0</v>
      </c>
      <c r="I261" s="34">
        <f ca="1">IF(Pay_Num&lt;&gt;"",Beg_Bal*(Interest_Rate/VLOOKUP(Interval,LoanLookup[],5,FALSE)),"")</f>
        <v>0</v>
      </c>
      <c r="J261" s="34">
        <f ca="1">IF(scheduled_no_payments=1,"",IF(AND(Pay_Num&lt;&gt;"",Sched_Pay+Extra_Pay&lt;Beg_Bal),Beg_Bal-Princ,IF(Pay_Num&lt;&gt;"",0,"")))</f>
        <v>0</v>
      </c>
      <c r="K261" s="34">
        <f ca="1">IF(scheduled_no_payments=1,"",SUM($I$13:$I261))</f>
        <v>87584.066117996466</v>
      </c>
      <c r="L261" s="38"/>
    </row>
    <row r="262" spans="2:12" ht="16.5" customHeight="1" x14ac:dyDescent="0.25">
      <c r="B262" s="32">
        <f ca="1">IF(AND(Values_Entered,scheduled_no_payments&lt;&gt;1),B261+1,"")</f>
        <v>250</v>
      </c>
      <c r="C262" s="33">
        <f ca="1">IF(Pay_Num&lt;&gt;"",DATE(YEAR(C261)+VLOOKUP(Interval,LoanLookup[],4,FALSE),MONTH(C261)+VLOOKUP(Interval,LoanLookup[],2,FALSE),DAY(C261)+VLOOKUP(Interval,LoanLookup[],3,FALSE)),"")</f>
        <v>52446</v>
      </c>
      <c r="D262" s="34">
        <f t="shared" ca="1" si="11"/>
        <v>0</v>
      </c>
      <c r="E262" s="35">
        <f t="shared" ca="1" si="13"/>
        <v>989.93360882498609</v>
      </c>
      <c r="F262" s="36">
        <f ca="1">IF(scheduled_no_payments=1,"",IF(Sched_Pay+Scheduled_Extra_Payments&lt;Beg_Bal,Scheduled_Extra_Payments,IF(AND(Pay_Num&lt;&gt;"",Beg_Bal-Sched_Pay&gt;0),Beg_Bal-Sched_Pay,IF(Pay_Num&lt;&gt;"",0,""))))</f>
        <v>0</v>
      </c>
      <c r="G262" s="34">
        <f ca="1">IF(scheduled_no_payments=1,"",IF(Sched_Pay+Extra_Pay&lt;Beg_Bal,Sched_Pay+Extra_Pay,IF(Pay_Num&lt;&gt;"",Beg_Bal,"")))</f>
        <v>0</v>
      </c>
      <c r="H262" s="34">
        <f t="shared" ca="1" si="12"/>
        <v>0</v>
      </c>
      <c r="I262" s="34">
        <f ca="1">IF(Pay_Num&lt;&gt;"",Beg_Bal*(Interest_Rate/VLOOKUP(Interval,LoanLookup[],5,FALSE)),"")</f>
        <v>0</v>
      </c>
      <c r="J262" s="34">
        <f ca="1">IF(scheduled_no_payments=1,"",IF(AND(Pay_Num&lt;&gt;"",Sched_Pay+Extra_Pay&lt;Beg_Bal),Beg_Bal-Princ,IF(Pay_Num&lt;&gt;"",0,"")))</f>
        <v>0</v>
      </c>
      <c r="K262" s="34">
        <f ca="1">IF(scheduled_no_payments=1,"",SUM($I$13:$I262))</f>
        <v>87584.066117996466</v>
      </c>
      <c r="L262" s="38"/>
    </row>
    <row r="263" spans="2:12" ht="16.5" customHeight="1" x14ac:dyDescent="0.25">
      <c r="B263" s="32">
        <f ca="1">IF(AND(Values_Entered,scheduled_no_payments&lt;&gt;1),B262+1,"")</f>
        <v>251</v>
      </c>
      <c r="C263" s="33">
        <f ca="1">IF(Pay_Num&lt;&gt;"",DATE(YEAR(C262)+VLOOKUP(Interval,LoanLookup[],4,FALSE),MONTH(C262)+VLOOKUP(Interval,LoanLookup[],2,FALSE),DAY(C262)+VLOOKUP(Interval,LoanLookup[],3,FALSE)),"")</f>
        <v>52477</v>
      </c>
      <c r="D263" s="34">
        <f t="shared" ca="1" si="11"/>
        <v>0</v>
      </c>
      <c r="E263" s="35">
        <f t="shared" ca="1" si="13"/>
        <v>989.93360882498609</v>
      </c>
      <c r="F263" s="36">
        <f ca="1">IF(scheduled_no_payments=1,"",IF(Sched_Pay+Scheduled_Extra_Payments&lt;Beg_Bal,Scheduled_Extra_Payments,IF(AND(Pay_Num&lt;&gt;"",Beg_Bal-Sched_Pay&gt;0),Beg_Bal-Sched_Pay,IF(Pay_Num&lt;&gt;"",0,""))))</f>
        <v>0</v>
      </c>
      <c r="G263" s="34">
        <f ca="1">IF(scheduled_no_payments=1,"",IF(Sched_Pay+Extra_Pay&lt;Beg_Bal,Sched_Pay+Extra_Pay,IF(Pay_Num&lt;&gt;"",Beg_Bal,"")))</f>
        <v>0</v>
      </c>
      <c r="H263" s="34">
        <f t="shared" ca="1" si="12"/>
        <v>0</v>
      </c>
      <c r="I263" s="34">
        <f ca="1">IF(Pay_Num&lt;&gt;"",Beg_Bal*(Interest_Rate/VLOOKUP(Interval,LoanLookup[],5,FALSE)),"")</f>
        <v>0</v>
      </c>
      <c r="J263" s="34">
        <f ca="1">IF(scheduled_no_payments=1,"",IF(AND(Pay_Num&lt;&gt;"",Sched_Pay+Extra_Pay&lt;Beg_Bal),Beg_Bal-Princ,IF(Pay_Num&lt;&gt;"",0,"")))</f>
        <v>0</v>
      </c>
      <c r="K263" s="34">
        <f ca="1">IF(scheduled_no_payments=1,"",SUM($I$13:$I263))</f>
        <v>87584.066117996466</v>
      </c>
      <c r="L263" s="38"/>
    </row>
    <row r="264" spans="2:12" ht="16.5" customHeight="1" x14ac:dyDescent="0.25">
      <c r="B264" s="32">
        <f ca="1">IF(AND(Values_Entered,scheduled_no_payments&lt;&gt;1),B263+1,"")</f>
        <v>252</v>
      </c>
      <c r="C264" s="33">
        <f ca="1">IF(Pay_Num&lt;&gt;"",DATE(YEAR(C263)+VLOOKUP(Interval,LoanLookup[],4,FALSE),MONTH(C263)+VLOOKUP(Interval,LoanLookup[],2,FALSE),DAY(C263)+VLOOKUP(Interval,LoanLookup[],3,FALSE)),"")</f>
        <v>52507</v>
      </c>
      <c r="D264" s="34">
        <f t="shared" ca="1" si="11"/>
        <v>0</v>
      </c>
      <c r="E264" s="35">
        <f t="shared" ca="1" si="13"/>
        <v>989.93360882498609</v>
      </c>
      <c r="F264" s="36">
        <f ca="1">IF(scheduled_no_payments=1,"",IF(Sched_Pay+Scheduled_Extra_Payments&lt;Beg_Bal,Scheduled_Extra_Payments,IF(AND(Pay_Num&lt;&gt;"",Beg_Bal-Sched_Pay&gt;0),Beg_Bal-Sched_Pay,IF(Pay_Num&lt;&gt;"",0,""))))</f>
        <v>0</v>
      </c>
      <c r="G264" s="34">
        <f ca="1">IF(scheduled_no_payments=1,"",IF(Sched_Pay+Extra_Pay&lt;Beg_Bal,Sched_Pay+Extra_Pay,IF(Pay_Num&lt;&gt;"",Beg_Bal,"")))</f>
        <v>0</v>
      </c>
      <c r="H264" s="34">
        <f t="shared" ca="1" si="12"/>
        <v>0</v>
      </c>
      <c r="I264" s="34">
        <f ca="1">IF(Pay_Num&lt;&gt;"",Beg_Bal*(Interest_Rate/VLOOKUP(Interval,LoanLookup[],5,FALSE)),"")</f>
        <v>0</v>
      </c>
      <c r="J264" s="34">
        <f ca="1">IF(scheduled_no_payments=1,"",IF(AND(Pay_Num&lt;&gt;"",Sched_Pay+Extra_Pay&lt;Beg_Bal),Beg_Bal-Princ,IF(Pay_Num&lt;&gt;"",0,"")))</f>
        <v>0</v>
      </c>
      <c r="K264" s="34">
        <f ca="1">IF(scheduled_no_payments=1,"",SUM($I$13:$I264))</f>
        <v>87584.066117996466</v>
      </c>
      <c r="L264" s="38"/>
    </row>
    <row r="265" spans="2:12" ht="16.5" customHeight="1" x14ac:dyDescent="0.25">
      <c r="B265" s="32">
        <f ca="1">IF(AND(Values_Entered,scheduled_no_payments&lt;&gt;1),B264+1,"")</f>
        <v>253</v>
      </c>
      <c r="C265" s="33">
        <f ca="1">IF(Pay_Num&lt;&gt;"",DATE(YEAR(C264)+VLOOKUP(Interval,LoanLookup[],4,FALSE),MONTH(C264)+VLOOKUP(Interval,LoanLookup[],2,FALSE),DAY(C264)+VLOOKUP(Interval,LoanLookup[],3,FALSE)),"")</f>
        <v>52538</v>
      </c>
      <c r="D265" s="34">
        <f t="shared" ca="1" si="11"/>
        <v>0</v>
      </c>
      <c r="E265" s="35">
        <f t="shared" ca="1" si="13"/>
        <v>989.93360882498609</v>
      </c>
      <c r="F265" s="36">
        <f ca="1">IF(scheduled_no_payments=1,"",IF(Sched_Pay+Scheduled_Extra_Payments&lt;Beg_Bal,Scheduled_Extra_Payments,IF(AND(Pay_Num&lt;&gt;"",Beg_Bal-Sched_Pay&gt;0),Beg_Bal-Sched_Pay,IF(Pay_Num&lt;&gt;"",0,""))))</f>
        <v>0</v>
      </c>
      <c r="G265" s="34">
        <f ca="1">IF(scheduled_no_payments=1,"",IF(Sched_Pay+Extra_Pay&lt;Beg_Bal,Sched_Pay+Extra_Pay,IF(Pay_Num&lt;&gt;"",Beg_Bal,"")))</f>
        <v>0</v>
      </c>
      <c r="H265" s="34">
        <f t="shared" ca="1" si="12"/>
        <v>0</v>
      </c>
      <c r="I265" s="34">
        <f ca="1">IF(Pay_Num&lt;&gt;"",Beg_Bal*(Interest_Rate/VLOOKUP(Interval,LoanLookup[],5,FALSE)),"")</f>
        <v>0</v>
      </c>
      <c r="J265" s="34">
        <f ca="1">IF(scheduled_no_payments=1,"",IF(AND(Pay_Num&lt;&gt;"",Sched_Pay+Extra_Pay&lt;Beg_Bal),Beg_Bal-Princ,IF(Pay_Num&lt;&gt;"",0,"")))</f>
        <v>0</v>
      </c>
      <c r="K265" s="34">
        <f ca="1">IF(scheduled_no_payments=1,"",SUM($I$13:$I265))</f>
        <v>87584.066117996466</v>
      </c>
      <c r="L265" s="38"/>
    </row>
    <row r="266" spans="2:12" ht="16.5" customHeight="1" x14ac:dyDescent="0.25">
      <c r="B266" s="32">
        <f ca="1">IF(AND(Values_Entered,scheduled_no_payments&lt;&gt;1),B265+1,"")</f>
        <v>254</v>
      </c>
      <c r="C266" s="33">
        <f ca="1">IF(Pay_Num&lt;&gt;"",DATE(YEAR(C265)+VLOOKUP(Interval,LoanLookup[],4,FALSE),MONTH(C265)+VLOOKUP(Interval,LoanLookup[],2,FALSE),DAY(C265)+VLOOKUP(Interval,LoanLookup[],3,FALSE)),"")</f>
        <v>52568</v>
      </c>
      <c r="D266" s="34">
        <f t="shared" ca="1" si="11"/>
        <v>0</v>
      </c>
      <c r="E266" s="35">
        <f t="shared" ca="1" si="13"/>
        <v>989.93360882498609</v>
      </c>
      <c r="F266" s="36">
        <f ca="1">IF(scheduled_no_payments=1,"",IF(Sched_Pay+Scheduled_Extra_Payments&lt;Beg_Bal,Scheduled_Extra_Payments,IF(AND(Pay_Num&lt;&gt;"",Beg_Bal-Sched_Pay&gt;0),Beg_Bal-Sched_Pay,IF(Pay_Num&lt;&gt;"",0,""))))</f>
        <v>0</v>
      </c>
      <c r="G266" s="34">
        <f ca="1">IF(scheduled_no_payments=1,"",IF(Sched_Pay+Extra_Pay&lt;Beg_Bal,Sched_Pay+Extra_Pay,IF(Pay_Num&lt;&gt;"",Beg_Bal,"")))</f>
        <v>0</v>
      </c>
      <c r="H266" s="34">
        <f t="shared" ca="1" si="12"/>
        <v>0</v>
      </c>
      <c r="I266" s="34">
        <f ca="1">IF(Pay_Num&lt;&gt;"",Beg_Bal*(Interest_Rate/VLOOKUP(Interval,LoanLookup[],5,FALSE)),"")</f>
        <v>0</v>
      </c>
      <c r="J266" s="34">
        <f ca="1">IF(scheduled_no_payments=1,"",IF(AND(Pay_Num&lt;&gt;"",Sched_Pay+Extra_Pay&lt;Beg_Bal),Beg_Bal-Princ,IF(Pay_Num&lt;&gt;"",0,"")))</f>
        <v>0</v>
      </c>
      <c r="K266" s="34">
        <f ca="1">IF(scheduled_no_payments=1,"",SUM($I$13:$I266))</f>
        <v>87584.066117996466</v>
      </c>
      <c r="L266" s="38"/>
    </row>
    <row r="267" spans="2:12" ht="16.5" customHeight="1" x14ac:dyDescent="0.25">
      <c r="B267" s="32">
        <f ca="1">IF(AND(Values_Entered,scheduled_no_payments&lt;&gt;1),B266+1,"")</f>
        <v>255</v>
      </c>
      <c r="C267" s="33">
        <f ca="1">IF(Pay_Num&lt;&gt;"",DATE(YEAR(C266)+VLOOKUP(Interval,LoanLookup[],4,FALSE),MONTH(C266)+VLOOKUP(Interval,LoanLookup[],2,FALSE),DAY(C266)+VLOOKUP(Interval,LoanLookup[],3,FALSE)),"")</f>
        <v>52599</v>
      </c>
      <c r="D267" s="34">
        <f t="shared" ca="1" si="11"/>
        <v>0</v>
      </c>
      <c r="E267" s="35">
        <f t="shared" ca="1" si="13"/>
        <v>989.93360882498609</v>
      </c>
      <c r="F267" s="36">
        <f ca="1">IF(scheduled_no_payments=1,"",IF(Sched_Pay+Scheduled_Extra_Payments&lt;Beg_Bal,Scheduled_Extra_Payments,IF(AND(Pay_Num&lt;&gt;"",Beg_Bal-Sched_Pay&gt;0),Beg_Bal-Sched_Pay,IF(Pay_Num&lt;&gt;"",0,""))))</f>
        <v>0</v>
      </c>
      <c r="G267" s="34">
        <f ca="1">IF(scheduled_no_payments=1,"",IF(Sched_Pay+Extra_Pay&lt;Beg_Bal,Sched_Pay+Extra_Pay,IF(Pay_Num&lt;&gt;"",Beg_Bal,"")))</f>
        <v>0</v>
      </c>
      <c r="H267" s="34">
        <f t="shared" ca="1" si="12"/>
        <v>0</v>
      </c>
      <c r="I267" s="34">
        <f ca="1">IF(Pay_Num&lt;&gt;"",Beg_Bal*(Interest_Rate/VLOOKUP(Interval,LoanLookup[],5,FALSE)),"")</f>
        <v>0</v>
      </c>
      <c r="J267" s="34">
        <f ca="1">IF(scheduled_no_payments=1,"",IF(AND(Pay_Num&lt;&gt;"",Sched_Pay+Extra_Pay&lt;Beg_Bal),Beg_Bal-Princ,IF(Pay_Num&lt;&gt;"",0,"")))</f>
        <v>0</v>
      </c>
      <c r="K267" s="34">
        <f ca="1">IF(scheduled_no_payments=1,"",SUM($I$13:$I267))</f>
        <v>87584.066117996466</v>
      </c>
      <c r="L267" s="38"/>
    </row>
    <row r="268" spans="2:12" ht="16.5" customHeight="1" x14ac:dyDescent="0.25">
      <c r="B268" s="32">
        <f ca="1">IF(AND(Values_Entered,scheduled_no_payments&lt;&gt;1),B267+1,"")</f>
        <v>256</v>
      </c>
      <c r="C268" s="33">
        <f ca="1">IF(Pay_Num&lt;&gt;"",DATE(YEAR(C267)+VLOOKUP(Interval,LoanLookup[],4,FALSE),MONTH(C267)+VLOOKUP(Interval,LoanLookup[],2,FALSE),DAY(C267)+VLOOKUP(Interval,LoanLookup[],3,FALSE)),"")</f>
        <v>52630</v>
      </c>
      <c r="D268" s="34">
        <f t="shared" ca="1" si="11"/>
        <v>0</v>
      </c>
      <c r="E268" s="35">
        <f t="shared" ca="1" si="13"/>
        <v>989.93360882498609</v>
      </c>
      <c r="F268" s="36">
        <f ca="1">IF(scheduled_no_payments=1,"",IF(Sched_Pay+Scheduled_Extra_Payments&lt;Beg_Bal,Scheduled_Extra_Payments,IF(AND(Pay_Num&lt;&gt;"",Beg_Bal-Sched_Pay&gt;0),Beg_Bal-Sched_Pay,IF(Pay_Num&lt;&gt;"",0,""))))</f>
        <v>0</v>
      </c>
      <c r="G268" s="34">
        <f ca="1">IF(scheduled_no_payments=1,"",IF(Sched_Pay+Extra_Pay&lt;Beg_Bal,Sched_Pay+Extra_Pay,IF(Pay_Num&lt;&gt;"",Beg_Bal,"")))</f>
        <v>0</v>
      </c>
      <c r="H268" s="34">
        <f t="shared" ca="1" si="12"/>
        <v>0</v>
      </c>
      <c r="I268" s="34">
        <f ca="1">IF(Pay_Num&lt;&gt;"",Beg_Bal*(Interest_Rate/VLOOKUP(Interval,LoanLookup[],5,FALSE)),"")</f>
        <v>0</v>
      </c>
      <c r="J268" s="34">
        <f ca="1">IF(scheduled_no_payments=1,"",IF(AND(Pay_Num&lt;&gt;"",Sched_Pay+Extra_Pay&lt;Beg_Bal),Beg_Bal-Princ,IF(Pay_Num&lt;&gt;"",0,"")))</f>
        <v>0</v>
      </c>
      <c r="K268" s="34">
        <f ca="1">IF(scheduled_no_payments=1,"",SUM($I$13:$I268))</f>
        <v>87584.066117996466</v>
      </c>
      <c r="L268" s="38"/>
    </row>
    <row r="269" spans="2:12" ht="16.5" customHeight="1" x14ac:dyDescent="0.25">
      <c r="B269" s="32">
        <f ca="1">IF(AND(Values_Entered,scheduled_no_payments&lt;&gt;1),B268+1,"")</f>
        <v>257</v>
      </c>
      <c r="C269" s="33">
        <f ca="1">IF(Pay_Num&lt;&gt;"",DATE(YEAR(C268)+VLOOKUP(Interval,LoanLookup[],4,FALSE),MONTH(C268)+VLOOKUP(Interval,LoanLookup[],2,FALSE),DAY(C268)+VLOOKUP(Interval,LoanLookup[],3,FALSE)),"")</f>
        <v>52659</v>
      </c>
      <c r="D269" s="34">
        <f t="shared" ca="1" si="11"/>
        <v>0</v>
      </c>
      <c r="E269" s="35">
        <f t="shared" ca="1" si="13"/>
        <v>989.93360882498609</v>
      </c>
      <c r="F269" s="36">
        <f ca="1">IF(scheduled_no_payments=1,"",IF(Sched_Pay+Scheduled_Extra_Payments&lt;Beg_Bal,Scheduled_Extra_Payments,IF(AND(Pay_Num&lt;&gt;"",Beg_Bal-Sched_Pay&gt;0),Beg_Bal-Sched_Pay,IF(Pay_Num&lt;&gt;"",0,""))))</f>
        <v>0</v>
      </c>
      <c r="G269" s="34">
        <f ca="1">IF(scheduled_no_payments=1,"",IF(Sched_Pay+Extra_Pay&lt;Beg_Bal,Sched_Pay+Extra_Pay,IF(Pay_Num&lt;&gt;"",Beg_Bal,"")))</f>
        <v>0</v>
      </c>
      <c r="H269" s="34">
        <f t="shared" ca="1" si="12"/>
        <v>0</v>
      </c>
      <c r="I269" s="34">
        <f ca="1">IF(Pay_Num&lt;&gt;"",Beg_Bal*(Interest_Rate/VLOOKUP(Interval,LoanLookup[],5,FALSE)),"")</f>
        <v>0</v>
      </c>
      <c r="J269" s="34">
        <f ca="1">IF(scheduled_no_payments=1,"",IF(AND(Pay_Num&lt;&gt;"",Sched_Pay+Extra_Pay&lt;Beg_Bal),Beg_Bal-Princ,IF(Pay_Num&lt;&gt;"",0,"")))</f>
        <v>0</v>
      </c>
      <c r="K269" s="34">
        <f ca="1">IF(scheduled_no_payments=1,"",SUM($I$13:$I269))</f>
        <v>87584.066117996466</v>
      </c>
      <c r="L269" s="38"/>
    </row>
    <row r="270" spans="2:12" ht="16.5" customHeight="1" x14ac:dyDescent="0.25">
      <c r="B270" s="32">
        <f ca="1">IF(AND(Values_Entered,scheduled_no_payments&lt;&gt;1),B269+1,"")</f>
        <v>258</v>
      </c>
      <c r="C270" s="33">
        <f ca="1">IF(Pay_Num&lt;&gt;"",DATE(YEAR(C269)+VLOOKUP(Interval,LoanLookup[],4,FALSE),MONTH(C269)+VLOOKUP(Interval,LoanLookup[],2,FALSE),DAY(C269)+VLOOKUP(Interval,LoanLookup[],3,FALSE)),"")</f>
        <v>52690</v>
      </c>
      <c r="D270" s="34">
        <f t="shared" ref="D270:D333" ca="1" si="14">IF(Pay_Num&lt;&gt;"",J269,"")</f>
        <v>0</v>
      </c>
      <c r="E270" s="35">
        <f t="shared" ca="1" si="13"/>
        <v>989.93360882498609</v>
      </c>
      <c r="F270" s="36">
        <f ca="1">IF(scheduled_no_payments=1,"",IF(Sched_Pay+Scheduled_Extra_Payments&lt;Beg_Bal,Scheduled_Extra_Payments,IF(AND(Pay_Num&lt;&gt;"",Beg_Bal-Sched_Pay&gt;0),Beg_Bal-Sched_Pay,IF(Pay_Num&lt;&gt;"",0,""))))</f>
        <v>0</v>
      </c>
      <c r="G270" s="34">
        <f ca="1">IF(scheduled_no_payments=1,"",IF(Sched_Pay+Extra_Pay&lt;Beg_Bal,Sched_Pay+Extra_Pay,IF(Pay_Num&lt;&gt;"",Beg_Bal,"")))</f>
        <v>0</v>
      </c>
      <c r="H270" s="34">
        <f t="shared" ref="H270:H333" ca="1" si="15">IF(Pay_Num&lt;&gt;"",Total_Pay-Int,"")</f>
        <v>0</v>
      </c>
      <c r="I270" s="34">
        <f ca="1">IF(Pay_Num&lt;&gt;"",Beg_Bal*(Interest_Rate/VLOOKUP(Interval,LoanLookup[],5,FALSE)),"")</f>
        <v>0</v>
      </c>
      <c r="J270" s="34">
        <f ca="1">IF(scheduled_no_payments=1,"",IF(AND(Pay_Num&lt;&gt;"",Sched_Pay+Extra_Pay&lt;Beg_Bal),Beg_Bal-Princ,IF(Pay_Num&lt;&gt;"",0,"")))</f>
        <v>0</v>
      </c>
      <c r="K270" s="34">
        <f ca="1">IF(scheduled_no_payments=1,"",SUM($I$13:$I270))</f>
        <v>87584.066117996466</v>
      </c>
      <c r="L270" s="38"/>
    </row>
    <row r="271" spans="2:12" ht="16.5" customHeight="1" x14ac:dyDescent="0.25">
      <c r="B271" s="32">
        <f ca="1">IF(AND(Values_Entered,scheduled_no_payments&lt;&gt;1),B270+1,"")</f>
        <v>259</v>
      </c>
      <c r="C271" s="33">
        <f ca="1">IF(Pay_Num&lt;&gt;"",DATE(YEAR(C270)+VLOOKUP(Interval,LoanLookup[],4,FALSE),MONTH(C270)+VLOOKUP(Interval,LoanLookup[],2,FALSE),DAY(C270)+VLOOKUP(Interval,LoanLookup[],3,FALSE)),"")</f>
        <v>52720</v>
      </c>
      <c r="D271" s="34">
        <f t="shared" ca="1" si="14"/>
        <v>0</v>
      </c>
      <c r="E271" s="35">
        <f t="shared" ref="E271:E334" ca="1" si="16">IF(Pay_Num&lt;&gt;"",Scheduled_Monthly_Payment,"")</f>
        <v>989.93360882498609</v>
      </c>
      <c r="F271" s="36">
        <f ca="1">IF(scheduled_no_payments=1,"",IF(Sched_Pay+Scheduled_Extra_Payments&lt;Beg_Bal,Scheduled_Extra_Payments,IF(AND(Pay_Num&lt;&gt;"",Beg_Bal-Sched_Pay&gt;0),Beg_Bal-Sched_Pay,IF(Pay_Num&lt;&gt;"",0,""))))</f>
        <v>0</v>
      </c>
      <c r="G271" s="34">
        <f ca="1">IF(scheduled_no_payments=1,"",IF(Sched_Pay+Extra_Pay&lt;Beg_Bal,Sched_Pay+Extra_Pay,IF(Pay_Num&lt;&gt;"",Beg_Bal,"")))</f>
        <v>0</v>
      </c>
      <c r="H271" s="34">
        <f t="shared" ca="1" si="15"/>
        <v>0</v>
      </c>
      <c r="I271" s="34">
        <f ca="1">IF(Pay_Num&lt;&gt;"",Beg_Bal*(Interest_Rate/VLOOKUP(Interval,LoanLookup[],5,FALSE)),"")</f>
        <v>0</v>
      </c>
      <c r="J271" s="34">
        <f ca="1">IF(scheduled_no_payments=1,"",IF(AND(Pay_Num&lt;&gt;"",Sched_Pay+Extra_Pay&lt;Beg_Bal),Beg_Bal-Princ,IF(Pay_Num&lt;&gt;"",0,"")))</f>
        <v>0</v>
      </c>
      <c r="K271" s="34">
        <f ca="1">IF(scheduled_no_payments=1,"",SUM($I$13:$I271))</f>
        <v>87584.066117996466</v>
      </c>
      <c r="L271" s="38"/>
    </row>
    <row r="272" spans="2:12" ht="16.5" customHeight="1" x14ac:dyDescent="0.25">
      <c r="B272" s="32">
        <f ca="1">IF(AND(Values_Entered,scheduled_no_payments&lt;&gt;1),B271+1,"")</f>
        <v>260</v>
      </c>
      <c r="C272" s="33">
        <f ca="1">IF(Pay_Num&lt;&gt;"",DATE(YEAR(C271)+VLOOKUP(Interval,LoanLookup[],4,FALSE),MONTH(C271)+VLOOKUP(Interval,LoanLookup[],2,FALSE),DAY(C271)+VLOOKUP(Interval,LoanLookup[],3,FALSE)),"")</f>
        <v>52751</v>
      </c>
      <c r="D272" s="34">
        <f t="shared" ca="1" si="14"/>
        <v>0</v>
      </c>
      <c r="E272" s="35">
        <f t="shared" ca="1" si="16"/>
        <v>989.93360882498609</v>
      </c>
      <c r="F272" s="36">
        <f ca="1">IF(scheduled_no_payments=1,"",IF(Sched_Pay+Scheduled_Extra_Payments&lt;Beg_Bal,Scheduled_Extra_Payments,IF(AND(Pay_Num&lt;&gt;"",Beg_Bal-Sched_Pay&gt;0),Beg_Bal-Sched_Pay,IF(Pay_Num&lt;&gt;"",0,""))))</f>
        <v>0</v>
      </c>
      <c r="G272" s="34">
        <f ca="1">IF(scheduled_no_payments=1,"",IF(Sched_Pay+Extra_Pay&lt;Beg_Bal,Sched_Pay+Extra_Pay,IF(Pay_Num&lt;&gt;"",Beg_Bal,"")))</f>
        <v>0</v>
      </c>
      <c r="H272" s="34">
        <f t="shared" ca="1" si="15"/>
        <v>0</v>
      </c>
      <c r="I272" s="34">
        <f ca="1">IF(Pay_Num&lt;&gt;"",Beg_Bal*(Interest_Rate/VLOOKUP(Interval,LoanLookup[],5,FALSE)),"")</f>
        <v>0</v>
      </c>
      <c r="J272" s="34">
        <f ca="1">IF(scheduled_no_payments=1,"",IF(AND(Pay_Num&lt;&gt;"",Sched_Pay+Extra_Pay&lt;Beg_Bal),Beg_Bal-Princ,IF(Pay_Num&lt;&gt;"",0,"")))</f>
        <v>0</v>
      </c>
      <c r="K272" s="34">
        <f ca="1">IF(scheduled_no_payments=1,"",SUM($I$13:$I272))</f>
        <v>87584.066117996466</v>
      </c>
      <c r="L272" s="38"/>
    </row>
    <row r="273" spans="2:12" ht="16.5" customHeight="1" x14ac:dyDescent="0.25">
      <c r="B273" s="32">
        <f ca="1">IF(AND(Values_Entered,scheduled_no_payments&lt;&gt;1),B272+1,"")</f>
        <v>261</v>
      </c>
      <c r="C273" s="33">
        <f ca="1">IF(Pay_Num&lt;&gt;"",DATE(YEAR(C272)+VLOOKUP(Interval,LoanLookup[],4,FALSE),MONTH(C272)+VLOOKUP(Interval,LoanLookup[],2,FALSE),DAY(C272)+VLOOKUP(Interval,LoanLookup[],3,FALSE)),"")</f>
        <v>52781</v>
      </c>
      <c r="D273" s="34">
        <f t="shared" ca="1" si="14"/>
        <v>0</v>
      </c>
      <c r="E273" s="35">
        <f t="shared" ca="1" si="16"/>
        <v>989.93360882498609</v>
      </c>
      <c r="F273" s="36">
        <f ca="1">IF(scheduled_no_payments=1,"",IF(Sched_Pay+Scheduled_Extra_Payments&lt;Beg_Bal,Scheduled_Extra_Payments,IF(AND(Pay_Num&lt;&gt;"",Beg_Bal-Sched_Pay&gt;0),Beg_Bal-Sched_Pay,IF(Pay_Num&lt;&gt;"",0,""))))</f>
        <v>0</v>
      </c>
      <c r="G273" s="34">
        <f ca="1">IF(scheduled_no_payments=1,"",IF(Sched_Pay+Extra_Pay&lt;Beg_Bal,Sched_Pay+Extra_Pay,IF(Pay_Num&lt;&gt;"",Beg_Bal,"")))</f>
        <v>0</v>
      </c>
      <c r="H273" s="34">
        <f t="shared" ca="1" si="15"/>
        <v>0</v>
      </c>
      <c r="I273" s="34">
        <f ca="1">IF(Pay_Num&lt;&gt;"",Beg_Bal*(Interest_Rate/VLOOKUP(Interval,LoanLookup[],5,FALSE)),"")</f>
        <v>0</v>
      </c>
      <c r="J273" s="34">
        <f ca="1">IF(scheduled_no_payments=1,"",IF(AND(Pay_Num&lt;&gt;"",Sched_Pay+Extra_Pay&lt;Beg_Bal),Beg_Bal-Princ,IF(Pay_Num&lt;&gt;"",0,"")))</f>
        <v>0</v>
      </c>
      <c r="K273" s="34">
        <f ca="1">IF(scheduled_no_payments=1,"",SUM($I$13:$I273))</f>
        <v>87584.066117996466</v>
      </c>
      <c r="L273" s="38"/>
    </row>
    <row r="274" spans="2:12" ht="16.5" customHeight="1" x14ac:dyDescent="0.25">
      <c r="B274" s="32">
        <f ca="1">IF(AND(Values_Entered,scheduled_no_payments&lt;&gt;1),B273+1,"")</f>
        <v>262</v>
      </c>
      <c r="C274" s="33">
        <f ca="1">IF(Pay_Num&lt;&gt;"",DATE(YEAR(C273)+VLOOKUP(Interval,LoanLookup[],4,FALSE),MONTH(C273)+VLOOKUP(Interval,LoanLookup[],2,FALSE),DAY(C273)+VLOOKUP(Interval,LoanLookup[],3,FALSE)),"")</f>
        <v>52812</v>
      </c>
      <c r="D274" s="34">
        <f t="shared" ca="1" si="14"/>
        <v>0</v>
      </c>
      <c r="E274" s="35">
        <f t="shared" ca="1" si="16"/>
        <v>989.93360882498609</v>
      </c>
      <c r="F274" s="36">
        <f ca="1">IF(scheduled_no_payments=1,"",IF(Sched_Pay+Scheduled_Extra_Payments&lt;Beg_Bal,Scheduled_Extra_Payments,IF(AND(Pay_Num&lt;&gt;"",Beg_Bal-Sched_Pay&gt;0),Beg_Bal-Sched_Pay,IF(Pay_Num&lt;&gt;"",0,""))))</f>
        <v>0</v>
      </c>
      <c r="G274" s="34">
        <f ca="1">IF(scheduled_no_payments=1,"",IF(Sched_Pay+Extra_Pay&lt;Beg_Bal,Sched_Pay+Extra_Pay,IF(Pay_Num&lt;&gt;"",Beg_Bal,"")))</f>
        <v>0</v>
      </c>
      <c r="H274" s="34">
        <f t="shared" ca="1" si="15"/>
        <v>0</v>
      </c>
      <c r="I274" s="34">
        <f ca="1">IF(Pay_Num&lt;&gt;"",Beg_Bal*(Interest_Rate/VLOOKUP(Interval,LoanLookup[],5,FALSE)),"")</f>
        <v>0</v>
      </c>
      <c r="J274" s="34">
        <f ca="1">IF(scheduled_no_payments=1,"",IF(AND(Pay_Num&lt;&gt;"",Sched_Pay+Extra_Pay&lt;Beg_Bal),Beg_Bal-Princ,IF(Pay_Num&lt;&gt;"",0,"")))</f>
        <v>0</v>
      </c>
      <c r="K274" s="34">
        <f ca="1">IF(scheduled_no_payments=1,"",SUM($I$13:$I274))</f>
        <v>87584.066117996466</v>
      </c>
      <c r="L274" s="38"/>
    </row>
    <row r="275" spans="2:12" ht="16.5" customHeight="1" x14ac:dyDescent="0.25">
      <c r="B275" s="32">
        <f ca="1">IF(AND(Values_Entered,scheduled_no_payments&lt;&gt;1),B274+1,"")</f>
        <v>263</v>
      </c>
      <c r="C275" s="33">
        <f ca="1">IF(Pay_Num&lt;&gt;"",DATE(YEAR(C274)+VLOOKUP(Interval,LoanLookup[],4,FALSE),MONTH(C274)+VLOOKUP(Interval,LoanLookup[],2,FALSE),DAY(C274)+VLOOKUP(Interval,LoanLookup[],3,FALSE)),"")</f>
        <v>52843</v>
      </c>
      <c r="D275" s="34">
        <f t="shared" ca="1" si="14"/>
        <v>0</v>
      </c>
      <c r="E275" s="35">
        <f t="shared" ca="1" si="16"/>
        <v>989.93360882498609</v>
      </c>
      <c r="F275" s="36">
        <f ca="1">IF(scheduled_no_payments=1,"",IF(Sched_Pay+Scheduled_Extra_Payments&lt;Beg_Bal,Scheduled_Extra_Payments,IF(AND(Pay_Num&lt;&gt;"",Beg_Bal-Sched_Pay&gt;0),Beg_Bal-Sched_Pay,IF(Pay_Num&lt;&gt;"",0,""))))</f>
        <v>0</v>
      </c>
      <c r="G275" s="34">
        <f ca="1">IF(scheduled_no_payments=1,"",IF(Sched_Pay+Extra_Pay&lt;Beg_Bal,Sched_Pay+Extra_Pay,IF(Pay_Num&lt;&gt;"",Beg_Bal,"")))</f>
        <v>0</v>
      </c>
      <c r="H275" s="34">
        <f t="shared" ca="1" si="15"/>
        <v>0</v>
      </c>
      <c r="I275" s="34">
        <f ca="1">IF(Pay_Num&lt;&gt;"",Beg_Bal*(Interest_Rate/VLOOKUP(Interval,LoanLookup[],5,FALSE)),"")</f>
        <v>0</v>
      </c>
      <c r="J275" s="34">
        <f ca="1">IF(scheduled_no_payments=1,"",IF(AND(Pay_Num&lt;&gt;"",Sched_Pay+Extra_Pay&lt;Beg_Bal),Beg_Bal-Princ,IF(Pay_Num&lt;&gt;"",0,"")))</f>
        <v>0</v>
      </c>
      <c r="K275" s="34">
        <f ca="1">IF(scheduled_no_payments=1,"",SUM($I$13:$I275))</f>
        <v>87584.066117996466</v>
      </c>
      <c r="L275" s="38"/>
    </row>
    <row r="276" spans="2:12" ht="16.5" customHeight="1" x14ac:dyDescent="0.25">
      <c r="B276" s="32">
        <f ca="1">IF(AND(Values_Entered,scheduled_no_payments&lt;&gt;1),B275+1,"")</f>
        <v>264</v>
      </c>
      <c r="C276" s="33">
        <f ca="1">IF(Pay_Num&lt;&gt;"",DATE(YEAR(C275)+VLOOKUP(Interval,LoanLookup[],4,FALSE),MONTH(C275)+VLOOKUP(Interval,LoanLookup[],2,FALSE),DAY(C275)+VLOOKUP(Interval,LoanLookup[],3,FALSE)),"")</f>
        <v>52873</v>
      </c>
      <c r="D276" s="34">
        <f t="shared" ca="1" si="14"/>
        <v>0</v>
      </c>
      <c r="E276" s="35">
        <f t="shared" ca="1" si="16"/>
        <v>989.93360882498609</v>
      </c>
      <c r="F276" s="36">
        <f ca="1">IF(scheduled_no_payments=1,"",IF(Sched_Pay+Scheduled_Extra_Payments&lt;Beg_Bal,Scheduled_Extra_Payments,IF(AND(Pay_Num&lt;&gt;"",Beg_Bal-Sched_Pay&gt;0),Beg_Bal-Sched_Pay,IF(Pay_Num&lt;&gt;"",0,""))))</f>
        <v>0</v>
      </c>
      <c r="G276" s="34">
        <f ca="1">IF(scheduled_no_payments=1,"",IF(Sched_Pay+Extra_Pay&lt;Beg_Bal,Sched_Pay+Extra_Pay,IF(Pay_Num&lt;&gt;"",Beg_Bal,"")))</f>
        <v>0</v>
      </c>
      <c r="H276" s="34">
        <f t="shared" ca="1" si="15"/>
        <v>0</v>
      </c>
      <c r="I276" s="34">
        <f ca="1">IF(Pay_Num&lt;&gt;"",Beg_Bal*(Interest_Rate/VLOOKUP(Interval,LoanLookup[],5,FALSE)),"")</f>
        <v>0</v>
      </c>
      <c r="J276" s="34">
        <f ca="1">IF(scheduled_no_payments=1,"",IF(AND(Pay_Num&lt;&gt;"",Sched_Pay+Extra_Pay&lt;Beg_Bal),Beg_Bal-Princ,IF(Pay_Num&lt;&gt;"",0,"")))</f>
        <v>0</v>
      </c>
      <c r="K276" s="34">
        <f ca="1">IF(scheduled_no_payments=1,"",SUM($I$13:$I276))</f>
        <v>87584.066117996466</v>
      </c>
      <c r="L276" s="38"/>
    </row>
    <row r="277" spans="2:12" ht="16.5" customHeight="1" x14ac:dyDescent="0.25">
      <c r="B277" s="32">
        <f ca="1">IF(AND(Values_Entered,scheduled_no_payments&lt;&gt;1),B276+1,"")</f>
        <v>265</v>
      </c>
      <c r="C277" s="33">
        <f ca="1">IF(Pay_Num&lt;&gt;"",DATE(YEAR(C276)+VLOOKUP(Interval,LoanLookup[],4,FALSE),MONTH(C276)+VLOOKUP(Interval,LoanLookup[],2,FALSE),DAY(C276)+VLOOKUP(Interval,LoanLookup[],3,FALSE)),"")</f>
        <v>52904</v>
      </c>
      <c r="D277" s="34">
        <f t="shared" ca="1" si="14"/>
        <v>0</v>
      </c>
      <c r="E277" s="35">
        <f t="shared" ca="1" si="16"/>
        <v>989.93360882498609</v>
      </c>
      <c r="F277" s="36">
        <f ca="1">IF(scheduled_no_payments=1,"",IF(Sched_Pay+Scheduled_Extra_Payments&lt;Beg_Bal,Scheduled_Extra_Payments,IF(AND(Pay_Num&lt;&gt;"",Beg_Bal-Sched_Pay&gt;0),Beg_Bal-Sched_Pay,IF(Pay_Num&lt;&gt;"",0,""))))</f>
        <v>0</v>
      </c>
      <c r="G277" s="34">
        <f ca="1">IF(scheduled_no_payments=1,"",IF(Sched_Pay+Extra_Pay&lt;Beg_Bal,Sched_Pay+Extra_Pay,IF(Pay_Num&lt;&gt;"",Beg_Bal,"")))</f>
        <v>0</v>
      </c>
      <c r="H277" s="34">
        <f t="shared" ca="1" si="15"/>
        <v>0</v>
      </c>
      <c r="I277" s="34">
        <f ca="1">IF(Pay_Num&lt;&gt;"",Beg_Bal*(Interest_Rate/VLOOKUP(Interval,LoanLookup[],5,FALSE)),"")</f>
        <v>0</v>
      </c>
      <c r="J277" s="34">
        <f ca="1">IF(scheduled_no_payments=1,"",IF(AND(Pay_Num&lt;&gt;"",Sched_Pay+Extra_Pay&lt;Beg_Bal),Beg_Bal-Princ,IF(Pay_Num&lt;&gt;"",0,"")))</f>
        <v>0</v>
      </c>
      <c r="K277" s="34">
        <f ca="1">IF(scheduled_no_payments=1,"",SUM($I$13:$I277))</f>
        <v>87584.066117996466</v>
      </c>
      <c r="L277" s="38"/>
    </row>
    <row r="278" spans="2:12" ht="16.5" customHeight="1" x14ac:dyDescent="0.25">
      <c r="B278" s="32">
        <f ca="1">IF(AND(Values_Entered,scheduled_no_payments&lt;&gt;1),B277+1,"")</f>
        <v>266</v>
      </c>
      <c r="C278" s="33">
        <f ca="1">IF(Pay_Num&lt;&gt;"",DATE(YEAR(C277)+VLOOKUP(Interval,LoanLookup[],4,FALSE),MONTH(C277)+VLOOKUP(Interval,LoanLookup[],2,FALSE),DAY(C277)+VLOOKUP(Interval,LoanLookup[],3,FALSE)),"")</f>
        <v>52934</v>
      </c>
      <c r="D278" s="34">
        <f t="shared" ca="1" si="14"/>
        <v>0</v>
      </c>
      <c r="E278" s="35">
        <f t="shared" ca="1" si="16"/>
        <v>989.93360882498609</v>
      </c>
      <c r="F278" s="36">
        <f ca="1">IF(scheduled_no_payments=1,"",IF(Sched_Pay+Scheduled_Extra_Payments&lt;Beg_Bal,Scheduled_Extra_Payments,IF(AND(Pay_Num&lt;&gt;"",Beg_Bal-Sched_Pay&gt;0),Beg_Bal-Sched_Pay,IF(Pay_Num&lt;&gt;"",0,""))))</f>
        <v>0</v>
      </c>
      <c r="G278" s="34">
        <f ca="1">IF(scheduled_no_payments=1,"",IF(Sched_Pay+Extra_Pay&lt;Beg_Bal,Sched_Pay+Extra_Pay,IF(Pay_Num&lt;&gt;"",Beg_Bal,"")))</f>
        <v>0</v>
      </c>
      <c r="H278" s="34">
        <f t="shared" ca="1" si="15"/>
        <v>0</v>
      </c>
      <c r="I278" s="34">
        <f ca="1">IF(Pay_Num&lt;&gt;"",Beg_Bal*(Interest_Rate/VLOOKUP(Interval,LoanLookup[],5,FALSE)),"")</f>
        <v>0</v>
      </c>
      <c r="J278" s="34">
        <f ca="1">IF(scheduled_no_payments=1,"",IF(AND(Pay_Num&lt;&gt;"",Sched_Pay+Extra_Pay&lt;Beg_Bal),Beg_Bal-Princ,IF(Pay_Num&lt;&gt;"",0,"")))</f>
        <v>0</v>
      </c>
      <c r="K278" s="34">
        <f ca="1">IF(scheduled_no_payments=1,"",SUM($I$13:$I278))</f>
        <v>87584.066117996466</v>
      </c>
      <c r="L278" s="38"/>
    </row>
    <row r="279" spans="2:12" ht="16.5" customHeight="1" x14ac:dyDescent="0.25">
      <c r="B279" s="32">
        <f ca="1">IF(AND(Values_Entered,scheduled_no_payments&lt;&gt;1),B278+1,"")</f>
        <v>267</v>
      </c>
      <c r="C279" s="33">
        <f ca="1">IF(Pay_Num&lt;&gt;"",DATE(YEAR(C278)+VLOOKUP(Interval,LoanLookup[],4,FALSE),MONTH(C278)+VLOOKUP(Interval,LoanLookup[],2,FALSE),DAY(C278)+VLOOKUP(Interval,LoanLookup[],3,FALSE)),"")</f>
        <v>52965</v>
      </c>
      <c r="D279" s="34">
        <f t="shared" ca="1" si="14"/>
        <v>0</v>
      </c>
      <c r="E279" s="35">
        <f t="shared" ca="1" si="16"/>
        <v>989.93360882498609</v>
      </c>
      <c r="F279" s="36">
        <f ca="1">IF(scheduled_no_payments=1,"",IF(Sched_Pay+Scheduled_Extra_Payments&lt;Beg_Bal,Scheduled_Extra_Payments,IF(AND(Pay_Num&lt;&gt;"",Beg_Bal-Sched_Pay&gt;0),Beg_Bal-Sched_Pay,IF(Pay_Num&lt;&gt;"",0,""))))</f>
        <v>0</v>
      </c>
      <c r="G279" s="34">
        <f ca="1">IF(scheduled_no_payments=1,"",IF(Sched_Pay+Extra_Pay&lt;Beg_Bal,Sched_Pay+Extra_Pay,IF(Pay_Num&lt;&gt;"",Beg_Bal,"")))</f>
        <v>0</v>
      </c>
      <c r="H279" s="34">
        <f t="shared" ca="1" si="15"/>
        <v>0</v>
      </c>
      <c r="I279" s="34">
        <f ca="1">IF(Pay_Num&lt;&gt;"",Beg_Bal*(Interest_Rate/VLOOKUP(Interval,LoanLookup[],5,FALSE)),"")</f>
        <v>0</v>
      </c>
      <c r="J279" s="34">
        <f ca="1">IF(scheduled_no_payments=1,"",IF(AND(Pay_Num&lt;&gt;"",Sched_Pay+Extra_Pay&lt;Beg_Bal),Beg_Bal-Princ,IF(Pay_Num&lt;&gt;"",0,"")))</f>
        <v>0</v>
      </c>
      <c r="K279" s="34">
        <f ca="1">IF(scheduled_no_payments=1,"",SUM($I$13:$I279))</f>
        <v>87584.066117996466</v>
      </c>
      <c r="L279" s="38"/>
    </row>
    <row r="280" spans="2:12" ht="16.5" customHeight="1" x14ac:dyDescent="0.25">
      <c r="B280" s="32">
        <f ca="1">IF(AND(Values_Entered,scheduled_no_payments&lt;&gt;1),B279+1,"")</f>
        <v>268</v>
      </c>
      <c r="C280" s="33">
        <f ca="1">IF(Pay_Num&lt;&gt;"",DATE(YEAR(C279)+VLOOKUP(Interval,LoanLookup[],4,FALSE),MONTH(C279)+VLOOKUP(Interval,LoanLookup[],2,FALSE),DAY(C279)+VLOOKUP(Interval,LoanLookup[],3,FALSE)),"")</f>
        <v>52996</v>
      </c>
      <c r="D280" s="34">
        <f t="shared" ca="1" si="14"/>
        <v>0</v>
      </c>
      <c r="E280" s="35">
        <f t="shared" ca="1" si="16"/>
        <v>989.93360882498609</v>
      </c>
      <c r="F280" s="36">
        <f ca="1">IF(scheduled_no_payments=1,"",IF(Sched_Pay+Scheduled_Extra_Payments&lt;Beg_Bal,Scheduled_Extra_Payments,IF(AND(Pay_Num&lt;&gt;"",Beg_Bal-Sched_Pay&gt;0),Beg_Bal-Sched_Pay,IF(Pay_Num&lt;&gt;"",0,""))))</f>
        <v>0</v>
      </c>
      <c r="G280" s="34">
        <f ca="1">IF(scheduled_no_payments=1,"",IF(Sched_Pay+Extra_Pay&lt;Beg_Bal,Sched_Pay+Extra_Pay,IF(Pay_Num&lt;&gt;"",Beg_Bal,"")))</f>
        <v>0</v>
      </c>
      <c r="H280" s="34">
        <f t="shared" ca="1" si="15"/>
        <v>0</v>
      </c>
      <c r="I280" s="34">
        <f ca="1">IF(Pay_Num&lt;&gt;"",Beg_Bal*(Interest_Rate/VLOOKUP(Interval,LoanLookup[],5,FALSE)),"")</f>
        <v>0</v>
      </c>
      <c r="J280" s="34">
        <f ca="1">IF(scheduled_no_payments=1,"",IF(AND(Pay_Num&lt;&gt;"",Sched_Pay+Extra_Pay&lt;Beg_Bal),Beg_Bal-Princ,IF(Pay_Num&lt;&gt;"",0,"")))</f>
        <v>0</v>
      </c>
      <c r="K280" s="34">
        <f ca="1">IF(scheduled_no_payments=1,"",SUM($I$13:$I280))</f>
        <v>87584.066117996466</v>
      </c>
      <c r="L280" s="38"/>
    </row>
    <row r="281" spans="2:12" ht="16.5" customHeight="1" x14ac:dyDescent="0.25">
      <c r="B281" s="32">
        <f ca="1">IF(AND(Values_Entered,scheduled_no_payments&lt;&gt;1),B280+1,"")</f>
        <v>269</v>
      </c>
      <c r="C281" s="33">
        <f ca="1">IF(Pay_Num&lt;&gt;"",DATE(YEAR(C280)+VLOOKUP(Interval,LoanLookup[],4,FALSE),MONTH(C280)+VLOOKUP(Interval,LoanLookup[],2,FALSE),DAY(C280)+VLOOKUP(Interval,LoanLookup[],3,FALSE)),"")</f>
        <v>53024</v>
      </c>
      <c r="D281" s="34">
        <f t="shared" ca="1" si="14"/>
        <v>0</v>
      </c>
      <c r="E281" s="35">
        <f t="shared" ca="1" si="16"/>
        <v>989.93360882498609</v>
      </c>
      <c r="F281" s="36">
        <f ca="1">IF(scheduled_no_payments=1,"",IF(Sched_Pay+Scheduled_Extra_Payments&lt;Beg_Bal,Scheduled_Extra_Payments,IF(AND(Pay_Num&lt;&gt;"",Beg_Bal-Sched_Pay&gt;0),Beg_Bal-Sched_Pay,IF(Pay_Num&lt;&gt;"",0,""))))</f>
        <v>0</v>
      </c>
      <c r="G281" s="34">
        <f ca="1">IF(scheduled_no_payments=1,"",IF(Sched_Pay+Extra_Pay&lt;Beg_Bal,Sched_Pay+Extra_Pay,IF(Pay_Num&lt;&gt;"",Beg_Bal,"")))</f>
        <v>0</v>
      </c>
      <c r="H281" s="34">
        <f t="shared" ca="1" si="15"/>
        <v>0</v>
      </c>
      <c r="I281" s="34">
        <f ca="1">IF(Pay_Num&lt;&gt;"",Beg_Bal*(Interest_Rate/VLOOKUP(Interval,LoanLookup[],5,FALSE)),"")</f>
        <v>0</v>
      </c>
      <c r="J281" s="34">
        <f ca="1">IF(scheduled_no_payments=1,"",IF(AND(Pay_Num&lt;&gt;"",Sched_Pay+Extra_Pay&lt;Beg_Bal),Beg_Bal-Princ,IF(Pay_Num&lt;&gt;"",0,"")))</f>
        <v>0</v>
      </c>
      <c r="K281" s="34">
        <f ca="1">IF(scheduled_no_payments=1,"",SUM($I$13:$I281))</f>
        <v>87584.066117996466</v>
      </c>
      <c r="L281" s="38"/>
    </row>
    <row r="282" spans="2:12" ht="16.5" customHeight="1" x14ac:dyDescent="0.25">
      <c r="B282" s="32">
        <f ca="1">IF(AND(Values_Entered,scheduled_no_payments&lt;&gt;1),B281+1,"")</f>
        <v>270</v>
      </c>
      <c r="C282" s="33">
        <f ca="1">IF(Pay_Num&lt;&gt;"",DATE(YEAR(C281)+VLOOKUP(Interval,LoanLookup[],4,FALSE),MONTH(C281)+VLOOKUP(Interval,LoanLookup[],2,FALSE),DAY(C281)+VLOOKUP(Interval,LoanLookup[],3,FALSE)),"")</f>
        <v>53055</v>
      </c>
      <c r="D282" s="34">
        <f t="shared" ca="1" si="14"/>
        <v>0</v>
      </c>
      <c r="E282" s="35">
        <f t="shared" ca="1" si="16"/>
        <v>989.93360882498609</v>
      </c>
      <c r="F282" s="36">
        <f ca="1">IF(scheduled_no_payments=1,"",IF(Sched_Pay+Scheduled_Extra_Payments&lt;Beg_Bal,Scheduled_Extra_Payments,IF(AND(Pay_Num&lt;&gt;"",Beg_Bal-Sched_Pay&gt;0),Beg_Bal-Sched_Pay,IF(Pay_Num&lt;&gt;"",0,""))))</f>
        <v>0</v>
      </c>
      <c r="G282" s="34">
        <f ca="1">IF(scheduled_no_payments=1,"",IF(Sched_Pay+Extra_Pay&lt;Beg_Bal,Sched_Pay+Extra_Pay,IF(Pay_Num&lt;&gt;"",Beg_Bal,"")))</f>
        <v>0</v>
      </c>
      <c r="H282" s="34">
        <f t="shared" ca="1" si="15"/>
        <v>0</v>
      </c>
      <c r="I282" s="34">
        <f ca="1">IF(Pay_Num&lt;&gt;"",Beg_Bal*(Interest_Rate/VLOOKUP(Interval,LoanLookup[],5,FALSE)),"")</f>
        <v>0</v>
      </c>
      <c r="J282" s="34">
        <f ca="1">IF(scheduled_no_payments=1,"",IF(AND(Pay_Num&lt;&gt;"",Sched_Pay+Extra_Pay&lt;Beg_Bal),Beg_Bal-Princ,IF(Pay_Num&lt;&gt;"",0,"")))</f>
        <v>0</v>
      </c>
      <c r="K282" s="34">
        <f ca="1">IF(scheduled_no_payments=1,"",SUM($I$13:$I282))</f>
        <v>87584.066117996466</v>
      </c>
      <c r="L282" s="38"/>
    </row>
    <row r="283" spans="2:12" ht="16.5" customHeight="1" x14ac:dyDescent="0.25">
      <c r="B283" s="32">
        <f ca="1">IF(AND(Values_Entered,scheduled_no_payments&lt;&gt;1),B282+1,"")</f>
        <v>271</v>
      </c>
      <c r="C283" s="33">
        <f ca="1">IF(Pay_Num&lt;&gt;"",DATE(YEAR(C282)+VLOOKUP(Interval,LoanLookup[],4,FALSE),MONTH(C282)+VLOOKUP(Interval,LoanLookup[],2,FALSE),DAY(C282)+VLOOKUP(Interval,LoanLookup[],3,FALSE)),"")</f>
        <v>53085</v>
      </c>
      <c r="D283" s="34">
        <f t="shared" ca="1" si="14"/>
        <v>0</v>
      </c>
      <c r="E283" s="35">
        <f t="shared" ca="1" si="16"/>
        <v>989.93360882498609</v>
      </c>
      <c r="F283" s="36">
        <f ca="1">IF(scheduled_no_payments=1,"",IF(Sched_Pay+Scheduled_Extra_Payments&lt;Beg_Bal,Scheduled_Extra_Payments,IF(AND(Pay_Num&lt;&gt;"",Beg_Bal-Sched_Pay&gt;0),Beg_Bal-Sched_Pay,IF(Pay_Num&lt;&gt;"",0,""))))</f>
        <v>0</v>
      </c>
      <c r="G283" s="34">
        <f ca="1">IF(scheduled_no_payments=1,"",IF(Sched_Pay+Extra_Pay&lt;Beg_Bal,Sched_Pay+Extra_Pay,IF(Pay_Num&lt;&gt;"",Beg_Bal,"")))</f>
        <v>0</v>
      </c>
      <c r="H283" s="34">
        <f t="shared" ca="1" si="15"/>
        <v>0</v>
      </c>
      <c r="I283" s="34">
        <f ca="1">IF(Pay_Num&lt;&gt;"",Beg_Bal*(Interest_Rate/VLOOKUP(Interval,LoanLookup[],5,FALSE)),"")</f>
        <v>0</v>
      </c>
      <c r="J283" s="34">
        <f ca="1">IF(scheduled_no_payments=1,"",IF(AND(Pay_Num&lt;&gt;"",Sched_Pay+Extra_Pay&lt;Beg_Bal),Beg_Bal-Princ,IF(Pay_Num&lt;&gt;"",0,"")))</f>
        <v>0</v>
      </c>
      <c r="K283" s="34">
        <f ca="1">IF(scheduled_no_payments=1,"",SUM($I$13:$I283))</f>
        <v>87584.066117996466</v>
      </c>
      <c r="L283" s="38"/>
    </row>
    <row r="284" spans="2:12" ht="16.5" customHeight="1" x14ac:dyDescent="0.25">
      <c r="B284" s="32">
        <f ca="1">IF(AND(Values_Entered,scheduled_no_payments&lt;&gt;1),B283+1,"")</f>
        <v>272</v>
      </c>
      <c r="C284" s="33">
        <f ca="1">IF(Pay_Num&lt;&gt;"",DATE(YEAR(C283)+VLOOKUP(Interval,LoanLookup[],4,FALSE),MONTH(C283)+VLOOKUP(Interval,LoanLookup[],2,FALSE),DAY(C283)+VLOOKUP(Interval,LoanLookup[],3,FALSE)),"")</f>
        <v>53116</v>
      </c>
      <c r="D284" s="34">
        <f t="shared" ca="1" si="14"/>
        <v>0</v>
      </c>
      <c r="E284" s="35">
        <f t="shared" ca="1" si="16"/>
        <v>989.93360882498609</v>
      </c>
      <c r="F284" s="36">
        <f ca="1">IF(scheduled_no_payments=1,"",IF(Sched_Pay+Scheduled_Extra_Payments&lt;Beg_Bal,Scheduled_Extra_Payments,IF(AND(Pay_Num&lt;&gt;"",Beg_Bal-Sched_Pay&gt;0),Beg_Bal-Sched_Pay,IF(Pay_Num&lt;&gt;"",0,""))))</f>
        <v>0</v>
      </c>
      <c r="G284" s="34">
        <f ca="1">IF(scheduled_no_payments=1,"",IF(Sched_Pay+Extra_Pay&lt;Beg_Bal,Sched_Pay+Extra_Pay,IF(Pay_Num&lt;&gt;"",Beg_Bal,"")))</f>
        <v>0</v>
      </c>
      <c r="H284" s="34">
        <f t="shared" ca="1" si="15"/>
        <v>0</v>
      </c>
      <c r="I284" s="34">
        <f ca="1">IF(Pay_Num&lt;&gt;"",Beg_Bal*(Interest_Rate/VLOOKUP(Interval,LoanLookup[],5,FALSE)),"")</f>
        <v>0</v>
      </c>
      <c r="J284" s="34">
        <f ca="1">IF(scheduled_no_payments=1,"",IF(AND(Pay_Num&lt;&gt;"",Sched_Pay+Extra_Pay&lt;Beg_Bal),Beg_Bal-Princ,IF(Pay_Num&lt;&gt;"",0,"")))</f>
        <v>0</v>
      </c>
      <c r="K284" s="34">
        <f ca="1">IF(scheduled_no_payments=1,"",SUM($I$13:$I284))</f>
        <v>87584.066117996466</v>
      </c>
      <c r="L284" s="38"/>
    </row>
    <row r="285" spans="2:12" ht="16.5" customHeight="1" x14ac:dyDescent="0.25">
      <c r="B285" s="32">
        <f ca="1">IF(AND(Values_Entered,scheduled_no_payments&lt;&gt;1),B284+1,"")</f>
        <v>273</v>
      </c>
      <c r="C285" s="33">
        <f ca="1">IF(Pay_Num&lt;&gt;"",DATE(YEAR(C284)+VLOOKUP(Interval,LoanLookup[],4,FALSE),MONTH(C284)+VLOOKUP(Interval,LoanLookup[],2,FALSE),DAY(C284)+VLOOKUP(Interval,LoanLookup[],3,FALSE)),"")</f>
        <v>53146</v>
      </c>
      <c r="D285" s="34">
        <f t="shared" ca="1" si="14"/>
        <v>0</v>
      </c>
      <c r="E285" s="35">
        <f t="shared" ca="1" si="16"/>
        <v>989.93360882498609</v>
      </c>
      <c r="F285" s="36">
        <f ca="1">IF(scheduled_no_payments=1,"",IF(Sched_Pay+Scheduled_Extra_Payments&lt;Beg_Bal,Scheduled_Extra_Payments,IF(AND(Pay_Num&lt;&gt;"",Beg_Bal-Sched_Pay&gt;0),Beg_Bal-Sched_Pay,IF(Pay_Num&lt;&gt;"",0,""))))</f>
        <v>0</v>
      </c>
      <c r="G285" s="34">
        <f ca="1">IF(scheduled_no_payments=1,"",IF(Sched_Pay+Extra_Pay&lt;Beg_Bal,Sched_Pay+Extra_Pay,IF(Pay_Num&lt;&gt;"",Beg_Bal,"")))</f>
        <v>0</v>
      </c>
      <c r="H285" s="34">
        <f t="shared" ca="1" si="15"/>
        <v>0</v>
      </c>
      <c r="I285" s="34">
        <f ca="1">IF(Pay_Num&lt;&gt;"",Beg_Bal*(Interest_Rate/VLOOKUP(Interval,LoanLookup[],5,FALSE)),"")</f>
        <v>0</v>
      </c>
      <c r="J285" s="34">
        <f ca="1">IF(scheduled_no_payments=1,"",IF(AND(Pay_Num&lt;&gt;"",Sched_Pay+Extra_Pay&lt;Beg_Bal),Beg_Bal-Princ,IF(Pay_Num&lt;&gt;"",0,"")))</f>
        <v>0</v>
      </c>
      <c r="K285" s="34">
        <f ca="1">IF(scheduled_no_payments=1,"",SUM($I$13:$I285))</f>
        <v>87584.066117996466</v>
      </c>
      <c r="L285" s="38"/>
    </row>
    <row r="286" spans="2:12" ht="16.5" customHeight="1" x14ac:dyDescent="0.25">
      <c r="B286" s="32">
        <f ca="1">IF(AND(Values_Entered,scheduled_no_payments&lt;&gt;1),B285+1,"")</f>
        <v>274</v>
      </c>
      <c r="C286" s="33">
        <f ca="1">IF(Pay_Num&lt;&gt;"",DATE(YEAR(C285)+VLOOKUP(Interval,LoanLookup[],4,FALSE),MONTH(C285)+VLOOKUP(Interval,LoanLookup[],2,FALSE),DAY(C285)+VLOOKUP(Interval,LoanLookup[],3,FALSE)),"")</f>
        <v>53177</v>
      </c>
      <c r="D286" s="34">
        <f t="shared" ca="1" si="14"/>
        <v>0</v>
      </c>
      <c r="E286" s="35">
        <f t="shared" ca="1" si="16"/>
        <v>989.93360882498609</v>
      </c>
      <c r="F286" s="36">
        <f ca="1">IF(scheduled_no_payments=1,"",IF(Sched_Pay+Scheduled_Extra_Payments&lt;Beg_Bal,Scheduled_Extra_Payments,IF(AND(Pay_Num&lt;&gt;"",Beg_Bal-Sched_Pay&gt;0),Beg_Bal-Sched_Pay,IF(Pay_Num&lt;&gt;"",0,""))))</f>
        <v>0</v>
      </c>
      <c r="G286" s="34">
        <f ca="1">IF(scheduled_no_payments=1,"",IF(Sched_Pay+Extra_Pay&lt;Beg_Bal,Sched_Pay+Extra_Pay,IF(Pay_Num&lt;&gt;"",Beg_Bal,"")))</f>
        <v>0</v>
      </c>
      <c r="H286" s="34">
        <f t="shared" ca="1" si="15"/>
        <v>0</v>
      </c>
      <c r="I286" s="34">
        <f ca="1">IF(Pay_Num&lt;&gt;"",Beg_Bal*(Interest_Rate/VLOOKUP(Interval,LoanLookup[],5,FALSE)),"")</f>
        <v>0</v>
      </c>
      <c r="J286" s="34">
        <f ca="1">IF(scheduled_no_payments=1,"",IF(AND(Pay_Num&lt;&gt;"",Sched_Pay+Extra_Pay&lt;Beg_Bal),Beg_Bal-Princ,IF(Pay_Num&lt;&gt;"",0,"")))</f>
        <v>0</v>
      </c>
      <c r="K286" s="34">
        <f ca="1">IF(scheduled_no_payments=1,"",SUM($I$13:$I286))</f>
        <v>87584.066117996466</v>
      </c>
      <c r="L286" s="38"/>
    </row>
    <row r="287" spans="2:12" ht="16.5" customHeight="1" x14ac:dyDescent="0.25">
      <c r="B287" s="32">
        <f ca="1">IF(AND(Values_Entered,scheduled_no_payments&lt;&gt;1),B286+1,"")</f>
        <v>275</v>
      </c>
      <c r="C287" s="33">
        <f ca="1">IF(Pay_Num&lt;&gt;"",DATE(YEAR(C286)+VLOOKUP(Interval,LoanLookup[],4,FALSE),MONTH(C286)+VLOOKUP(Interval,LoanLookup[],2,FALSE),DAY(C286)+VLOOKUP(Interval,LoanLookup[],3,FALSE)),"")</f>
        <v>53208</v>
      </c>
      <c r="D287" s="34">
        <f t="shared" ca="1" si="14"/>
        <v>0</v>
      </c>
      <c r="E287" s="35">
        <f t="shared" ca="1" si="16"/>
        <v>989.93360882498609</v>
      </c>
      <c r="F287" s="36">
        <f ca="1">IF(scheduled_no_payments=1,"",IF(Sched_Pay+Scheduled_Extra_Payments&lt;Beg_Bal,Scheduled_Extra_Payments,IF(AND(Pay_Num&lt;&gt;"",Beg_Bal-Sched_Pay&gt;0),Beg_Bal-Sched_Pay,IF(Pay_Num&lt;&gt;"",0,""))))</f>
        <v>0</v>
      </c>
      <c r="G287" s="34">
        <f ca="1">IF(scheduled_no_payments=1,"",IF(Sched_Pay+Extra_Pay&lt;Beg_Bal,Sched_Pay+Extra_Pay,IF(Pay_Num&lt;&gt;"",Beg_Bal,"")))</f>
        <v>0</v>
      </c>
      <c r="H287" s="34">
        <f t="shared" ca="1" si="15"/>
        <v>0</v>
      </c>
      <c r="I287" s="34">
        <f ca="1">IF(Pay_Num&lt;&gt;"",Beg_Bal*(Interest_Rate/VLOOKUP(Interval,LoanLookup[],5,FALSE)),"")</f>
        <v>0</v>
      </c>
      <c r="J287" s="34">
        <f ca="1">IF(scheduled_no_payments=1,"",IF(AND(Pay_Num&lt;&gt;"",Sched_Pay+Extra_Pay&lt;Beg_Bal),Beg_Bal-Princ,IF(Pay_Num&lt;&gt;"",0,"")))</f>
        <v>0</v>
      </c>
      <c r="K287" s="34">
        <f ca="1">IF(scheduled_no_payments=1,"",SUM($I$13:$I287))</f>
        <v>87584.066117996466</v>
      </c>
      <c r="L287" s="38"/>
    </row>
    <row r="288" spans="2:12" ht="16.5" customHeight="1" x14ac:dyDescent="0.25">
      <c r="B288" s="32">
        <f ca="1">IF(AND(Values_Entered,scheduled_no_payments&lt;&gt;1),B287+1,"")</f>
        <v>276</v>
      </c>
      <c r="C288" s="33">
        <f ca="1">IF(Pay_Num&lt;&gt;"",DATE(YEAR(C287)+VLOOKUP(Interval,LoanLookup[],4,FALSE),MONTH(C287)+VLOOKUP(Interval,LoanLookup[],2,FALSE),DAY(C287)+VLOOKUP(Interval,LoanLookup[],3,FALSE)),"")</f>
        <v>53238</v>
      </c>
      <c r="D288" s="34">
        <f t="shared" ca="1" si="14"/>
        <v>0</v>
      </c>
      <c r="E288" s="35">
        <f t="shared" ca="1" si="16"/>
        <v>989.93360882498609</v>
      </c>
      <c r="F288" s="36">
        <f ca="1">IF(scheduled_no_payments=1,"",IF(Sched_Pay+Scheduled_Extra_Payments&lt;Beg_Bal,Scheduled_Extra_Payments,IF(AND(Pay_Num&lt;&gt;"",Beg_Bal-Sched_Pay&gt;0),Beg_Bal-Sched_Pay,IF(Pay_Num&lt;&gt;"",0,""))))</f>
        <v>0</v>
      </c>
      <c r="G288" s="34">
        <f ca="1">IF(scheduled_no_payments=1,"",IF(Sched_Pay+Extra_Pay&lt;Beg_Bal,Sched_Pay+Extra_Pay,IF(Pay_Num&lt;&gt;"",Beg_Bal,"")))</f>
        <v>0</v>
      </c>
      <c r="H288" s="34">
        <f t="shared" ca="1" si="15"/>
        <v>0</v>
      </c>
      <c r="I288" s="34">
        <f ca="1">IF(Pay_Num&lt;&gt;"",Beg_Bal*(Interest_Rate/VLOOKUP(Interval,LoanLookup[],5,FALSE)),"")</f>
        <v>0</v>
      </c>
      <c r="J288" s="34">
        <f ca="1">IF(scheduled_no_payments=1,"",IF(AND(Pay_Num&lt;&gt;"",Sched_Pay+Extra_Pay&lt;Beg_Bal),Beg_Bal-Princ,IF(Pay_Num&lt;&gt;"",0,"")))</f>
        <v>0</v>
      </c>
      <c r="K288" s="34">
        <f ca="1">IF(scheduled_no_payments=1,"",SUM($I$13:$I288))</f>
        <v>87584.066117996466</v>
      </c>
      <c r="L288" s="38"/>
    </row>
    <row r="289" spans="2:12" ht="16.5" customHeight="1" x14ac:dyDescent="0.25">
      <c r="B289" s="32">
        <f ca="1">IF(AND(Values_Entered,scheduled_no_payments&lt;&gt;1),B288+1,"")</f>
        <v>277</v>
      </c>
      <c r="C289" s="33">
        <f ca="1">IF(Pay_Num&lt;&gt;"",DATE(YEAR(C288)+VLOOKUP(Interval,LoanLookup[],4,FALSE),MONTH(C288)+VLOOKUP(Interval,LoanLookup[],2,FALSE),DAY(C288)+VLOOKUP(Interval,LoanLookup[],3,FALSE)),"")</f>
        <v>53269</v>
      </c>
      <c r="D289" s="34">
        <f t="shared" ca="1" si="14"/>
        <v>0</v>
      </c>
      <c r="E289" s="35">
        <f t="shared" ca="1" si="16"/>
        <v>989.93360882498609</v>
      </c>
      <c r="F289" s="36">
        <f ca="1">IF(scheduled_no_payments=1,"",IF(Sched_Pay+Scheduled_Extra_Payments&lt;Beg_Bal,Scheduled_Extra_Payments,IF(AND(Pay_Num&lt;&gt;"",Beg_Bal-Sched_Pay&gt;0),Beg_Bal-Sched_Pay,IF(Pay_Num&lt;&gt;"",0,""))))</f>
        <v>0</v>
      </c>
      <c r="G289" s="34">
        <f ca="1">IF(scheduled_no_payments=1,"",IF(Sched_Pay+Extra_Pay&lt;Beg_Bal,Sched_Pay+Extra_Pay,IF(Pay_Num&lt;&gt;"",Beg_Bal,"")))</f>
        <v>0</v>
      </c>
      <c r="H289" s="34">
        <f t="shared" ca="1" si="15"/>
        <v>0</v>
      </c>
      <c r="I289" s="34">
        <f ca="1">IF(Pay_Num&lt;&gt;"",Beg_Bal*(Interest_Rate/VLOOKUP(Interval,LoanLookup[],5,FALSE)),"")</f>
        <v>0</v>
      </c>
      <c r="J289" s="34">
        <f ca="1">IF(scheduled_no_payments=1,"",IF(AND(Pay_Num&lt;&gt;"",Sched_Pay+Extra_Pay&lt;Beg_Bal),Beg_Bal-Princ,IF(Pay_Num&lt;&gt;"",0,"")))</f>
        <v>0</v>
      </c>
      <c r="K289" s="34">
        <f ca="1">IF(scheduled_no_payments=1,"",SUM($I$13:$I289))</f>
        <v>87584.066117996466</v>
      </c>
      <c r="L289" s="38"/>
    </row>
    <row r="290" spans="2:12" ht="16.5" customHeight="1" x14ac:dyDescent="0.25">
      <c r="B290" s="32">
        <f ca="1">IF(AND(Values_Entered,scheduled_no_payments&lt;&gt;1),B289+1,"")</f>
        <v>278</v>
      </c>
      <c r="C290" s="33">
        <f ca="1">IF(Pay_Num&lt;&gt;"",DATE(YEAR(C289)+VLOOKUP(Interval,LoanLookup[],4,FALSE),MONTH(C289)+VLOOKUP(Interval,LoanLookup[],2,FALSE),DAY(C289)+VLOOKUP(Interval,LoanLookup[],3,FALSE)),"")</f>
        <v>53299</v>
      </c>
      <c r="D290" s="34">
        <f t="shared" ca="1" si="14"/>
        <v>0</v>
      </c>
      <c r="E290" s="35">
        <f t="shared" ca="1" si="16"/>
        <v>989.93360882498609</v>
      </c>
      <c r="F290" s="36">
        <f ca="1">IF(scheduled_no_payments=1,"",IF(Sched_Pay+Scheduled_Extra_Payments&lt;Beg_Bal,Scheduled_Extra_Payments,IF(AND(Pay_Num&lt;&gt;"",Beg_Bal-Sched_Pay&gt;0),Beg_Bal-Sched_Pay,IF(Pay_Num&lt;&gt;"",0,""))))</f>
        <v>0</v>
      </c>
      <c r="G290" s="34">
        <f ca="1">IF(scheduled_no_payments=1,"",IF(Sched_Pay+Extra_Pay&lt;Beg_Bal,Sched_Pay+Extra_Pay,IF(Pay_Num&lt;&gt;"",Beg_Bal,"")))</f>
        <v>0</v>
      </c>
      <c r="H290" s="34">
        <f t="shared" ca="1" si="15"/>
        <v>0</v>
      </c>
      <c r="I290" s="34">
        <f ca="1">IF(Pay_Num&lt;&gt;"",Beg_Bal*(Interest_Rate/VLOOKUP(Interval,LoanLookup[],5,FALSE)),"")</f>
        <v>0</v>
      </c>
      <c r="J290" s="34">
        <f ca="1">IF(scheduled_no_payments=1,"",IF(AND(Pay_Num&lt;&gt;"",Sched_Pay+Extra_Pay&lt;Beg_Bal),Beg_Bal-Princ,IF(Pay_Num&lt;&gt;"",0,"")))</f>
        <v>0</v>
      </c>
      <c r="K290" s="34">
        <f ca="1">IF(scheduled_no_payments=1,"",SUM($I$13:$I290))</f>
        <v>87584.066117996466</v>
      </c>
      <c r="L290" s="38"/>
    </row>
    <row r="291" spans="2:12" ht="16.5" customHeight="1" x14ac:dyDescent="0.25">
      <c r="B291" s="32">
        <f ca="1">IF(AND(Values_Entered,scheduled_no_payments&lt;&gt;1),B290+1,"")</f>
        <v>279</v>
      </c>
      <c r="C291" s="33">
        <f ca="1">IF(Pay_Num&lt;&gt;"",DATE(YEAR(C290)+VLOOKUP(Interval,LoanLookup[],4,FALSE),MONTH(C290)+VLOOKUP(Interval,LoanLookup[],2,FALSE),DAY(C290)+VLOOKUP(Interval,LoanLookup[],3,FALSE)),"")</f>
        <v>53330</v>
      </c>
      <c r="D291" s="34">
        <f t="shared" ca="1" si="14"/>
        <v>0</v>
      </c>
      <c r="E291" s="35">
        <f t="shared" ca="1" si="16"/>
        <v>989.93360882498609</v>
      </c>
      <c r="F291" s="36">
        <f ca="1">IF(scheduled_no_payments=1,"",IF(Sched_Pay+Scheduled_Extra_Payments&lt;Beg_Bal,Scheduled_Extra_Payments,IF(AND(Pay_Num&lt;&gt;"",Beg_Bal-Sched_Pay&gt;0),Beg_Bal-Sched_Pay,IF(Pay_Num&lt;&gt;"",0,""))))</f>
        <v>0</v>
      </c>
      <c r="G291" s="34">
        <f ca="1">IF(scheduled_no_payments=1,"",IF(Sched_Pay+Extra_Pay&lt;Beg_Bal,Sched_Pay+Extra_Pay,IF(Pay_Num&lt;&gt;"",Beg_Bal,"")))</f>
        <v>0</v>
      </c>
      <c r="H291" s="34">
        <f t="shared" ca="1" si="15"/>
        <v>0</v>
      </c>
      <c r="I291" s="34">
        <f ca="1">IF(Pay_Num&lt;&gt;"",Beg_Bal*(Interest_Rate/VLOOKUP(Interval,LoanLookup[],5,FALSE)),"")</f>
        <v>0</v>
      </c>
      <c r="J291" s="34">
        <f ca="1">IF(scheduled_no_payments=1,"",IF(AND(Pay_Num&lt;&gt;"",Sched_Pay+Extra_Pay&lt;Beg_Bal),Beg_Bal-Princ,IF(Pay_Num&lt;&gt;"",0,"")))</f>
        <v>0</v>
      </c>
      <c r="K291" s="34">
        <f ca="1">IF(scheduled_no_payments=1,"",SUM($I$13:$I291))</f>
        <v>87584.066117996466</v>
      </c>
      <c r="L291" s="38"/>
    </row>
    <row r="292" spans="2:12" ht="16.5" customHeight="1" x14ac:dyDescent="0.25">
      <c r="B292" s="32">
        <f ca="1">IF(AND(Values_Entered,scheduled_no_payments&lt;&gt;1),B291+1,"")</f>
        <v>280</v>
      </c>
      <c r="C292" s="33">
        <f ca="1">IF(Pay_Num&lt;&gt;"",DATE(YEAR(C291)+VLOOKUP(Interval,LoanLookup[],4,FALSE),MONTH(C291)+VLOOKUP(Interval,LoanLookup[],2,FALSE),DAY(C291)+VLOOKUP(Interval,LoanLookup[],3,FALSE)),"")</f>
        <v>53361</v>
      </c>
      <c r="D292" s="34">
        <f t="shared" ca="1" si="14"/>
        <v>0</v>
      </c>
      <c r="E292" s="35">
        <f t="shared" ca="1" si="16"/>
        <v>989.93360882498609</v>
      </c>
      <c r="F292" s="36">
        <f ca="1">IF(scheduled_no_payments=1,"",IF(Sched_Pay+Scheduled_Extra_Payments&lt;Beg_Bal,Scheduled_Extra_Payments,IF(AND(Pay_Num&lt;&gt;"",Beg_Bal-Sched_Pay&gt;0),Beg_Bal-Sched_Pay,IF(Pay_Num&lt;&gt;"",0,""))))</f>
        <v>0</v>
      </c>
      <c r="G292" s="34">
        <f ca="1">IF(scheduled_no_payments=1,"",IF(Sched_Pay+Extra_Pay&lt;Beg_Bal,Sched_Pay+Extra_Pay,IF(Pay_Num&lt;&gt;"",Beg_Bal,"")))</f>
        <v>0</v>
      </c>
      <c r="H292" s="34">
        <f t="shared" ca="1" si="15"/>
        <v>0</v>
      </c>
      <c r="I292" s="34">
        <f ca="1">IF(Pay_Num&lt;&gt;"",Beg_Bal*(Interest_Rate/VLOOKUP(Interval,LoanLookup[],5,FALSE)),"")</f>
        <v>0</v>
      </c>
      <c r="J292" s="34">
        <f ca="1">IF(scheduled_no_payments=1,"",IF(AND(Pay_Num&lt;&gt;"",Sched_Pay+Extra_Pay&lt;Beg_Bal),Beg_Bal-Princ,IF(Pay_Num&lt;&gt;"",0,"")))</f>
        <v>0</v>
      </c>
      <c r="K292" s="34">
        <f ca="1">IF(scheduled_no_payments=1,"",SUM($I$13:$I292))</f>
        <v>87584.066117996466</v>
      </c>
      <c r="L292" s="38"/>
    </row>
    <row r="293" spans="2:12" ht="16.5" customHeight="1" x14ac:dyDescent="0.25">
      <c r="B293" s="32">
        <f ca="1">IF(AND(Values_Entered,scheduled_no_payments&lt;&gt;1),B292+1,"")</f>
        <v>281</v>
      </c>
      <c r="C293" s="33">
        <f ca="1">IF(Pay_Num&lt;&gt;"",DATE(YEAR(C292)+VLOOKUP(Interval,LoanLookup[],4,FALSE),MONTH(C292)+VLOOKUP(Interval,LoanLookup[],2,FALSE),DAY(C292)+VLOOKUP(Interval,LoanLookup[],3,FALSE)),"")</f>
        <v>53389</v>
      </c>
      <c r="D293" s="34">
        <f t="shared" ca="1" si="14"/>
        <v>0</v>
      </c>
      <c r="E293" s="35">
        <f t="shared" ca="1" si="16"/>
        <v>989.93360882498609</v>
      </c>
      <c r="F293" s="36">
        <f ca="1">IF(scheduled_no_payments=1,"",IF(Sched_Pay+Scheduled_Extra_Payments&lt;Beg_Bal,Scheduled_Extra_Payments,IF(AND(Pay_Num&lt;&gt;"",Beg_Bal-Sched_Pay&gt;0),Beg_Bal-Sched_Pay,IF(Pay_Num&lt;&gt;"",0,""))))</f>
        <v>0</v>
      </c>
      <c r="G293" s="34">
        <f ca="1">IF(scheduled_no_payments=1,"",IF(Sched_Pay+Extra_Pay&lt;Beg_Bal,Sched_Pay+Extra_Pay,IF(Pay_Num&lt;&gt;"",Beg_Bal,"")))</f>
        <v>0</v>
      </c>
      <c r="H293" s="34">
        <f t="shared" ca="1" si="15"/>
        <v>0</v>
      </c>
      <c r="I293" s="34">
        <f ca="1">IF(Pay_Num&lt;&gt;"",Beg_Bal*(Interest_Rate/VLOOKUP(Interval,LoanLookup[],5,FALSE)),"")</f>
        <v>0</v>
      </c>
      <c r="J293" s="34">
        <f ca="1">IF(scheduled_no_payments=1,"",IF(AND(Pay_Num&lt;&gt;"",Sched_Pay+Extra_Pay&lt;Beg_Bal),Beg_Bal-Princ,IF(Pay_Num&lt;&gt;"",0,"")))</f>
        <v>0</v>
      </c>
      <c r="K293" s="34">
        <f ca="1">IF(scheduled_no_payments=1,"",SUM($I$13:$I293))</f>
        <v>87584.066117996466</v>
      </c>
      <c r="L293" s="38"/>
    </row>
    <row r="294" spans="2:12" ht="16.5" customHeight="1" x14ac:dyDescent="0.25">
      <c r="B294" s="32">
        <f ca="1">IF(AND(Values_Entered,scheduled_no_payments&lt;&gt;1),B293+1,"")</f>
        <v>282</v>
      </c>
      <c r="C294" s="33">
        <f ca="1">IF(Pay_Num&lt;&gt;"",DATE(YEAR(C293)+VLOOKUP(Interval,LoanLookup[],4,FALSE),MONTH(C293)+VLOOKUP(Interval,LoanLookup[],2,FALSE),DAY(C293)+VLOOKUP(Interval,LoanLookup[],3,FALSE)),"")</f>
        <v>53420</v>
      </c>
      <c r="D294" s="34">
        <f t="shared" ca="1" si="14"/>
        <v>0</v>
      </c>
      <c r="E294" s="35">
        <f t="shared" ca="1" si="16"/>
        <v>989.93360882498609</v>
      </c>
      <c r="F294" s="36">
        <f ca="1">IF(scheduled_no_payments=1,"",IF(Sched_Pay+Scheduled_Extra_Payments&lt;Beg_Bal,Scheduled_Extra_Payments,IF(AND(Pay_Num&lt;&gt;"",Beg_Bal-Sched_Pay&gt;0),Beg_Bal-Sched_Pay,IF(Pay_Num&lt;&gt;"",0,""))))</f>
        <v>0</v>
      </c>
      <c r="G294" s="34">
        <f ca="1">IF(scheduled_no_payments=1,"",IF(Sched_Pay+Extra_Pay&lt;Beg_Bal,Sched_Pay+Extra_Pay,IF(Pay_Num&lt;&gt;"",Beg_Bal,"")))</f>
        <v>0</v>
      </c>
      <c r="H294" s="34">
        <f t="shared" ca="1" si="15"/>
        <v>0</v>
      </c>
      <c r="I294" s="34">
        <f ca="1">IF(Pay_Num&lt;&gt;"",Beg_Bal*(Interest_Rate/VLOOKUP(Interval,LoanLookup[],5,FALSE)),"")</f>
        <v>0</v>
      </c>
      <c r="J294" s="34">
        <f ca="1">IF(scheduled_no_payments=1,"",IF(AND(Pay_Num&lt;&gt;"",Sched_Pay+Extra_Pay&lt;Beg_Bal),Beg_Bal-Princ,IF(Pay_Num&lt;&gt;"",0,"")))</f>
        <v>0</v>
      </c>
      <c r="K294" s="34">
        <f ca="1">IF(scheduled_no_payments=1,"",SUM($I$13:$I294))</f>
        <v>87584.066117996466</v>
      </c>
      <c r="L294" s="38"/>
    </row>
    <row r="295" spans="2:12" ht="16.5" customHeight="1" x14ac:dyDescent="0.25">
      <c r="B295" s="32">
        <f ca="1">IF(AND(Values_Entered,scheduled_no_payments&lt;&gt;1),B294+1,"")</f>
        <v>283</v>
      </c>
      <c r="C295" s="33">
        <f ca="1">IF(Pay_Num&lt;&gt;"",DATE(YEAR(C294)+VLOOKUP(Interval,LoanLookup[],4,FALSE),MONTH(C294)+VLOOKUP(Interval,LoanLookup[],2,FALSE),DAY(C294)+VLOOKUP(Interval,LoanLookup[],3,FALSE)),"")</f>
        <v>53450</v>
      </c>
      <c r="D295" s="34">
        <f t="shared" ca="1" si="14"/>
        <v>0</v>
      </c>
      <c r="E295" s="35">
        <f t="shared" ca="1" si="16"/>
        <v>989.93360882498609</v>
      </c>
      <c r="F295" s="36">
        <f ca="1">IF(scheduled_no_payments=1,"",IF(Sched_Pay+Scheduled_Extra_Payments&lt;Beg_Bal,Scheduled_Extra_Payments,IF(AND(Pay_Num&lt;&gt;"",Beg_Bal-Sched_Pay&gt;0),Beg_Bal-Sched_Pay,IF(Pay_Num&lt;&gt;"",0,""))))</f>
        <v>0</v>
      </c>
      <c r="G295" s="34">
        <f ca="1">IF(scheduled_no_payments=1,"",IF(Sched_Pay+Extra_Pay&lt;Beg_Bal,Sched_Pay+Extra_Pay,IF(Pay_Num&lt;&gt;"",Beg_Bal,"")))</f>
        <v>0</v>
      </c>
      <c r="H295" s="34">
        <f t="shared" ca="1" si="15"/>
        <v>0</v>
      </c>
      <c r="I295" s="34">
        <f ca="1">IF(Pay_Num&lt;&gt;"",Beg_Bal*(Interest_Rate/VLOOKUP(Interval,LoanLookup[],5,FALSE)),"")</f>
        <v>0</v>
      </c>
      <c r="J295" s="34">
        <f ca="1">IF(scheduled_no_payments=1,"",IF(AND(Pay_Num&lt;&gt;"",Sched_Pay+Extra_Pay&lt;Beg_Bal),Beg_Bal-Princ,IF(Pay_Num&lt;&gt;"",0,"")))</f>
        <v>0</v>
      </c>
      <c r="K295" s="34">
        <f ca="1">IF(scheduled_no_payments=1,"",SUM($I$13:$I295))</f>
        <v>87584.066117996466</v>
      </c>
      <c r="L295" s="38"/>
    </row>
    <row r="296" spans="2:12" ht="16.5" customHeight="1" x14ac:dyDescent="0.25">
      <c r="B296" s="32">
        <f ca="1">IF(AND(Values_Entered,scheduled_no_payments&lt;&gt;1),B295+1,"")</f>
        <v>284</v>
      </c>
      <c r="C296" s="33">
        <f ca="1">IF(Pay_Num&lt;&gt;"",DATE(YEAR(C295)+VLOOKUP(Interval,LoanLookup[],4,FALSE),MONTH(C295)+VLOOKUP(Interval,LoanLookup[],2,FALSE),DAY(C295)+VLOOKUP(Interval,LoanLookup[],3,FALSE)),"")</f>
        <v>53481</v>
      </c>
      <c r="D296" s="34">
        <f t="shared" ca="1" si="14"/>
        <v>0</v>
      </c>
      <c r="E296" s="35">
        <f t="shared" ca="1" si="16"/>
        <v>989.93360882498609</v>
      </c>
      <c r="F296" s="36">
        <f ca="1">IF(scheduled_no_payments=1,"",IF(Sched_Pay+Scheduled_Extra_Payments&lt;Beg_Bal,Scheduled_Extra_Payments,IF(AND(Pay_Num&lt;&gt;"",Beg_Bal-Sched_Pay&gt;0),Beg_Bal-Sched_Pay,IF(Pay_Num&lt;&gt;"",0,""))))</f>
        <v>0</v>
      </c>
      <c r="G296" s="34">
        <f ca="1">IF(scheduled_no_payments=1,"",IF(Sched_Pay+Extra_Pay&lt;Beg_Bal,Sched_Pay+Extra_Pay,IF(Pay_Num&lt;&gt;"",Beg_Bal,"")))</f>
        <v>0</v>
      </c>
      <c r="H296" s="34">
        <f t="shared" ca="1" si="15"/>
        <v>0</v>
      </c>
      <c r="I296" s="34">
        <f ca="1">IF(Pay_Num&lt;&gt;"",Beg_Bal*(Interest_Rate/VLOOKUP(Interval,LoanLookup[],5,FALSE)),"")</f>
        <v>0</v>
      </c>
      <c r="J296" s="34">
        <f ca="1">IF(scheduled_no_payments=1,"",IF(AND(Pay_Num&lt;&gt;"",Sched_Pay+Extra_Pay&lt;Beg_Bal),Beg_Bal-Princ,IF(Pay_Num&lt;&gt;"",0,"")))</f>
        <v>0</v>
      </c>
      <c r="K296" s="34">
        <f ca="1">IF(scheduled_no_payments=1,"",SUM($I$13:$I296))</f>
        <v>87584.066117996466</v>
      </c>
      <c r="L296" s="38"/>
    </row>
    <row r="297" spans="2:12" ht="16.5" customHeight="1" x14ac:dyDescent="0.25">
      <c r="B297" s="32">
        <f ca="1">IF(AND(Values_Entered,scheduled_no_payments&lt;&gt;1),B296+1,"")</f>
        <v>285</v>
      </c>
      <c r="C297" s="33">
        <f ca="1">IF(Pay_Num&lt;&gt;"",DATE(YEAR(C296)+VLOOKUP(Interval,LoanLookup[],4,FALSE),MONTH(C296)+VLOOKUP(Interval,LoanLookup[],2,FALSE),DAY(C296)+VLOOKUP(Interval,LoanLookup[],3,FALSE)),"")</f>
        <v>53511</v>
      </c>
      <c r="D297" s="34">
        <f t="shared" ca="1" si="14"/>
        <v>0</v>
      </c>
      <c r="E297" s="35">
        <f t="shared" ca="1" si="16"/>
        <v>989.93360882498609</v>
      </c>
      <c r="F297" s="36">
        <f ca="1">IF(scheduled_no_payments=1,"",IF(Sched_Pay+Scheduled_Extra_Payments&lt;Beg_Bal,Scheduled_Extra_Payments,IF(AND(Pay_Num&lt;&gt;"",Beg_Bal-Sched_Pay&gt;0),Beg_Bal-Sched_Pay,IF(Pay_Num&lt;&gt;"",0,""))))</f>
        <v>0</v>
      </c>
      <c r="G297" s="34">
        <f ca="1">IF(scheduled_no_payments=1,"",IF(Sched_Pay+Extra_Pay&lt;Beg_Bal,Sched_Pay+Extra_Pay,IF(Pay_Num&lt;&gt;"",Beg_Bal,"")))</f>
        <v>0</v>
      </c>
      <c r="H297" s="34">
        <f t="shared" ca="1" si="15"/>
        <v>0</v>
      </c>
      <c r="I297" s="34">
        <f ca="1">IF(Pay_Num&lt;&gt;"",Beg_Bal*(Interest_Rate/VLOOKUP(Interval,LoanLookup[],5,FALSE)),"")</f>
        <v>0</v>
      </c>
      <c r="J297" s="34">
        <f ca="1">IF(scheduled_no_payments=1,"",IF(AND(Pay_Num&lt;&gt;"",Sched_Pay+Extra_Pay&lt;Beg_Bal),Beg_Bal-Princ,IF(Pay_Num&lt;&gt;"",0,"")))</f>
        <v>0</v>
      </c>
      <c r="K297" s="34">
        <f ca="1">IF(scheduled_no_payments=1,"",SUM($I$13:$I297))</f>
        <v>87584.066117996466</v>
      </c>
      <c r="L297" s="38"/>
    </row>
    <row r="298" spans="2:12" ht="16.5" customHeight="1" x14ac:dyDescent="0.25">
      <c r="B298" s="32">
        <f ca="1">IF(AND(Values_Entered,scheduled_no_payments&lt;&gt;1),B297+1,"")</f>
        <v>286</v>
      </c>
      <c r="C298" s="33">
        <f ca="1">IF(Pay_Num&lt;&gt;"",DATE(YEAR(C297)+VLOOKUP(Interval,LoanLookup[],4,FALSE),MONTH(C297)+VLOOKUP(Interval,LoanLookup[],2,FALSE),DAY(C297)+VLOOKUP(Interval,LoanLookup[],3,FALSE)),"")</f>
        <v>53542</v>
      </c>
      <c r="D298" s="34">
        <f t="shared" ca="1" si="14"/>
        <v>0</v>
      </c>
      <c r="E298" s="35">
        <f t="shared" ca="1" si="16"/>
        <v>989.93360882498609</v>
      </c>
      <c r="F298" s="36">
        <f ca="1">IF(scheduled_no_payments=1,"",IF(Sched_Pay+Scheduled_Extra_Payments&lt;Beg_Bal,Scheduled_Extra_Payments,IF(AND(Pay_Num&lt;&gt;"",Beg_Bal-Sched_Pay&gt;0),Beg_Bal-Sched_Pay,IF(Pay_Num&lt;&gt;"",0,""))))</f>
        <v>0</v>
      </c>
      <c r="G298" s="34">
        <f ca="1">IF(scheduled_no_payments=1,"",IF(Sched_Pay+Extra_Pay&lt;Beg_Bal,Sched_Pay+Extra_Pay,IF(Pay_Num&lt;&gt;"",Beg_Bal,"")))</f>
        <v>0</v>
      </c>
      <c r="H298" s="34">
        <f t="shared" ca="1" si="15"/>
        <v>0</v>
      </c>
      <c r="I298" s="34">
        <f ca="1">IF(Pay_Num&lt;&gt;"",Beg_Bal*(Interest_Rate/VLOOKUP(Interval,LoanLookup[],5,FALSE)),"")</f>
        <v>0</v>
      </c>
      <c r="J298" s="34">
        <f ca="1">IF(scheduled_no_payments=1,"",IF(AND(Pay_Num&lt;&gt;"",Sched_Pay+Extra_Pay&lt;Beg_Bal),Beg_Bal-Princ,IF(Pay_Num&lt;&gt;"",0,"")))</f>
        <v>0</v>
      </c>
      <c r="K298" s="34">
        <f ca="1">IF(scheduled_no_payments=1,"",SUM($I$13:$I298))</f>
        <v>87584.066117996466</v>
      </c>
      <c r="L298" s="38"/>
    </row>
    <row r="299" spans="2:12" ht="16.5" customHeight="1" x14ac:dyDescent="0.25">
      <c r="B299" s="32">
        <f ca="1">IF(AND(Values_Entered,scheduled_no_payments&lt;&gt;1),B298+1,"")</f>
        <v>287</v>
      </c>
      <c r="C299" s="33">
        <f ca="1">IF(Pay_Num&lt;&gt;"",DATE(YEAR(C298)+VLOOKUP(Interval,LoanLookup[],4,FALSE),MONTH(C298)+VLOOKUP(Interval,LoanLookup[],2,FALSE),DAY(C298)+VLOOKUP(Interval,LoanLookup[],3,FALSE)),"")</f>
        <v>53573</v>
      </c>
      <c r="D299" s="34">
        <f t="shared" ca="1" si="14"/>
        <v>0</v>
      </c>
      <c r="E299" s="35">
        <f t="shared" ca="1" si="16"/>
        <v>989.93360882498609</v>
      </c>
      <c r="F299" s="36">
        <f ca="1">IF(scheduled_no_payments=1,"",IF(Sched_Pay+Scheduled_Extra_Payments&lt;Beg_Bal,Scheduled_Extra_Payments,IF(AND(Pay_Num&lt;&gt;"",Beg_Bal-Sched_Pay&gt;0),Beg_Bal-Sched_Pay,IF(Pay_Num&lt;&gt;"",0,""))))</f>
        <v>0</v>
      </c>
      <c r="G299" s="34">
        <f ca="1">IF(scheduled_no_payments=1,"",IF(Sched_Pay+Extra_Pay&lt;Beg_Bal,Sched_Pay+Extra_Pay,IF(Pay_Num&lt;&gt;"",Beg_Bal,"")))</f>
        <v>0</v>
      </c>
      <c r="H299" s="34">
        <f t="shared" ca="1" si="15"/>
        <v>0</v>
      </c>
      <c r="I299" s="34">
        <f ca="1">IF(Pay_Num&lt;&gt;"",Beg_Bal*(Interest_Rate/VLOOKUP(Interval,LoanLookup[],5,FALSE)),"")</f>
        <v>0</v>
      </c>
      <c r="J299" s="34">
        <f ca="1">IF(scheduled_no_payments=1,"",IF(AND(Pay_Num&lt;&gt;"",Sched_Pay+Extra_Pay&lt;Beg_Bal),Beg_Bal-Princ,IF(Pay_Num&lt;&gt;"",0,"")))</f>
        <v>0</v>
      </c>
      <c r="K299" s="34">
        <f ca="1">IF(scheduled_no_payments=1,"",SUM($I$13:$I299))</f>
        <v>87584.066117996466</v>
      </c>
      <c r="L299" s="38"/>
    </row>
    <row r="300" spans="2:12" ht="16.5" customHeight="1" x14ac:dyDescent="0.25">
      <c r="B300" s="32">
        <f ca="1">IF(AND(Values_Entered,scheduled_no_payments&lt;&gt;1),B299+1,"")</f>
        <v>288</v>
      </c>
      <c r="C300" s="33">
        <f ca="1">IF(Pay_Num&lt;&gt;"",DATE(YEAR(C299)+VLOOKUP(Interval,LoanLookup[],4,FALSE),MONTH(C299)+VLOOKUP(Interval,LoanLookup[],2,FALSE),DAY(C299)+VLOOKUP(Interval,LoanLookup[],3,FALSE)),"")</f>
        <v>53603</v>
      </c>
      <c r="D300" s="34">
        <f t="shared" ca="1" si="14"/>
        <v>0</v>
      </c>
      <c r="E300" s="35">
        <f t="shared" ca="1" si="16"/>
        <v>989.93360882498609</v>
      </c>
      <c r="F300" s="36">
        <f ca="1">IF(scheduled_no_payments=1,"",IF(Sched_Pay+Scheduled_Extra_Payments&lt;Beg_Bal,Scheduled_Extra_Payments,IF(AND(Pay_Num&lt;&gt;"",Beg_Bal-Sched_Pay&gt;0),Beg_Bal-Sched_Pay,IF(Pay_Num&lt;&gt;"",0,""))))</f>
        <v>0</v>
      </c>
      <c r="G300" s="34">
        <f ca="1">IF(scheduled_no_payments=1,"",IF(Sched_Pay+Extra_Pay&lt;Beg_Bal,Sched_Pay+Extra_Pay,IF(Pay_Num&lt;&gt;"",Beg_Bal,"")))</f>
        <v>0</v>
      </c>
      <c r="H300" s="34">
        <f t="shared" ca="1" si="15"/>
        <v>0</v>
      </c>
      <c r="I300" s="34">
        <f ca="1">IF(Pay_Num&lt;&gt;"",Beg_Bal*(Interest_Rate/VLOOKUP(Interval,LoanLookup[],5,FALSE)),"")</f>
        <v>0</v>
      </c>
      <c r="J300" s="34">
        <f ca="1">IF(scheduled_no_payments=1,"",IF(AND(Pay_Num&lt;&gt;"",Sched_Pay+Extra_Pay&lt;Beg_Bal),Beg_Bal-Princ,IF(Pay_Num&lt;&gt;"",0,"")))</f>
        <v>0</v>
      </c>
      <c r="K300" s="34">
        <f ca="1">IF(scheduled_no_payments=1,"",SUM($I$13:$I300))</f>
        <v>87584.066117996466</v>
      </c>
      <c r="L300" s="38"/>
    </row>
    <row r="301" spans="2:12" ht="16.5" customHeight="1" x14ac:dyDescent="0.25">
      <c r="B301" s="32">
        <f ca="1">IF(AND(Values_Entered,scheduled_no_payments&lt;&gt;1),B300+1,"")</f>
        <v>289</v>
      </c>
      <c r="C301" s="33">
        <f ca="1">IF(Pay_Num&lt;&gt;"",DATE(YEAR(C300)+VLOOKUP(Interval,LoanLookup[],4,FALSE),MONTH(C300)+VLOOKUP(Interval,LoanLookup[],2,FALSE),DAY(C300)+VLOOKUP(Interval,LoanLookup[],3,FALSE)),"")</f>
        <v>53634</v>
      </c>
      <c r="D301" s="34">
        <f t="shared" ca="1" si="14"/>
        <v>0</v>
      </c>
      <c r="E301" s="35">
        <f t="shared" ca="1" si="16"/>
        <v>989.93360882498609</v>
      </c>
      <c r="F301" s="36">
        <f ca="1">IF(scheduled_no_payments=1,"",IF(Sched_Pay+Scheduled_Extra_Payments&lt;Beg_Bal,Scheduled_Extra_Payments,IF(AND(Pay_Num&lt;&gt;"",Beg_Bal-Sched_Pay&gt;0),Beg_Bal-Sched_Pay,IF(Pay_Num&lt;&gt;"",0,""))))</f>
        <v>0</v>
      </c>
      <c r="G301" s="34">
        <f ca="1">IF(scheduled_no_payments=1,"",IF(Sched_Pay+Extra_Pay&lt;Beg_Bal,Sched_Pay+Extra_Pay,IF(Pay_Num&lt;&gt;"",Beg_Bal,"")))</f>
        <v>0</v>
      </c>
      <c r="H301" s="34">
        <f t="shared" ca="1" si="15"/>
        <v>0</v>
      </c>
      <c r="I301" s="34">
        <f ca="1">IF(Pay_Num&lt;&gt;"",Beg_Bal*(Interest_Rate/VLOOKUP(Interval,LoanLookup[],5,FALSE)),"")</f>
        <v>0</v>
      </c>
      <c r="J301" s="34">
        <f ca="1">IF(scheduled_no_payments=1,"",IF(AND(Pay_Num&lt;&gt;"",Sched_Pay+Extra_Pay&lt;Beg_Bal),Beg_Bal-Princ,IF(Pay_Num&lt;&gt;"",0,"")))</f>
        <v>0</v>
      </c>
      <c r="K301" s="34">
        <f ca="1">IF(scheduled_no_payments=1,"",SUM($I$13:$I301))</f>
        <v>87584.066117996466</v>
      </c>
      <c r="L301" s="38"/>
    </row>
    <row r="302" spans="2:12" ht="16.5" customHeight="1" x14ac:dyDescent="0.25">
      <c r="B302" s="32">
        <f ca="1">IF(AND(Values_Entered,scheduled_no_payments&lt;&gt;1),B301+1,"")</f>
        <v>290</v>
      </c>
      <c r="C302" s="33">
        <f ca="1">IF(Pay_Num&lt;&gt;"",DATE(YEAR(C301)+VLOOKUP(Interval,LoanLookup[],4,FALSE),MONTH(C301)+VLOOKUP(Interval,LoanLookup[],2,FALSE),DAY(C301)+VLOOKUP(Interval,LoanLookup[],3,FALSE)),"")</f>
        <v>53664</v>
      </c>
      <c r="D302" s="34">
        <f t="shared" ca="1" si="14"/>
        <v>0</v>
      </c>
      <c r="E302" s="35">
        <f t="shared" ca="1" si="16"/>
        <v>989.93360882498609</v>
      </c>
      <c r="F302" s="36">
        <f ca="1">IF(scheduled_no_payments=1,"",IF(Sched_Pay+Scheduled_Extra_Payments&lt;Beg_Bal,Scheduled_Extra_Payments,IF(AND(Pay_Num&lt;&gt;"",Beg_Bal-Sched_Pay&gt;0),Beg_Bal-Sched_Pay,IF(Pay_Num&lt;&gt;"",0,""))))</f>
        <v>0</v>
      </c>
      <c r="G302" s="34">
        <f ca="1">IF(scheduled_no_payments=1,"",IF(Sched_Pay+Extra_Pay&lt;Beg_Bal,Sched_Pay+Extra_Pay,IF(Pay_Num&lt;&gt;"",Beg_Bal,"")))</f>
        <v>0</v>
      </c>
      <c r="H302" s="34">
        <f t="shared" ca="1" si="15"/>
        <v>0</v>
      </c>
      <c r="I302" s="34">
        <f ca="1">IF(Pay_Num&lt;&gt;"",Beg_Bal*(Interest_Rate/VLOOKUP(Interval,LoanLookup[],5,FALSE)),"")</f>
        <v>0</v>
      </c>
      <c r="J302" s="34">
        <f ca="1">IF(scheduled_no_payments=1,"",IF(AND(Pay_Num&lt;&gt;"",Sched_Pay+Extra_Pay&lt;Beg_Bal),Beg_Bal-Princ,IF(Pay_Num&lt;&gt;"",0,"")))</f>
        <v>0</v>
      </c>
      <c r="K302" s="34">
        <f ca="1">IF(scheduled_no_payments=1,"",SUM($I$13:$I302))</f>
        <v>87584.066117996466</v>
      </c>
      <c r="L302" s="38"/>
    </row>
    <row r="303" spans="2:12" ht="16.5" customHeight="1" x14ac:dyDescent="0.25">
      <c r="B303" s="32">
        <f ca="1">IF(AND(Values_Entered,scheduled_no_payments&lt;&gt;1),B302+1,"")</f>
        <v>291</v>
      </c>
      <c r="C303" s="33">
        <f ca="1">IF(Pay_Num&lt;&gt;"",DATE(YEAR(C302)+VLOOKUP(Interval,LoanLookup[],4,FALSE),MONTH(C302)+VLOOKUP(Interval,LoanLookup[],2,FALSE),DAY(C302)+VLOOKUP(Interval,LoanLookup[],3,FALSE)),"")</f>
        <v>53695</v>
      </c>
      <c r="D303" s="34">
        <f t="shared" ca="1" si="14"/>
        <v>0</v>
      </c>
      <c r="E303" s="35">
        <f t="shared" ca="1" si="16"/>
        <v>989.93360882498609</v>
      </c>
      <c r="F303" s="36">
        <f ca="1">IF(scheduled_no_payments=1,"",IF(Sched_Pay+Scheduled_Extra_Payments&lt;Beg_Bal,Scheduled_Extra_Payments,IF(AND(Pay_Num&lt;&gt;"",Beg_Bal-Sched_Pay&gt;0),Beg_Bal-Sched_Pay,IF(Pay_Num&lt;&gt;"",0,""))))</f>
        <v>0</v>
      </c>
      <c r="G303" s="34">
        <f ca="1">IF(scheduled_no_payments=1,"",IF(Sched_Pay+Extra_Pay&lt;Beg_Bal,Sched_Pay+Extra_Pay,IF(Pay_Num&lt;&gt;"",Beg_Bal,"")))</f>
        <v>0</v>
      </c>
      <c r="H303" s="34">
        <f t="shared" ca="1" si="15"/>
        <v>0</v>
      </c>
      <c r="I303" s="34">
        <f ca="1">IF(Pay_Num&lt;&gt;"",Beg_Bal*(Interest_Rate/VLOOKUP(Interval,LoanLookup[],5,FALSE)),"")</f>
        <v>0</v>
      </c>
      <c r="J303" s="34">
        <f ca="1">IF(scheduled_no_payments=1,"",IF(AND(Pay_Num&lt;&gt;"",Sched_Pay+Extra_Pay&lt;Beg_Bal),Beg_Bal-Princ,IF(Pay_Num&lt;&gt;"",0,"")))</f>
        <v>0</v>
      </c>
      <c r="K303" s="34">
        <f ca="1">IF(scheduled_no_payments=1,"",SUM($I$13:$I303))</f>
        <v>87584.066117996466</v>
      </c>
      <c r="L303" s="38"/>
    </row>
    <row r="304" spans="2:12" ht="16.5" customHeight="1" x14ac:dyDescent="0.25">
      <c r="B304" s="32">
        <f ca="1">IF(AND(Values_Entered,scheduled_no_payments&lt;&gt;1),B303+1,"")</f>
        <v>292</v>
      </c>
      <c r="C304" s="33">
        <f ca="1">IF(Pay_Num&lt;&gt;"",DATE(YEAR(C303)+VLOOKUP(Interval,LoanLookup[],4,FALSE),MONTH(C303)+VLOOKUP(Interval,LoanLookup[],2,FALSE),DAY(C303)+VLOOKUP(Interval,LoanLookup[],3,FALSE)),"")</f>
        <v>53726</v>
      </c>
      <c r="D304" s="34">
        <f t="shared" ca="1" si="14"/>
        <v>0</v>
      </c>
      <c r="E304" s="35">
        <f t="shared" ca="1" si="16"/>
        <v>989.93360882498609</v>
      </c>
      <c r="F304" s="36">
        <f ca="1">IF(scheduled_no_payments=1,"",IF(Sched_Pay+Scheduled_Extra_Payments&lt;Beg_Bal,Scheduled_Extra_Payments,IF(AND(Pay_Num&lt;&gt;"",Beg_Bal-Sched_Pay&gt;0),Beg_Bal-Sched_Pay,IF(Pay_Num&lt;&gt;"",0,""))))</f>
        <v>0</v>
      </c>
      <c r="G304" s="34">
        <f ca="1">IF(scheduled_no_payments=1,"",IF(Sched_Pay+Extra_Pay&lt;Beg_Bal,Sched_Pay+Extra_Pay,IF(Pay_Num&lt;&gt;"",Beg_Bal,"")))</f>
        <v>0</v>
      </c>
      <c r="H304" s="34">
        <f t="shared" ca="1" si="15"/>
        <v>0</v>
      </c>
      <c r="I304" s="34">
        <f ca="1">IF(Pay_Num&lt;&gt;"",Beg_Bal*(Interest_Rate/VLOOKUP(Interval,LoanLookup[],5,FALSE)),"")</f>
        <v>0</v>
      </c>
      <c r="J304" s="34">
        <f ca="1">IF(scheduled_no_payments=1,"",IF(AND(Pay_Num&lt;&gt;"",Sched_Pay+Extra_Pay&lt;Beg_Bal),Beg_Bal-Princ,IF(Pay_Num&lt;&gt;"",0,"")))</f>
        <v>0</v>
      </c>
      <c r="K304" s="34">
        <f ca="1">IF(scheduled_no_payments=1,"",SUM($I$13:$I304))</f>
        <v>87584.066117996466</v>
      </c>
      <c r="L304" s="38"/>
    </row>
    <row r="305" spans="2:12" ht="16.5" customHeight="1" x14ac:dyDescent="0.25">
      <c r="B305" s="32">
        <f ca="1">IF(AND(Values_Entered,scheduled_no_payments&lt;&gt;1),B304+1,"")</f>
        <v>293</v>
      </c>
      <c r="C305" s="33">
        <f ca="1">IF(Pay_Num&lt;&gt;"",DATE(YEAR(C304)+VLOOKUP(Interval,LoanLookup[],4,FALSE),MONTH(C304)+VLOOKUP(Interval,LoanLookup[],2,FALSE),DAY(C304)+VLOOKUP(Interval,LoanLookup[],3,FALSE)),"")</f>
        <v>53754</v>
      </c>
      <c r="D305" s="34">
        <f t="shared" ca="1" si="14"/>
        <v>0</v>
      </c>
      <c r="E305" s="35">
        <f t="shared" ca="1" si="16"/>
        <v>989.93360882498609</v>
      </c>
      <c r="F305" s="36">
        <f ca="1">IF(scheduled_no_payments=1,"",IF(Sched_Pay+Scheduled_Extra_Payments&lt;Beg_Bal,Scheduled_Extra_Payments,IF(AND(Pay_Num&lt;&gt;"",Beg_Bal-Sched_Pay&gt;0),Beg_Bal-Sched_Pay,IF(Pay_Num&lt;&gt;"",0,""))))</f>
        <v>0</v>
      </c>
      <c r="G305" s="34">
        <f ca="1">IF(scheduled_no_payments=1,"",IF(Sched_Pay+Extra_Pay&lt;Beg_Bal,Sched_Pay+Extra_Pay,IF(Pay_Num&lt;&gt;"",Beg_Bal,"")))</f>
        <v>0</v>
      </c>
      <c r="H305" s="34">
        <f t="shared" ca="1" si="15"/>
        <v>0</v>
      </c>
      <c r="I305" s="34">
        <f ca="1">IF(Pay_Num&lt;&gt;"",Beg_Bal*(Interest_Rate/VLOOKUP(Interval,LoanLookup[],5,FALSE)),"")</f>
        <v>0</v>
      </c>
      <c r="J305" s="34">
        <f ca="1">IF(scheduled_no_payments=1,"",IF(AND(Pay_Num&lt;&gt;"",Sched_Pay+Extra_Pay&lt;Beg_Bal),Beg_Bal-Princ,IF(Pay_Num&lt;&gt;"",0,"")))</f>
        <v>0</v>
      </c>
      <c r="K305" s="34">
        <f ca="1">IF(scheduled_no_payments=1,"",SUM($I$13:$I305))</f>
        <v>87584.066117996466</v>
      </c>
      <c r="L305" s="38"/>
    </row>
    <row r="306" spans="2:12" ht="16.5" customHeight="1" x14ac:dyDescent="0.25">
      <c r="B306" s="32">
        <f ca="1">IF(AND(Values_Entered,scheduled_no_payments&lt;&gt;1),B305+1,"")</f>
        <v>294</v>
      </c>
      <c r="C306" s="33">
        <f ca="1">IF(Pay_Num&lt;&gt;"",DATE(YEAR(C305)+VLOOKUP(Interval,LoanLookup[],4,FALSE),MONTH(C305)+VLOOKUP(Interval,LoanLookup[],2,FALSE),DAY(C305)+VLOOKUP(Interval,LoanLookup[],3,FALSE)),"")</f>
        <v>53785</v>
      </c>
      <c r="D306" s="34">
        <f t="shared" ca="1" si="14"/>
        <v>0</v>
      </c>
      <c r="E306" s="35">
        <f t="shared" ca="1" si="16"/>
        <v>989.93360882498609</v>
      </c>
      <c r="F306" s="36">
        <f ca="1">IF(scheduled_no_payments=1,"",IF(Sched_Pay+Scheduled_Extra_Payments&lt;Beg_Bal,Scheduled_Extra_Payments,IF(AND(Pay_Num&lt;&gt;"",Beg_Bal-Sched_Pay&gt;0),Beg_Bal-Sched_Pay,IF(Pay_Num&lt;&gt;"",0,""))))</f>
        <v>0</v>
      </c>
      <c r="G306" s="34">
        <f ca="1">IF(scheduled_no_payments=1,"",IF(Sched_Pay+Extra_Pay&lt;Beg_Bal,Sched_Pay+Extra_Pay,IF(Pay_Num&lt;&gt;"",Beg_Bal,"")))</f>
        <v>0</v>
      </c>
      <c r="H306" s="34">
        <f t="shared" ca="1" si="15"/>
        <v>0</v>
      </c>
      <c r="I306" s="34">
        <f ca="1">IF(Pay_Num&lt;&gt;"",Beg_Bal*(Interest_Rate/VLOOKUP(Interval,LoanLookup[],5,FALSE)),"")</f>
        <v>0</v>
      </c>
      <c r="J306" s="34">
        <f ca="1">IF(scheduled_no_payments=1,"",IF(AND(Pay_Num&lt;&gt;"",Sched_Pay+Extra_Pay&lt;Beg_Bal),Beg_Bal-Princ,IF(Pay_Num&lt;&gt;"",0,"")))</f>
        <v>0</v>
      </c>
      <c r="K306" s="34">
        <f ca="1">IF(scheduled_no_payments=1,"",SUM($I$13:$I306))</f>
        <v>87584.066117996466</v>
      </c>
      <c r="L306" s="38"/>
    </row>
    <row r="307" spans="2:12" ht="16.5" customHeight="1" x14ac:dyDescent="0.25">
      <c r="B307" s="32">
        <f ca="1">IF(AND(Values_Entered,scheduled_no_payments&lt;&gt;1),B306+1,"")</f>
        <v>295</v>
      </c>
      <c r="C307" s="33">
        <f ca="1">IF(Pay_Num&lt;&gt;"",DATE(YEAR(C306)+VLOOKUP(Interval,LoanLookup[],4,FALSE),MONTH(C306)+VLOOKUP(Interval,LoanLookup[],2,FALSE),DAY(C306)+VLOOKUP(Interval,LoanLookup[],3,FALSE)),"")</f>
        <v>53815</v>
      </c>
      <c r="D307" s="34">
        <f t="shared" ca="1" si="14"/>
        <v>0</v>
      </c>
      <c r="E307" s="35">
        <f t="shared" ca="1" si="16"/>
        <v>989.93360882498609</v>
      </c>
      <c r="F307" s="36">
        <f ca="1">IF(scheduled_no_payments=1,"",IF(Sched_Pay+Scheduled_Extra_Payments&lt;Beg_Bal,Scheduled_Extra_Payments,IF(AND(Pay_Num&lt;&gt;"",Beg_Bal-Sched_Pay&gt;0),Beg_Bal-Sched_Pay,IF(Pay_Num&lt;&gt;"",0,""))))</f>
        <v>0</v>
      </c>
      <c r="G307" s="34">
        <f ca="1">IF(scheduled_no_payments=1,"",IF(Sched_Pay+Extra_Pay&lt;Beg_Bal,Sched_Pay+Extra_Pay,IF(Pay_Num&lt;&gt;"",Beg_Bal,"")))</f>
        <v>0</v>
      </c>
      <c r="H307" s="34">
        <f t="shared" ca="1" si="15"/>
        <v>0</v>
      </c>
      <c r="I307" s="34">
        <f ca="1">IF(Pay_Num&lt;&gt;"",Beg_Bal*(Interest_Rate/VLOOKUP(Interval,LoanLookup[],5,FALSE)),"")</f>
        <v>0</v>
      </c>
      <c r="J307" s="34">
        <f ca="1">IF(scheduled_no_payments=1,"",IF(AND(Pay_Num&lt;&gt;"",Sched_Pay+Extra_Pay&lt;Beg_Bal),Beg_Bal-Princ,IF(Pay_Num&lt;&gt;"",0,"")))</f>
        <v>0</v>
      </c>
      <c r="K307" s="34">
        <f ca="1">IF(scheduled_no_payments=1,"",SUM($I$13:$I307))</f>
        <v>87584.066117996466</v>
      </c>
      <c r="L307" s="38"/>
    </row>
    <row r="308" spans="2:12" ht="16.5" customHeight="1" x14ac:dyDescent="0.25">
      <c r="B308" s="32">
        <f ca="1">IF(AND(Values_Entered,scheduled_no_payments&lt;&gt;1),B307+1,"")</f>
        <v>296</v>
      </c>
      <c r="C308" s="33">
        <f ca="1">IF(Pay_Num&lt;&gt;"",DATE(YEAR(C307)+VLOOKUP(Interval,LoanLookup[],4,FALSE),MONTH(C307)+VLOOKUP(Interval,LoanLookup[],2,FALSE),DAY(C307)+VLOOKUP(Interval,LoanLookup[],3,FALSE)),"")</f>
        <v>53846</v>
      </c>
      <c r="D308" s="34">
        <f t="shared" ca="1" si="14"/>
        <v>0</v>
      </c>
      <c r="E308" s="35">
        <f t="shared" ca="1" si="16"/>
        <v>989.93360882498609</v>
      </c>
      <c r="F308" s="36">
        <f ca="1">IF(scheduled_no_payments=1,"",IF(Sched_Pay+Scheduled_Extra_Payments&lt;Beg_Bal,Scheduled_Extra_Payments,IF(AND(Pay_Num&lt;&gt;"",Beg_Bal-Sched_Pay&gt;0),Beg_Bal-Sched_Pay,IF(Pay_Num&lt;&gt;"",0,""))))</f>
        <v>0</v>
      </c>
      <c r="G308" s="34">
        <f ca="1">IF(scheduled_no_payments=1,"",IF(Sched_Pay+Extra_Pay&lt;Beg_Bal,Sched_Pay+Extra_Pay,IF(Pay_Num&lt;&gt;"",Beg_Bal,"")))</f>
        <v>0</v>
      </c>
      <c r="H308" s="34">
        <f t="shared" ca="1" si="15"/>
        <v>0</v>
      </c>
      <c r="I308" s="34">
        <f ca="1">IF(Pay_Num&lt;&gt;"",Beg_Bal*(Interest_Rate/VLOOKUP(Interval,LoanLookup[],5,FALSE)),"")</f>
        <v>0</v>
      </c>
      <c r="J308" s="34">
        <f ca="1">IF(scheduled_no_payments=1,"",IF(AND(Pay_Num&lt;&gt;"",Sched_Pay+Extra_Pay&lt;Beg_Bal),Beg_Bal-Princ,IF(Pay_Num&lt;&gt;"",0,"")))</f>
        <v>0</v>
      </c>
      <c r="K308" s="34">
        <f ca="1">IF(scheduled_no_payments=1,"",SUM($I$13:$I308))</f>
        <v>87584.066117996466</v>
      </c>
      <c r="L308" s="38"/>
    </row>
    <row r="309" spans="2:12" ht="16.5" customHeight="1" x14ac:dyDescent="0.25">
      <c r="B309" s="32">
        <f ca="1">IF(AND(Values_Entered,scheduled_no_payments&lt;&gt;1),B308+1,"")</f>
        <v>297</v>
      </c>
      <c r="C309" s="33">
        <f ca="1">IF(Pay_Num&lt;&gt;"",DATE(YEAR(C308)+VLOOKUP(Interval,LoanLookup[],4,FALSE),MONTH(C308)+VLOOKUP(Interval,LoanLookup[],2,FALSE),DAY(C308)+VLOOKUP(Interval,LoanLookup[],3,FALSE)),"")</f>
        <v>53876</v>
      </c>
      <c r="D309" s="34">
        <f t="shared" ca="1" si="14"/>
        <v>0</v>
      </c>
      <c r="E309" s="35">
        <f t="shared" ca="1" si="16"/>
        <v>989.93360882498609</v>
      </c>
      <c r="F309" s="36">
        <f ca="1">IF(scheduled_no_payments=1,"",IF(Sched_Pay+Scheduled_Extra_Payments&lt;Beg_Bal,Scheduled_Extra_Payments,IF(AND(Pay_Num&lt;&gt;"",Beg_Bal-Sched_Pay&gt;0),Beg_Bal-Sched_Pay,IF(Pay_Num&lt;&gt;"",0,""))))</f>
        <v>0</v>
      </c>
      <c r="G309" s="34">
        <f ca="1">IF(scheduled_no_payments=1,"",IF(Sched_Pay+Extra_Pay&lt;Beg_Bal,Sched_Pay+Extra_Pay,IF(Pay_Num&lt;&gt;"",Beg_Bal,"")))</f>
        <v>0</v>
      </c>
      <c r="H309" s="34">
        <f t="shared" ca="1" si="15"/>
        <v>0</v>
      </c>
      <c r="I309" s="34">
        <f ca="1">IF(Pay_Num&lt;&gt;"",Beg_Bal*(Interest_Rate/VLOOKUP(Interval,LoanLookup[],5,FALSE)),"")</f>
        <v>0</v>
      </c>
      <c r="J309" s="34">
        <f ca="1">IF(scheduled_no_payments=1,"",IF(AND(Pay_Num&lt;&gt;"",Sched_Pay+Extra_Pay&lt;Beg_Bal),Beg_Bal-Princ,IF(Pay_Num&lt;&gt;"",0,"")))</f>
        <v>0</v>
      </c>
      <c r="K309" s="34">
        <f ca="1">IF(scheduled_no_payments=1,"",SUM($I$13:$I309))</f>
        <v>87584.066117996466</v>
      </c>
      <c r="L309" s="38"/>
    </row>
    <row r="310" spans="2:12" ht="16.5" customHeight="1" x14ac:dyDescent="0.25">
      <c r="B310" s="32">
        <f ca="1">IF(AND(Values_Entered,scheduled_no_payments&lt;&gt;1),B309+1,"")</f>
        <v>298</v>
      </c>
      <c r="C310" s="33">
        <f ca="1">IF(Pay_Num&lt;&gt;"",DATE(YEAR(C309)+VLOOKUP(Interval,LoanLookup[],4,FALSE),MONTH(C309)+VLOOKUP(Interval,LoanLookup[],2,FALSE),DAY(C309)+VLOOKUP(Interval,LoanLookup[],3,FALSE)),"")</f>
        <v>53907</v>
      </c>
      <c r="D310" s="34">
        <f t="shared" ca="1" si="14"/>
        <v>0</v>
      </c>
      <c r="E310" s="35">
        <f t="shared" ca="1" si="16"/>
        <v>989.93360882498609</v>
      </c>
      <c r="F310" s="36">
        <f ca="1">IF(scheduled_no_payments=1,"",IF(Sched_Pay+Scheduled_Extra_Payments&lt;Beg_Bal,Scheduled_Extra_Payments,IF(AND(Pay_Num&lt;&gt;"",Beg_Bal-Sched_Pay&gt;0),Beg_Bal-Sched_Pay,IF(Pay_Num&lt;&gt;"",0,""))))</f>
        <v>0</v>
      </c>
      <c r="G310" s="34">
        <f ca="1">IF(scheduled_no_payments=1,"",IF(Sched_Pay+Extra_Pay&lt;Beg_Bal,Sched_Pay+Extra_Pay,IF(Pay_Num&lt;&gt;"",Beg_Bal,"")))</f>
        <v>0</v>
      </c>
      <c r="H310" s="34">
        <f t="shared" ca="1" si="15"/>
        <v>0</v>
      </c>
      <c r="I310" s="34">
        <f ca="1">IF(Pay_Num&lt;&gt;"",Beg_Bal*(Interest_Rate/VLOOKUP(Interval,LoanLookup[],5,FALSE)),"")</f>
        <v>0</v>
      </c>
      <c r="J310" s="34">
        <f ca="1">IF(scheduled_no_payments=1,"",IF(AND(Pay_Num&lt;&gt;"",Sched_Pay+Extra_Pay&lt;Beg_Bal),Beg_Bal-Princ,IF(Pay_Num&lt;&gt;"",0,"")))</f>
        <v>0</v>
      </c>
      <c r="K310" s="34">
        <f ca="1">IF(scheduled_no_payments=1,"",SUM($I$13:$I310))</f>
        <v>87584.066117996466</v>
      </c>
      <c r="L310" s="38"/>
    </row>
    <row r="311" spans="2:12" ht="16.5" customHeight="1" x14ac:dyDescent="0.25">
      <c r="B311" s="32">
        <f ca="1">IF(AND(Values_Entered,scheduled_no_payments&lt;&gt;1),B310+1,"")</f>
        <v>299</v>
      </c>
      <c r="C311" s="33">
        <f ca="1">IF(Pay_Num&lt;&gt;"",DATE(YEAR(C310)+VLOOKUP(Interval,LoanLookup[],4,FALSE),MONTH(C310)+VLOOKUP(Interval,LoanLookup[],2,FALSE),DAY(C310)+VLOOKUP(Interval,LoanLookup[],3,FALSE)),"")</f>
        <v>53938</v>
      </c>
      <c r="D311" s="34">
        <f t="shared" ca="1" si="14"/>
        <v>0</v>
      </c>
      <c r="E311" s="35">
        <f t="shared" ca="1" si="16"/>
        <v>989.93360882498609</v>
      </c>
      <c r="F311" s="36">
        <f ca="1">IF(scheduled_no_payments=1,"",IF(Sched_Pay+Scheduled_Extra_Payments&lt;Beg_Bal,Scheduled_Extra_Payments,IF(AND(Pay_Num&lt;&gt;"",Beg_Bal-Sched_Pay&gt;0),Beg_Bal-Sched_Pay,IF(Pay_Num&lt;&gt;"",0,""))))</f>
        <v>0</v>
      </c>
      <c r="G311" s="34">
        <f ca="1">IF(scheduled_no_payments=1,"",IF(Sched_Pay+Extra_Pay&lt;Beg_Bal,Sched_Pay+Extra_Pay,IF(Pay_Num&lt;&gt;"",Beg_Bal,"")))</f>
        <v>0</v>
      </c>
      <c r="H311" s="34">
        <f t="shared" ca="1" si="15"/>
        <v>0</v>
      </c>
      <c r="I311" s="34">
        <f ca="1">IF(Pay_Num&lt;&gt;"",Beg_Bal*(Interest_Rate/VLOOKUP(Interval,LoanLookup[],5,FALSE)),"")</f>
        <v>0</v>
      </c>
      <c r="J311" s="34">
        <f ca="1">IF(scheduled_no_payments=1,"",IF(AND(Pay_Num&lt;&gt;"",Sched_Pay+Extra_Pay&lt;Beg_Bal),Beg_Bal-Princ,IF(Pay_Num&lt;&gt;"",0,"")))</f>
        <v>0</v>
      </c>
      <c r="K311" s="34">
        <f ca="1">IF(scheduled_no_payments=1,"",SUM($I$13:$I311))</f>
        <v>87584.066117996466</v>
      </c>
      <c r="L311" s="38"/>
    </row>
    <row r="312" spans="2:12" ht="16.5" customHeight="1" x14ac:dyDescent="0.25">
      <c r="B312" s="32">
        <f ca="1">IF(AND(Values_Entered,scheduled_no_payments&lt;&gt;1),B311+1,"")</f>
        <v>300</v>
      </c>
      <c r="C312" s="33">
        <f ca="1">IF(Pay_Num&lt;&gt;"",DATE(YEAR(C311)+VLOOKUP(Interval,LoanLookup[],4,FALSE),MONTH(C311)+VLOOKUP(Interval,LoanLookup[],2,FALSE),DAY(C311)+VLOOKUP(Interval,LoanLookup[],3,FALSE)),"")</f>
        <v>53968</v>
      </c>
      <c r="D312" s="34">
        <f t="shared" ca="1" si="14"/>
        <v>0</v>
      </c>
      <c r="E312" s="35">
        <f t="shared" ca="1" si="16"/>
        <v>989.93360882498609</v>
      </c>
      <c r="F312" s="36">
        <f ca="1">IF(scheduled_no_payments=1,"",IF(Sched_Pay+Scheduled_Extra_Payments&lt;Beg_Bal,Scheduled_Extra_Payments,IF(AND(Pay_Num&lt;&gt;"",Beg_Bal-Sched_Pay&gt;0),Beg_Bal-Sched_Pay,IF(Pay_Num&lt;&gt;"",0,""))))</f>
        <v>0</v>
      </c>
      <c r="G312" s="34">
        <f ca="1">IF(scheduled_no_payments=1,"",IF(Sched_Pay+Extra_Pay&lt;Beg_Bal,Sched_Pay+Extra_Pay,IF(Pay_Num&lt;&gt;"",Beg_Bal,"")))</f>
        <v>0</v>
      </c>
      <c r="H312" s="34">
        <f t="shared" ca="1" si="15"/>
        <v>0</v>
      </c>
      <c r="I312" s="34">
        <f ca="1">IF(Pay_Num&lt;&gt;"",Beg_Bal*(Interest_Rate/VLOOKUP(Interval,LoanLookup[],5,FALSE)),"")</f>
        <v>0</v>
      </c>
      <c r="J312" s="34">
        <f ca="1">IF(scheduled_no_payments=1,"",IF(AND(Pay_Num&lt;&gt;"",Sched_Pay+Extra_Pay&lt;Beg_Bal),Beg_Bal-Princ,IF(Pay_Num&lt;&gt;"",0,"")))</f>
        <v>0</v>
      </c>
      <c r="K312" s="34">
        <f ca="1">IF(scheduled_no_payments=1,"",SUM($I$13:$I312))</f>
        <v>87584.066117996466</v>
      </c>
      <c r="L312" s="38"/>
    </row>
    <row r="313" spans="2:12" ht="16.5" customHeight="1" x14ac:dyDescent="0.25">
      <c r="B313" s="32">
        <f ca="1">IF(AND(Values_Entered,scheduled_no_payments&lt;&gt;1),B312+1,"")</f>
        <v>301</v>
      </c>
      <c r="C313" s="33">
        <f ca="1">IF(Pay_Num&lt;&gt;"",DATE(YEAR(C312)+VLOOKUP(Interval,LoanLookup[],4,FALSE),MONTH(C312)+VLOOKUP(Interval,LoanLookup[],2,FALSE),DAY(C312)+VLOOKUP(Interval,LoanLookup[],3,FALSE)),"")</f>
        <v>53999</v>
      </c>
      <c r="D313" s="34">
        <f t="shared" ca="1" si="14"/>
        <v>0</v>
      </c>
      <c r="E313" s="35">
        <f t="shared" ca="1" si="16"/>
        <v>989.93360882498609</v>
      </c>
      <c r="F313" s="36">
        <f ca="1">IF(scheduled_no_payments=1,"",IF(Sched_Pay+Scheduled_Extra_Payments&lt;Beg_Bal,Scheduled_Extra_Payments,IF(AND(Pay_Num&lt;&gt;"",Beg_Bal-Sched_Pay&gt;0),Beg_Bal-Sched_Pay,IF(Pay_Num&lt;&gt;"",0,""))))</f>
        <v>0</v>
      </c>
      <c r="G313" s="34">
        <f ca="1">IF(scheduled_no_payments=1,"",IF(Sched_Pay+Extra_Pay&lt;Beg_Bal,Sched_Pay+Extra_Pay,IF(Pay_Num&lt;&gt;"",Beg_Bal,"")))</f>
        <v>0</v>
      </c>
      <c r="H313" s="34">
        <f t="shared" ca="1" si="15"/>
        <v>0</v>
      </c>
      <c r="I313" s="34">
        <f ca="1">IF(Pay_Num&lt;&gt;"",Beg_Bal*(Interest_Rate/VLOOKUP(Interval,LoanLookup[],5,FALSE)),"")</f>
        <v>0</v>
      </c>
      <c r="J313" s="34">
        <f ca="1">IF(scheduled_no_payments=1,"",IF(AND(Pay_Num&lt;&gt;"",Sched_Pay+Extra_Pay&lt;Beg_Bal),Beg_Bal-Princ,IF(Pay_Num&lt;&gt;"",0,"")))</f>
        <v>0</v>
      </c>
      <c r="K313" s="34">
        <f ca="1">IF(scheduled_no_payments=1,"",SUM($I$13:$I313))</f>
        <v>87584.066117996466</v>
      </c>
      <c r="L313" s="38"/>
    </row>
    <row r="314" spans="2:12" ht="16.5" customHeight="1" x14ac:dyDescent="0.25">
      <c r="B314" s="32">
        <f ca="1">IF(AND(Values_Entered,scheduled_no_payments&lt;&gt;1),B313+1,"")</f>
        <v>302</v>
      </c>
      <c r="C314" s="33">
        <f ca="1">IF(Pay_Num&lt;&gt;"",DATE(YEAR(C313)+VLOOKUP(Interval,LoanLookup[],4,FALSE),MONTH(C313)+VLOOKUP(Interval,LoanLookup[],2,FALSE),DAY(C313)+VLOOKUP(Interval,LoanLookup[],3,FALSE)),"")</f>
        <v>54029</v>
      </c>
      <c r="D314" s="34">
        <f t="shared" ca="1" si="14"/>
        <v>0</v>
      </c>
      <c r="E314" s="35">
        <f t="shared" ca="1" si="16"/>
        <v>989.93360882498609</v>
      </c>
      <c r="F314" s="36">
        <f ca="1">IF(scheduled_no_payments=1,"",IF(Sched_Pay+Scheduled_Extra_Payments&lt;Beg_Bal,Scheduled_Extra_Payments,IF(AND(Pay_Num&lt;&gt;"",Beg_Bal-Sched_Pay&gt;0),Beg_Bal-Sched_Pay,IF(Pay_Num&lt;&gt;"",0,""))))</f>
        <v>0</v>
      </c>
      <c r="G314" s="34">
        <f ca="1">IF(scheduled_no_payments=1,"",IF(Sched_Pay+Extra_Pay&lt;Beg_Bal,Sched_Pay+Extra_Pay,IF(Pay_Num&lt;&gt;"",Beg_Bal,"")))</f>
        <v>0</v>
      </c>
      <c r="H314" s="34">
        <f t="shared" ca="1" si="15"/>
        <v>0</v>
      </c>
      <c r="I314" s="34">
        <f ca="1">IF(Pay_Num&lt;&gt;"",Beg_Bal*(Interest_Rate/VLOOKUP(Interval,LoanLookup[],5,FALSE)),"")</f>
        <v>0</v>
      </c>
      <c r="J314" s="34">
        <f ca="1">IF(scheduled_no_payments=1,"",IF(AND(Pay_Num&lt;&gt;"",Sched_Pay+Extra_Pay&lt;Beg_Bal),Beg_Bal-Princ,IF(Pay_Num&lt;&gt;"",0,"")))</f>
        <v>0</v>
      </c>
      <c r="K314" s="34">
        <f ca="1">IF(scheduled_no_payments=1,"",SUM($I$13:$I314))</f>
        <v>87584.066117996466</v>
      </c>
      <c r="L314" s="38"/>
    </row>
    <row r="315" spans="2:12" ht="16.5" customHeight="1" x14ac:dyDescent="0.25">
      <c r="B315" s="32">
        <f ca="1">IF(AND(Values_Entered,scheduled_no_payments&lt;&gt;1),B314+1,"")</f>
        <v>303</v>
      </c>
      <c r="C315" s="33">
        <f ca="1">IF(Pay_Num&lt;&gt;"",DATE(YEAR(C314)+VLOOKUP(Interval,LoanLookup[],4,FALSE),MONTH(C314)+VLOOKUP(Interval,LoanLookup[],2,FALSE),DAY(C314)+VLOOKUP(Interval,LoanLookup[],3,FALSE)),"")</f>
        <v>54060</v>
      </c>
      <c r="D315" s="34">
        <f t="shared" ca="1" si="14"/>
        <v>0</v>
      </c>
      <c r="E315" s="35">
        <f t="shared" ca="1" si="16"/>
        <v>989.93360882498609</v>
      </c>
      <c r="F315" s="36">
        <f ca="1">IF(scheduled_no_payments=1,"",IF(Sched_Pay+Scheduled_Extra_Payments&lt;Beg_Bal,Scheduled_Extra_Payments,IF(AND(Pay_Num&lt;&gt;"",Beg_Bal-Sched_Pay&gt;0),Beg_Bal-Sched_Pay,IF(Pay_Num&lt;&gt;"",0,""))))</f>
        <v>0</v>
      </c>
      <c r="G315" s="34">
        <f ca="1">IF(scheduled_no_payments=1,"",IF(Sched_Pay+Extra_Pay&lt;Beg_Bal,Sched_Pay+Extra_Pay,IF(Pay_Num&lt;&gt;"",Beg_Bal,"")))</f>
        <v>0</v>
      </c>
      <c r="H315" s="34">
        <f t="shared" ca="1" si="15"/>
        <v>0</v>
      </c>
      <c r="I315" s="34">
        <f ca="1">IF(Pay_Num&lt;&gt;"",Beg_Bal*(Interest_Rate/VLOOKUP(Interval,LoanLookup[],5,FALSE)),"")</f>
        <v>0</v>
      </c>
      <c r="J315" s="34">
        <f ca="1">IF(scheduled_no_payments=1,"",IF(AND(Pay_Num&lt;&gt;"",Sched_Pay+Extra_Pay&lt;Beg_Bal),Beg_Bal-Princ,IF(Pay_Num&lt;&gt;"",0,"")))</f>
        <v>0</v>
      </c>
      <c r="K315" s="34">
        <f ca="1">IF(scheduled_no_payments=1,"",SUM($I$13:$I315))</f>
        <v>87584.066117996466</v>
      </c>
      <c r="L315" s="38"/>
    </row>
    <row r="316" spans="2:12" ht="16.5" customHeight="1" x14ac:dyDescent="0.25">
      <c r="B316" s="32">
        <f ca="1">IF(AND(Values_Entered,scheduled_no_payments&lt;&gt;1),B315+1,"")</f>
        <v>304</v>
      </c>
      <c r="C316" s="33">
        <f ca="1">IF(Pay_Num&lt;&gt;"",DATE(YEAR(C315)+VLOOKUP(Interval,LoanLookup[],4,FALSE),MONTH(C315)+VLOOKUP(Interval,LoanLookup[],2,FALSE),DAY(C315)+VLOOKUP(Interval,LoanLookup[],3,FALSE)),"")</f>
        <v>54091</v>
      </c>
      <c r="D316" s="34">
        <f t="shared" ca="1" si="14"/>
        <v>0</v>
      </c>
      <c r="E316" s="35">
        <f t="shared" ca="1" si="16"/>
        <v>989.93360882498609</v>
      </c>
      <c r="F316" s="36">
        <f ca="1">IF(scheduled_no_payments=1,"",IF(Sched_Pay+Scheduled_Extra_Payments&lt;Beg_Bal,Scheduled_Extra_Payments,IF(AND(Pay_Num&lt;&gt;"",Beg_Bal-Sched_Pay&gt;0),Beg_Bal-Sched_Pay,IF(Pay_Num&lt;&gt;"",0,""))))</f>
        <v>0</v>
      </c>
      <c r="G316" s="34">
        <f ca="1">IF(scheduled_no_payments=1,"",IF(Sched_Pay+Extra_Pay&lt;Beg_Bal,Sched_Pay+Extra_Pay,IF(Pay_Num&lt;&gt;"",Beg_Bal,"")))</f>
        <v>0</v>
      </c>
      <c r="H316" s="34">
        <f t="shared" ca="1" si="15"/>
        <v>0</v>
      </c>
      <c r="I316" s="34">
        <f ca="1">IF(Pay_Num&lt;&gt;"",Beg_Bal*(Interest_Rate/VLOOKUP(Interval,LoanLookup[],5,FALSE)),"")</f>
        <v>0</v>
      </c>
      <c r="J316" s="34">
        <f ca="1">IF(scheduled_no_payments=1,"",IF(AND(Pay_Num&lt;&gt;"",Sched_Pay+Extra_Pay&lt;Beg_Bal),Beg_Bal-Princ,IF(Pay_Num&lt;&gt;"",0,"")))</f>
        <v>0</v>
      </c>
      <c r="K316" s="34">
        <f ca="1">IF(scheduled_no_payments=1,"",SUM($I$13:$I316))</f>
        <v>87584.066117996466</v>
      </c>
      <c r="L316" s="38"/>
    </row>
    <row r="317" spans="2:12" ht="16.5" customHeight="1" x14ac:dyDescent="0.25">
      <c r="B317" s="32">
        <f ca="1">IF(AND(Values_Entered,scheduled_no_payments&lt;&gt;1),B316+1,"")</f>
        <v>305</v>
      </c>
      <c r="C317" s="33">
        <f ca="1">IF(Pay_Num&lt;&gt;"",DATE(YEAR(C316)+VLOOKUP(Interval,LoanLookup[],4,FALSE),MONTH(C316)+VLOOKUP(Interval,LoanLookup[],2,FALSE),DAY(C316)+VLOOKUP(Interval,LoanLookup[],3,FALSE)),"")</f>
        <v>54120</v>
      </c>
      <c r="D317" s="34">
        <f t="shared" ca="1" si="14"/>
        <v>0</v>
      </c>
      <c r="E317" s="35">
        <f t="shared" ca="1" si="16"/>
        <v>989.93360882498609</v>
      </c>
      <c r="F317" s="36">
        <f ca="1">IF(scheduled_no_payments=1,"",IF(Sched_Pay+Scheduled_Extra_Payments&lt;Beg_Bal,Scheduled_Extra_Payments,IF(AND(Pay_Num&lt;&gt;"",Beg_Bal-Sched_Pay&gt;0),Beg_Bal-Sched_Pay,IF(Pay_Num&lt;&gt;"",0,""))))</f>
        <v>0</v>
      </c>
      <c r="G317" s="34">
        <f ca="1">IF(scheduled_no_payments=1,"",IF(Sched_Pay+Extra_Pay&lt;Beg_Bal,Sched_Pay+Extra_Pay,IF(Pay_Num&lt;&gt;"",Beg_Bal,"")))</f>
        <v>0</v>
      </c>
      <c r="H317" s="34">
        <f t="shared" ca="1" si="15"/>
        <v>0</v>
      </c>
      <c r="I317" s="34">
        <f ca="1">IF(Pay_Num&lt;&gt;"",Beg_Bal*(Interest_Rate/VLOOKUP(Interval,LoanLookup[],5,FALSE)),"")</f>
        <v>0</v>
      </c>
      <c r="J317" s="34">
        <f ca="1">IF(scheduled_no_payments=1,"",IF(AND(Pay_Num&lt;&gt;"",Sched_Pay+Extra_Pay&lt;Beg_Bal),Beg_Bal-Princ,IF(Pay_Num&lt;&gt;"",0,"")))</f>
        <v>0</v>
      </c>
      <c r="K317" s="34">
        <f ca="1">IF(scheduled_no_payments=1,"",SUM($I$13:$I317))</f>
        <v>87584.066117996466</v>
      </c>
      <c r="L317" s="38"/>
    </row>
    <row r="318" spans="2:12" ht="16.5" customHeight="1" x14ac:dyDescent="0.25">
      <c r="B318" s="32">
        <f ca="1">IF(AND(Values_Entered,scheduled_no_payments&lt;&gt;1),B317+1,"")</f>
        <v>306</v>
      </c>
      <c r="C318" s="33">
        <f ca="1">IF(Pay_Num&lt;&gt;"",DATE(YEAR(C317)+VLOOKUP(Interval,LoanLookup[],4,FALSE),MONTH(C317)+VLOOKUP(Interval,LoanLookup[],2,FALSE),DAY(C317)+VLOOKUP(Interval,LoanLookup[],3,FALSE)),"")</f>
        <v>54151</v>
      </c>
      <c r="D318" s="34">
        <f t="shared" ca="1" si="14"/>
        <v>0</v>
      </c>
      <c r="E318" s="35">
        <f t="shared" ca="1" si="16"/>
        <v>989.93360882498609</v>
      </c>
      <c r="F318" s="36">
        <f ca="1">IF(scheduled_no_payments=1,"",IF(Sched_Pay+Scheduled_Extra_Payments&lt;Beg_Bal,Scheduled_Extra_Payments,IF(AND(Pay_Num&lt;&gt;"",Beg_Bal-Sched_Pay&gt;0),Beg_Bal-Sched_Pay,IF(Pay_Num&lt;&gt;"",0,""))))</f>
        <v>0</v>
      </c>
      <c r="G318" s="34">
        <f ca="1">IF(scheduled_no_payments=1,"",IF(Sched_Pay+Extra_Pay&lt;Beg_Bal,Sched_Pay+Extra_Pay,IF(Pay_Num&lt;&gt;"",Beg_Bal,"")))</f>
        <v>0</v>
      </c>
      <c r="H318" s="34">
        <f t="shared" ca="1" si="15"/>
        <v>0</v>
      </c>
      <c r="I318" s="34">
        <f ca="1">IF(Pay_Num&lt;&gt;"",Beg_Bal*(Interest_Rate/VLOOKUP(Interval,LoanLookup[],5,FALSE)),"")</f>
        <v>0</v>
      </c>
      <c r="J318" s="34">
        <f ca="1">IF(scheduled_no_payments=1,"",IF(AND(Pay_Num&lt;&gt;"",Sched_Pay+Extra_Pay&lt;Beg_Bal),Beg_Bal-Princ,IF(Pay_Num&lt;&gt;"",0,"")))</f>
        <v>0</v>
      </c>
      <c r="K318" s="34">
        <f ca="1">IF(scheduled_no_payments=1,"",SUM($I$13:$I318))</f>
        <v>87584.066117996466</v>
      </c>
      <c r="L318" s="38"/>
    </row>
    <row r="319" spans="2:12" ht="16.5" customHeight="1" x14ac:dyDescent="0.25">
      <c r="B319" s="32">
        <f ca="1">IF(AND(Values_Entered,scheduled_no_payments&lt;&gt;1),B318+1,"")</f>
        <v>307</v>
      </c>
      <c r="C319" s="33">
        <f ca="1">IF(Pay_Num&lt;&gt;"",DATE(YEAR(C318)+VLOOKUP(Interval,LoanLookup[],4,FALSE),MONTH(C318)+VLOOKUP(Interval,LoanLookup[],2,FALSE),DAY(C318)+VLOOKUP(Interval,LoanLookup[],3,FALSE)),"")</f>
        <v>54181</v>
      </c>
      <c r="D319" s="34">
        <f t="shared" ca="1" si="14"/>
        <v>0</v>
      </c>
      <c r="E319" s="35">
        <f t="shared" ca="1" si="16"/>
        <v>989.93360882498609</v>
      </c>
      <c r="F319" s="36">
        <f ca="1">IF(scheduled_no_payments=1,"",IF(Sched_Pay+Scheduled_Extra_Payments&lt;Beg_Bal,Scheduled_Extra_Payments,IF(AND(Pay_Num&lt;&gt;"",Beg_Bal-Sched_Pay&gt;0),Beg_Bal-Sched_Pay,IF(Pay_Num&lt;&gt;"",0,""))))</f>
        <v>0</v>
      </c>
      <c r="G319" s="34">
        <f ca="1">IF(scheduled_no_payments=1,"",IF(Sched_Pay+Extra_Pay&lt;Beg_Bal,Sched_Pay+Extra_Pay,IF(Pay_Num&lt;&gt;"",Beg_Bal,"")))</f>
        <v>0</v>
      </c>
      <c r="H319" s="34">
        <f t="shared" ca="1" si="15"/>
        <v>0</v>
      </c>
      <c r="I319" s="34">
        <f ca="1">IF(Pay_Num&lt;&gt;"",Beg_Bal*(Interest_Rate/VLOOKUP(Interval,LoanLookup[],5,FALSE)),"")</f>
        <v>0</v>
      </c>
      <c r="J319" s="34">
        <f ca="1">IF(scheduled_no_payments=1,"",IF(AND(Pay_Num&lt;&gt;"",Sched_Pay+Extra_Pay&lt;Beg_Bal),Beg_Bal-Princ,IF(Pay_Num&lt;&gt;"",0,"")))</f>
        <v>0</v>
      </c>
      <c r="K319" s="34">
        <f ca="1">IF(scheduled_no_payments=1,"",SUM($I$13:$I319))</f>
        <v>87584.066117996466</v>
      </c>
      <c r="L319" s="38"/>
    </row>
    <row r="320" spans="2:12" ht="16.5" customHeight="1" x14ac:dyDescent="0.25">
      <c r="B320" s="32">
        <f ca="1">IF(AND(Values_Entered,scheduled_no_payments&lt;&gt;1),B319+1,"")</f>
        <v>308</v>
      </c>
      <c r="C320" s="33">
        <f ca="1">IF(Pay_Num&lt;&gt;"",DATE(YEAR(C319)+VLOOKUP(Interval,LoanLookup[],4,FALSE),MONTH(C319)+VLOOKUP(Interval,LoanLookup[],2,FALSE),DAY(C319)+VLOOKUP(Interval,LoanLookup[],3,FALSE)),"")</f>
        <v>54212</v>
      </c>
      <c r="D320" s="34">
        <f t="shared" ca="1" si="14"/>
        <v>0</v>
      </c>
      <c r="E320" s="35">
        <f t="shared" ca="1" si="16"/>
        <v>989.93360882498609</v>
      </c>
      <c r="F320" s="36">
        <f ca="1">IF(scheduled_no_payments=1,"",IF(Sched_Pay+Scheduled_Extra_Payments&lt;Beg_Bal,Scheduled_Extra_Payments,IF(AND(Pay_Num&lt;&gt;"",Beg_Bal-Sched_Pay&gt;0),Beg_Bal-Sched_Pay,IF(Pay_Num&lt;&gt;"",0,""))))</f>
        <v>0</v>
      </c>
      <c r="G320" s="34">
        <f ca="1">IF(scheduled_no_payments=1,"",IF(Sched_Pay+Extra_Pay&lt;Beg_Bal,Sched_Pay+Extra_Pay,IF(Pay_Num&lt;&gt;"",Beg_Bal,"")))</f>
        <v>0</v>
      </c>
      <c r="H320" s="34">
        <f t="shared" ca="1" si="15"/>
        <v>0</v>
      </c>
      <c r="I320" s="34">
        <f ca="1">IF(Pay_Num&lt;&gt;"",Beg_Bal*(Interest_Rate/VLOOKUP(Interval,LoanLookup[],5,FALSE)),"")</f>
        <v>0</v>
      </c>
      <c r="J320" s="34">
        <f ca="1">IF(scheduled_no_payments=1,"",IF(AND(Pay_Num&lt;&gt;"",Sched_Pay+Extra_Pay&lt;Beg_Bal),Beg_Bal-Princ,IF(Pay_Num&lt;&gt;"",0,"")))</f>
        <v>0</v>
      </c>
      <c r="K320" s="34">
        <f ca="1">IF(scheduled_no_payments=1,"",SUM($I$13:$I320))</f>
        <v>87584.066117996466</v>
      </c>
      <c r="L320" s="38"/>
    </row>
    <row r="321" spans="2:12" ht="16.5" customHeight="1" x14ac:dyDescent="0.25">
      <c r="B321" s="32">
        <f ca="1">IF(AND(Values_Entered,scheduled_no_payments&lt;&gt;1),B320+1,"")</f>
        <v>309</v>
      </c>
      <c r="C321" s="33">
        <f ca="1">IF(Pay_Num&lt;&gt;"",DATE(YEAR(C320)+VLOOKUP(Interval,LoanLookup[],4,FALSE),MONTH(C320)+VLOOKUP(Interval,LoanLookup[],2,FALSE),DAY(C320)+VLOOKUP(Interval,LoanLookup[],3,FALSE)),"")</f>
        <v>54242</v>
      </c>
      <c r="D321" s="34">
        <f t="shared" ca="1" si="14"/>
        <v>0</v>
      </c>
      <c r="E321" s="35">
        <f t="shared" ca="1" si="16"/>
        <v>989.93360882498609</v>
      </c>
      <c r="F321" s="36">
        <f ca="1">IF(scheduled_no_payments=1,"",IF(Sched_Pay+Scheduled_Extra_Payments&lt;Beg_Bal,Scheduled_Extra_Payments,IF(AND(Pay_Num&lt;&gt;"",Beg_Bal-Sched_Pay&gt;0),Beg_Bal-Sched_Pay,IF(Pay_Num&lt;&gt;"",0,""))))</f>
        <v>0</v>
      </c>
      <c r="G321" s="34">
        <f ca="1">IF(scheduled_no_payments=1,"",IF(Sched_Pay+Extra_Pay&lt;Beg_Bal,Sched_Pay+Extra_Pay,IF(Pay_Num&lt;&gt;"",Beg_Bal,"")))</f>
        <v>0</v>
      </c>
      <c r="H321" s="34">
        <f t="shared" ca="1" si="15"/>
        <v>0</v>
      </c>
      <c r="I321" s="34">
        <f ca="1">IF(Pay_Num&lt;&gt;"",Beg_Bal*(Interest_Rate/VLOOKUP(Interval,LoanLookup[],5,FALSE)),"")</f>
        <v>0</v>
      </c>
      <c r="J321" s="34">
        <f ca="1">IF(scheduled_no_payments=1,"",IF(AND(Pay_Num&lt;&gt;"",Sched_Pay+Extra_Pay&lt;Beg_Bal),Beg_Bal-Princ,IF(Pay_Num&lt;&gt;"",0,"")))</f>
        <v>0</v>
      </c>
      <c r="K321" s="34">
        <f ca="1">IF(scheduled_no_payments=1,"",SUM($I$13:$I321))</f>
        <v>87584.066117996466</v>
      </c>
      <c r="L321" s="38"/>
    </row>
    <row r="322" spans="2:12" ht="16.5" customHeight="1" x14ac:dyDescent="0.25">
      <c r="B322" s="32">
        <f ca="1">IF(AND(Values_Entered,scheduled_no_payments&lt;&gt;1),B321+1,"")</f>
        <v>310</v>
      </c>
      <c r="C322" s="33">
        <f ca="1">IF(Pay_Num&lt;&gt;"",DATE(YEAR(C321)+VLOOKUP(Interval,LoanLookup[],4,FALSE),MONTH(C321)+VLOOKUP(Interval,LoanLookup[],2,FALSE),DAY(C321)+VLOOKUP(Interval,LoanLookup[],3,FALSE)),"")</f>
        <v>54273</v>
      </c>
      <c r="D322" s="34">
        <f t="shared" ca="1" si="14"/>
        <v>0</v>
      </c>
      <c r="E322" s="35">
        <f t="shared" ca="1" si="16"/>
        <v>989.93360882498609</v>
      </c>
      <c r="F322" s="36">
        <f ca="1">IF(scheduled_no_payments=1,"",IF(Sched_Pay+Scheduled_Extra_Payments&lt;Beg_Bal,Scheduled_Extra_Payments,IF(AND(Pay_Num&lt;&gt;"",Beg_Bal-Sched_Pay&gt;0),Beg_Bal-Sched_Pay,IF(Pay_Num&lt;&gt;"",0,""))))</f>
        <v>0</v>
      </c>
      <c r="G322" s="34">
        <f ca="1">IF(scheduled_no_payments=1,"",IF(Sched_Pay+Extra_Pay&lt;Beg_Bal,Sched_Pay+Extra_Pay,IF(Pay_Num&lt;&gt;"",Beg_Bal,"")))</f>
        <v>0</v>
      </c>
      <c r="H322" s="34">
        <f t="shared" ca="1" si="15"/>
        <v>0</v>
      </c>
      <c r="I322" s="34">
        <f ca="1">IF(Pay_Num&lt;&gt;"",Beg_Bal*(Interest_Rate/VLOOKUP(Interval,LoanLookup[],5,FALSE)),"")</f>
        <v>0</v>
      </c>
      <c r="J322" s="34">
        <f ca="1">IF(scheduled_no_payments=1,"",IF(AND(Pay_Num&lt;&gt;"",Sched_Pay+Extra_Pay&lt;Beg_Bal),Beg_Bal-Princ,IF(Pay_Num&lt;&gt;"",0,"")))</f>
        <v>0</v>
      </c>
      <c r="K322" s="34">
        <f ca="1">IF(scheduled_no_payments=1,"",SUM($I$13:$I322))</f>
        <v>87584.066117996466</v>
      </c>
      <c r="L322" s="38"/>
    </row>
    <row r="323" spans="2:12" ht="16.5" customHeight="1" x14ac:dyDescent="0.25">
      <c r="B323" s="32">
        <f ca="1">IF(AND(Values_Entered,scheduled_no_payments&lt;&gt;1),B322+1,"")</f>
        <v>311</v>
      </c>
      <c r="C323" s="33">
        <f ca="1">IF(Pay_Num&lt;&gt;"",DATE(YEAR(C322)+VLOOKUP(Interval,LoanLookup[],4,FALSE),MONTH(C322)+VLOOKUP(Interval,LoanLookup[],2,FALSE),DAY(C322)+VLOOKUP(Interval,LoanLookup[],3,FALSE)),"")</f>
        <v>54304</v>
      </c>
      <c r="D323" s="34">
        <f t="shared" ca="1" si="14"/>
        <v>0</v>
      </c>
      <c r="E323" s="35">
        <f t="shared" ca="1" si="16"/>
        <v>989.93360882498609</v>
      </c>
      <c r="F323" s="36">
        <f ca="1">IF(scheduled_no_payments=1,"",IF(Sched_Pay+Scheduled_Extra_Payments&lt;Beg_Bal,Scheduled_Extra_Payments,IF(AND(Pay_Num&lt;&gt;"",Beg_Bal-Sched_Pay&gt;0),Beg_Bal-Sched_Pay,IF(Pay_Num&lt;&gt;"",0,""))))</f>
        <v>0</v>
      </c>
      <c r="G323" s="34">
        <f ca="1">IF(scheduled_no_payments=1,"",IF(Sched_Pay+Extra_Pay&lt;Beg_Bal,Sched_Pay+Extra_Pay,IF(Pay_Num&lt;&gt;"",Beg_Bal,"")))</f>
        <v>0</v>
      </c>
      <c r="H323" s="34">
        <f t="shared" ca="1" si="15"/>
        <v>0</v>
      </c>
      <c r="I323" s="34">
        <f ca="1">IF(Pay_Num&lt;&gt;"",Beg_Bal*(Interest_Rate/VLOOKUP(Interval,LoanLookup[],5,FALSE)),"")</f>
        <v>0</v>
      </c>
      <c r="J323" s="34">
        <f ca="1">IF(scheduled_no_payments=1,"",IF(AND(Pay_Num&lt;&gt;"",Sched_Pay+Extra_Pay&lt;Beg_Bal),Beg_Bal-Princ,IF(Pay_Num&lt;&gt;"",0,"")))</f>
        <v>0</v>
      </c>
      <c r="K323" s="34">
        <f ca="1">IF(scheduled_no_payments=1,"",SUM($I$13:$I323))</f>
        <v>87584.066117996466</v>
      </c>
      <c r="L323" s="38"/>
    </row>
    <row r="324" spans="2:12" ht="16.5" customHeight="1" x14ac:dyDescent="0.25">
      <c r="B324" s="32">
        <f ca="1">IF(AND(Values_Entered,scheduled_no_payments&lt;&gt;1),B323+1,"")</f>
        <v>312</v>
      </c>
      <c r="C324" s="33">
        <f ca="1">IF(Pay_Num&lt;&gt;"",DATE(YEAR(C323)+VLOOKUP(Interval,LoanLookup[],4,FALSE),MONTH(C323)+VLOOKUP(Interval,LoanLookup[],2,FALSE),DAY(C323)+VLOOKUP(Interval,LoanLookup[],3,FALSE)),"")</f>
        <v>54334</v>
      </c>
      <c r="D324" s="34">
        <f t="shared" ca="1" si="14"/>
        <v>0</v>
      </c>
      <c r="E324" s="35">
        <f t="shared" ca="1" si="16"/>
        <v>989.93360882498609</v>
      </c>
      <c r="F324" s="36">
        <f ca="1">IF(scheduled_no_payments=1,"",IF(Sched_Pay+Scheduled_Extra_Payments&lt;Beg_Bal,Scheduled_Extra_Payments,IF(AND(Pay_Num&lt;&gt;"",Beg_Bal-Sched_Pay&gt;0),Beg_Bal-Sched_Pay,IF(Pay_Num&lt;&gt;"",0,""))))</f>
        <v>0</v>
      </c>
      <c r="G324" s="34">
        <f ca="1">IF(scheduled_no_payments=1,"",IF(Sched_Pay+Extra_Pay&lt;Beg_Bal,Sched_Pay+Extra_Pay,IF(Pay_Num&lt;&gt;"",Beg_Bal,"")))</f>
        <v>0</v>
      </c>
      <c r="H324" s="34">
        <f t="shared" ca="1" si="15"/>
        <v>0</v>
      </c>
      <c r="I324" s="34">
        <f ca="1">IF(Pay_Num&lt;&gt;"",Beg_Bal*(Interest_Rate/VLOOKUP(Interval,LoanLookup[],5,FALSE)),"")</f>
        <v>0</v>
      </c>
      <c r="J324" s="34">
        <f ca="1">IF(scheduled_no_payments=1,"",IF(AND(Pay_Num&lt;&gt;"",Sched_Pay+Extra_Pay&lt;Beg_Bal),Beg_Bal-Princ,IF(Pay_Num&lt;&gt;"",0,"")))</f>
        <v>0</v>
      </c>
      <c r="K324" s="34">
        <f ca="1">IF(scheduled_no_payments=1,"",SUM($I$13:$I324))</f>
        <v>87584.066117996466</v>
      </c>
      <c r="L324" s="38"/>
    </row>
    <row r="325" spans="2:12" ht="16.5" customHeight="1" x14ac:dyDescent="0.25">
      <c r="B325" s="32">
        <f ca="1">IF(AND(Values_Entered,scheduled_no_payments&lt;&gt;1),B324+1,"")</f>
        <v>313</v>
      </c>
      <c r="C325" s="33">
        <f ca="1">IF(Pay_Num&lt;&gt;"",DATE(YEAR(C324)+VLOOKUP(Interval,LoanLookup[],4,FALSE),MONTH(C324)+VLOOKUP(Interval,LoanLookup[],2,FALSE),DAY(C324)+VLOOKUP(Interval,LoanLookup[],3,FALSE)),"")</f>
        <v>54365</v>
      </c>
      <c r="D325" s="34">
        <f t="shared" ca="1" si="14"/>
        <v>0</v>
      </c>
      <c r="E325" s="35">
        <f t="shared" ca="1" si="16"/>
        <v>989.93360882498609</v>
      </c>
      <c r="F325" s="36">
        <f ca="1">IF(scheduled_no_payments=1,"",IF(Sched_Pay+Scheduled_Extra_Payments&lt;Beg_Bal,Scheduled_Extra_Payments,IF(AND(Pay_Num&lt;&gt;"",Beg_Bal-Sched_Pay&gt;0),Beg_Bal-Sched_Pay,IF(Pay_Num&lt;&gt;"",0,""))))</f>
        <v>0</v>
      </c>
      <c r="G325" s="34">
        <f ca="1">IF(scheduled_no_payments=1,"",IF(Sched_Pay+Extra_Pay&lt;Beg_Bal,Sched_Pay+Extra_Pay,IF(Pay_Num&lt;&gt;"",Beg_Bal,"")))</f>
        <v>0</v>
      </c>
      <c r="H325" s="34">
        <f t="shared" ca="1" si="15"/>
        <v>0</v>
      </c>
      <c r="I325" s="34">
        <f ca="1">IF(Pay_Num&lt;&gt;"",Beg_Bal*(Interest_Rate/VLOOKUP(Interval,LoanLookup[],5,FALSE)),"")</f>
        <v>0</v>
      </c>
      <c r="J325" s="34">
        <f ca="1">IF(scheduled_no_payments=1,"",IF(AND(Pay_Num&lt;&gt;"",Sched_Pay+Extra_Pay&lt;Beg_Bal),Beg_Bal-Princ,IF(Pay_Num&lt;&gt;"",0,"")))</f>
        <v>0</v>
      </c>
      <c r="K325" s="34">
        <f ca="1">IF(scheduled_no_payments=1,"",SUM($I$13:$I325))</f>
        <v>87584.066117996466</v>
      </c>
      <c r="L325" s="38"/>
    </row>
    <row r="326" spans="2:12" ht="16.5" customHeight="1" x14ac:dyDescent="0.25">
      <c r="B326" s="32">
        <f ca="1">IF(AND(Values_Entered,scheduled_no_payments&lt;&gt;1),B325+1,"")</f>
        <v>314</v>
      </c>
      <c r="C326" s="33">
        <f ca="1">IF(Pay_Num&lt;&gt;"",DATE(YEAR(C325)+VLOOKUP(Interval,LoanLookup[],4,FALSE),MONTH(C325)+VLOOKUP(Interval,LoanLookup[],2,FALSE),DAY(C325)+VLOOKUP(Interval,LoanLookup[],3,FALSE)),"")</f>
        <v>54395</v>
      </c>
      <c r="D326" s="34">
        <f t="shared" ca="1" si="14"/>
        <v>0</v>
      </c>
      <c r="E326" s="35">
        <f t="shared" ca="1" si="16"/>
        <v>989.93360882498609</v>
      </c>
      <c r="F326" s="36">
        <f ca="1">IF(scheduled_no_payments=1,"",IF(Sched_Pay+Scheduled_Extra_Payments&lt;Beg_Bal,Scheduled_Extra_Payments,IF(AND(Pay_Num&lt;&gt;"",Beg_Bal-Sched_Pay&gt;0),Beg_Bal-Sched_Pay,IF(Pay_Num&lt;&gt;"",0,""))))</f>
        <v>0</v>
      </c>
      <c r="G326" s="34">
        <f ca="1">IF(scheduled_no_payments=1,"",IF(Sched_Pay+Extra_Pay&lt;Beg_Bal,Sched_Pay+Extra_Pay,IF(Pay_Num&lt;&gt;"",Beg_Bal,"")))</f>
        <v>0</v>
      </c>
      <c r="H326" s="34">
        <f t="shared" ca="1" si="15"/>
        <v>0</v>
      </c>
      <c r="I326" s="34">
        <f ca="1">IF(Pay_Num&lt;&gt;"",Beg_Bal*(Interest_Rate/VLOOKUP(Interval,LoanLookup[],5,FALSE)),"")</f>
        <v>0</v>
      </c>
      <c r="J326" s="34">
        <f ca="1">IF(scheduled_no_payments=1,"",IF(AND(Pay_Num&lt;&gt;"",Sched_Pay+Extra_Pay&lt;Beg_Bal),Beg_Bal-Princ,IF(Pay_Num&lt;&gt;"",0,"")))</f>
        <v>0</v>
      </c>
      <c r="K326" s="34">
        <f ca="1">IF(scheduled_no_payments=1,"",SUM($I$13:$I326))</f>
        <v>87584.066117996466</v>
      </c>
      <c r="L326" s="38"/>
    </row>
    <row r="327" spans="2:12" ht="16.5" customHeight="1" x14ac:dyDescent="0.25">
      <c r="B327" s="32">
        <f ca="1">IF(AND(Values_Entered,scheduled_no_payments&lt;&gt;1),B326+1,"")</f>
        <v>315</v>
      </c>
      <c r="C327" s="33">
        <f ca="1">IF(Pay_Num&lt;&gt;"",DATE(YEAR(C326)+VLOOKUP(Interval,LoanLookup[],4,FALSE),MONTH(C326)+VLOOKUP(Interval,LoanLookup[],2,FALSE),DAY(C326)+VLOOKUP(Interval,LoanLookup[],3,FALSE)),"")</f>
        <v>54426</v>
      </c>
      <c r="D327" s="34">
        <f t="shared" ca="1" si="14"/>
        <v>0</v>
      </c>
      <c r="E327" s="35">
        <f t="shared" ca="1" si="16"/>
        <v>989.93360882498609</v>
      </c>
      <c r="F327" s="36">
        <f ca="1">IF(scheduled_no_payments=1,"",IF(Sched_Pay+Scheduled_Extra_Payments&lt;Beg_Bal,Scheduled_Extra_Payments,IF(AND(Pay_Num&lt;&gt;"",Beg_Bal-Sched_Pay&gt;0),Beg_Bal-Sched_Pay,IF(Pay_Num&lt;&gt;"",0,""))))</f>
        <v>0</v>
      </c>
      <c r="G327" s="34">
        <f ca="1">IF(scheduled_no_payments=1,"",IF(Sched_Pay+Extra_Pay&lt;Beg_Bal,Sched_Pay+Extra_Pay,IF(Pay_Num&lt;&gt;"",Beg_Bal,"")))</f>
        <v>0</v>
      </c>
      <c r="H327" s="34">
        <f t="shared" ca="1" si="15"/>
        <v>0</v>
      </c>
      <c r="I327" s="34">
        <f ca="1">IF(Pay_Num&lt;&gt;"",Beg_Bal*(Interest_Rate/VLOOKUP(Interval,LoanLookup[],5,FALSE)),"")</f>
        <v>0</v>
      </c>
      <c r="J327" s="34">
        <f ca="1">IF(scheduled_no_payments=1,"",IF(AND(Pay_Num&lt;&gt;"",Sched_Pay+Extra_Pay&lt;Beg_Bal),Beg_Bal-Princ,IF(Pay_Num&lt;&gt;"",0,"")))</f>
        <v>0</v>
      </c>
      <c r="K327" s="34">
        <f ca="1">IF(scheduled_no_payments=1,"",SUM($I$13:$I327))</f>
        <v>87584.066117996466</v>
      </c>
      <c r="L327" s="38"/>
    </row>
    <row r="328" spans="2:12" ht="16.5" customHeight="1" x14ac:dyDescent="0.25">
      <c r="B328" s="32">
        <f ca="1">IF(AND(Values_Entered,scheduled_no_payments&lt;&gt;1),B327+1,"")</f>
        <v>316</v>
      </c>
      <c r="C328" s="33">
        <f ca="1">IF(Pay_Num&lt;&gt;"",DATE(YEAR(C327)+VLOOKUP(Interval,LoanLookup[],4,FALSE),MONTH(C327)+VLOOKUP(Interval,LoanLookup[],2,FALSE),DAY(C327)+VLOOKUP(Interval,LoanLookup[],3,FALSE)),"")</f>
        <v>54457</v>
      </c>
      <c r="D328" s="34">
        <f t="shared" ca="1" si="14"/>
        <v>0</v>
      </c>
      <c r="E328" s="35">
        <f t="shared" ca="1" si="16"/>
        <v>989.93360882498609</v>
      </c>
      <c r="F328" s="36">
        <f ca="1">IF(scheduled_no_payments=1,"",IF(Sched_Pay+Scheduled_Extra_Payments&lt;Beg_Bal,Scheduled_Extra_Payments,IF(AND(Pay_Num&lt;&gt;"",Beg_Bal-Sched_Pay&gt;0),Beg_Bal-Sched_Pay,IF(Pay_Num&lt;&gt;"",0,""))))</f>
        <v>0</v>
      </c>
      <c r="G328" s="34">
        <f ca="1">IF(scheduled_no_payments=1,"",IF(Sched_Pay+Extra_Pay&lt;Beg_Bal,Sched_Pay+Extra_Pay,IF(Pay_Num&lt;&gt;"",Beg_Bal,"")))</f>
        <v>0</v>
      </c>
      <c r="H328" s="34">
        <f t="shared" ca="1" si="15"/>
        <v>0</v>
      </c>
      <c r="I328" s="34">
        <f ca="1">IF(Pay_Num&lt;&gt;"",Beg_Bal*(Interest_Rate/VLOOKUP(Interval,LoanLookup[],5,FALSE)),"")</f>
        <v>0</v>
      </c>
      <c r="J328" s="34">
        <f ca="1">IF(scheduled_no_payments=1,"",IF(AND(Pay_Num&lt;&gt;"",Sched_Pay+Extra_Pay&lt;Beg_Bal),Beg_Bal-Princ,IF(Pay_Num&lt;&gt;"",0,"")))</f>
        <v>0</v>
      </c>
      <c r="K328" s="34">
        <f ca="1">IF(scheduled_no_payments=1,"",SUM($I$13:$I328))</f>
        <v>87584.066117996466</v>
      </c>
      <c r="L328" s="38"/>
    </row>
    <row r="329" spans="2:12" ht="16.5" customHeight="1" x14ac:dyDescent="0.25">
      <c r="B329" s="32">
        <f ca="1">IF(AND(Values_Entered,scheduled_no_payments&lt;&gt;1),B328+1,"")</f>
        <v>317</v>
      </c>
      <c r="C329" s="33">
        <f ca="1">IF(Pay_Num&lt;&gt;"",DATE(YEAR(C328)+VLOOKUP(Interval,LoanLookup[],4,FALSE),MONTH(C328)+VLOOKUP(Interval,LoanLookup[],2,FALSE),DAY(C328)+VLOOKUP(Interval,LoanLookup[],3,FALSE)),"")</f>
        <v>54485</v>
      </c>
      <c r="D329" s="34">
        <f t="shared" ca="1" si="14"/>
        <v>0</v>
      </c>
      <c r="E329" s="35">
        <f t="shared" ca="1" si="16"/>
        <v>989.93360882498609</v>
      </c>
      <c r="F329" s="36">
        <f ca="1">IF(scheduled_no_payments=1,"",IF(Sched_Pay+Scheduled_Extra_Payments&lt;Beg_Bal,Scheduled_Extra_Payments,IF(AND(Pay_Num&lt;&gt;"",Beg_Bal-Sched_Pay&gt;0),Beg_Bal-Sched_Pay,IF(Pay_Num&lt;&gt;"",0,""))))</f>
        <v>0</v>
      </c>
      <c r="G329" s="34">
        <f ca="1">IF(scheduled_no_payments=1,"",IF(Sched_Pay+Extra_Pay&lt;Beg_Bal,Sched_Pay+Extra_Pay,IF(Pay_Num&lt;&gt;"",Beg_Bal,"")))</f>
        <v>0</v>
      </c>
      <c r="H329" s="34">
        <f t="shared" ca="1" si="15"/>
        <v>0</v>
      </c>
      <c r="I329" s="34">
        <f ca="1">IF(Pay_Num&lt;&gt;"",Beg_Bal*(Interest_Rate/VLOOKUP(Interval,LoanLookup[],5,FALSE)),"")</f>
        <v>0</v>
      </c>
      <c r="J329" s="34">
        <f ca="1">IF(scheduled_no_payments=1,"",IF(AND(Pay_Num&lt;&gt;"",Sched_Pay+Extra_Pay&lt;Beg_Bal),Beg_Bal-Princ,IF(Pay_Num&lt;&gt;"",0,"")))</f>
        <v>0</v>
      </c>
      <c r="K329" s="34">
        <f ca="1">IF(scheduled_no_payments=1,"",SUM($I$13:$I329))</f>
        <v>87584.066117996466</v>
      </c>
      <c r="L329" s="38"/>
    </row>
    <row r="330" spans="2:12" ht="16.5" customHeight="1" x14ac:dyDescent="0.25">
      <c r="B330" s="32">
        <f ca="1">IF(AND(Values_Entered,scheduled_no_payments&lt;&gt;1),B329+1,"")</f>
        <v>318</v>
      </c>
      <c r="C330" s="33">
        <f ca="1">IF(Pay_Num&lt;&gt;"",DATE(YEAR(C329)+VLOOKUP(Interval,LoanLookup[],4,FALSE),MONTH(C329)+VLOOKUP(Interval,LoanLookup[],2,FALSE),DAY(C329)+VLOOKUP(Interval,LoanLookup[],3,FALSE)),"")</f>
        <v>54516</v>
      </c>
      <c r="D330" s="34">
        <f t="shared" ca="1" si="14"/>
        <v>0</v>
      </c>
      <c r="E330" s="35">
        <f t="shared" ca="1" si="16"/>
        <v>989.93360882498609</v>
      </c>
      <c r="F330" s="36">
        <f ca="1">IF(scheduled_no_payments=1,"",IF(Sched_Pay+Scheduled_Extra_Payments&lt;Beg_Bal,Scheduled_Extra_Payments,IF(AND(Pay_Num&lt;&gt;"",Beg_Bal-Sched_Pay&gt;0),Beg_Bal-Sched_Pay,IF(Pay_Num&lt;&gt;"",0,""))))</f>
        <v>0</v>
      </c>
      <c r="G330" s="34">
        <f ca="1">IF(scheduled_no_payments=1,"",IF(Sched_Pay+Extra_Pay&lt;Beg_Bal,Sched_Pay+Extra_Pay,IF(Pay_Num&lt;&gt;"",Beg_Bal,"")))</f>
        <v>0</v>
      </c>
      <c r="H330" s="34">
        <f t="shared" ca="1" si="15"/>
        <v>0</v>
      </c>
      <c r="I330" s="34">
        <f ca="1">IF(Pay_Num&lt;&gt;"",Beg_Bal*(Interest_Rate/VLOOKUP(Interval,LoanLookup[],5,FALSE)),"")</f>
        <v>0</v>
      </c>
      <c r="J330" s="34">
        <f ca="1">IF(scheduled_no_payments=1,"",IF(AND(Pay_Num&lt;&gt;"",Sched_Pay+Extra_Pay&lt;Beg_Bal),Beg_Bal-Princ,IF(Pay_Num&lt;&gt;"",0,"")))</f>
        <v>0</v>
      </c>
      <c r="K330" s="34">
        <f ca="1">IF(scheduled_no_payments=1,"",SUM($I$13:$I330))</f>
        <v>87584.066117996466</v>
      </c>
      <c r="L330" s="38"/>
    </row>
    <row r="331" spans="2:12" ht="16.5" customHeight="1" x14ac:dyDescent="0.25">
      <c r="B331" s="32">
        <f ca="1">IF(AND(Values_Entered,scheduled_no_payments&lt;&gt;1),B330+1,"")</f>
        <v>319</v>
      </c>
      <c r="C331" s="33">
        <f ca="1">IF(Pay_Num&lt;&gt;"",DATE(YEAR(C330)+VLOOKUP(Interval,LoanLookup[],4,FALSE),MONTH(C330)+VLOOKUP(Interval,LoanLookup[],2,FALSE),DAY(C330)+VLOOKUP(Interval,LoanLookup[],3,FALSE)),"")</f>
        <v>54546</v>
      </c>
      <c r="D331" s="34">
        <f t="shared" ca="1" si="14"/>
        <v>0</v>
      </c>
      <c r="E331" s="35">
        <f t="shared" ca="1" si="16"/>
        <v>989.93360882498609</v>
      </c>
      <c r="F331" s="36">
        <f ca="1">IF(scheduled_no_payments=1,"",IF(Sched_Pay+Scheduled_Extra_Payments&lt;Beg_Bal,Scheduled_Extra_Payments,IF(AND(Pay_Num&lt;&gt;"",Beg_Bal-Sched_Pay&gt;0),Beg_Bal-Sched_Pay,IF(Pay_Num&lt;&gt;"",0,""))))</f>
        <v>0</v>
      </c>
      <c r="G331" s="34">
        <f ca="1">IF(scheduled_no_payments=1,"",IF(Sched_Pay+Extra_Pay&lt;Beg_Bal,Sched_Pay+Extra_Pay,IF(Pay_Num&lt;&gt;"",Beg_Bal,"")))</f>
        <v>0</v>
      </c>
      <c r="H331" s="34">
        <f t="shared" ca="1" si="15"/>
        <v>0</v>
      </c>
      <c r="I331" s="34">
        <f ca="1">IF(Pay_Num&lt;&gt;"",Beg_Bal*(Interest_Rate/VLOOKUP(Interval,LoanLookup[],5,FALSE)),"")</f>
        <v>0</v>
      </c>
      <c r="J331" s="34">
        <f ca="1">IF(scheduled_no_payments=1,"",IF(AND(Pay_Num&lt;&gt;"",Sched_Pay+Extra_Pay&lt;Beg_Bal),Beg_Bal-Princ,IF(Pay_Num&lt;&gt;"",0,"")))</f>
        <v>0</v>
      </c>
      <c r="K331" s="34">
        <f ca="1">IF(scheduled_no_payments=1,"",SUM($I$13:$I331))</f>
        <v>87584.066117996466</v>
      </c>
      <c r="L331" s="38"/>
    </row>
    <row r="332" spans="2:12" ht="16.5" customHeight="1" x14ac:dyDescent="0.25">
      <c r="B332" s="32">
        <f ca="1">IF(AND(Values_Entered,scheduled_no_payments&lt;&gt;1),B331+1,"")</f>
        <v>320</v>
      </c>
      <c r="C332" s="33">
        <f ca="1">IF(Pay_Num&lt;&gt;"",DATE(YEAR(C331)+VLOOKUP(Interval,LoanLookup[],4,FALSE),MONTH(C331)+VLOOKUP(Interval,LoanLookup[],2,FALSE),DAY(C331)+VLOOKUP(Interval,LoanLookup[],3,FALSE)),"")</f>
        <v>54577</v>
      </c>
      <c r="D332" s="34">
        <f t="shared" ca="1" si="14"/>
        <v>0</v>
      </c>
      <c r="E332" s="35">
        <f t="shared" ca="1" si="16"/>
        <v>989.93360882498609</v>
      </c>
      <c r="F332" s="36">
        <f ca="1">IF(scheduled_no_payments=1,"",IF(Sched_Pay+Scheduled_Extra_Payments&lt;Beg_Bal,Scheduled_Extra_Payments,IF(AND(Pay_Num&lt;&gt;"",Beg_Bal-Sched_Pay&gt;0),Beg_Bal-Sched_Pay,IF(Pay_Num&lt;&gt;"",0,""))))</f>
        <v>0</v>
      </c>
      <c r="G332" s="34">
        <f ca="1">IF(scheduled_no_payments=1,"",IF(Sched_Pay+Extra_Pay&lt;Beg_Bal,Sched_Pay+Extra_Pay,IF(Pay_Num&lt;&gt;"",Beg_Bal,"")))</f>
        <v>0</v>
      </c>
      <c r="H332" s="34">
        <f t="shared" ca="1" si="15"/>
        <v>0</v>
      </c>
      <c r="I332" s="34">
        <f ca="1">IF(Pay_Num&lt;&gt;"",Beg_Bal*(Interest_Rate/VLOOKUP(Interval,LoanLookup[],5,FALSE)),"")</f>
        <v>0</v>
      </c>
      <c r="J332" s="34">
        <f ca="1">IF(scheduled_no_payments=1,"",IF(AND(Pay_Num&lt;&gt;"",Sched_Pay+Extra_Pay&lt;Beg_Bal),Beg_Bal-Princ,IF(Pay_Num&lt;&gt;"",0,"")))</f>
        <v>0</v>
      </c>
      <c r="K332" s="34">
        <f ca="1">IF(scheduled_no_payments=1,"",SUM($I$13:$I332))</f>
        <v>87584.066117996466</v>
      </c>
      <c r="L332" s="38"/>
    </row>
    <row r="333" spans="2:12" ht="16.5" customHeight="1" x14ac:dyDescent="0.25">
      <c r="B333" s="32">
        <f ca="1">IF(AND(Values_Entered,scheduled_no_payments&lt;&gt;1),B332+1,"")</f>
        <v>321</v>
      </c>
      <c r="C333" s="33">
        <f ca="1">IF(Pay_Num&lt;&gt;"",DATE(YEAR(C332)+VLOOKUP(Interval,LoanLookup[],4,FALSE),MONTH(C332)+VLOOKUP(Interval,LoanLookup[],2,FALSE),DAY(C332)+VLOOKUP(Interval,LoanLookup[],3,FALSE)),"")</f>
        <v>54607</v>
      </c>
      <c r="D333" s="34">
        <f t="shared" ca="1" si="14"/>
        <v>0</v>
      </c>
      <c r="E333" s="35">
        <f t="shared" ca="1" si="16"/>
        <v>989.93360882498609</v>
      </c>
      <c r="F333" s="36">
        <f ca="1">IF(scheduled_no_payments=1,"",IF(Sched_Pay+Scheduled_Extra_Payments&lt;Beg_Bal,Scheduled_Extra_Payments,IF(AND(Pay_Num&lt;&gt;"",Beg_Bal-Sched_Pay&gt;0),Beg_Bal-Sched_Pay,IF(Pay_Num&lt;&gt;"",0,""))))</f>
        <v>0</v>
      </c>
      <c r="G333" s="34">
        <f ca="1">IF(scheduled_no_payments=1,"",IF(Sched_Pay+Extra_Pay&lt;Beg_Bal,Sched_Pay+Extra_Pay,IF(Pay_Num&lt;&gt;"",Beg_Bal,"")))</f>
        <v>0</v>
      </c>
      <c r="H333" s="34">
        <f t="shared" ca="1" si="15"/>
        <v>0</v>
      </c>
      <c r="I333" s="34">
        <f ca="1">IF(Pay_Num&lt;&gt;"",Beg_Bal*(Interest_Rate/VLOOKUP(Interval,LoanLookup[],5,FALSE)),"")</f>
        <v>0</v>
      </c>
      <c r="J333" s="34">
        <f ca="1">IF(scheduled_no_payments=1,"",IF(AND(Pay_Num&lt;&gt;"",Sched_Pay+Extra_Pay&lt;Beg_Bal),Beg_Bal-Princ,IF(Pay_Num&lt;&gt;"",0,"")))</f>
        <v>0</v>
      </c>
      <c r="K333" s="34">
        <f ca="1">IF(scheduled_no_payments=1,"",SUM($I$13:$I333))</f>
        <v>87584.066117996466</v>
      </c>
      <c r="L333" s="38"/>
    </row>
    <row r="334" spans="2:12" ht="16.5" customHeight="1" x14ac:dyDescent="0.25">
      <c r="B334" s="32">
        <f ca="1">IF(AND(Values_Entered,scheduled_no_payments&lt;&gt;1),B333+1,"")</f>
        <v>322</v>
      </c>
      <c r="C334" s="33">
        <f ca="1">IF(Pay_Num&lt;&gt;"",DATE(YEAR(C333)+VLOOKUP(Interval,LoanLookup[],4,FALSE),MONTH(C333)+VLOOKUP(Interval,LoanLookup[],2,FALSE),DAY(C333)+VLOOKUP(Interval,LoanLookup[],3,FALSE)),"")</f>
        <v>54638</v>
      </c>
      <c r="D334" s="34">
        <f t="shared" ref="D334:D372" ca="1" si="17">IF(Pay_Num&lt;&gt;"",J333,"")</f>
        <v>0</v>
      </c>
      <c r="E334" s="35">
        <f t="shared" ca="1" si="16"/>
        <v>989.93360882498609</v>
      </c>
      <c r="F334" s="36">
        <f ca="1">IF(scheduled_no_payments=1,"",IF(Sched_Pay+Scheduled_Extra_Payments&lt;Beg_Bal,Scheduled_Extra_Payments,IF(AND(Pay_Num&lt;&gt;"",Beg_Bal-Sched_Pay&gt;0),Beg_Bal-Sched_Pay,IF(Pay_Num&lt;&gt;"",0,""))))</f>
        <v>0</v>
      </c>
      <c r="G334" s="34">
        <f ca="1">IF(scheduled_no_payments=1,"",IF(Sched_Pay+Extra_Pay&lt;Beg_Bal,Sched_Pay+Extra_Pay,IF(Pay_Num&lt;&gt;"",Beg_Bal,"")))</f>
        <v>0</v>
      </c>
      <c r="H334" s="34">
        <f t="shared" ref="H334:H397" ca="1" si="18">IF(Pay_Num&lt;&gt;"",Total_Pay-Int,"")</f>
        <v>0</v>
      </c>
      <c r="I334" s="34">
        <f ca="1">IF(Pay_Num&lt;&gt;"",Beg_Bal*(Interest_Rate/VLOOKUP(Interval,LoanLookup[],5,FALSE)),"")</f>
        <v>0</v>
      </c>
      <c r="J334" s="34">
        <f ca="1">IF(scheduled_no_payments=1,"",IF(AND(Pay_Num&lt;&gt;"",Sched_Pay+Extra_Pay&lt;Beg_Bal),Beg_Bal-Princ,IF(Pay_Num&lt;&gt;"",0,"")))</f>
        <v>0</v>
      </c>
      <c r="K334" s="34">
        <f ca="1">IF(scheduled_no_payments=1,"",SUM($I$13:$I334))</f>
        <v>87584.066117996466</v>
      </c>
      <c r="L334" s="38"/>
    </row>
    <row r="335" spans="2:12" ht="16.5" customHeight="1" x14ac:dyDescent="0.25">
      <c r="B335" s="32">
        <f ca="1">IF(AND(Values_Entered,scheduled_no_payments&lt;&gt;1),B334+1,"")</f>
        <v>323</v>
      </c>
      <c r="C335" s="33">
        <f ca="1">IF(Pay_Num&lt;&gt;"",DATE(YEAR(C334)+VLOOKUP(Interval,LoanLookup[],4,FALSE),MONTH(C334)+VLOOKUP(Interval,LoanLookup[],2,FALSE),DAY(C334)+VLOOKUP(Interval,LoanLookup[],3,FALSE)),"")</f>
        <v>54669</v>
      </c>
      <c r="D335" s="34">
        <f t="shared" ca="1" si="17"/>
        <v>0</v>
      </c>
      <c r="E335" s="35">
        <f t="shared" ref="E335:E398" ca="1" si="19">IF(Pay_Num&lt;&gt;"",Scheduled_Monthly_Payment,"")</f>
        <v>989.93360882498609</v>
      </c>
      <c r="F335" s="36">
        <f ca="1">IF(scheduled_no_payments=1,"",IF(Sched_Pay+Scheduled_Extra_Payments&lt;Beg_Bal,Scheduled_Extra_Payments,IF(AND(Pay_Num&lt;&gt;"",Beg_Bal-Sched_Pay&gt;0),Beg_Bal-Sched_Pay,IF(Pay_Num&lt;&gt;"",0,""))))</f>
        <v>0</v>
      </c>
      <c r="G335" s="34">
        <f ca="1">IF(scheduled_no_payments=1,"",IF(Sched_Pay+Extra_Pay&lt;Beg_Bal,Sched_Pay+Extra_Pay,IF(Pay_Num&lt;&gt;"",Beg_Bal,"")))</f>
        <v>0</v>
      </c>
      <c r="H335" s="34">
        <f t="shared" ca="1" si="18"/>
        <v>0</v>
      </c>
      <c r="I335" s="34">
        <f ca="1">IF(Pay_Num&lt;&gt;"",Beg_Bal*(Interest_Rate/VLOOKUP(Interval,LoanLookup[],5,FALSE)),"")</f>
        <v>0</v>
      </c>
      <c r="J335" s="34">
        <f ca="1">IF(scheduled_no_payments=1,"",IF(AND(Pay_Num&lt;&gt;"",Sched_Pay+Extra_Pay&lt;Beg_Bal),Beg_Bal-Princ,IF(Pay_Num&lt;&gt;"",0,"")))</f>
        <v>0</v>
      </c>
      <c r="K335" s="34">
        <f ca="1">IF(scheduled_no_payments=1,"",SUM($I$13:$I335))</f>
        <v>87584.066117996466</v>
      </c>
      <c r="L335" s="38"/>
    </row>
    <row r="336" spans="2:12" ht="16.5" customHeight="1" x14ac:dyDescent="0.25">
      <c r="B336" s="32">
        <f ca="1">IF(AND(Values_Entered,scheduled_no_payments&lt;&gt;1),B335+1,"")</f>
        <v>324</v>
      </c>
      <c r="C336" s="33">
        <f ca="1">IF(Pay_Num&lt;&gt;"",DATE(YEAR(C335)+VLOOKUP(Interval,LoanLookup[],4,FALSE),MONTH(C335)+VLOOKUP(Interval,LoanLookup[],2,FALSE),DAY(C335)+VLOOKUP(Interval,LoanLookup[],3,FALSE)),"")</f>
        <v>54699</v>
      </c>
      <c r="D336" s="34">
        <f t="shared" ca="1" si="17"/>
        <v>0</v>
      </c>
      <c r="E336" s="35">
        <f t="shared" ca="1" si="19"/>
        <v>989.93360882498609</v>
      </c>
      <c r="F336" s="36">
        <f ca="1">IF(scheduled_no_payments=1,"",IF(Sched_Pay+Scheduled_Extra_Payments&lt;Beg_Bal,Scheduled_Extra_Payments,IF(AND(Pay_Num&lt;&gt;"",Beg_Bal-Sched_Pay&gt;0),Beg_Bal-Sched_Pay,IF(Pay_Num&lt;&gt;"",0,""))))</f>
        <v>0</v>
      </c>
      <c r="G336" s="34">
        <f ca="1">IF(scheduled_no_payments=1,"",IF(Sched_Pay+Extra_Pay&lt;Beg_Bal,Sched_Pay+Extra_Pay,IF(Pay_Num&lt;&gt;"",Beg_Bal,"")))</f>
        <v>0</v>
      </c>
      <c r="H336" s="34">
        <f t="shared" ca="1" si="18"/>
        <v>0</v>
      </c>
      <c r="I336" s="34">
        <f ca="1">IF(Pay_Num&lt;&gt;"",Beg_Bal*(Interest_Rate/VLOOKUP(Interval,LoanLookup[],5,FALSE)),"")</f>
        <v>0</v>
      </c>
      <c r="J336" s="34">
        <f ca="1">IF(scheduled_no_payments=1,"",IF(AND(Pay_Num&lt;&gt;"",Sched_Pay+Extra_Pay&lt;Beg_Bal),Beg_Bal-Princ,IF(Pay_Num&lt;&gt;"",0,"")))</f>
        <v>0</v>
      </c>
      <c r="K336" s="34">
        <f ca="1">IF(scheduled_no_payments=1,"",SUM($I$13:$I336))</f>
        <v>87584.066117996466</v>
      </c>
      <c r="L336" s="38"/>
    </row>
    <row r="337" spans="2:12" ht="16.5" customHeight="1" x14ac:dyDescent="0.25">
      <c r="B337" s="32">
        <f ca="1">IF(AND(Values_Entered,scheduled_no_payments&lt;&gt;1),B336+1,"")</f>
        <v>325</v>
      </c>
      <c r="C337" s="33">
        <f ca="1">IF(Pay_Num&lt;&gt;"",DATE(YEAR(C336)+VLOOKUP(Interval,LoanLookup[],4,FALSE),MONTH(C336)+VLOOKUP(Interval,LoanLookup[],2,FALSE),DAY(C336)+VLOOKUP(Interval,LoanLookup[],3,FALSE)),"")</f>
        <v>54730</v>
      </c>
      <c r="D337" s="34">
        <f t="shared" ca="1" si="17"/>
        <v>0</v>
      </c>
      <c r="E337" s="35">
        <f t="shared" ca="1" si="19"/>
        <v>989.93360882498609</v>
      </c>
      <c r="F337" s="36">
        <f ca="1">IF(scheduled_no_payments=1,"",IF(Sched_Pay+Scheduled_Extra_Payments&lt;Beg_Bal,Scheduled_Extra_Payments,IF(AND(Pay_Num&lt;&gt;"",Beg_Bal-Sched_Pay&gt;0),Beg_Bal-Sched_Pay,IF(Pay_Num&lt;&gt;"",0,""))))</f>
        <v>0</v>
      </c>
      <c r="G337" s="34">
        <f ca="1">IF(scheduled_no_payments=1,"",IF(Sched_Pay+Extra_Pay&lt;Beg_Bal,Sched_Pay+Extra_Pay,IF(Pay_Num&lt;&gt;"",Beg_Bal,"")))</f>
        <v>0</v>
      </c>
      <c r="H337" s="34">
        <f t="shared" ca="1" si="18"/>
        <v>0</v>
      </c>
      <c r="I337" s="34">
        <f ca="1">IF(Pay_Num&lt;&gt;"",Beg_Bal*(Interest_Rate/VLOOKUP(Interval,LoanLookup[],5,FALSE)),"")</f>
        <v>0</v>
      </c>
      <c r="J337" s="34">
        <f ca="1">IF(scheduled_no_payments=1,"",IF(AND(Pay_Num&lt;&gt;"",Sched_Pay+Extra_Pay&lt;Beg_Bal),Beg_Bal-Princ,IF(Pay_Num&lt;&gt;"",0,"")))</f>
        <v>0</v>
      </c>
      <c r="K337" s="34">
        <f ca="1">IF(scheduled_no_payments=1,"",SUM($I$13:$I337))</f>
        <v>87584.066117996466</v>
      </c>
      <c r="L337" s="38"/>
    </row>
    <row r="338" spans="2:12" ht="16.5" customHeight="1" x14ac:dyDescent="0.25">
      <c r="B338" s="32">
        <f ca="1">IF(AND(Values_Entered,scheduled_no_payments&lt;&gt;1),B337+1,"")</f>
        <v>326</v>
      </c>
      <c r="C338" s="33">
        <f ca="1">IF(Pay_Num&lt;&gt;"",DATE(YEAR(C337)+VLOOKUP(Interval,LoanLookup[],4,FALSE),MONTH(C337)+VLOOKUP(Interval,LoanLookup[],2,FALSE),DAY(C337)+VLOOKUP(Interval,LoanLookup[],3,FALSE)),"")</f>
        <v>54760</v>
      </c>
      <c r="D338" s="34">
        <f t="shared" ca="1" si="17"/>
        <v>0</v>
      </c>
      <c r="E338" s="35">
        <f t="shared" ca="1" si="19"/>
        <v>989.93360882498609</v>
      </c>
      <c r="F338" s="36">
        <f ca="1">IF(scheduled_no_payments=1,"",IF(Sched_Pay+Scheduled_Extra_Payments&lt;Beg_Bal,Scheduled_Extra_Payments,IF(AND(Pay_Num&lt;&gt;"",Beg_Bal-Sched_Pay&gt;0),Beg_Bal-Sched_Pay,IF(Pay_Num&lt;&gt;"",0,""))))</f>
        <v>0</v>
      </c>
      <c r="G338" s="34">
        <f ca="1">IF(scheduled_no_payments=1,"",IF(Sched_Pay+Extra_Pay&lt;Beg_Bal,Sched_Pay+Extra_Pay,IF(Pay_Num&lt;&gt;"",Beg_Bal,"")))</f>
        <v>0</v>
      </c>
      <c r="H338" s="34">
        <f t="shared" ca="1" si="18"/>
        <v>0</v>
      </c>
      <c r="I338" s="34">
        <f ca="1">IF(Pay_Num&lt;&gt;"",Beg_Bal*(Interest_Rate/VLOOKUP(Interval,LoanLookup[],5,FALSE)),"")</f>
        <v>0</v>
      </c>
      <c r="J338" s="34">
        <f ca="1">IF(scheduled_no_payments=1,"",IF(AND(Pay_Num&lt;&gt;"",Sched_Pay+Extra_Pay&lt;Beg_Bal),Beg_Bal-Princ,IF(Pay_Num&lt;&gt;"",0,"")))</f>
        <v>0</v>
      </c>
      <c r="K338" s="34">
        <f ca="1">IF(scheduled_no_payments=1,"",SUM($I$13:$I338))</f>
        <v>87584.066117996466</v>
      </c>
      <c r="L338" s="38"/>
    </row>
    <row r="339" spans="2:12" ht="16.5" customHeight="1" x14ac:dyDescent="0.25">
      <c r="B339" s="32">
        <f ca="1">IF(AND(Values_Entered,scheduled_no_payments&lt;&gt;1),B338+1,"")</f>
        <v>327</v>
      </c>
      <c r="C339" s="33">
        <f ca="1">IF(Pay_Num&lt;&gt;"",DATE(YEAR(C338)+VLOOKUP(Interval,LoanLookup[],4,FALSE),MONTH(C338)+VLOOKUP(Interval,LoanLookup[],2,FALSE),DAY(C338)+VLOOKUP(Interval,LoanLookup[],3,FALSE)),"")</f>
        <v>54791</v>
      </c>
      <c r="D339" s="34">
        <f t="shared" ca="1" si="17"/>
        <v>0</v>
      </c>
      <c r="E339" s="35">
        <f t="shared" ca="1" si="19"/>
        <v>989.93360882498609</v>
      </c>
      <c r="F339" s="36">
        <f ca="1">IF(scheduled_no_payments=1,"",IF(Sched_Pay+Scheduled_Extra_Payments&lt;Beg_Bal,Scheduled_Extra_Payments,IF(AND(Pay_Num&lt;&gt;"",Beg_Bal-Sched_Pay&gt;0),Beg_Bal-Sched_Pay,IF(Pay_Num&lt;&gt;"",0,""))))</f>
        <v>0</v>
      </c>
      <c r="G339" s="34">
        <f ca="1">IF(scheduled_no_payments=1,"",IF(Sched_Pay+Extra_Pay&lt;Beg_Bal,Sched_Pay+Extra_Pay,IF(Pay_Num&lt;&gt;"",Beg_Bal,"")))</f>
        <v>0</v>
      </c>
      <c r="H339" s="34">
        <f t="shared" ca="1" si="18"/>
        <v>0</v>
      </c>
      <c r="I339" s="34">
        <f ca="1">IF(Pay_Num&lt;&gt;"",Beg_Bal*(Interest_Rate/VLOOKUP(Interval,LoanLookup[],5,FALSE)),"")</f>
        <v>0</v>
      </c>
      <c r="J339" s="34">
        <f ca="1">IF(scheduled_no_payments=1,"",IF(AND(Pay_Num&lt;&gt;"",Sched_Pay+Extra_Pay&lt;Beg_Bal),Beg_Bal-Princ,IF(Pay_Num&lt;&gt;"",0,"")))</f>
        <v>0</v>
      </c>
      <c r="K339" s="34">
        <f ca="1">IF(scheduled_no_payments=1,"",SUM($I$13:$I339))</f>
        <v>87584.066117996466</v>
      </c>
      <c r="L339" s="38"/>
    </row>
    <row r="340" spans="2:12" ht="16.5" customHeight="1" x14ac:dyDescent="0.25">
      <c r="B340" s="32">
        <f ca="1">IF(AND(Values_Entered,scheduled_no_payments&lt;&gt;1),B339+1,"")</f>
        <v>328</v>
      </c>
      <c r="C340" s="33">
        <f ca="1">IF(Pay_Num&lt;&gt;"",DATE(YEAR(C339)+VLOOKUP(Interval,LoanLookup[],4,FALSE),MONTH(C339)+VLOOKUP(Interval,LoanLookup[],2,FALSE),DAY(C339)+VLOOKUP(Interval,LoanLookup[],3,FALSE)),"")</f>
        <v>54822</v>
      </c>
      <c r="D340" s="34">
        <f t="shared" ca="1" si="17"/>
        <v>0</v>
      </c>
      <c r="E340" s="35">
        <f t="shared" ca="1" si="19"/>
        <v>989.93360882498609</v>
      </c>
      <c r="F340" s="36">
        <f ca="1">IF(scheduled_no_payments=1,"",IF(Sched_Pay+Scheduled_Extra_Payments&lt;Beg_Bal,Scheduled_Extra_Payments,IF(AND(Pay_Num&lt;&gt;"",Beg_Bal-Sched_Pay&gt;0),Beg_Bal-Sched_Pay,IF(Pay_Num&lt;&gt;"",0,""))))</f>
        <v>0</v>
      </c>
      <c r="G340" s="34">
        <f ca="1">IF(scheduled_no_payments=1,"",IF(Sched_Pay+Extra_Pay&lt;Beg_Bal,Sched_Pay+Extra_Pay,IF(Pay_Num&lt;&gt;"",Beg_Bal,"")))</f>
        <v>0</v>
      </c>
      <c r="H340" s="34">
        <f t="shared" ca="1" si="18"/>
        <v>0</v>
      </c>
      <c r="I340" s="34">
        <f ca="1">IF(Pay_Num&lt;&gt;"",Beg_Bal*(Interest_Rate/VLOOKUP(Interval,LoanLookup[],5,FALSE)),"")</f>
        <v>0</v>
      </c>
      <c r="J340" s="34">
        <f ca="1">IF(scheduled_no_payments=1,"",IF(AND(Pay_Num&lt;&gt;"",Sched_Pay+Extra_Pay&lt;Beg_Bal),Beg_Bal-Princ,IF(Pay_Num&lt;&gt;"",0,"")))</f>
        <v>0</v>
      </c>
      <c r="K340" s="34">
        <f ca="1">IF(scheduled_no_payments=1,"",SUM($I$13:$I340))</f>
        <v>87584.066117996466</v>
      </c>
      <c r="L340" s="38"/>
    </row>
    <row r="341" spans="2:12" ht="16.5" customHeight="1" x14ac:dyDescent="0.25">
      <c r="B341" s="32">
        <f ca="1">IF(AND(Values_Entered,scheduled_no_payments&lt;&gt;1),B340+1,"")</f>
        <v>329</v>
      </c>
      <c r="C341" s="33">
        <f ca="1">IF(Pay_Num&lt;&gt;"",DATE(YEAR(C340)+VLOOKUP(Interval,LoanLookup[],4,FALSE),MONTH(C340)+VLOOKUP(Interval,LoanLookup[],2,FALSE),DAY(C340)+VLOOKUP(Interval,LoanLookup[],3,FALSE)),"")</f>
        <v>54850</v>
      </c>
      <c r="D341" s="34">
        <f t="shared" ca="1" si="17"/>
        <v>0</v>
      </c>
      <c r="E341" s="35">
        <f t="shared" ca="1" si="19"/>
        <v>989.93360882498609</v>
      </c>
      <c r="F341" s="36">
        <f ca="1">IF(scheduled_no_payments=1,"",IF(Sched_Pay+Scheduled_Extra_Payments&lt;Beg_Bal,Scheduled_Extra_Payments,IF(AND(Pay_Num&lt;&gt;"",Beg_Bal-Sched_Pay&gt;0),Beg_Bal-Sched_Pay,IF(Pay_Num&lt;&gt;"",0,""))))</f>
        <v>0</v>
      </c>
      <c r="G341" s="34">
        <f ca="1">IF(scheduled_no_payments=1,"",IF(Sched_Pay+Extra_Pay&lt;Beg_Bal,Sched_Pay+Extra_Pay,IF(Pay_Num&lt;&gt;"",Beg_Bal,"")))</f>
        <v>0</v>
      </c>
      <c r="H341" s="34">
        <f t="shared" ca="1" si="18"/>
        <v>0</v>
      </c>
      <c r="I341" s="34">
        <f ca="1">IF(Pay_Num&lt;&gt;"",Beg_Bal*(Interest_Rate/VLOOKUP(Interval,LoanLookup[],5,FALSE)),"")</f>
        <v>0</v>
      </c>
      <c r="J341" s="34">
        <f ca="1">IF(scheduled_no_payments=1,"",IF(AND(Pay_Num&lt;&gt;"",Sched_Pay+Extra_Pay&lt;Beg_Bal),Beg_Bal-Princ,IF(Pay_Num&lt;&gt;"",0,"")))</f>
        <v>0</v>
      </c>
      <c r="K341" s="34">
        <f ca="1">IF(scheduled_no_payments=1,"",SUM($I$13:$I341))</f>
        <v>87584.066117996466</v>
      </c>
      <c r="L341" s="38"/>
    </row>
    <row r="342" spans="2:12" ht="16.5" customHeight="1" x14ac:dyDescent="0.25">
      <c r="B342" s="32">
        <f ca="1">IF(AND(Values_Entered,scheduled_no_payments&lt;&gt;1),B341+1,"")</f>
        <v>330</v>
      </c>
      <c r="C342" s="33">
        <f ca="1">IF(Pay_Num&lt;&gt;"",DATE(YEAR(C341)+VLOOKUP(Interval,LoanLookup[],4,FALSE),MONTH(C341)+VLOOKUP(Interval,LoanLookup[],2,FALSE),DAY(C341)+VLOOKUP(Interval,LoanLookup[],3,FALSE)),"")</f>
        <v>54881</v>
      </c>
      <c r="D342" s="34">
        <f t="shared" ca="1" si="17"/>
        <v>0</v>
      </c>
      <c r="E342" s="35">
        <f t="shared" ca="1" si="19"/>
        <v>989.93360882498609</v>
      </c>
      <c r="F342" s="36">
        <f ca="1">IF(scheduled_no_payments=1,"",IF(Sched_Pay+Scheduled_Extra_Payments&lt;Beg_Bal,Scheduled_Extra_Payments,IF(AND(Pay_Num&lt;&gt;"",Beg_Bal-Sched_Pay&gt;0),Beg_Bal-Sched_Pay,IF(Pay_Num&lt;&gt;"",0,""))))</f>
        <v>0</v>
      </c>
      <c r="G342" s="34">
        <f ca="1">IF(scheduled_no_payments=1,"",IF(Sched_Pay+Extra_Pay&lt;Beg_Bal,Sched_Pay+Extra_Pay,IF(Pay_Num&lt;&gt;"",Beg_Bal,"")))</f>
        <v>0</v>
      </c>
      <c r="H342" s="34">
        <f t="shared" ca="1" si="18"/>
        <v>0</v>
      </c>
      <c r="I342" s="34">
        <f ca="1">IF(Pay_Num&lt;&gt;"",Beg_Bal*(Interest_Rate/VLOOKUP(Interval,LoanLookup[],5,FALSE)),"")</f>
        <v>0</v>
      </c>
      <c r="J342" s="34">
        <f ca="1">IF(scheduled_no_payments=1,"",IF(AND(Pay_Num&lt;&gt;"",Sched_Pay+Extra_Pay&lt;Beg_Bal),Beg_Bal-Princ,IF(Pay_Num&lt;&gt;"",0,"")))</f>
        <v>0</v>
      </c>
      <c r="K342" s="34">
        <f ca="1">IF(scheduled_no_payments=1,"",SUM($I$13:$I342))</f>
        <v>87584.066117996466</v>
      </c>
      <c r="L342" s="38"/>
    </row>
    <row r="343" spans="2:12" ht="16.5" customHeight="1" x14ac:dyDescent="0.25">
      <c r="B343" s="32">
        <f ca="1">IF(AND(Values_Entered,scheduled_no_payments&lt;&gt;1),B342+1,"")</f>
        <v>331</v>
      </c>
      <c r="C343" s="33">
        <f ca="1">IF(Pay_Num&lt;&gt;"",DATE(YEAR(C342)+VLOOKUP(Interval,LoanLookup[],4,FALSE),MONTH(C342)+VLOOKUP(Interval,LoanLookup[],2,FALSE),DAY(C342)+VLOOKUP(Interval,LoanLookup[],3,FALSE)),"")</f>
        <v>54911</v>
      </c>
      <c r="D343" s="34">
        <f t="shared" ca="1" si="17"/>
        <v>0</v>
      </c>
      <c r="E343" s="35">
        <f t="shared" ca="1" si="19"/>
        <v>989.93360882498609</v>
      </c>
      <c r="F343" s="36">
        <f ca="1">IF(scheduled_no_payments=1,"",IF(Sched_Pay+Scheduled_Extra_Payments&lt;Beg_Bal,Scheduled_Extra_Payments,IF(AND(Pay_Num&lt;&gt;"",Beg_Bal-Sched_Pay&gt;0),Beg_Bal-Sched_Pay,IF(Pay_Num&lt;&gt;"",0,""))))</f>
        <v>0</v>
      </c>
      <c r="G343" s="34">
        <f ca="1">IF(scheduled_no_payments=1,"",IF(Sched_Pay+Extra_Pay&lt;Beg_Bal,Sched_Pay+Extra_Pay,IF(Pay_Num&lt;&gt;"",Beg_Bal,"")))</f>
        <v>0</v>
      </c>
      <c r="H343" s="34">
        <f t="shared" ca="1" si="18"/>
        <v>0</v>
      </c>
      <c r="I343" s="34">
        <f ca="1">IF(Pay_Num&lt;&gt;"",Beg_Bal*(Interest_Rate/VLOOKUP(Interval,LoanLookup[],5,FALSE)),"")</f>
        <v>0</v>
      </c>
      <c r="J343" s="34">
        <f ca="1">IF(scheduled_no_payments=1,"",IF(AND(Pay_Num&lt;&gt;"",Sched_Pay+Extra_Pay&lt;Beg_Bal),Beg_Bal-Princ,IF(Pay_Num&lt;&gt;"",0,"")))</f>
        <v>0</v>
      </c>
      <c r="K343" s="34">
        <f ca="1">IF(scheduled_no_payments=1,"",SUM($I$13:$I343))</f>
        <v>87584.066117996466</v>
      </c>
      <c r="L343" s="38"/>
    </row>
    <row r="344" spans="2:12" ht="16.5" customHeight="1" x14ac:dyDescent="0.25">
      <c r="B344" s="32">
        <f ca="1">IF(AND(Values_Entered,scheduled_no_payments&lt;&gt;1),B343+1,"")</f>
        <v>332</v>
      </c>
      <c r="C344" s="33">
        <f ca="1">IF(Pay_Num&lt;&gt;"",DATE(YEAR(C343)+VLOOKUP(Interval,LoanLookup[],4,FALSE),MONTH(C343)+VLOOKUP(Interval,LoanLookup[],2,FALSE),DAY(C343)+VLOOKUP(Interval,LoanLookup[],3,FALSE)),"")</f>
        <v>54942</v>
      </c>
      <c r="D344" s="34">
        <f t="shared" ca="1" si="17"/>
        <v>0</v>
      </c>
      <c r="E344" s="35">
        <f t="shared" ca="1" si="19"/>
        <v>989.93360882498609</v>
      </c>
      <c r="F344" s="36">
        <f ca="1">IF(scheduled_no_payments=1,"",IF(Sched_Pay+Scheduled_Extra_Payments&lt;Beg_Bal,Scheduled_Extra_Payments,IF(AND(Pay_Num&lt;&gt;"",Beg_Bal-Sched_Pay&gt;0),Beg_Bal-Sched_Pay,IF(Pay_Num&lt;&gt;"",0,""))))</f>
        <v>0</v>
      </c>
      <c r="G344" s="34">
        <f ca="1">IF(scheduled_no_payments=1,"",IF(Sched_Pay+Extra_Pay&lt;Beg_Bal,Sched_Pay+Extra_Pay,IF(Pay_Num&lt;&gt;"",Beg_Bal,"")))</f>
        <v>0</v>
      </c>
      <c r="H344" s="34">
        <f t="shared" ca="1" si="18"/>
        <v>0</v>
      </c>
      <c r="I344" s="34">
        <f ca="1">IF(Pay_Num&lt;&gt;"",Beg_Bal*(Interest_Rate/VLOOKUP(Interval,LoanLookup[],5,FALSE)),"")</f>
        <v>0</v>
      </c>
      <c r="J344" s="34">
        <f ca="1">IF(scheduled_no_payments=1,"",IF(AND(Pay_Num&lt;&gt;"",Sched_Pay+Extra_Pay&lt;Beg_Bal),Beg_Bal-Princ,IF(Pay_Num&lt;&gt;"",0,"")))</f>
        <v>0</v>
      </c>
      <c r="K344" s="34">
        <f ca="1">IF(scheduled_no_payments=1,"",SUM($I$13:$I344))</f>
        <v>87584.066117996466</v>
      </c>
      <c r="L344" s="38"/>
    </row>
    <row r="345" spans="2:12" ht="16.5" customHeight="1" x14ac:dyDescent="0.25">
      <c r="B345" s="32">
        <f ca="1">IF(AND(Values_Entered,scheduled_no_payments&lt;&gt;1),B344+1,"")</f>
        <v>333</v>
      </c>
      <c r="C345" s="33">
        <f ca="1">IF(Pay_Num&lt;&gt;"",DATE(YEAR(C344)+VLOOKUP(Interval,LoanLookup[],4,FALSE),MONTH(C344)+VLOOKUP(Interval,LoanLookup[],2,FALSE),DAY(C344)+VLOOKUP(Interval,LoanLookup[],3,FALSE)),"")</f>
        <v>54972</v>
      </c>
      <c r="D345" s="34">
        <f t="shared" ca="1" si="17"/>
        <v>0</v>
      </c>
      <c r="E345" s="35">
        <f t="shared" ca="1" si="19"/>
        <v>989.93360882498609</v>
      </c>
      <c r="F345" s="36">
        <f ca="1">IF(scheduled_no_payments=1,"",IF(Sched_Pay+Scheduled_Extra_Payments&lt;Beg_Bal,Scheduled_Extra_Payments,IF(AND(Pay_Num&lt;&gt;"",Beg_Bal-Sched_Pay&gt;0),Beg_Bal-Sched_Pay,IF(Pay_Num&lt;&gt;"",0,""))))</f>
        <v>0</v>
      </c>
      <c r="G345" s="34">
        <f ca="1">IF(scheduled_no_payments=1,"",IF(Sched_Pay+Extra_Pay&lt;Beg_Bal,Sched_Pay+Extra_Pay,IF(Pay_Num&lt;&gt;"",Beg_Bal,"")))</f>
        <v>0</v>
      </c>
      <c r="H345" s="34">
        <f t="shared" ca="1" si="18"/>
        <v>0</v>
      </c>
      <c r="I345" s="34">
        <f ca="1">IF(Pay_Num&lt;&gt;"",Beg_Bal*(Interest_Rate/VLOOKUP(Interval,LoanLookup[],5,FALSE)),"")</f>
        <v>0</v>
      </c>
      <c r="J345" s="34">
        <f ca="1">IF(scheduled_no_payments=1,"",IF(AND(Pay_Num&lt;&gt;"",Sched_Pay+Extra_Pay&lt;Beg_Bal),Beg_Bal-Princ,IF(Pay_Num&lt;&gt;"",0,"")))</f>
        <v>0</v>
      </c>
      <c r="K345" s="34">
        <f ca="1">IF(scheduled_no_payments=1,"",SUM($I$13:$I345))</f>
        <v>87584.066117996466</v>
      </c>
      <c r="L345" s="38"/>
    </row>
    <row r="346" spans="2:12" ht="16.5" customHeight="1" x14ac:dyDescent="0.25">
      <c r="B346" s="32">
        <f ca="1">IF(AND(Values_Entered,scheduled_no_payments&lt;&gt;1),B345+1,"")</f>
        <v>334</v>
      </c>
      <c r="C346" s="33">
        <f ca="1">IF(Pay_Num&lt;&gt;"",DATE(YEAR(C345)+VLOOKUP(Interval,LoanLookup[],4,FALSE),MONTH(C345)+VLOOKUP(Interval,LoanLookup[],2,FALSE),DAY(C345)+VLOOKUP(Interval,LoanLookup[],3,FALSE)),"")</f>
        <v>55003</v>
      </c>
      <c r="D346" s="34">
        <f t="shared" ca="1" si="17"/>
        <v>0</v>
      </c>
      <c r="E346" s="35">
        <f t="shared" ca="1" si="19"/>
        <v>989.93360882498609</v>
      </c>
      <c r="F346" s="36">
        <f ca="1">IF(scheduled_no_payments=1,"",IF(Sched_Pay+Scheduled_Extra_Payments&lt;Beg_Bal,Scheduled_Extra_Payments,IF(AND(Pay_Num&lt;&gt;"",Beg_Bal-Sched_Pay&gt;0),Beg_Bal-Sched_Pay,IF(Pay_Num&lt;&gt;"",0,""))))</f>
        <v>0</v>
      </c>
      <c r="G346" s="34">
        <f ca="1">IF(scheduled_no_payments=1,"",IF(Sched_Pay+Extra_Pay&lt;Beg_Bal,Sched_Pay+Extra_Pay,IF(Pay_Num&lt;&gt;"",Beg_Bal,"")))</f>
        <v>0</v>
      </c>
      <c r="H346" s="34">
        <f t="shared" ca="1" si="18"/>
        <v>0</v>
      </c>
      <c r="I346" s="34">
        <f ca="1">IF(Pay_Num&lt;&gt;"",Beg_Bal*(Interest_Rate/VLOOKUP(Interval,LoanLookup[],5,FALSE)),"")</f>
        <v>0</v>
      </c>
      <c r="J346" s="34">
        <f ca="1">IF(scheduled_no_payments=1,"",IF(AND(Pay_Num&lt;&gt;"",Sched_Pay+Extra_Pay&lt;Beg_Bal),Beg_Bal-Princ,IF(Pay_Num&lt;&gt;"",0,"")))</f>
        <v>0</v>
      </c>
      <c r="K346" s="34">
        <f ca="1">IF(scheduled_no_payments=1,"",SUM($I$13:$I346))</f>
        <v>87584.066117996466</v>
      </c>
      <c r="L346" s="38"/>
    </row>
    <row r="347" spans="2:12" ht="16.5" customHeight="1" x14ac:dyDescent="0.25">
      <c r="B347" s="32">
        <f ca="1">IF(AND(Values_Entered,scheduled_no_payments&lt;&gt;1),B346+1,"")</f>
        <v>335</v>
      </c>
      <c r="C347" s="33">
        <f ca="1">IF(Pay_Num&lt;&gt;"",DATE(YEAR(C346)+VLOOKUP(Interval,LoanLookup[],4,FALSE),MONTH(C346)+VLOOKUP(Interval,LoanLookup[],2,FALSE),DAY(C346)+VLOOKUP(Interval,LoanLookup[],3,FALSE)),"")</f>
        <v>55034</v>
      </c>
      <c r="D347" s="34">
        <f t="shared" ca="1" si="17"/>
        <v>0</v>
      </c>
      <c r="E347" s="35">
        <f t="shared" ca="1" si="19"/>
        <v>989.93360882498609</v>
      </c>
      <c r="F347" s="36">
        <f ca="1">IF(scheduled_no_payments=1,"",IF(Sched_Pay+Scheduled_Extra_Payments&lt;Beg_Bal,Scheduled_Extra_Payments,IF(AND(Pay_Num&lt;&gt;"",Beg_Bal-Sched_Pay&gt;0),Beg_Bal-Sched_Pay,IF(Pay_Num&lt;&gt;"",0,""))))</f>
        <v>0</v>
      </c>
      <c r="G347" s="34">
        <f ca="1">IF(scheduled_no_payments=1,"",IF(Sched_Pay+Extra_Pay&lt;Beg_Bal,Sched_Pay+Extra_Pay,IF(Pay_Num&lt;&gt;"",Beg_Bal,"")))</f>
        <v>0</v>
      </c>
      <c r="H347" s="34">
        <f t="shared" ca="1" si="18"/>
        <v>0</v>
      </c>
      <c r="I347" s="34">
        <f ca="1">IF(Pay_Num&lt;&gt;"",Beg_Bal*(Interest_Rate/VLOOKUP(Interval,LoanLookup[],5,FALSE)),"")</f>
        <v>0</v>
      </c>
      <c r="J347" s="34">
        <f ca="1">IF(scheduled_no_payments=1,"",IF(AND(Pay_Num&lt;&gt;"",Sched_Pay+Extra_Pay&lt;Beg_Bal),Beg_Bal-Princ,IF(Pay_Num&lt;&gt;"",0,"")))</f>
        <v>0</v>
      </c>
      <c r="K347" s="34">
        <f ca="1">IF(scheduled_no_payments=1,"",SUM($I$13:$I347))</f>
        <v>87584.066117996466</v>
      </c>
      <c r="L347" s="38"/>
    </row>
    <row r="348" spans="2:12" ht="16.5" customHeight="1" x14ac:dyDescent="0.25">
      <c r="B348" s="32">
        <f ca="1">IF(AND(Values_Entered,scheduled_no_payments&lt;&gt;1),B347+1,"")</f>
        <v>336</v>
      </c>
      <c r="C348" s="33">
        <f ca="1">IF(Pay_Num&lt;&gt;"",DATE(YEAR(C347)+VLOOKUP(Interval,LoanLookup[],4,FALSE),MONTH(C347)+VLOOKUP(Interval,LoanLookup[],2,FALSE),DAY(C347)+VLOOKUP(Interval,LoanLookup[],3,FALSE)),"")</f>
        <v>55064</v>
      </c>
      <c r="D348" s="34">
        <f t="shared" ca="1" si="17"/>
        <v>0</v>
      </c>
      <c r="E348" s="35">
        <f t="shared" ca="1" si="19"/>
        <v>989.93360882498609</v>
      </c>
      <c r="F348" s="36">
        <f ca="1">IF(scheduled_no_payments=1,"",IF(Sched_Pay+Scheduled_Extra_Payments&lt;Beg_Bal,Scheduled_Extra_Payments,IF(AND(Pay_Num&lt;&gt;"",Beg_Bal-Sched_Pay&gt;0),Beg_Bal-Sched_Pay,IF(Pay_Num&lt;&gt;"",0,""))))</f>
        <v>0</v>
      </c>
      <c r="G348" s="34">
        <f ca="1">IF(scheduled_no_payments=1,"",IF(Sched_Pay+Extra_Pay&lt;Beg_Bal,Sched_Pay+Extra_Pay,IF(Pay_Num&lt;&gt;"",Beg_Bal,"")))</f>
        <v>0</v>
      </c>
      <c r="H348" s="34">
        <f t="shared" ca="1" si="18"/>
        <v>0</v>
      </c>
      <c r="I348" s="34">
        <f ca="1">IF(Pay_Num&lt;&gt;"",Beg_Bal*(Interest_Rate/VLOOKUP(Interval,LoanLookup[],5,FALSE)),"")</f>
        <v>0</v>
      </c>
      <c r="J348" s="34">
        <f ca="1">IF(scheduled_no_payments=1,"",IF(AND(Pay_Num&lt;&gt;"",Sched_Pay+Extra_Pay&lt;Beg_Bal),Beg_Bal-Princ,IF(Pay_Num&lt;&gt;"",0,"")))</f>
        <v>0</v>
      </c>
      <c r="K348" s="34">
        <f ca="1">IF(scheduled_no_payments=1,"",SUM($I$13:$I348))</f>
        <v>87584.066117996466</v>
      </c>
      <c r="L348" s="38"/>
    </row>
    <row r="349" spans="2:12" ht="16.5" customHeight="1" x14ac:dyDescent="0.25">
      <c r="B349" s="32">
        <f ca="1">IF(AND(Values_Entered,scheduled_no_payments&lt;&gt;1),B348+1,"")</f>
        <v>337</v>
      </c>
      <c r="C349" s="33">
        <f ca="1">IF(Pay_Num&lt;&gt;"",DATE(YEAR(C348)+VLOOKUP(Interval,LoanLookup[],4,FALSE),MONTH(C348)+VLOOKUP(Interval,LoanLookup[],2,FALSE),DAY(C348)+VLOOKUP(Interval,LoanLookup[],3,FALSE)),"")</f>
        <v>55095</v>
      </c>
      <c r="D349" s="34">
        <f t="shared" ca="1" si="17"/>
        <v>0</v>
      </c>
      <c r="E349" s="35">
        <f t="shared" ca="1" si="19"/>
        <v>989.93360882498609</v>
      </c>
      <c r="F349" s="36">
        <f ca="1">IF(scheduled_no_payments=1,"",IF(Sched_Pay+Scheduled_Extra_Payments&lt;Beg_Bal,Scheduled_Extra_Payments,IF(AND(Pay_Num&lt;&gt;"",Beg_Bal-Sched_Pay&gt;0),Beg_Bal-Sched_Pay,IF(Pay_Num&lt;&gt;"",0,""))))</f>
        <v>0</v>
      </c>
      <c r="G349" s="34">
        <f ca="1">IF(scheduled_no_payments=1,"",IF(Sched_Pay+Extra_Pay&lt;Beg_Bal,Sched_Pay+Extra_Pay,IF(Pay_Num&lt;&gt;"",Beg_Bal,"")))</f>
        <v>0</v>
      </c>
      <c r="H349" s="34">
        <f t="shared" ca="1" si="18"/>
        <v>0</v>
      </c>
      <c r="I349" s="34">
        <f ca="1">IF(Pay_Num&lt;&gt;"",Beg_Bal*(Interest_Rate/VLOOKUP(Interval,LoanLookup[],5,FALSE)),"")</f>
        <v>0</v>
      </c>
      <c r="J349" s="34">
        <f ca="1">IF(scheduled_no_payments=1,"",IF(AND(Pay_Num&lt;&gt;"",Sched_Pay+Extra_Pay&lt;Beg_Bal),Beg_Bal-Princ,IF(Pay_Num&lt;&gt;"",0,"")))</f>
        <v>0</v>
      </c>
      <c r="K349" s="34">
        <f ca="1">IF(scheduled_no_payments=1,"",SUM($I$13:$I349))</f>
        <v>87584.066117996466</v>
      </c>
      <c r="L349" s="38"/>
    </row>
    <row r="350" spans="2:12" ht="16.5" customHeight="1" x14ac:dyDescent="0.25">
      <c r="B350" s="32">
        <f ca="1">IF(AND(Values_Entered,scheduled_no_payments&lt;&gt;1),B349+1,"")</f>
        <v>338</v>
      </c>
      <c r="C350" s="33">
        <f ca="1">IF(Pay_Num&lt;&gt;"",DATE(YEAR(C349)+VLOOKUP(Interval,LoanLookup[],4,FALSE),MONTH(C349)+VLOOKUP(Interval,LoanLookup[],2,FALSE),DAY(C349)+VLOOKUP(Interval,LoanLookup[],3,FALSE)),"")</f>
        <v>55125</v>
      </c>
      <c r="D350" s="34">
        <f t="shared" ca="1" si="17"/>
        <v>0</v>
      </c>
      <c r="E350" s="35">
        <f t="shared" ca="1" si="19"/>
        <v>989.93360882498609</v>
      </c>
      <c r="F350" s="36">
        <f ca="1">IF(scheduled_no_payments=1,"",IF(Sched_Pay+Scheduled_Extra_Payments&lt;Beg_Bal,Scheduled_Extra_Payments,IF(AND(Pay_Num&lt;&gt;"",Beg_Bal-Sched_Pay&gt;0),Beg_Bal-Sched_Pay,IF(Pay_Num&lt;&gt;"",0,""))))</f>
        <v>0</v>
      </c>
      <c r="G350" s="34">
        <f ca="1">IF(scheduled_no_payments=1,"",IF(Sched_Pay+Extra_Pay&lt;Beg_Bal,Sched_Pay+Extra_Pay,IF(Pay_Num&lt;&gt;"",Beg_Bal,"")))</f>
        <v>0</v>
      </c>
      <c r="H350" s="34">
        <f t="shared" ca="1" si="18"/>
        <v>0</v>
      </c>
      <c r="I350" s="34">
        <f ca="1">IF(Pay_Num&lt;&gt;"",Beg_Bal*(Interest_Rate/VLOOKUP(Interval,LoanLookup[],5,FALSE)),"")</f>
        <v>0</v>
      </c>
      <c r="J350" s="34">
        <f ca="1">IF(scheduled_no_payments=1,"",IF(AND(Pay_Num&lt;&gt;"",Sched_Pay+Extra_Pay&lt;Beg_Bal),Beg_Bal-Princ,IF(Pay_Num&lt;&gt;"",0,"")))</f>
        <v>0</v>
      </c>
      <c r="K350" s="34">
        <f ca="1">IF(scheduled_no_payments=1,"",SUM($I$13:$I350))</f>
        <v>87584.066117996466</v>
      </c>
      <c r="L350" s="38"/>
    </row>
    <row r="351" spans="2:12" ht="16.5" customHeight="1" x14ac:dyDescent="0.25">
      <c r="B351" s="32">
        <f ca="1">IF(AND(Values_Entered,scheduled_no_payments&lt;&gt;1),B350+1,"")</f>
        <v>339</v>
      </c>
      <c r="C351" s="33">
        <f ca="1">IF(Pay_Num&lt;&gt;"",DATE(YEAR(C350)+VLOOKUP(Interval,LoanLookup[],4,FALSE),MONTH(C350)+VLOOKUP(Interval,LoanLookup[],2,FALSE),DAY(C350)+VLOOKUP(Interval,LoanLookup[],3,FALSE)),"")</f>
        <v>55156</v>
      </c>
      <c r="D351" s="34">
        <f t="shared" ca="1" si="17"/>
        <v>0</v>
      </c>
      <c r="E351" s="35">
        <f t="shared" ca="1" si="19"/>
        <v>989.93360882498609</v>
      </c>
      <c r="F351" s="36">
        <f ca="1">IF(scheduled_no_payments=1,"",IF(Sched_Pay+Scheduled_Extra_Payments&lt;Beg_Bal,Scheduled_Extra_Payments,IF(AND(Pay_Num&lt;&gt;"",Beg_Bal-Sched_Pay&gt;0),Beg_Bal-Sched_Pay,IF(Pay_Num&lt;&gt;"",0,""))))</f>
        <v>0</v>
      </c>
      <c r="G351" s="34">
        <f ca="1">IF(scheduled_no_payments=1,"",IF(Sched_Pay+Extra_Pay&lt;Beg_Bal,Sched_Pay+Extra_Pay,IF(Pay_Num&lt;&gt;"",Beg_Bal,"")))</f>
        <v>0</v>
      </c>
      <c r="H351" s="34">
        <f t="shared" ca="1" si="18"/>
        <v>0</v>
      </c>
      <c r="I351" s="34">
        <f ca="1">IF(Pay_Num&lt;&gt;"",Beg_Bal*(Interest_Rate/VLOOKUP(Interval,LoanLookup[],5,FALSE)),"")</f>
        <v>0</v>
      </c>
      <c r="J351" s="34">
        <f ca="1">IF(scheduled_no_payments=1,"",IF(AND(Pay_Num&lt;&gt;"",Sched_Pay+Extra_Pay&lt;Beg_Bal),Beg_Bal-Princ,IF(Pay_Num&lt;&gt;"",0,"")))</f>
        <v>0</v>
      </c>
      <c r="K351" s="34">
        <f ca="1">IF(scheduled_no_payments=1,"",SUM($I$13:$I351))</f>
        <v>87584.066117996466</v>
      </c>
      <c r="L351" s="38"/>
    </row>
    <row r="352" spans="2:12" ht="16.5" customHeight="1" x14ac:dyDescent="0.25">
      <c r="B352" s="32">
        <f ca="1">IF(AND(Values_Entered,scheduled_no_payments&lt;&gt;1),B351+1,"")</f>
        <v>340</v>
      </c>
      <c r="C352" s="33">
        <f ca="1">IF(Pay_Num&lt;&gt;"",DATE(YEAR(C351)+VLOOKUP(Interval,LoanLookup[],4,FALSE),MONTH(C351)+VLOOKUP(Interval,LoanLookup[],2,FALSE),DAY(C351)+VLOOKUP(Interval,LoanLookup[],3,FALSE)),"")</f>
        <v>55187</v>
      </c>
      <c r="D352" s="34">
        <f t="shared" ca="1" si="17"/>
        <v>0</v>
      </c>
      <c r="E352" s="35">
        <f t="shared" ca="1" si="19"/>
        <v>989.93360882498609</v>
      </c>
      <c r="F352" s="36">
        <f ca="1">IF(scheduled_no_payments=1,"",IF(Sched_Pay+Scheduled_Extra_Payments&lt;Beg_Bal,Scheduled_Extra_Payments,IF(AND(Pay_Num&lt;&gt;"",Beg_Bal-Sched_Pay&gt;0),Beg_Bal-Sched_Pay,IF(Pay_Num&lt;&gt;"",0,""))))</f>
        <v>0</v>
      </c>
      <c r="G352" s="34">
        <f ca="1">IF(scheduled_no_payments=1,"",IF(Sched_Pay+Extra_Pay&lt;Beg_Bal,Sched_Pay+Extra_Pay,IF(Pay_Num&lt;&gt;"",Beg_Bal,"")))</f>
        <v>0</v>
      </c>
      <c r="H352" s="34">
        <f t="shared" ca="1" si="18"/>
        <v>0</v>
      </c>
      <c r="I352" s="34">
        <f ca="1">IF(Pay_Num&lt;&gt;"",Beg_Bal*(Interest_Rate/VLOOKUP(Interval,LoanLookup[],5,FALSE)),"")</f>
        <v>0</v>
      </c>
      <c r="J352" s="34">
        <f ca="1">IF(scheduled_no_payments=1,"",IF(AND(Pay_Num&lt;&gt;"",Sched_Pay+Extra_Pay&lt;Beg_Bal),Beg_Bal-Princ,IF(Pay_Num&lt;&gt;"",0,"")))</f>
        <v>0</v>
      </c>
      <c r="K352" s="34">
        <f ca="1">IF(scheduled_no_payments=1,"",SUM($I$13:$I352))</f>
        <v>87584.066117996466</v>
      </c>
      <c r="L352" s="38"/>
    </row>
    <row r="353" spans="2:12" ht="16.5" customHeight="1" x14ac:dyDescent="0.25">
      <c r="B353" s="32">
        <f ca="1">IF(AND(Values_Entered,scheduled_no_payments&lt;&gt;1),B352+1,"")</f>
        <v>341</v>
      </c>
      <c r="C353" s="33">
        <f ca="1">IF(Pay_Num&lt;&gt;"",DATE(YEAR(C352)+VLOOKUP(Interval,LoanLookup[],4,FALSE),MONTH(C352)+VLOOKUP(Interval,LoanLookup[],2,FALSE),DAY(C352)+VLOOKUP(Interval,LoanLookup[],3,FALSE)),"")</f>
        <v>55215</v>
      </c>
      <c r="D353" s="34">
        <f t="shared" ca="1" si="17"/>
        <v>0</v>
      </c>
      <c r="E353" s="35">
        <f t="shared" ca="1" si="19"/>
        <v>989.93360882498609</v>
      </c>
      <c r="F353" s="36">
        <f ca="1">IF(scheduled_no_payments=1,"",IF(Sched_Pay+Scheduled_Extra_Payments&lt;Beg_Bal,Scheduled_Extra_Payments,IF(AND(Pay_Num&lt;&gt;"",Beg_Bal-Sched_Pay&gt;0),Beg_Bal-Sched_Pay,IF(Pay_Num&lt;&gt;"",0,""))))</f>
        <v>0</v>
      </c>
      <c r="G353" s="34">
        <f ca="1">IF(scheduled_no_payments=1,"",IF(Sched_Pay+Extra_Pay&lt;Beg_Bal,Sched_Pay+Extra_Pay,IF(Pay_Num&lt;&gt;"",Beg_Bal,"")))</f>
        <v>0</v>
      </c>
      <c r="H353" s="34">
        <f t="shared" ca="1" si="18"/>
        <v>0</v>
      </c>
      <c r="I353" s="34">
        <f ca="1">IF(Pay_Num&lt;&gt;"",Beg_Bal*(Interest_Rate/VLOOKUP(Interval,LoanLookup[],5,FALSE)),"")</f>
        <v>0</v>
      </c>
      <c r="J353" s="34">
        <f ca="1">IF(scheduled_no_payments=1,"",IF(AND(Pay_Num&lt;&gt;"",Sched_Pay+Extra_Pay&lt;Beg_Bal),Beg_Bal-Princ,IF(Pay_Num&lt;&gt;"",0,"")))</f>
        <v>0</v>
      </c>
      <c r="K353" s="34">
        <f ca="1">IF(scheduled_no_payments=1,"",SUM($I$13:$I353))</f>
        <v>87584.066117996466</v>
      </c>
      <c r="L353" s="38"/>
    </row>
    <row r="354" spans="2:12" ht="16.5" customHeight="1" x14ac:dyDescent="0.25">
      <c r="B354" s="32">
        <f ca="1">IF(AND(Values_Entered,scheduled_no_payments&lt;&gt;1),B353+1,"")</f>
        <v>342</v>
      </c>
      <c r="C354" s="33">
        <f ca="1">IF(Pay_Num&lt;&gt;"",DATE(YEAR(C353)+VLOOKUP(Interval,LoanLookup[],4,FALSE),MONTH(C353)+VLOOKUP(Interval,LoanLookup[],2,FALSE),DAY(C353)+VLOOKUP(Interval,LoanLookup[],3,FALSE)),"")</f>
        <v>55246</v>
      </c>
      <c r="D354" s="34">
        <f t="shared" ca="1" si="17"/>
        <v>0</v>
      </c>
      <c r="E354" s="35">
        <f t="shared" ca="1" si="19"/>
        <v>989.93360882498609</v>
      </c>
      <c r="F354" s="36">
        <f ca="1">IF(scheduled_no_payments=1,"",IF(Sched_Pay+Scheduled_Extra_Payments&lt;Beg_Bal,Scheduled_Extra_Payments,IF(AND(Pay_Num&lt;&gt;"",Beg_Bal-Sched_Pay&gt;0),Beg_Bal-Sched_Pay,IF(Pay_Num&lt;&gt;"",0,""))))</f>
        <v>0</v>
      </c>
      <c r="G354" s="34">
        <f ca="1">IF(scheduled_no_payments=1,"",IF(Sched_Pay+Extra_Pay&lt;Beg_Bal,Sched_Pay+Extra_Pay,IF(Pay_Num&lt;&gt;"",Beg_Bal,"")))</f>
        <v>0</v>
      </c>
      <c r="H354" s="34">
        <f t="shared" ca="1" si="18"/>
        <v>0</v>
      </c>
      <c r="I354" s="34">
        <f ca="1">IF(Pay_Num&lt;&gt;"",Beg_Bal*(Interest_Rate/VLOOKUP(Interval,LoanLookup[],5,FALSE)),"")</f>
        <v>0</v>
      </c>
      <c r="J354" s="34">
        <f ca="1">IF(scheduled_no_payments=1,"",IF(AND(Pay_Num&lt;&gt;"",Sched_Pay+Extra_Pay&lt;Beg_Bal),Beg_Bal-Princ,IF(Pay_Num&lt;&gt;"",0,"")))</f>
        <v>0</v>
      </c>
      <c r="K354" s="34">
        <f ca="1">IF(scheduled_no_payments=1,"",SUM($I$13:$I354))</f>
        <v>87584.066117996466</v>
      </c>
      <c r="L354" s="38"/>
    </row>
    <row r="355" spans="2:12" ht="16.5" customHeight="1" x14ac:dyDescent="0.25">
      <c r="B355" s="32">
        <f ca="1">IF(AND(Values_Entered,scheduled_no_payments&lt;&gt;1),B354+1,"")</f>
        <v>343</v>
      </c>
      <c r="C355" s="33">
        <f ca="1">IF(Pay_Num&lt;&gt;"",DATE(YEAR(C354)+VLOOKUP(Interval,LoanLookup[],4,FALSE),MONTH(C354)+VLOOKUP(Interval,LoanLookup[],2,FALSE),DAY(C354)+VLOOKUP(Interval,LoanLookup[],3,FALSE)),"")</f>
        <v>55276</v>
      </c>
      <c r="D355" s="34">
        <f t="shared" ca="1" si="17"/>
        <v>0</v>
      </c>
      <c r="E355" s="35">
        <f t="shared" ca="1" si="19"/>
        <v>989.93360882498609</v>
      </c>
      <c r="F355" s="36">
        <f ca="1">IF(scheduled_no_payments=1,"",IF(Sched_Pay+Scheduled_Extra_Payments&lt;Beg_Bal,Scheduled_Extra_Payments,IF(AND(Pay_Num&lt;&gt;"",Beg_Bal-Sched_Pay&gt;0),Beg_Bal-Sched_Pay,IF(Pay_Num&lt;&gt;"",0,""))))</f>
        <v>0</v>
      </c>
      <c r="G355" s="34">
        <f ca="1">IF(scheduled_no_payments=1,"",IF(Sched_Pay+Extra_Pay&lt;Beg_Bal,Sched_Pay+Extra_Pay,IF(Pay_Num&lt;&gt;"",Beg_Bal,"")))</f>
        <v>0</v>
      </c>
      <c r="H355" s="34">
        <f t="shared" ca="1" si="18"/>
        <v>0</v>
      </c>
      <c r="I355" s="34">
        <f ca="1">IF(Pay_Num&lt;&gt;"",Beg_Bal*(Interest_Rate/VLOOKUP(Interval,LoanLookup[],5,FALSE)),"")</f>
        <v>0</v>
      </c>
      <c r="J355" s="34">
        <f ca="1">IF(scheduled_no_payments=1,"",IF(AND(Pay_Num&lt;&gt;"",Sched_Pay+Extra_Pay&lt;Beg_Bal),Beg_Bal-Princ,IF(Pay_Num&lt;&gt;"",0,"")))</f>
        <v>0</v>
      </c>
      <c r="K355" s="34">
        <f ca="1">IF(scheduled_no_payments=1,"",SUM($I$13:$I355))</f>
        <v>87584.066117996466</v>
      </c>
      <c r="L355" s="38"/>
    </row>
    <row r="356" spans="2:12" ht="16.5" customHeight="1" x14ac:dyDescent="0.25">
      <c r="B356" s="32">
        <f ca="1">IF(AND(Values_Entered,scheduled_no_payments&lt;&gt;1),B355+1,"")</f>
        <v>344</v>
      </c>
      <c r="C356" s="33">
        <f ca="1">IF(Pay_Num&lt;&gt;"",DATE(YEAR(C355)+VLOOKUP(Interval,LoanLookup[],4,FALSE),MONTH(C355)+VLOOKUP(Interval,LoanLookup[],2,FALSE),DAY(C355)+VLOOKUP(Interval,LoanLookup[],3,FALSE)),"")</f>
        <v>55307</v>
      </c>
      <c r="D356" s="34">
        <f t="shared" ca="1" si="17"/>
        <v>0</v>
      </c>
      <c r="E356" s="35">
        <f t="shared" ca="1" si="19"/>
        <v>989.93360882498609</v>
      </c>
      <c r="F356" s="36">
        <f ca="1">IF(scheduled_no_payments=1,"",IF(Sched_Pay+Scheduled_Extra_Payments&lt;Beg_Bal,Scheduled_Extra_Payments,IF(AND(Pay_Num&lt;&gt;"",Beg_Bal-Sched_Pay&gt;0),Beg_Bal-Sched_Pay,IF(Pay_Num&lt;&gt;"",0,""))))</f>
        <v>0</v>
      </c>
      <c r="G356" s="34">
        <f ca="1">IF(scheduled_no_payments=1,"",IF(Sched_Pay+Extra_Pay&lt;Beg_Bal,Sched_Pay+Extra_Pay,IF(Pay_Num&lt;&gt;"",Beg_Bal,"")))</f>
        <v>0</v>
      </c>
      <c r="H356" s="34">
        <f t="shared" ca="1" si="18"/>
        <v>0</v>
      </c>
      <c r="I356" s="34">
        <f ca="1">IF(Pay_Num&lt;&gt;"",Beg_Bal*(Interest_Rate/VLOOKUP(Interval,LoanLookup[],5,FALSE)),"")</f>
        <v>0</v>
      </c>
      <c r="J356" s="34">
        <f ca="1">IF(scheduled_no_payments=1,"",IF(AND(Pay_Num&lt;&gt;"",Sched_Pay+Extra_Pay&lt;Beg_Bal),Beg_Bal-Princ,IF(Pay_Num&lt;&gt;"",0,"")))</f>
        <v>0</v>
      </c>
      <c r="K356" s="34">
        <f ca="1">IF(scheduled_no_payments=1,"",SUM($I$13:$I356))</f>
        <v>87584.066117996466</v>
      </c>
      <c r="L356" s="38"/>
    </row>
    <row r="357" spans="2:12" ht="16.5" customHeight="1" x14ac:dyDescent="0.25">
      <c r="B357" s="32">
        <f ca="1">IF(AND(Values_Entered,scheduled_no_payments&lt;&gt;1),B356+1,"")</f>
        <v>345</v>
      </c>
      <c r="C357" s="33">
        <f ca="1">IF(Pay_Num&lt;&gt;"",DATE(YEAR(C356)+VLOOKUP(Interval,LoanLookup[],4,FALSE),MONTH(C356)+VLOOKUP(Interval,LoanLookup[],2,FALSE),DAY(C356)+VLOOKUP(Interval,LoanLookup[],3,FALSE)),"")</f>
        <v>55337</v>
      </c>
      <c r="D357" s="34">
        <f t="shared" ca="1" si="17"/>
        <v>0</v>
      </c>
      <c r="E357" s="35">
        <f t="shared" ca="1" si="19"/>
        <v>989.93360882498609</v>
      </c>
      <c r="F357" s="36">
        <f ca="1">IF(scheduled_no_payments=1,"",IF(Sched_Pay+Scheduled_Extra_Payments&lt;Beg_Bal,Scheduled_Extra_Payments,IF(AND(Pay_Num&lt;&gt;"",Beg_Bal-Sched_Pay&gt;0),Beg_Bal-Sched_Pay,IF(Pay_Num&lt;&gt;"",0,""))))</f>
        <v>0</v>
      </c>
      <c r="G357" s="34">
        <f ca="1">IF(scheduled_no_payments=1,"",IF(Sched_Pay+Extra_Pay&lt;Beg_Bal,Sched_Pay+Extra_Pay,IF(Pay_Num&lt;&gt;"",Beg_Bal,"")))</f>
        <v>0</v>
      </c>
      <c r="H357" s="34">
        <f t="shared" ca="1" si="18"/>
        <v>0</v>
      </c>
      <c r="I357" s="34">
        <f ca="1">IF(Pay_Num&lt;&gt;"",Beg_Bal*(Interest_Rate/VLOOKUP(Interval,LoanLookup[],5,FALSE)),"")</f>
        <v>0</v>
      </c>
      <c r="J357" s="34">
        <f ca="1">IF(scheduled_no_payments=1,"",IF(AND(Pay_Num&lt;&gt;"",Sched_Pay+Extra_Pay&lt;Beg_Bal),Beg_Bal-Princ,IF(Pay_Num&lt;&gt;"",0,"")))</f>
        <v>0</v>
      </c>
      <c r="K357" s="34">
        <f ca="1">IF(scheduled_no_payments=1,"",SUM($I$13:$I357))</f>
        <v>87584.066117996466</v>
      </c>
      <c r="L357" s="38"/>
    </row>
    <row r="358" spans="2:12" ht="16.5" customHeight="1" x14ac:dyDescent="0.25">
      <c r="B358" s="32">
        <f ca="1">IF(AND(Values_Entered,scheduled_no_payments&lt;&gt;1),B357+1,"")</f>
        <v>346</v>
      </c>
      <c r="C358" s="33">
        <f ca="1">IF(Pay_Num&lt;&gt;"",DATE(YEAR(C357)+VLOOKUP(Interval,LoanLookup[],4,FALSE),MONTH(C357)+VLOOKUP(Interval,LoanLookup[],2,FALSE),DAY(C357)+VLOOKUP(Interval,LoanLookup[],3,FALSE)),"")</f>
        <v>55368</v>
      </c>
      <c r="D358" s="34">
        <f t="shared" ca="1" si="17"/>
        <v>0</v>
      </c>
      <c r="E358" s="35">
        <f t="shared" ca="1" si="19"/>
        <v>989.93360882498609</v>
      </c>
      <c r="F358" s="36">
        <f ca="1">IF(scheduled_no_payments=1,"",IF(Sched_Pay+Scheduled_Extra_Payments&lt;Beg_Bal,Scheduled_Extra_Payments,IF(AND(Pay_Num&lt;&gt;"",Beg_Bal-Sched_Pay&gt;0),Beg_Bal-Sched_Pay,IF(Pay_Num&lt;&gt;"",0,""))))</f>
        <v>0</v>
      </c>
      <c r="G358" s="34">
        <f ca="1">IF(scheduled_no_payments=1,"",IF(Sched_Pay+Extra_Pay&lt;Beg_Bal,Sched_Pay+Extra_Pay,IF(Pay_Num&lt;&gt;"",Beg_Bal,"")))</f>
        <v>0</v>
      </c>
      <c r="H358" s="34">
        <f t="shared" ca="1" si="18"/>
        <v>0</v>
      </c>
      <c r="I358" s="34">
        <f ca="1">IF(Pay_Num&lt;&gt;"",Beg_Bal*(Interest_Rate/VLOOKUP(Interval,LoanLookup[],5,FALSE)),"")</f>
        <v>0</v>
      </c>
      <c r="J358" s="34">
        <f ca="1">IF(scheduled_no_payments=1,"",IF(AND(Pay_Num&lt;&gt;"",Sched_Pay+Extra_Pay&lt;Beg_Bal),Beg_Bal-Princ,IF(Pay_Num&lt;&gt;"",0,"")))</f>
        <v>0</v>
      </c>
      <c r="K358" s="34">
        <f ca="1">IF(scheduled_no_payments=1,"",SUM($I$13:$I358))</f>
        <v>87584.066117996466</v>
      </c>
      <c r="L358" s="38"/>
    </row>
    <row r="359" spans="2:12" ht="16.5" customHeight="1" x14ac:dyDescent="0.25">
      <c r="B359" s="32">
        <f ca="1">IF(AND(Values_Entered,scheduled_no_payments&lt;&gt;1),B358+1,"")</f>
        <v>347</v>
      </c>
      <c r="C359" s="33">
        <f ca="1">IF(Pay_Num&lt;&gt;"",DATE(YEAR(C358)+VLOOKUP(Interval,LoanLookup[],4,FALSE),MONTH(C358)+VLOOKUP(Interval,LoanLookup[],2,FALSE),DAY(C358)+VLOOKUP(Interval,LoanLookup[],3,FALSE)),"")</f>
        <v>55399</v>
      </c>
      <c r="D359" s="34">
        <f t="shared" ca="1" si="17"/>
        <v>0</v>
      </c>
      <c r="E359" s="35">
        <f t="shared" ca="1" si="19"/>
        <v>989.93360882498609</v>
      </c>
      <c r="F359" s="36">
        <f ca="1">IF(scheduled_no_payments=1,"",IF(Sched_Pay+Scheduled_Extra_Payments&lt;Beg_Bal,Scheduled_Extra_Payments,IF(AND(Pay_Num&lt;&gt;"",Beg_Bal-Sched_Pay&gt;0),Beg_Bal-Sched_Pay,IF(Pay_Num&lt;&gt;"",0,""))))</f>
        <v>0</v>
      </c>
      <c r="G359" s="34">
        <f ca="1">IF(scheduled_no_payments=1,"",IF(Sched_Pay+Extra_Pay&lt;Beg_Bal,Sched_Pay+Extra_Pay,IF(Pay_Num&lt;&gt;"",Beg_Bal,"")))</f>
        <v>0</v>
      </c>
      <c r="H359" s="34">
        <f t="shared" ca="1" si="18"/>
        <v>0</v>
      </c>
      <c r="I359" s="34">
        <f ca="1">IF(Pay_Num&lt;&gt;"",Beg_Bal*(Interest_Rate/VLOOKUP(Interval,LoanLookup[],5,FALSE)),"")</f>
        <v>0</v>
      </c>
      <c r="J359" s="34">
        <f ca="1">IF(scheduled_no_payments=1,"",IF(AND(Pay_Num&lt;&gt;"",Sched_Pay+Extra_Pay&lt;Beg_Bal),Beg_Bal-Princ,IF(Pay_Num&lt;&gt;"",0,"")))</f>
        <v>0</v>
      </c>
      <c r="K359" s="34">
        <f ca="1">IF(scheduled_no_payments=1,"",SUM($I$13:$I359))</f>
        <v>87584.066117996466</v>
      </c>
      <c r="L359" s="38"/>
    </row>
    <row r="360" spans="2:12" ht="16.5" customHeight="1" x14ac:dyDescent="0.25">
      <c r="B360" s="32">
        <f ca="1">IF(AND(Values_Entered,scheduled_no_payments&lt;&gt;1),B359+1,"")</f>
        <v>348</v>
      </c>
      <c r="C360" s="33">
        <f ca="1">IF(Pay_Num&lt;&gt;"",DATE(YEAR(C359)+VLOOKUP(Interval,LoanLookup[],4,FALSE),MONTH(C359)+VLOOKUP(Interval,LoanLookup[],2,FALSE),DAY(C359)+VLOOKUP(Interval,LoanLookup[],3,FALSE)),"")</f>
        <v>55429</v>
      </c>
      <c r="D360" s="34">
        <f t="shared" ca="1" si="17"/>
        <v>0</v>
      </c>
      <c r="E360" s="35">
        <f t="shared" ca="1" si="19"/>
        <v>989.93360882498609</v>
      </c>
      <c r="F360" s="36">
        <f ca="1">IF(scheduled_no_payments=1,"",IF(Sched_Pay+Scheduled_Extra_Payments&lt;Beg_Bal,Scheduled_Extra_Payments,IF(AND(Pay_Num&lt;&gt;"",Beg_Bal-Sched_Pay&gt;0),Beg_Bal-Sched_Pay,IF(Pay_Num&lt;&gt;"",0,""))))</f>
        <v>0</v>
      </c>
      <c r="G360" s="34">
        <f ca="1">IF(scheduled_no_payments=1,"",IF(Sched_Pay+Extra_Pay&lt;Beg_Bal,Sched_Pay+Extra_Pay,IF(Pay_Num&lt;&gt;"",Beg_Bal,"")))</f>
        <v>0</v>
      </c>
      <c r="H360" s="34">
        <f t="shared" ca="1" si="18"/>
        <v>0</v>
      </c>
      <c r="I360" s="34">
        <f ca="1">IF(Pay_Num&lt;&gt;"",Beg_Bal*(Interest_Rate/VLOOKUP(Interval,LoanLookup[],5,FALSE)),"")</f>
        <v>0</v>
      </c>
      <c r="J360" s="34">
        <f ca="1">IF(scheduled_no_payments=1,"",IF(AND(Pay_Num&lt;&gt;"",Sched_Pay+Extra_Pay&lt;Beg_Bal),Beg_Bal-Princ,IF(Pay_Num&lt;&gt;"",0,"")))</f>
        <v>0</v>
      </c>
      <c r="K360" s="34">
        <f ca="1">IF(scheduled_no_payments=1,"",SUM($I$13:$I360))</f>
        <v>87584.066117996466</v>
      </c>
      <c r="L360" s="38"/>
    </row>
    <row r="361" spans="2:12" ht="16.5" customHeight="1" x14ac:dyDescent="0.25">
      <c r="B361" s="32">
        <f ca="1">IF(AND(Values_Entered,scheduled_no_payments&lt;&gt;1),B360+1,"")</f>
        <v>349</v>
      </c>
      <c r="C361" s="33">
        <f ca="1">IF(Pay_Num&lt;&gt;"",DATE(YEAR(C360)+VLOOKUP(Interval,LoanLookup[],4,FALSE),MONTH(C360)+VLOOKUP(Interval,LoanLookup[],2,FALSE),DAY(C360)+VLOOKUP(Interval,LoanLookup[],3,FALSE)),"")</f>
        <v>55460</v>
      </c>
      <c r="D361" s="34">
        <f t="shared" ca="1" si="17"/>
        <v>0</v>
      </c>
      <c r="E361" s="35">
        <f t="shared" ca="1" si="19"/>
        <v>989.93360882498609</v>
      </c>
      <c r="F361" s="36">
        <f ca="1">IF(scheduled_no_payments=1,"",IF(Sched_Pay+Scheduled_Extra_Payments&lt;Beg_Bal,Scheduled_Extra_Payments,IF(AND(Pay_Num&lt;&gt;"",Beg_Bal-Sched_Pay&gt;0),Beg_Bal-Sched_Pay,IF(Pay_Num&lt;&gt;"",0,""))))</f>
        <v>0</v>
      </c>
      <c r="G361" s="34">
        <f ca="1">IF(scheduled_no_payments=1,"",IF(Sched_Pay+Extra_Pay&lt;Beg_Bal,Sched_Pay+Extra_Pay,IF(Pay_Num&lt;&gt;"",Beg_Bal,"")))</f>
        <v>0</v>
      </c>
      <c r="H361" s="34">
        <f t="shared" ca="1" si="18"/>
        <v>0</v>
      </c>
      <c r="I361" s="34">
        <f ca="1">IF(Pay_Num&lt;&gt;"",Beg_Bal*(Interest_Rate/VLOOKUP(Interval,LoanLookup[],5,FALSE)),"")</f>
        <v>0</v>
      </c>
      <c r="J361" s="34">
        <f ca="1">IF(scheduled_no_payments=1,"",IF(AND(Pay_Num&lt;&gt;"",Sched_Pay+Extra_Pay&lt;Beg_Bal),Beg_Bal-Princ,IF(Pay_Num&lt;&gt;"",0,"")))</f>
        <v>0</v>
      </c>
      <c r="K361" s="34">
        <f ca="1">IF(scheduled_no_payments=1,"",SUM($I$13:$I361))</f>
        <v>87584.066117996466</v>
      </c>
      <c r="L361" s="38"/>
    </row>
    <row r="362" spans="2:12" ht="16.5" customHeight="1" x14ac:dyDescent="0.25">
      <c r="B362" s="32">
        <f ca="1">IF(AND(Values_Entered,scheduled_no_payments&lt;&gt;1),B361+1,"")</f>
        <v>350</v>
      </c>
      <c r="C362" s="33">
        <f ca="1">IF(Pay_Num&lt;&gt;"",DATE(YEAR(C361)+VLOOKUP(Interval,LoanLookup[],4,FALSE),MONTH(C361)+VLOOKUP(Interval,LoanLookup[],2,FALSE),DAY(C361)+VLOOKUP(Interval,LoanLookup[],3,FALSE)),"")</f>
        <v>55490</v>
      </c>
      <c r="D362" s="34">
        <f t="shared" ca="1" si="17"/>
        <v>0</v>
      </c>
      <c r="E362" s="35">
        <f t="shared" ca="1" si="19"/>
        <v>989.93360882498609</v>
      </c>
      <c r="F362" s="36">
        <f ca="1">IF(scheduled_no_payments=1,"",IF(Sched_Pay+Scheduled_Extra_Payments&lt;Beg_Bal,Scheduled_Extra_Payments,IF(AND(Pay_Num&lt;&gt;"",Beg_Bal-Sched_Pay&gt;0),Beg_Bal-Sched_Pay,IF(Pay_Num&lt;&gt;"",0,""))))</f>
        <v>0</v>
      </c>
      <c r="G362" s="34">
        <f ca="1">IF(scheduled_no_payments=1,"",IF(Sched_Pay+Extra_Pay&lt;Beg_Bal,Sched_Pay+Extra_Pay,IF(Pay_Num&lt;&gt;"",Beg_Bal,"")))</f>
        <v>0</v>
      </c>
      <c r="H362" s="34">
        <f t="shared" ca="1" si="18"/>
        <v>0</v>
      </c>
      <c r="I362" s="34">
        <f ca="1">IF(Pay_Num&lt;&gt;"",Beg_Bal*(Interest_Rate/VLOOKUP(Interval,LoanLookup[],5,FALSE)),"")</f>
        <v>0</v>
      </c>
      <c r="J362" s="34">
        <f ca="1">IF(scheduled_no_payments=1,"",IF(AND(Pay_Num&lt;&gt;"",Sched_Pay+Extra_Pay&lt;Beg_Bal),Beg_Bal-Princ,IF(Pay_Num&lt;&gt;"",0,"")))</f>
        <v>0</v>
      </c>
      <c r="K362" s="34">
        <f ca="1">IF(scheduled_no_payments=1,"",SUM($I$13:$I362))</f>
        <v>87584.066117996466</v>
      </c>
      <c r="L362" s="38"/>
    </row>
    <row r="363" spans="2:12" ht="16.5" customHeight="1" x14ac:dyDescent="0.25">
      <c r="B363" s="32">
        <f ca="1">IF(AND(Values_Entered,scheduled_no_payments&lt;&gt;1),B362+1,"")</f>
        <v>351</v>
      </c>
      <c r="C363" s="33">
        <f ca="1">IF(Pay_Num&lt;&gt;"",DATE(YEAR(C362)+VLOOKUP(Interval,LoanLookup[],4,FALSE),MONTH(C362)+VLOOKUP(Interval,LoanLookup[],2,FALSE),DAY(C362)+VLOOKUP(Interval,LoanLookup[],3,FALSE)),"")</f>
        <v>55521</v>
      </c>
      <c r="D363" s="34">
        <f t="shared" ca="1" si="17"/>
        <v>0</v>
      </c>
      <c r="E363" s="35">
        <f t="shared" ca="1" si="19"/>
        <v>989.93360882498609</v>
      </c>
      <c r="F363" s="36">
        <f ca="1">IF(scheduled_no_payments=1,"",IF(Sched_Pay+Scheduled_Extra_Payments&lt;Beg_Bal,Scheduled_Extra_Payments,IF(AND(Pay_Num&lt;&gt;"",Beg_Bal-Sched_Pay&gt;0),Beg_Bal-Sched_Pay,IF(Pay_Num&lt;&gt;"",0,""))))</f>
        <v>0</v>
      </c>
      <c r="G363" s="34">
        <f ca="1">IF(scheduled_no_payments=1,"",IF(Sched_Pay+Extra_Pay&lt;Beg_Bal,Sched_Pay+Extra_Pay,IF(Pay_Num&lt;&gt;"",Beg_Bal,"")))</f>
        <v>0</v>
      </c>
      <c r="H363" s="34">
        <f t="shared" ca="1" si="18"/>
        <v>0</v>
      </c>
      <c r="I363" s="34">
        <f ca="1">IF(Pay_Num&lt;&gt;"",Beg_Bal*(Interest_Rate/VLOOKUP(Interval,LoanLookup[],5,FALSE)),"")</f>
        <v>0</v>
      </c>
      <c r="J363" s="34">
        <f ca="1">IF(scheduled_no_payments=1,"",IF(AND(Pay_Num&lt;&gt;"",Sched_Pay+Extra_Pay&lt;Beg_Bal),Beg_Bal-Princ,IF(Pay_Num&lt;&gt;"",0,"")))</f>
        <v>0</v>
      </c>
      <c r="K363" s="34">
        <f ca="1">IF(scheduled_no_payments=1,"",SUM($I$13:$I363))</f>
        <v>87584.066117996466</v>
      </c>
      <c r="L363" s="38"/>
    </row>
    <row r="364" spans="2:12" ht="16.5" customHeight="1" x14ac:dyDescent="0.25">
      <c r="B364" s="32">
        <f ca="1">IF(AND(Values_Entered,scheduled_no_payments&lt;&gt;1),B363+1,"")</f>
        <v>352</v>
      </c>
      <c r="C364" s="33">
        <f ca="1">IF(Pay_Num&lt;&gt;"",DATE(YEAR(C363)+VLOOKUP(Interval,LoanLookup[],4,FALSE),MONTH(C363)+VLOOKUP(Interval,LoanLookup[],2,FALSE),DAY(C363)+VLOOKUP(Interval,LoanLookup[],3,FALSE)),"")</f>
        <v>55552</v>
      </c>
      <c r="D364" s="34">
        <f t="shared" ca="1" si="17"/>
        <v>0</v>
      </c>
      <c r="E364" s="35">
        <f t="shared" ca="1" si="19"/>
        <v>989.93360882498609</v>
      </c>
      <c r="F364" s="36">
        <f ca="1">IF(scheduled_no_payments=1,"",IF(Sched_Pay+Scheduled_Extra_Payments&lt;Beg_Bal,Scheduled_Extra_Payments,IF(AND(Pay_Num&lt;&gt;"",Beg_Bal-Sched_Pay&gt;0),Beg_Bal-Sched_Pay,IF(Pay_Num&lt;&gt;"",0,""))))</f>
        <v>0</v>
      </c>
      <c r="G364" s="34">
        <f ca="1">IF(scheduled_no_payments=1,"",IF(Sched_Pay+Extra_Pay&lt;Beg_Bal,Sched_Pay+Extra_Pay,IF(Pay_Num&lt;&gt;"",Beg_Bal,"")))</f>
        <v>0</v>
      </c>
      <c r="H364" s="34">
        <f t="shared" ca="1" si="18"/>
        <v>0</v>
      </c>
      <c r="I364" s="34">
        <f ca="1">IF(Pay_Num&lt;&gt;"",Beg_Bal*(Interest_Rate/VLOOKUP(Interval,LoanLookup[],5,FALSE)),"")</f>
        <v>0</v>
      </c>
      <c r="J364" s="34">
        <f ca="1">IF(scheduled_no_payments=1,"",IF(AND(Pay_Num&lt;&gt;"",Sched_Pay+Extra_Pay&lt;Beg_Bal),Beg_Bal-Princ,IF(Pay_Num&lt;&gt;"",0,"")))</f>
        <v>0</v>
      </c>
      <c r="K364" s="34">
        <f ca="1">IF(scheduled_no_payments=1,"",SUM($I$13:$I364))</f>
        <v>87584.066117996466</v>
      </c>
      <c r="L364" s="38"/>
    </row>
    <row r="365" spans="2:12" ht="16.5" customHeight="1" x14ac:dyDescent="0.25">
      <c r="B365" s="32">
        <f ca="1">IF(AND(Values_Entered,scheduled_no_payments&lt;&gt;1),B364+1,"")</f>
        <v>353</v>
      </c>
      <c r="C365" s="33">
        <f ca="1">IF(Pay_Num&lt;&gt;"",DATE(YEAR(C364)+VLOOKUP(Interval,LoanLookup[],4,FALSE),MONTH(C364)+VLOOKUP(Interval,LoanLookup[],2,FALSE),DAY(C364)+VLOOKUP(Interval,LoanLookup[],3,FALSE)),"")</f>
        <v>55581</v>
      </c>
      <c r="D365" s="34">
        <f t="shared" ca="1" si="17"/>
        <v>0</v>
      </c>
      <c r="E365" s="35">
        <f t="shared" ca="1" si="19"/>
        <v>989.93360882498609</v>
      </c>
      <c r="F365" s="36">
        <f ca="1">IF(scheduled_no_payments=1,"",IF(Sched_Pay+Scheduled_Extra_Payments&lt;Beg_Bal,Scheduled_Extra_Payments,IF(AND(Pay_Num&lt;&gt;"",Beg_Bal-Sched_Pay&gt;0),Beg_Bal-Sched_Pay,IF(Pay_Num&lt;&gt;"",0,""))))</f>
        <v>0</v>
      </c>
      <c r="G365" s="34">
        <f ca="1">IF(scheduled_no_payments=1,"",IF(Sched_Pay+Extra_Pay&lt;Beg_Bal,Sched_Pay+Extra_Pay,IF(Pay_Num&lt;&gt;"",Beg_Bal,"")))</f>
        <v>0</v>
      </c>
      <c r="H365" s="34">
        <f t="shared" ca="1" si="18"/>
        <v>0</v>
      </c>
      <c r="I365" s="34">
        <f ca="1">IF(Pay_Num&lt;&gt;"",Beg_Bal*(Interest_Rate/VLOOKUP(Interval,LoanLookup[],5,FALSE)),"")</f>
        <v>0</v>
      </c>
      <c r="J365" s="34">
        <f ca="1">IF(scheduled_no_payments=1,"",IF(AND(Pay_Num&lt;&gt;"",Sched_Pay+Extra_Pay&lt;Beg_Bal),Beg_Bal-Princ,IF(Pay_Num&lt;&gt;"",0,"")))</f>
        <v>0</v>
      </c>
      <c r="K365" s="34">
        <f ca="1">IF(scheduled_no_payments=1,"",SUM($I$13:$I365))</f>
        <v>87584.066117996466</v>
      </c>
      <c r="L365" s="38"/>
    </row>
    <row r="366" spans="2:12" ht="16.5" customHeight="1" x14ac:dyDescent="0.25">
      <c r="B366" s="32">
        <f ca="1">IF(AND(Values_Entered,scheduled_no_payments&lt;&gt;1),B365+1,"")</f>
        <v>354</v>
      </c>
      <c r="C366" s="33">
        <f ca="1">IF(Pay_Num&lt;&gt;"",DATE(YEAR(C365)+VLOOKUP(Interval,LoanLookup[],4,FALSE),MONTH(C365)+VLOOKUP(Interval,LoanLookup[],2,FALSE),DAY(C365)+VLOOKUP(Interval,LoanLookup[],3,FALSE)),"")</f>
        <v>55612</v>
      </c>
      <c r="D366" s="34">
        <f t="shared" ca="1" si="17"/>
        <v>0</v>
      </c>
      <c r="E366" s="35">
        <f t="shared" ca="1" si="19"/>
        <v>989.93360882498609</v>
      </c>
      <c r="F366" s="36">
        <f ca="1">IF(scheduled_no_payments=1,"",IF(Sched_Pay+Scheduled_Extra_Payments&lt;Beg_Bal,Scheduled_Extra_Payments,IF(AND(Pay_Num&lt;&gt;"",Beg_Bal-Sched_Pay&gt;0),Beg_Bal-Sched_Pay,IF(Pay_Num&lt;&gt;"",0,""))))</f>
        <v>0</v>
      </c>
      <c r="G366" s="34">
        <f ca="1">IF(scheduled_no_payments=1,"",IF(Sched_Pay+Extra_Pay&lt;Beg_Bal,Sched_Pay+Extra_Pay,IF(Pay_Num&lt;&gt;"",Beg_Bal,"")))</f>
        <v>0</v>
      </c>
      <c r="H366" s="34">
        <f t="shared" ca="1" si="18"/>
        <v>0</v>
      </c>
      <c r="I366" s="34">
        <f ca="1">IF(Pay_Num&lt;&gt;"",Beg_Bal*(Interest_Rate/VLOOKUP(Interval,LoanLookup[],5,FALSE)),"")</f>
        <v>0</v>
      </c>
      <c r="J366" s="34">
        <f ca="1">IF(scheduled_no_payments=1,"",IF(AND(Pay_Num&lt;&gt;"",Sched_Pay+Extra_Pay&lt;Beg_Bal),Beg_Bal-Princ,IF(Pay_Num&lt;&gt;"",0,"")))</f>
        <v>0</v>
      </c>
      <c r="K366" s="34">
        <f ca="1">IF(scheduled_no_payments=1,"",SUM($I$13:$I366))</f>
        <v>87584.066117996466</v>
      </c>
      <c r="L366" s="38"/>
    </row>
    <row r="367" spans="2:12" ht="16.5" customHeight="1" x14ac:dyDescent="0.25">
      <c r="B367" s="32">
        <f ca="1">IF(AND(Values_Entered,scheduled_no_payments&lt;&gt;1),B366+1,"")</f>
        <v>355</v>
      </c>
      <c r="C367" s="33">
        <f ca="1">IF(Pay_Num&lt;&gt;"",DATE(YEAR(C366)+VLOOKUP(Interval,LoanLookup[],4,FALSE),MONTH(C366)+VLOOKUP(Interval,LoanLookup[],2,FALSE),DAY(C366)+VLOOKUP(Interval,LoanLookup[],3,FALSE)),"")</f>
        <v>55642</v>
      </c>
      <c r="D367" s="34">
        <f t="shared" ca="1" si="17"/>
        <v>0</v>
      </c>
      <c r="E367" s="35">
        <f t="shared" ca="1" si="19"/>
        <v>989.93360882498609</v>
      </c>
      <c r="F367" s="36">
        <f ca="1">IF(scheduled_no_payments=1,"",IF(Sched_Pay+Scheduled_Extra_Payments&lt;Beg_Bal,Scheduled_Extra_Payments,IF(AND(Pay_Num&lt;&gt;"",Beg_Bal-Sched_Pay&gt;0),Beg_Bal-Sched_Pay,IF(Pay_Num&lt;&gt;"",0,""))))</f>
        <v>0</v>
      </c>
      <c r="G367" s="34">
        <f ca="1">IF(scheduled_no_payments=1,"",IF(Sched_Pay+Extra_Pay&lt;Beg_Bal,Sched_Pay+Extra_Pay,IF(Pay_Num&lt;&gt;"",Beg_Bal,"")))</f>
        <v>0</v>
      </c>
      <c r="H367" s="34">
        <f t="shared" ca="1" si="18"/>
        <v>0</v>
      </c>
      <c r="I367" s="34">
        <f ca="1">IF(Pay_Num&lt;&gt;"",Beg_Bal*(Interest_Rate/VLOOKUP(Interval,LoanLookup[],5,FALSE)),"")</f>
        <v>0</v>
      </c>
      <c r="J367" s="34">
        <f ca="1">IF(scheduled_no_payments=1,"",IF(AND(Pay_Num&lt;&gt;"",Sched_Pay+Extra_Pay&lt;Beg_Bal),Beg_Bal-Princ,IF(Pay_Num&lt;&gt;"",0,"")))</f>
        <v>0</v>
      </c>
      <c r="K367" s="34">
        <f ca="1">IF(scheduled_no_payments=1,"",SUM($I$13:$I367))</f>
        <v>87584.066117996466</v>
      </c>
      <c r="L367" s="38"/>
    </row>
    <row r="368" spans="2:12" ht="16.5" customHeight="1" x14ac:dyDescent="0.25">
      <c r="B368" s="32">
        <f ca="1">IF(AND(Values_Entered,scheduled_no_payments&lt;&gt;1),B367+1,"")</f>
        <v>356</v>
      </c>
      <c r="C368" s="33">
        <f ca="1">IF(Pay_Num&lt;&gt;"",DATE(YEAR(C367)+VLOOKUP(Interval,LoanLookup[],4,FALSE),MONTH(C367)+VLOOKUP(Interval,LoanLookup[],2,FALSE),DAY(C367)+VLOOKUP(Interval,LoanLookup[],3,FALSE)),"")</f>
        <v>55673</v>
      </c>
      <c r="D368" s="34">
        <f t="shared" ca="1" si="17"/>
        <v>0</v>
      </c>
      <c r="E368" s="35">
        <f t="shared" ca="1" si="19"/>
        <v>989.93360882498609</v>
      </c>
      <c r="F368" s="36">
        <f ca="1">IF(scheduled_no_payments=1,"",IF(Sched_Pay+Scheduled_Extra_Payments&lt;Beg_Bal,Scheduled_Extra_Payments,IF(AND(Pay_Num&lt;&gt;"",Beg_Bal-Sched_Pay&gt;0),Beg_Bal-Sched_Pay,IF(Pay_Num&lt;&gt;"",0,""))))</f>
        <v>0</v>
      </c>
      <c r="G368" s="34">
        <f ca="1">IF(scheduled_no_payments=1,"",IF(Sched_Pay+Extra_Pay&lt;Beg_Bal,Sched_Pay+Extra_Pay,IF(Pay_Num&lt;&gt;"",Beg_Bal,"")))</f>
        <v>0</v>
      </c>
      <c r="H368" s="34">
        <f t="shared" ca="1" si="18"/>
        <v>0</v>
      </c>
      <c r="I368" s="34">
        <f ca="1">IF(Pay_Num&lt;&gt;"",Beg_Bal*(Interest_Rate/VLOOKUP(Interval,LoanLookup[],5,FALSE)),"")</f>
        <v>0</v>
      </c>
      <c r="J368" s="34">
        <f ca="1">IF(scheduled_no_payments=1,"",IF(AND(Pay_Num&lt;&gt;"",Sched_Pay+Extra_Pay&lt;Beg_Bal),Beg_Bal-Princ,IF(Pay_Num&lt;&gt;"",0,"")))</f>
        <v>0</v>
      </c>
      <c r="K368" s="34">
        <f ca="1">IF(scheduled_no_payments=1,"",SUM($I$13:$I368))</f>
        <v>87584.066117996466</v>
      </c>
      <c r="L368" s="38"/>
    </row>
    <row r="369" spans="2:12" ht="16.5" customHeight="1" x14ac:dyDescent="0.25">
      <c r="B369" s="32">
        <f ca="1">IF(AND(Values_Entered,scheduled_no_payments&lt;&gt;1),B368+1,"")</f>
        <v>357</v>
      </c>
      <c r="C369" s="33">
        <f ca="1">IF(Pay_Num&lt;&gt;"",DATE(YEAR(C368)+VLOOKUP(Interval,LoanLookup[],4,FALSE),MONTH(C368)+VLOOKUP(Interval,LoanLookup[],2,FALSE),DAY(C368)+VLOOKUP(Interval,LoanLookup[],3,FALSE)),"")</f>
        <v>55703</v>
      </c>
      <c r="D369" s="34">
        <f t="shared" ca="1" si="17"/>
        <v>0</v>
      </c>
      <c r="E369" s="35">
        <f t="shared" ca="1" si="19"/>
        <v>989.93360882498609</v>
      </c>
      <c r="F369" s="36">
        <f ca="1">IF(scheduled_no_payments=1,"",IF(Sched_Pay+Scheduled_Extra_Payments&lt;Beg_Bal,Scheduled_Extra_Payments,IF(AND(Pay_Num&lt;&gt;"",Beg_Bal-Sched_Pay&gt;0),Beg_Bal-Sched_Pay,IF(Pay_Num&lt;&gt;"",0,""))))</f>
        <v>0</v>
      </c>
      <c r="G369" s="34">
        <f ca="1">IF(scheduled_no_payments=1,"",IF(Sched_Pay+Extra_Pay&lt;Beg_Bal,Sched_Pay+Extra_Pay,IF(Pay_Num&lt;&gt;"",Beg_Bal,"")))</f>
        <v>0</v>
      </c>
      <c r="H369" s="34">
        <f t="shared" ca="1" si="18"/>
        <v>0</v>
      </c>
      <c r="I369" s="34">
        <f ca="1">IF(Pay_Num&lt;&gt;"",Beg_Bal*(Interest_Rate/VLOOKUP(Interval,LoanLookup[],5,FALSE)),"")</f>
        <v>0</v>
      </c>
      <c r="J369" s="34">
        <f ca="1">IF(scheduled_no_payments=1,"",IF(AND(Pay_Num&lt;&gt;"",Sched_Pay+Extra_Pay&lt;Beg_Bal),Beg_Bal-Princ,IF(Pay_Num&lt;&gt;"",0,"")))</f>
        <v>0</v>
      </c>
      <c r="K369" s="34">
        <f ca="1">IF(scheduled_no_payments=1,"",SUM($I$13:$I369))</f>
        <v>87584.066117996466</v>
      </c>
      <c r="L369" s="38"/>
    </row>
    <row r="370" spans="2:12" ht="16.5" customHeight="1" x14ac:dyDescent="0.25">
      <c r="B370" s="32">
        <f ca="1">IF(AND(Values_Entered,scheduled_no_payments&lt;&gt;1),B369+1,"")</f>
        <v>358</v>
      </c>
      <c r="C370" s="33">
        <f ca="1">IF(Pay_Num&lt;&gt;"",DATE(YEAR(C369)+VLOOKUP(Interval,LoanLookup[],4,FALSE),MONTH(C369)+VLOOKUP(Interval,LoanLookup[],2,FALSE),DAY(C369)+VLOOKUP(Interval,LoanLookup[],3,FALSE)),"")</f>
        <v>55734</v>
      </c>
      <c r="D370" s="34">
        <f t="shared" ca="1" si="17"/>
        <v>0</v>
      </c>
      <c r="E370" s="35">
        <f t="shared" ca="1" si="19"/>
        <v>989.93360882498609</v>
      </c>
      <c r="F370" s="36">
        <f ca="1">IF(scheduled_no_payments=1,"",IF(Sched_Pay+Scheduled_Extra_Payments&lt;Beg_Bal,Scheduled_Extra_Payments,IF(AND(Pay_Num&lt;&gt;"",Beg_Bal-Sched_Pay&gt;0),Beg_Bal-Sched_Pay,IF(Pay_Num&lt;&gt;"",0,""))))</f>
        <v>0</v>
      </c>
      <c r="G370" s="34">
        <f ca="1">IF(scheduled_no_payments=1,"",IF(Sched_Pay+Extra_Pay&lt;Beg_Bal,Sched_Pay+Extra_Pay,IF(Pay_Num&lt;&gt;"",Beg_Bal,"")))</f>
        <v>0</v>
      </c>
      <c r="H370" s="34">
        <f t="shared" ca="1" si="18"/>
        <v>0</v>
      </c>
      <c r="I370" s="34">
        <f ca="1">IF(Pay_Num&lt;&gt;"",Beg_Bal*(Interest_Rate/VLOOKUP(Interval,LoanLookup[],5,FALSE)),"")</f>
        <v>0</v>
      </c>
      <c r="J370" s="34">
        <f ca="1">IF(scheduled_no_payments=1,"",IF(AND(Pay_Num&lt;&gt;"",Sched_Pay+Extra_Pay&lt;Beg_Bal),Beg_Bal-Princ,IF(Pay_Num&lt;&gt;"",0,"")))</f>
        <v>0</v>
      </c>
      <c r="K370" s="34">
        <f ca="1">IF(scheduled_no_payments=1,"",SUM($I$13:$I370))</f>
        <v>87584.066117996466</v>
      </c>
      <c r="L370" s="38"/>
    </row>
    <row r="371" spans="2:12" ht="16.5" customHeight="1" x14ac:dyDescent="0.25">
      <c r="B371" s="32">
        <f ca="1">IF(AND(Values_Entered,scheduled_no_payments&lt;&gt;1),B370+1,"")</f>
        <v>359</v>
      </c>
      <c r="C371" s="33">
        <f ca="1">IF(Pay_Num&lt;&gt;"",DATE(YEAR(C370)+VLOOKUP(Interval,LoanLookup[],4,FALSE),MONTH(C370)+VLOOKUP(Interval,LoanLookup[],2,FALSE),DAY(C370)+VLOOKUP(Interval,LoanLookup[],3,FALSE)),"")</f>
        <v>55765</v>
      </c>
      <c r="D371" s="34">
        <f t="shared" ca="1" si="17"/>
        <v>0</v>
      </c>
      <c r="E371" s="35">
        <f t="shared" ca="1" si="19"/>
        <v>989.93360882498609</v>
      </c>
      <c r="F371" s="36">
        <f ca="1">IF(scheduled_no_payments=1,"",IF(Sched_Pay+Scheduled_Extra_Payments&lt;Beg_Bal,Scheduled_Extra_Payments,IF(AND(Pay_Num&lt;&gt;"",Beg_Bal-Sched_Pay&gt;0),Beg_Bal-Sched_Pay,IF(Pay_Num&lt;&gt;"",0,""))))</f>
        <v>0</v>
      </c>
      <c r="G371" s="34">
        <f ca="1">IF(scheduled_no_payments=1,"",IF(Sched_Pay+Extra_Pay&lt;Beg_Bal,Sched_Pay+Extra_Pay,IF(Pay_Num&lt;&gt;"",Beg_Bal,"")))</f>
        <v>0</v>
      </c>
      <c r="H371" s="34">
        <f t="shared" ca="1" si="18"/>
        <v>0</v>
      </c>
      <c r="I371" s="34">
        <f ca="1">IF(Pay_Num&lt;&gt;"",Beg_Bal*(Interest_Rate/VLOOKUP(Interval,LoanLookup[],5,FALSE)),"")</f>
        <v>0</v>
      </c>
      <c r="J371" s="34">
        <f ca="1">IF(scheduled_no_payments=1,"",IF(AND(Pay_Num&lt;&gt;"",Sched_Pay+Extra_Pay&lt;Beg_Bal),Beg_Bal-Princ,IF(Pay_Num&lt;&gt;"",0,"")))</f>
        <v>0</v>
      </c>
      <c r="K371" s="34">
        <f ca="1">IF(scheduled_no_payments=1,"",SUM($I$13:$I371))</f>
        <v>87584.066117996466</v>
      </c>
      <c r="L371" s="38"/>
    </row>
    <row r="372" spans="2:12" ht="16.5" customHeight="1" x14ac:dyDescent="0.25">
      <c r="B372" s="32">
        <f ca="1">IF(AND(Values_Entered,scheduled_no_payments&lt;&gt;1),B371+1,"")</f>
        <v>360</v>
      </c>
      <c r="C372" s="33">
        <f ca="1">IF(Pay_Num&lt;&gt;"",DATE(YEAR(C371)+VLOOKUP(Interval,LoanLookup[],4,FALSE),MONTH(C371)+VLOOKUP(Interval,LoanLookup[],2,FALSE),DAY(C371)+VLOOKUP(Interval,LoanLookup[],3,FALSE)),"")</f>
        <v>55795</v>
      </c>
      <c r="D372" s="34">
        <f t="shared" ca="1" si="17"/>
        <v>0</v>
      </c>
      <c r="E372" s="35">
        <f t="shared" ca="1" si="19"/>
        <v>989.93360882498609</v>
      </c>
      <c r="F372" s="36">
        <f ca="1">IF(scheduled_no_payments=1,"",IF(Sched_Pay+Scheduled_Extra_Payments&lt;Beg_Bal,Scheduled_Extra_Payments,IF(AND(Pay_Num&lt;&gt;"",Beg_Bal-Sched_Pay&gt;0),Beg_Bal-Sched_Pay,IF(Pay_Num&lt;&gt;"",0,""))))</f>
        <v>0</v>
      </c>
      <c r="G372" s="34">
        <f ca="1">IF(scheduled_no_payments=1,"",IF(Sched_Pay+Extra_Pay&lt;Beg_Bal,Sched_Pay+Extra_Pay,IF(Pay_Num&lt;&gt;"",Beg_Bal,"")))</f>
        <v>0</v>
      </c>
      <c r="H372" s="34">
        <f t="shared" ca="1" si="18"/>
        <v>0</v>
      </c>
      <c r="I372" s="34">
        <f ca="1">IF(Pay_Num&lt;&gt;"",Beg_Bal*(Interest_Rate/VLOOKUP(Interval,LoanLookup[],5,FALSE)),"")</f>
        <v>0</v>
      </c>
      <c r="J372" s="34">
        <f ca="1">IF(scheduled_no_payments=1,"",IF(AND(Pay_Num&lt;&gt;"",Sched_Pay+Extra_Pay&lt;Beg_Bal),Beg_Bal-Princ,IF(Pay_Num&lt;&gt;"",0,"")))</f>
        <v>0</v>
      </c>
      <c r="K372" s="34">
        <f ca="1">IF(scheduled_no_payments=1,"",SUM($I$13:$I372))</f>
        <v>87584.066117996466</v>
      </c>
      <c r="L372" s="38"/>
    </row>
    <row r="373" spans="2:12" ht="16.5" customHeight="1" x14ac:dyDescent="0.25">
      <c r="B373" s="32">
        <f ca="1">IF(AND(Values_Entered,scheduled_no_payments&lt;&gt;1),B372+1,"")</f>
        <v>361</v>
      </c>
      <c r="C373" s="33">
        <f ca="1">IF(Pay_Num&lt;&gt;"",DATE(YEAR(C372)+VLOOKUP(Interval,LoanLookup[],4,FALSE),MONTH(C372)+VLOOKUP(Interval,LoanLookup[],2,FALSE),DAY(C372)+VLOOKUP(Interval,LoanLookup[],3,FALSE)),"")</f>
        <v>55826</v>
      </c>
      <c r="D373" s="34">
        <f ca="1">IF(Pay_Num&lt;&gt;"",J372,"")</f>
        <v>0</v>
      </c>
      <c r="E373" s="35">
        <f t="shared" ca="1" si="19"/>
        <v>989.93360882498609</v>
      </c>
      <c r="F373" s="36">
        <f ca="1">IF(scheduled_no_payments=1,"",IF(Sched_Pay+Scheduled_Extra_Payments&lt;Beg_Bal,Scheduled_Extra_Payments,IF(AND(Pay_Num&lt;&gt;"",Beg_Bal-Sched_Pay&gt;0),Beg_Bal-Sched_Pay,IF(Pay_Num&lt;&gt;"",0,""))))</f>
        <v>0</v>
      </c>
      <c r="G373" s="34">
        <f ca="1">IF(scheduled_no_payments=1,"",IF(Sched_Pay+Extra_Pay&lt;Beg_Bal,Sched_Pay+Extra_Pay,IF(Pay_Num&lt;&gt;"",Beg_Bal,"")))</f>
        <v>0</v>
      </c>
      <c r="H373" s="34">
        <f t="shared" ca="1" si="18"/>
        <v>0</v>
      </c>
      <c r="I373" s="34">
        <f ca="1">IF(Pay_Num&lt;&gt;"",Beg_Bal*(Interest_Rate/VLOOKUP(Interval,LoanLookup[],5,FALSE)),"")</f>
        <v>0</v>
      </c>
      <c r="J373" s="34">
        <f ca="1">IF(scheduled_no_payments=1,"",IF(AND(Pay_Num&lt;&gt;"",Sched_Pay+Extra_Pay&lt;Beg_Bal),Beg_Bal-Princ,IF(Pay_Num&lt;&gt;"",0,"")))</f>
        <v>0</v>
      </c>
      <c r="K373" s="34">
        <f ca="1">IF(scheduled_no_payments=1,"",SUM($I$13:$I373))</f>
        <v>87584.066117996466</v>
      </c>
      <c r="L373" s="38"/>
    </row>
    <row r="374" spans="2:12" ht="16.5" customHeight="1" x14ac:dyDescent="0.25">
      <c r="B374" s="32">
        <f ca="1">IF(AND(Values_Entered,scheduled_no_payments&lt;&gt;1),B373+1,"")</f>
        <v>362</v>
      </c>
      <c r="C374" s="33">
        <f ca="1">IF(Pay_Num&lt;&gt;"",DATE(YEAR(C373)+VLOOKUP(Interval,LoanLookup[],4,FALSE),MONTH(C373)+VLOOKUP(Interval,LoanLookup[],2,FALSE),DAY(C373)+VLOOKUP(Interval,LoanLookup[],3,FALSE)),"")</f>
        <v>55856</v>
      </c>
      <c r="D374" s="34">
        <f t="shared" ref="D374:D437" ca="1" si="20">IF(Pay_Num&lt;&gt;"",J373,"")</f>
        <v>0</v>
      </c>
      <c r="E374" s="35">
        <f t="shared" ca="1" si="19"/>
        <v>989.93360882498609</v>
      </c>
      <c r="F374" s="36">
        <f ca="1">IF(scheduled_no_payments=1,"",IF(Sched_Pay+Scheduled_Extra_Payments&lt;Beg_Bal,Scheduled_Extra_Payments,IF(AND(Pay_Num&lt;&gt;"",Beg_Bal-Sched_Pay&gt;0),Beg_Bal-Sched_Pay,IF(Pay_Num&lt;&gt;"",0,""))))</f>
        <v>0</v>
      </c>
      <c r="G374" s="34">
        <f ca="1">IF(scheduled_no_payments=1,"",IF(Sched_Pay+Extra_Pay&lt;Beg_Bal,Sched_Pay+Extra_Pay,IF(Pay_Num&lt;&gt;"",Beg_Bal,"")))</f>
        <v>0</v>
      </c>
      <c r="H374" s="34">
        <f t="shared" ca="1" si="18"/>
        <v>0</v>
      </c>
      <c r="I374" s="34">
        <f ca="1">IF(Pay_Num&lt;&gt;"",Beg_Bal*(Interest_Rate/VLOOKUP(Interval,LoanLookup[],5,FALSE)),"")</f>
        <v>0</v>
      </c>
      <c r="J374" s="34">
        <f ca="1">IF(scheduled_no_payments=1,"",IF(AND(Pay_Num&lt;&gt;"",Sched_Pay+Extra_Pay&lt;Beg_Bal),Beg_Bal-Princ,IF(Pay_Num&lt;&gt;"",0,"")))</f>
        <v>0</v>
      </c>
      <c r="K374" s="34">
        <f ca="1">IF(scheduled_no_payments=1,"",SUM($I$13:$I374))</f>
        <v>87584.066117996466</v>
      </c>
      <c r="L374" s="38"/>
    </row>
    <row r="375" spans="2:12" ht="16.5" customHeight="1" x14ac:dyDescent="0.25">
      <c r="B375" s="32">
        <f ca="1">IF(AND(Values_Entered,scheduled_no_payments&lt;&gt;1),B374+1,"")</f>
        <v>363</v>
      </c>
      <c r="C375" s="33">
        <f ca="1">IF(Pay_Num&lt;&gt;"",DATE(YEAR(C374)+VLOOKUP(Interval,LoanLookup[],4,FALSE),MONTH(C374)+VLOOKUP(Interval,LoanLookup[],2,FALSE),DAY(C374)+VLOOKUP(Interval,LoanLookup[],3,FALSE)),"")</f>
        <v>55887</v>
      </c>
      <c r="D375" s="34">
        <f t="shared" ca="1" si="20"/>
        <v>0</v>
      </c>
      <c r="E375" s="35">
        <f t="shared" ca="1" si="19"/>
        <v>989.93360882498609</v>
      </c>
      <c r="F375" s="36">
        <f ca="1">IF(scheduled_no_payments=1,"",IF(Sched_Pay+Scheduled_Extra_Payments&lt;Beg_Bal,Scheduled_Extra_Payments,IF(AND(Pay_Num&lt;&gt;"",Beg_Bal-Sched_Pay&gt;0),Beg_Bal-Sched_Pay,IF(Pay_Num&lt;&gt;"",0,""))))</f>
        <v>0</v>
      </c>
      <c r="G375" s="34">
        <f ca="1">IF(scheduled_no_payments=1,"",IF(Sched_Pay+Extra_Pay&lt;Beg_Bal,Sched_Pay+Extra_Pay,IF(Pay_Num&lt;&gt;"",Beg_Bal,"")))</f>
        <v>0</v>
      </c>
      <c r="H375" s="34">
        <f t="shared" ca="1" si="18"/>
        <v>0</v>
      </c>
      <c r="I375" s="34">
        <f ca="1">IF(Pay_Num&lt;&gt;"",Beg_Bal*(Interest_Rate/VLOOKUP(Interval,LoanLookup[],5,FALSE)),"")</f>
        <v>0</v>
      </c>
      <c r="J375" s="34">
        <f ca="1">IF(scheduled_no_payments=1,"",IF(AND(Pay_Num&lt;&gt;"",Sched_Pay+Extra_Pay&lt;Beg_Bal),Beg_Bal-Princ,IF(Pay_Num&lt;&gt;"",0,"")))</f>
        <v>0</v>
      </c>
      <c r="K375" s="34">
        <f ca="1">IF(scheduled_no_payments=1,"",SUM($I$13:$I375))</f>
        <v>87584.066117996466</v>
      </c>
      <c r="L375" s="38"/>
    </row>
    <row r="376" spans="2:12" ht="16.5" customHeight="1" x14ac:dyDescent="0.25">
      <c r="B376" s="32">
        <f ca="1">IF(AND(Values_Entered,scheduled_no_payments&lt;&gt;1),B375+1,"")</f>
        <v>364</v>
      </c>
      <c r="C376" s="33">
        <f ca="1">IF(Pay_Num&lt;&gt;"",DATE(YEAR(C375)+VLOOKUP(Interval,LoanLookup[],4,FALSE),MONTH(C375)+VLOOKUP(Interval,LoanLookup[],2,FALSE),DAY(C375)+VLOOKUP(Interval,LoanLookup[],3,FALSE)),"")</f>
        <v>55918</v>
      </c>
      <c r="D376" s="34">
        <f t="shared" ca="1" si="20"/>
        <v>0</v>
      </c>
      <c r="E376" s="35">
        <f t="shared" ca="1" si="19"/>
        <v>989.93360882498609</v>
      </c>
      <c r="F376" s="36">
        <f ca="1">IF(scheduled_no_payments=1,"",IF(Sched_Pay+Scheduled_Extra_Payments&lt;Beg_Bal,Scheduled_Extra_Payments,IF(AND(Pay_Num&lt;&gt;"",Beg_Bal-Sched_Pay&gt;0),Beg_Bal-Sched_Pay,IF(Pay_Num&lt;&gt;"",0,""))))</f>
        <v>0</v>
      </c>
      <c r="G376" s="34">
        <f ca="1">IF(scheduled_no_payments=1,"",IF(Sched_Pay+Extra_Pay&lt;Beg_Bal,Sched_Pay+Extra_Pay,IF(Pay_Num&lt;&gt;"",Beg_Bal,"")))</f>
        <v>0</v>
      </c>
      <c r="H376" s="34">
        <f t="shared" ca="1" si="18"/>
        <v>0</v>
      </c>
      <c r="I376" s="34">
        <f ca="1">IF(Pay_Num&lt;&gt;"",Beg_Bal*(Interest_Rate/VLOOKUP(Interval,LoanLookup[],5,FALSE)),"")</f>
        <v>0</v>
      </c>
      <c r="J376" s="34">
        <f ca="1">IF(scheduled_no_payments=1,"",IF(AND(Pay_Num&lt;&gt;"",Sched_Pay+Extra_Pay&lt;Beg_Bal),Beg_Bal-Princ,IF(Pay_Num&lt;&gt;"",0,"")))</f>
        <v>0</v>
      </c>
      <c r="K376" s="34">
        <f ca="1">IF(scheduled_no_payments=1,"",SUM($I$13:$I376))</f>
        <v>87584.066117996466</v>
      </c>
      <c r="L376" s="38"/>
    </row>
    <row r="377" spans="2:12" ht="16.5" customHeight="1" x14ac:dyDescent="0.25">
      <c r="B377" s="32">
        <f ca="1">IF(AND(Values_Entered,scheduled_no_payments&lt;&gt;1),B376+1,"")</f>
        <v>365</v>
      </c>
      <c r="C377" s="33">
        <f ca="1">IF(Pay_Num&lt;&gt;"",DATE(YEAR(C376)+VLOOKUP(Interval,LoanLookup[],4,FALSE),MONTH(C376)+VLOOKUP(Interval,LoanLookup[],2,FALSE),DAY(C376)+VLOOKUP(Interval,LoanLookup[],3,FALSE)),"")</f>
        <v>55946</v>
      </c>
      <c r="D377" s="34">
        <f t="shared" ca="1" si="20"/>
        <v>0</v>
      </c>
      <c r="E377" s="35">
        <f t="shared" ca="1" si="19"/>
        <v>989.93360882498609</v>
      </c>
      <c r="F377" s="36">
        <f ca="1">IF(scheduled_no_payments=1,"",IF(Sched_Pay+Scheduled_Extra_Payments&lt;Beg_Bal,Scheduled_Extra_Payments,IF(AND(Pay_Num&lt;&gt;"",Beg_Bal-Sched_Pay&gt;0),Beg_Bal-Sched_Pay,IF(Pay_Num&lt;&gt;"",0,""))))</f>
        <v>0</v>
      </c>
      <c r="G377" s="34">
        <f ca="1">IF(scheduled_no_payments=1,"",IF(Sched_Pay+Extra_Pay&lt;Beg_Bal,Sched_Pay+Extra_Pay,IF(Pay_Num&lt;&gt;"",Beg_Bal,"")))</f>
        <v>0</v>
      </c>
      <c r="H377" s="34">
        <f t="shared" ca="1" si="18"/>
        <v>0</v>
      </c>
      <c r="I377" s="34">
        <f ca="1">IF(Pay_Num&lt;&gt;"",Beg_Bal*(Interest_Rate/VLOOKUP(Interval,LoanLookup[],5,FALSE)),"")</f>
        <v>0</v>
      </c>
      <c r="J377" s="34">
        <f ca="1">IF(scheduled_no_payments=1,"",IF(AND(Pay_Num&lt;&gt;"",Sched_Pay+Extra_Pay&lt;Beg_Bal),Beg_Bal-Princ,IF(Pay_Num&lt;&gt;"",0,"")))</f>
        <v>0</v>
      </c>
      <c r="K377" s="34">
        <f ca="1">IF(scheduled_no_payments=1,"",SUM($I$13:$I377))</f>
        <v>87584.066117996466</v>
      </c>
      <c r="L377" s="38"/>
    </row>
    <row r="378" spans="2:12" ht="16.5" customHeight="1" x14ac:dyDescent="0.25">
      <c r="B378" s="32">
        <f ca="1">IF(AND(Values_Entered,scheduled_no_payments&lt;&gt;1),B377+1,"")</f>
        <v>366</v>
      </c>
      <c r="C378" s="33">
        <f ca="1">IF(Pay_Num&lt;&gt;"",DATE(YEAR(C377)+VLOOKUP(Interval,LoanLookup[],4,FALSE),MONTH(C377)+VLOOKUP(Interval,LoanLookup[],2,FALSE),DAY(C377)+VLOOKUP(Interval,LoanLookup[],3,FALSE)),"")</f>
        <v>55977</v>
      </c>
      <c r="D378" s="34">
        <f t="shared" ca="1" si="20"/>
        <v>0</v>
      </c>
      <c r="E378" s="35">
        <f t="shared" ca="1" si="19"/>
        <v>989.93360882498609</v>
      </c>
      <c r="F378" s="36">
        <f ca="1">IF(scheduled_no_payments=1,"",IF(Sched_Pay+Scheduled_Extra_Payments&lt;Beg_Bal,Scheduled_Extra_Payments,IF(AND(Pay_Num&lt;&gt;"",Beg_Bal-Sched_Pay&gt;0),Beg_Bal-Sched_Pay,IF(Pay_Num&lt;&gt;"",0,""))))</f>
        <v>0</v>
      </c>
      <c r="G378" s="34">
        <f ca="1">IF(scheduled_no_payments=1,"",IF(Sched_Pay+Extra_Pay&lt;Beg_Bal,Sched_Pay+Extra_Pay,IF(Pay_Num&lt;&gt;"",Beg_Bal,"")))</f>
        <v>0</v>
      </c>
      <c r="H378" s="34">
        <f t="shared" ca="1" si="18"/>
        <v>0</v>
      </c>
      <c r="I378" s="34">
        <f ca="1">IF(Pay_Num&lt;&gt;"",Beg_Bal*(Interest_Rate/VLOOKUP(Interval,LoanLookup[],5,FALSE)),"")</f>
        <v>0</v>
      </c>
      <c r="J378" s="34">
        <f ca="1">IF(scheduled_no_payments=1,"",IF(AND(Pay_Num&lt;&gt;"",Sched_Pay+Extra_Pay&lt;Beg_Bal),Beg_Bal-Princ,IF(Pay_Num&lt;&gt;"",0,"")))</f>
        <v>0</v>
      </c>
      <c r="K378" s="34">
        <f ca="1">IF(scheduled_no_payments=1,"",SUM($I$13:$I378))</f>
        <v>87584.066117996466</v>
      </c>
      <c r="L378" s="38"/>
    </row>
    <row r="379" spans="2:12" ht="16.5" customHeight="1" x14ac:dyDescent="0.25">
      <c r="B379" s="32">
        <f ca="1">IF(AND(Values_Entered,scheduled_no_payments&lt;&gt;1),B378+1,"")</f>
        <v>367</v>
      </c>
      <c r="C379" s="33">
        <f ca="1">IF(Pay_Num&lt;&gt;"",DATE(YEAR(C378)+VLOOKUP(Interval,LoanLookup[],4,FALSE),MONTH(C378)+VLOOKUP(Interval,LoanLookup[],2,FALSE),DAY(C378)+VLOOKUP(Interval,LoanLookup[],3,FALSE)),"")</f>
        <v>56007</v>
      </c>
      <c r="D379" s="34">
        <f t="shared" ca="1" si="20"/>
        <v>0</v>
      </c>
      <c r="E379" s="35">
        <f t="shared" ca="1" si="19"/>
        <v>989.93360882498609</v>
      </c>
      <c r="F379" s="36">
        <f ca="1">IF(scheduled_no_payments=1,"",IF(Sched_Pay+Scheduled_Extra_Payments&lt;Beg_Bal,Scheduled_Extra_Payments,IF(AND(Pay_Num&lt;&gt;"",Beg_Bal-Sched_Pay&gt;0),Beg_Bal-Sched_Pay,IF(Pay_Num&lt;&gt;"",0,""))))</f>
        <v>0</v>
      </c>
      <c r="G379" s="34">
        <f ca="1">IF(scheduled_no_payments=1,"",IF(Sched_Pay+Extra_Pay&lt;Beg_Bal,Sched_Pay+Extra_Pay,IF(Pay_Num&lt;&gt;"",Beg_Bal,"")))</f>
        <v>0</v>
      </c>
      <c r="H379" s="34">
        <f t="shared" ca="1" si="18"/>
        <v>0</v>
      </c>
      <c r="I379" s="34">
        <f ca="1">IF(Pay_Num&lt;&gt;"",Beg_Bal*(Interest_Rate/VLOOKUP(Interval,LoanLookup[],5,FALSE)),"")</f>
        <v>0</v>
      </c>
      <c r="J379" s="34">
        <f ca="1">IF(scheduled_no_payments=1,"",IF(AND(Pay_Num&lt;&gt;"",Sched_Pay+Extra_Pay&lt;Beg_Bal),Beg_Bal-Princ,IF(Pay_Num&lt;&gt;"",0,"")))</f>
        <v>0</v>
      </c>
      <c r="K379" s="34">
        <f ca="1">IF(scheduled_no_payments=1,"",SUM($I$13:$I379))</f>
        <v>87584.066117996466</v>
      </c>
      <c r="L379" s="38"/>
    </row>
    <row r="380" spans="2:12" ht="16.5" customHeight="1" x14ac:dyDescent="0.25">
      <c r="B380" s="32">
        <f ca="1">IF(AND(Values_Entered,scheduled_no_payments&lt;&gt;1),B379+1,"")</f>
        <v>368</v>
      </c>
      <c r="C380" s="33">
        <f ca="1">IF(Pay_Num&lt;&gt;"",DATE(YEAR(C379)+VLOOKUP(Interval,LoanLookup[],4,FALSE),MONTH(C379)+VLOOKUP(Interval,LoanLookup[],2,FALSE),DAY(C379)+VLOOKUP(Interval,LoanLookup[],3,FALSE)),"")</f>
        <v>56038</v>
      </c>
      <c r="D380" s="34">
        <f t="shared" ca="1" si="20"/>
        <v>0</v>
      </c>
      <c r="E380" s="35">
        <f t="shared" ca="1" si="19"/>
        <v>989.93360882498609</v>
      </c>
      <c r="F380" s="36">
        <f ca="1">IF(scheduled_no_payments=1,"",IF(Sched_Pay+Scheduled_Extra_Payments&lt;Beg_Bal,Scheduled_Extra_Payments,IF(AND(Pay_Num&lt;&gt;"",Beg_Bal-Sched_Pay&gt;0),Beg_Bal-Sched_Pay,IF(Pay_Num&lt;&gt;"",0,""))))</f>
        <v>0</v>
      </c>
      <c r="G380" s="34">
        <f ca="1">IF(scheduled_no_payments=1,"",IF(Sched_Pay+Extra_Pay&lt;Beg_Bal,Sched_Pay+Extra_Pay,IF(Pay_Num&lt;&gt;"",Beg_Bal,"")))</f>
        <v>0</v>
      </c>
      <c r="H380" s="34">
        <f t="shared" ca="1" si="18"/>
        <v>0</v>
      </c>
      <c r="I380" s="34">
        <f ca="1">IF(Pay_Num&lt;&gt;"",Beg_Bal*(Interest_Rate/VLOOKUP(Interval,LoanLookup[],5,FALSE)),"")</f>
        <v>0</v>
      </c>
      <c r="J380" s="34">
        <f ca="1">IF(scheduled_no_payments=1,"",IF(AND(Pay_Num&lt;&gt;"",Sched_Pay+Extra_Pay&lt;Beg_Bal),Beg_Bal-Princ,IF(Pay_Num&lt;&gt;"",0,"")))</f>
        <v>0</v>
      </c>
      <c r="K380" s="34">
        <f ca="1">IF(scheduled_no_payments=1,"",SUM($I$13:$I380))</f>
        <v>87584.066117996466</v>
      </c>
      <c r="L380" s="38"/>
    </row>
    <row r="381" spans="2:12" ht="16.5" customHeight="1" x14ac:dyDescent="0.25">
      <c r="B381" s="32">
        <f ca="1">IF(AND(Values_Entered,scheduled_no_payments&lt;&gt;1),B380+1,"")</f>
        <v>369</v>
      </c>
      <c r="C381" s="33">
        <f ca="1">IF(Pay_Num&lt;&gt;"",DATE(YEAR(C380)+VLOOKUP(Interval,LoanLookup[],4,FALSE),MONTH(C380)+VLOOKUP(Interval,LoanLookup[],2,FALSE),DAY(C380)+VLOOKUP(Interval,LoanLookup[],3,FALSE)),"")</f>
        <v>56068</v>
      </c>
      <c r="D381" s="34">
        <f t="shared" ca="1" si="20"/>
        <v>0</v>
      </c>
      <c r="E381" s="35">
        <f t="shared" ca="1" si="19"/>
        <v>989.93360882498609</v>
      </c>
      <c r="F381" s="36">
        <f ca="1">IF(scheduled_no_payments=1,"",IF(Sched_Pay+Scheduled_Extra_Payments&lt;Beg_Bal,Scheduled_Extra_Payments,IF(AND(Pay_Num&lt;&gt;"",Beg_Bal-Sched_Pay&gt;0),Beg_Bal-Sched_Pay,IF(Pay_Num&lt;&gt;"",0,""))))</f>
        <v>0</v>
      </c>
      <c r="G381" s="34">
        <f ca="1">IF(scheduled_no_payments=1,"",IF(Sched_Pay+Extra_Pay&lt;Beg_Bal,Sched_Pay+Extra_Pay,IF(Pay_Num&lt;&gt;"",Beg_Bal,"")))</f>
        <v>0</v>
      </c>
      <c r="H381" s="34">
        <f t="shared" ca="1" si="18"/>
        <v>0</v>
      </c>
      <c r="I381" s="34">
        <f ca="1">IF(Pay_Num&lt;&gt;"",Beg_Bal*(Interest_Rate/VLOOKUP(Interval,LoanLookup[],5,FALSE)),"")</f>
        <v>0</v>
      </c>
      <c r="J381" s="34">
        <f ca="1">IF(scheduled_no_payments=1,"",IF(AND(Pay_Num&lt;&gt;"",Sched_Pay+Extra_Pay&lt;Beg_Bal),Beg_Bal-Princ,IF(Pay_Num&lt;&gt;"",0,"")))</f>
        <v>0</v>
      </c>
      <c r="K381" s="34">
        <f ca="1">IF(scheduled_no_payments=1,"",SUM($I$13:$I381))</f>
        <v>87584.066117996466</v>
      </c>
      <c r="L381" s="38"/>
    </row>
    <row r="382" spans="2:12" ht="16.5" customHeight="1" x14ac:dyDescent="0.25">
      <c r="B382" s="32">
        <f ca="1">IF(AND(Values_Entered,scheduled_no_payments&lt;&gt;1),B381+1,"")</f>
        <v>370</v>
      </c>
      <c r="C382" s="33">
        <f ca="1">IF(Pay_Num&lt;&gt;"",DATE(YEAR(C381)+VLOOKUP(Interval,LoanLookup[],4,FALSE),MONTH(C381)+VLOOKUP(Interval,LoanLookup[],2,FALSE),DAY(C381)+VLOOKUP(Interval,LoanLookup[],3,FALSE)),"")</f>
        <v>56099</v>
      </c>
      <c r="D382" s="34">
        <f t="shared" ca="1" si="20"/>
        <v>0</v>
      </c>
      <c r="E382" s="35">
        <f t="shared" ca="1" si="19"/>
        <v>989.93360882498609</v>
      </c>
      <c r="F382" s="36">
        <f ca="1">IF(scheduled_no_payments=1,"",IF(Sched_Pay+Scheduled_Extra_Payments&lt;Beg_Bal,Scheduled_Extra_Payments,IF(AND(Pay_Num&lt;&gt;"",Beg_Bal-Sched_Pay&gt;0),Beg_Bal-Sched_Pay,IF(Pay_Num&lt;&gt;"",0,""))))</f>
        <v>0</v>
      </c>
      <c r="G382" s="34">
        <f ca="1">IF(scheduled_no_payments=1,"",IF(Sched_Pay+Extra_Pay&lt;Beg_Bal,Sched_Pay+Extra_Pay,IF(Pay_Num&lt;&gt;"",Beg_Bal,"")))</f>
        <v>0</v>
      </c>
      <c r="H382" s="34">
        <f t="shared" ca="1" si="18"/>
        <v>0</v>
      </c>
      <c r="I382" s="34">
        <f ca="1">IF(Pay_Num&lt;&gt;"",Beg_Bal*(Interest_Rate/VLOOKUP(Interval,LoanLookup[],5,FALSE)),"")</f>
        <v>0</v>
      </c>
      <c r="J382" s="34">
        <f ca="1">IF(scheduled_no_payments=1,"",IF(AND(Pay_Num&lt;&gt;"",Sched_Pay+Extra_Pay&lt;Beg_Bal),Beg_Bal-Princ,IF(Pay_Num&lt;&gt;"",0,"")))</f>
        <v>0</v>
      </c>
      <c r="K382" s="34">
        <f ca="1">IF(scheduled_no_payments=1,"",SUM($I$13:$I382))</f>
        <v>87584.066117996466</v>
      </c>
      <c r="L382" s="38"/>
    </row>
    <row r="383" spans="2:12" ht="16.5" customHeight="1" x14ac:dyDescent="0.25">
      <c r="B383" s="32">
        <f ca="1">IF(AND(Values_Entered,scheduled_no_payments&lt;&gt;1),B382+1,"")</f>
        <v>371</v>
      </c>
      <c r="C383" s="33">
        <f ca="1">IF(Pay_Num&lt;&gt;"",DATE(YEAR(C382)+VLOOKUP(Interval,LoanLookup[],4,FALSE),MONTH(C382)+VLOOKUP(Interval,LoanLookup[],2,FALSE),DAY(C382)+VLOOKUP(Interval,LoanLookup[],3,FALSE)),"")</f>
        <v>56130</v>
      </c>
      <c r="D383" s="34">
        <f t="shared" ca="1" si="20"/>
        <v>0</v>
      </c>
      <c r="E383" s="35">
        <f t="shared" ca="1" si="19"/>
        <v>989.93360882498609</v>
      </c>
      <c r="F383" s="36">
        <f ca="1">IF(scheduled_no_payments=1,"",IF(Sched_Pay+Scheduled_Extra_Payments&lt;Beg_Bal,Scheduled_Extra_Payments,IF(AND(Pay_Num&lt;&gt;"",Beg_Bal-Sched_Pay&gt;0),Beg_Bal-Sched_Pay,IF(Pay_Num&lt;&gt;"",0,""))))</f>
        <v>0</v>
      </c>
      <c r="G383" s="34">
        <f ca="1">IF(scheduled_no_payments=1,"",IF(Sched_Pay+Extra_Pay&lt;Beg_Bal,Sched_Pay+Extra_Pay,IF(Pay_Num&lt;&gt;"",Beg_Bal,"")))</f>
        <v>0</v>
      </c>
      <c r="H383" s="34">
        <f t="shared" ca="1" si="18"/>
        <v>0</v>
      </c>
      <c r="I383" s="34">
        <f ca="1">IF(Pay_Num&lt;&gt;"",Beg_Bal*(Interest_Rate/VLOOKUP(Interval,LoanLookup[],5,FALSE)),"")</f>
        <v>0</v>
      </c>
      <c r="J383" s="34">
        <f ca="1">IF(scheduled_no_payments=1,"",IF(AND(Pay_Num&lt;&gt;"",Sched_Pay+Extra_Pay&lt;Beg_Bal),Beg_Bal-Princ,IF(Pay_Num&lt;&gt;"",0,"")))</f>
        <v>0</v>
      </c>
      <c r="K383" s="34">
        <f ca="1">IF(scheduled_no_payments=1,"",SUM($I$13:$I383))</f>
        <v>87584.066117996466</v>
      </c>
      <c r="L383" s="38"/>
    </row>
    <row r="384" spans="2:12" ht="16.5" customHeight="1" x14ac:dyDescent="0.25">
      <c r="B384" s="32">
        <f ca="1">IF(AND(Values_Entered,scheduled_no_payments&lt;&gt;1),B383+1,"")</f>
        <v>372</v>
      </c>
      <c r="C384" s="33">
        <f ca="1">IF(Pay_Num&lt;&gt;"",DATE(YEAR(C383)+VLOOKUP(Interval,LoanLookup[],4,FALSE),MONTH(C383)+VLOOKUP(Interval,LoanLookup[],2,FALSE),DAY(C383)+VLOOKUP(Interval,LoanLookup[],3,FALSE)),"")</f>
        <v>56160</v>
      </c>
      <c r="D384" s="34">
        <f t="shared" ca="1" si="20"/>
        <v>0</v>
      </c>
      <c r="E384" s="35">
        <f t="shared" ca="1" si="19"/>
        <v>989.93360882498609</v>
      </c>
      <c r="F384" s="36">
        <f ca="1">IF(scheduled_no_payments=1,"",IF(Sched_Pay+Scheduled_Extra_Payments&lt;Beg_Bal,Scheduled_Extra_Payments,IF(AND(Pay_Num&lt;&gt;"",Beg_Bal-Sched_Pay&gt;0),Beg_Bal-Sched_Pay,IF(Pay_Num&lt;&gt;"",0,""))))</f>
        <v>0</v>
      </c>
      <c r="G384" s="34">
        <f ca="1">IF(scheduled_no_payments=1,"",IF(Sched_Pay+Extra_Pay&lt;Beg_Bal,Sched_Pay+Extra_Pay,IF(Pay_Num&lt;&gt;"",Beg_Bal,"")))</f>
        <v>0</v>
      </c>
      <c r="H384" s="34">
        <f t="shared" ca="1" si="18"/>
        <v>0</v>
      </c>
      <c r="I384" s="34">
        <f ca="1">IF(Pay_Num&lt;&gt;"",Beg_Bal*(Interest_Rate/VLOOKUP(Interval,LoanLookup[],5,FALSE)),"")</f>
        <v>0</v>
      </c>
      <c r="J384" s="34">
        <f ca="1">IF(scheduled_no_payments=1,"",IF(AND(Pay_Num&lt;&gt;"",Sched_Pay+Extra_Pay&lt;Beg_Bal),Beg_Bal-Princ,IF(Pay_Num&lt;&gt;"",0,"")))</f>
        <v>0</v>
      </c>
      <c r="K384" s="34">
        <f ca="1">IF(scheduled_no_payments=1,"",SUM($I$13:$I384))</f>
        <v>87584.066117996466</v>
      </c>
      <c r="L384" s="38"/>
    </row>
    <row r="385" spans="2:12" ht="16.5" customHeight="1" x14ac:dyDescent="0.25">
      <c r="B385" s="32">
        <f ca="1">IF(AND(Values_Entered,scheduled_no_payments&lt;&gt;1),B384+1,"")</f>
        <v>373</v>
      </c>
      <c r="C385" s="33">
        <f ca="1">IF(Pay_Num&lt;&gt;"",DATE(YEAR(C384)+VLOOKUP(Interval,LoanLookup[],4,FALSE),MONTH(C384)+VLOOKUP(Interval,LoanLookup[],2,FALSE),DAY(C384)+VLOOKUP(Interval,LoanLookup[],3,FALSE)),"")</f>
        <v>56191</v>
      </c>
      <c r="D385" s="34">
        <f t="shared" ca="1" si="20"/>
        <v>0</v>
      </c>
      <c r="E385" s="35">
        <f t="shared" ca="1" si="19"/>
        <v>989.93360882498609</v>
      </c>
      <c r="F385" s="36">
        <f ca="1">IF(scheduled_no_payments=1,"",IF(Sched_Pay+Scheduled_Extra_Payments&lt;Beg_Bal,Scheduled_Extra_Payments,IF(AND(Pay_Num&lt;&gt;"",Beg_Bal-Sched_Pay&gt;0),Beg_Bal-Sched_Pay,IF(Pay_Num&lt;&gt;"",0,""))))</f>
        <v>0</v>
      </c>
      <c r="G385" s="34">
        <f ca="1">IF(scheduled_no_payments=1,"",IF(Sched_Pay+Extra_Pay&lt;Beg_Bal,Sched_Pay+Extra_Pay,IF(Pay_Num&lt;&gt;"",Beg_Bal,"")))</f>
        <v>0</v>
      </c>
      <c r="H385" s="34">
        <f t="shared" ca="1" si="18"/>
        <v>0</v>
      </c>
      <c r="I385" s="34">
        <f ca="1">IF(Pay_Num&lt;&gt;"",Beg_Bal*(Interest_Rate/VLOOKUP(Interval,LoanLookup[],5,FALSE)),"")</f>
        <v>0</v>
      </c>
      <c r="J385" s="34">
        <f ca="1">IF(scheduled_no_payments=1,"",IF(AND(Pay_Num&lt;&gt;"",Sched_Pay+Extra_Pay&lt;Beg_Bal),Beg_Bal-Princ,IF(Pay_Num&lt;&gt;"",0,"")))</f>
        <v>0</v>
      </c>
      <c r="K385" s="34">
        <f ca="1">IF(scheduled_no_payments=1,"",SUM($I$13:$I385))</f>
        <v>87584.066117996466</v>
      </c>
      <c r="L385" s="38"/>
    </row>
    <row r="386" spans="2:12" ht="16.5" customHeight="1" x14ac:dyDescent="0.25">
      <c r="B386" s="32">
        <f ca="1">IF(AND(Values_Entered,scheduled_no_payments&lt;&gt;1),B385+1,"")</f>
        <v>374</v>
      </c>
      <c r="C386" s="33">
        <f ca="1">IF(Pay_Num&lt;&gt;"",DATE(YEAR(C385)+VLOOKUP(Interval,LoanLookup[],4,FALSE),MONTH(C385)+VLOOKUP(Interval,LoanLookup[],2,FALSE),DAY(C385)+VLOOKUP(Interval,LoanLookup[],3,FALSE)),"")</f>
        <v>56221</v>
      </c>
      <c r="D386" s="34">
        <f t="shared" ca="1" si="20"/>
        <v>0</v>
      </c>
      <c r="E386" s="35">
        <f t="shared" ca="1" si="19"/>
        <v>989.93360882498609</v>
      </c>
      <c r="F386" s="36">
        <f ca="1">IF(scheduled_no_payments=1,"",IF(Sched_Pay+Scheduled_Extra_Payments&lt;Beg_Bal,Scheduled_Extra_Payments,IF(AND(Pay_Num&lt;&gt;"",Beg_Bal-Sched_Pay&gt;0),Beg_Bal-Sched_Pay,IF(Pay_Num&lt;&gt;"",0,""))))</f>
        <v>0</v>
      </c>
      <c r="G386" s="34">
        <f ca="1">IF(scheduled_no_payments=1,"",IF(Sched_Pay+Extra_Pay&lt;Beg_Bal,Sched_Pay+Extra_Pay,IF(Pay_Num&lt;&gt;"",Beg_Bal,"")))</f>
        <v>0</v>
      </c>
      <c r="H386" s="34">
        <f t="shared" ca="1" si="18"/>
        <v>0</v>
      </c>
      <c r="I386" s="34">
        <f ca="1">IF(Pay_Num&lt;&gt;"",Beg_Bal*(Interest_Rate/VLOOKUP(Interval,LoanLookup[],5,FALSE)),"")</f>
        <v>0</v>
      </c>
      <c r="J386" s="34">
        <f ca="1">IF(scheduled_no_payments=1,"",IF(AND(Pay_Num&lt;&gt;"",Sched_Pay+Extra_Pay&lt;Beg_Bal),Beg_Bal-Princ,IF(Pay_Num&lt;&gt;"",0,"")))</f>
        <v>0</v>
      </c>
      <c r="K386" s="34">
        <f ca="1">IF(scheduled_no_payments=1,"",SUM($I$13:$I386))</f>
        <v>87584.066117996466</v>
      </c>
      <c r="L386" s="38"/>
    </row>
    <row r="387" spans="2:12" ht="16.5" customHeight="1" x14ac:dyDescent="0.25">
      <c r="B387" s="32">
        <f ca="1">IF(AND(Values_Entered,scheduled_no_payments&lt;&gt;1),B386+1,"")</f>
        <v>375</v>
      </c>
      <c r="C387" s="33">
        <f ca="1">IF(Pay_Num&lt;&gt;"",DATE(YEAR(C386)+VLOOKUP(Interval,LoanLookup[],4,FALSE),MONTH(C386)+VLOOKUP(Interval,LoanLookup[],2,FALSE),DAY(C386)+VLOOKUP(Interval,LoanLookup[],3,FALSE)),"")</f>
        <v>56252</v>
      </c>
      <c r="D387" s="34">
        <f t="shared" ca="1" si="20"/>
        <v>0</v>
      </c>
      <c r="E387" s="35">
        <f t="shared" ca="1" si="19"/>
        <v>989.93360882498609</v>
      </c>
      <c r="F387" s="36">
        <f ca="1">IF(scheduled_no_payments=1,"",IF(Sched_Pay+Scheduled_Extra_Payments&lt;Beg_Bal,Scheduled_Extra_Payments,IF(AND(Pay_Num&lt;&gt;"",Beg_Bal-Sched_Pay&gt;0),Beg_Bal-Sched_Pay,IF(Pay_Num&lt;&gt;"",0,""))))</f>
        <v>0</v>
      </c>
      <c r="G387" s="34">
        <f ca="1">IF(scheduled_no_payments=1,"",IF(Sched_Pay+Extra_Pay&lt;Beg_Bal,Sched_Pay+Extra_Pay,IF(Pay_Num&lt;&gt;"",Beg_Bal,"")))</f>
        <v>0</v>
      </c>
      <c r="H387" s="34">
        <f t="shared" ca="1" si="18"/>
        <v>0</v>
      </c>
      <c r="I387" s="34">
        <f ca="1">IF(Pay_Num&lt;&gt;"",Beg_Bal*(Interest_Rate/VLOOKUP(Interval,LoanLookup[],5,FALSE)),"")</f>
        <v>0</v>
      </c>
      <c r="J387" s="34">
        <f ca="1">IF(scheduled_no_payments=1,"",IF(AND(Pay_Num&lt;&gt;"",Sched_Pay+Extra_Pay&lt;Beg_Bal),Beg_Bal-Princ,IF(Pay_Num&lt;&gt;"",0,"")))</f>
        <v>0</v>
      </c>
      <c r="K387" s="34">
        <f ca="1">IF(scheduled_no_payments=1,"",SUM($I$13:$I387))</f>
        <v>87584.066117996466</v>
      </c>
      <c r="L387" s="38"/>
    </row>
    <row r="388" spans="2:12" ht="16.5" customHeight="1" x14ac:dyDescent="0.25">
      <c r="B388" s="32">
        <f ca="1">IF(AND(Values_Entered,scheduled_no_payments&lt;&gt;1),B387+1,"")</f>
        <v>376</v>
      </c>
      <c r="C388" s="33">
        <f ca="1">IF(Pay_Num&lt;&gt;"",DATE(YEAR(C387)+VLOOKUP(Interval,LoanLookup[],4,FALSE),MONTH(C387)+VLOOKUP(Interval,LoanLookup[],2,FALSE),DAY(C387)+VLOOKUP(Interval,LoanLookup[],3,FALSE)),"")</f>
        <v>56283</v>
      </c>
      <c r="D388" s="34">
        <f t="shared" ca="1" si="20"/>
        <v>0</v>
      </c>
      <c r="E388" s="35">
        <f t="shared" ca="1" si="19"/>
        <v>989.93360882498609</v>
      </c>
      <c r="F388" s="36">
        <f ca="1">IF(scheduled_no_payments=1,"",IF(Sched_Pay+Scheduled_Extra_Payments&lt;Beg_Bal,Scheduled_Extra_Payments,IF(AND(Pay_Num&lt;&gt;"",Beg_Bal-Sched_Pay&gt;0),Beg_Bal-Sched_Pay,IF(Pay_Num&lt;&gt;"",0,""))))</f>
        <v>0</v>
      </c>
      <c r="G388" s="34">
        <f ca="1">IF(scheduled_no_payments=1,"",IF(Sched_Pay+Extra_Pay&lt;Beg_Bal,Sched_Pay+Extra_Pay,IF(Pay_Num&lt;&gt;"",Beg_Bal,"")))</f>
        <v>0</v>
      </c>
      <c r="H388" s="34">
        <f t="shared" ca="1" si="18"/>
        <v>0</v>
      </c>
      <c r="I388" s="34">
        <f ca="1">IF(Pay_Num&lt;&gt;"",Beg_Bal*(Interest_Rate/VLOOKUP(Interval,LoanLookup[],5,FALSE)),"")</f>
        <v>0</v>
      </c>
      <c r="J388" s="34">
        <f ca="1">IF(scheduled_no_payments=1,"",IF(AND(Pay_Num&lt;&gt;"",Sched_Pay+Extra_Pay&lt;Beg_Bal),Beg_Bal-Princ,IF(Pay_Num&lt;&gt;"",0,"")))</f>
        <v>0</v>
      </c>
      <c r="K388" s="34">
        <f ca="1">IF(scheduled_no_payments=1,"",SUM($I$13:$I388))</f>
        <v>87584.066117996466</v>
      </c>
      <c r="L388" s="38"/>
    </row>
    <row r="389" spans="2:12" ht="16.5" customHeight="1" x14ac:dyDescent="0.25">
      <c r="B389" s="32">
        <f ca="1">IF(AND(Values_Entered,scheduled_no_payments&lt;&gt;1),B388+1,"")</f>
        <v>377</v>
      </c>
      <c r="C389" s="33">
        <f ca="1">IF(Pay_Num&lt;&gt;"",DATE(YEAR(C388)+VLOOKUP(Interval,LoanLookup[],4,FALSE),MONTH(C388)+VLOOKUP(Interval,LoanLookup[],2,FALSE),DAY(C388)+VLOOKUP(Interval,LoanLookup[],3,FALSE)),"")</f>
        <v>56311</v>
      </c>
      <c r="D389" s="34">
        <f t="shared" ca="1" si="20"/>
        <v>0</v>
      </c>
      <c r="E389" s="35">
        <f t="shared" ca="1" si="19"/>
        <v>989.93360882498609</v>
      </c>
      <c r="F389" s="36">
        <f ca="1">IF(scheduled_no_payments=1,"",IF(Sched_Pay+Scheduled_Extra_Payments&lt;Beg_Bal,Scheduled_Extra_Payments,IF(AND(Pay_Num&lt;&gt;"",Beg_Bal-Sched_Pay&gt;0),Beg_Bal-Sched_Pay,IF(Pay_Num&lt;&gt;"",0,""))))</f>
        <v>0</v>
      </c>
      <c r="G389" s="34">
        <f ca="1">IF(scheduled_no_payments=1,"",IF(Sched_Pay+Extra_Pay&lt;Beg_Bal,Sched_Pay+Extra_Pay,IF(Pay_Num&lt;&gt;"",Beg_Bal,"")))</f>
        <v>0</v>
      </c>
      <c r="H389" s="34">
        <f t="shared" ca="1" si="18"/>
        <v>0</v>
      </c>
      <c r="I389" s="34">
        <f ca="1">IF(Pay_Num&lt;&gt;"",Beg_Bal*(Interest_Rate/VLOOKUP(Interval,LoanLookup[],5,FALSE)),"")</f>
        <v>0</v>
      </c>
      <c r="J389" s="34">
        <f ca="1">IF(scheduled_no_payments=1,"",IF(AND(Pay_Num&lt;&gt;"",Sched_Pay+Extra_Pay&lt;Beg_Bal),Beg_Bal-Princ,IF(Pay_Num&lt;&gt;"",0,"")))</f>
        <v>0</v>
      </c>
      <c r="K389" s="34">
        <f ca="1">IF(scheduled_no_payments=1,"",SUM($I$13:$I389))</f>
        <v>87584.066117996466</v>
      </c>
      <c r="L389" s="38"/>
    </row>
    <row r="390" spans="2:12" ht="16.5" customHeight="1" x14ac:dyDescent="0.25">
      <c r="B390" s="32">
        <f ca="1">IF(AND(Values_Entered,scheduled_no_payments&lt;&gt;1),B389+1,"")</f>
        <v>378</v>
      </c>
      <c r="C390" s="33">
        <f ca="1">IF(Pay_Num&lt;&gt;"",DATE(YEAR(C389)+VLOOKUP(Interval,LoanLookup[],4,FALSE),MONTH(C389)+VLOOKUP(Interval,LoanLookup[],2,FALSE),DAY(C389)+VLOOKUP(Interval,LoanLookup[],3,FALSE)),"")</f>
        <v>56342</v>
      </c>
      <c r="D390" s="34">
        <f t="shared" ca="1" si="20"/>
        <v>0</v>
      </c>
      <c r="E390" s="35">
        <f t="shared" ca="1" si="19"/>
        <v>989.93360882498609</v>
      </c>
      <c r="F390" s="36">
        <f ca="1">IF(scheduled_no_payments=1,"",IF(Sched_Pay+Scheduled_Extra_Payments&lt;Beg_Bal,Scheduled_Extra_Payments,IF(AND(Pay_Num&lt;&gt;"",Beg_Bal-Sched_Pay&gt;0),Beg_Bal-Sched_Pay,IF(Pay_Num&lt;&gt;"",0,""))))</f>
        <v>0</v>
      </c>
      <c r="G390" s="34">
        <f ca="1">IF(scheduled_no_payments=1,"",IF(Sched_Pay+Extra_Pay&lt;Beg_Bal,Sched_Pay+Extra_Pay,IF(Pay_Num&lt;&gt;"",Beg_Bal,"")))</f>
        <v>0</v>
      </c>
      <c r="H390" s="34">
        <f t="shared" ca="1" si="18"/>
        <v>0</v>
      </c>
      <c r="I390" s="34">
        <f ca="1">IF(Pay_Num&lt;&gt;"",Beg_Bal*(Interest_Rate/VLOOKUP(Interval,LoanLookup[],5,FALSE)),"")</f>
        <v>0</v>
      </c>
      <c r="J390" s="34">
        <f ca="1">IF(scheduled_no_payments=1,"",IF(AND(Pay_Num&lt;&gt;"",Sched_Pay+Extra_Pay&lt;Beg_Bal),Beg_Bal-Princ,IF(Pay_Num&lt;&gt;"",0,"")))</f>
        <v>0</v>
      </c>
      <c r="K390" s="34">
        <f ca="1">IF(scheduled_no_payments=1,"",SUM($I$13:$I390))</f>
        <v>87584.066117996466</v>
      </c>
      <c r="L390" s="38"/>
    </row>
    <row r="391" spans="2:12" ht="16.5" customHeight="1" x14ac:dyDescent="0.25">
      <c r="B391" s="32">
        <f ca="1">IF(AND(Values_Entered,scheduled_no_payments&lt;&gt;1),B390+1,"")</f>
        <v>379</v>
      </c>
      <c r="C391" s="33">
        <f ca="1">IF(Pay_Num&lt;&gt;"",DATE(YEAR(C390)+VLOOKUP(Interval,LoanLookup[],4,FALSE),MONTH(C390)+VLOOKUP(Interval,LoanLookup[],2,FALSE),DAY(C390)+VLOOKUP(Interval,LoanLookup[],3,FALSE)),"")</f>
        <v>56372</v>
      </c>
      <c r="D391" s="34">
        <f t="shared" ca="1" si="20"/>
        <v>0</v>
      </c>
      <c r="E391" s="35">
        <f t="shared" ca="1" si="19"/>
        <v>989.93360882498609</v>
      </c>
      <c r="F391" s="36">
        <f ca="1">IF(scheduled_no_payments=1,"",IF(Sched_Pay+Scheduled_Extra_Payments&lt;Beg_Bal,Scheduled_Extra_Payments,IF(AND(Pay_Num&lt;&gt;"",Beg_Bal-Sched_Pay&gt;0),Beg_Bal-Sched_Pay,IF(Pay_Num&lt;&gt;"",0,""))))</f>
        <v>0</v>
      </c>
      <c r="G391" s="34">
        <f ca="1">IF(scheduled_no_payments=1,"",IF(Sched_Pay+Extra_Pay&lt;Beg_Bal,Sched_Pay+Extra_Pay,IF(Pay_Num&lt;&gt;"",Beg_Bal,"")))</f>
        <v>0</v>
      </c>
      <c r="H391" s="34">
        <f t="shared" ca="1" si="18"/>
        <v>0</v>
      </c>
      <c r="I391" s="34">
        <f ca="1">IF(Pay_Num&lt;&gt;"",Beg_Bal*(Interest_Rate/VLOOKUP(Interval,LoanLookup[],5,FALSE)),"")</f>
        <v>0</v>
      </c>
      <c r="J391" s="34">
        <f ca="1">IF(scheduled_no_payments=1,"",IF(AND(Pay_Num&lt;&gt;"",Sched_Pay+Extra_Pay&lt;Beg_Bal),Beg_Bal-Princ,IF(Pay_Num&lt;&gt;"",0,"")))</f>
        <v>0</v>
      </c>
      <c r="K391" s="34">
        <f ca="1">IF(scheduled_no_payments=1,"",SUM($I$13:$I391))</f>
        <v>87584.066117996466</v>
      </c>
      <c r="L391" s="38"/>
    </row>
    <row r="392" spans="2:12" ht="16.5" customHeight="1" x14ac:dyDescent="0.25">
      <c r="B392" s="32">
        <f ca="1">IF(AND(Values_Entered,scheduled_no_payments&lt;&gt;1),B391+1,"")</f>
        <v>380</v>
      </c>
      <c r="C392" s="33">
        <f ca="1">IF(Pay_Num&lt;&gt;"",DATE(YEAR(C391)+VLOOKUP(Interval,LoanLookup[],4,FALSE),MONTH(C391)+VLOOKUP(Interval,LoanLookup[],2,FALSE),DAY(C391)+VLOOKUP(Interval,LoanLookup[],3,FALSE)),"")</f>
        <v>56403</v>
      </c>
      <c r="D392" s="34">
        <f t="shared" ca="1" si="20"/>
        <v>0</v>
      </c>
      <c r="E392" s="35">
        <f t="shared" ca="1" si="19"/>
        <v>989.93360882498609</v>
      </c>
      <c r="F392" s="36">
        <f ca="1">IF(scheduled_no_payments=1,"",IF(Sched_Pay+Scheduled_Extra_Payments&lt;Beg_Bal,Scheduled_Extra_Payments,IF(AND(Pay_Num&lt;&gt;"",Beg_Bal-Sched_Pay&gt;0),Beg_Bal-Sched_Pay,IF(Pay_Num&lt;&gt;"",0,""))))</f>
        <v>0</v>
      </c>
      <c r="G392" s="34">
        <f ca="1">IF(scheduled_no_payments=1,"",IF(Sched_Pay+Extra_Pay&lt;Beg_Bal,Sched_Pay+Extra_Pay,IF(Pay_Num&lt;&gt;"",Beg_Bal,"")))</f>
        <v>0</v>
      </c>
      <c r="H392" s="34">
        <f t="shared" ca="1" si="18"/>
        <v>0</v>
      </c>
      <c r="I392" s="34">
        <f ca="1">IF(Pay_Num&lt;&gt;"",Beg_Bal*(Interest_Rate/VLOOKUP(Interval,LoanLookup[],5,FALSE)),"")</f>
        <v>0</v>
      </c>
      <c r="J392" s="34">
        <f ca="1">IF(scheduled_no_payments=1,"",IF(AND(Pay_Num&lt;&gt;"",Sched_Pay+Extra_Pay&lt;Beg_Bal),Beg_Bal-Princ,IF(Pay_Num&lt;&gt;"",0,"")))</f>
        <v>0</v>
      </c>
      <c r="K392" s="34">
        <f ca="1">IF(scheduled_no_payments=1,"",SUM($I$13:$I392))</f>
        <v>87584.066117996466</v>
      </c>
      <c r="L392" s="38"/>
    </row>
    <row r="393" spans="2:12" ht="16.5" customHeight="1" x14ac:dyDescent="0.25">
      <c r="B393" s="32">
        <f ca="1">IF(AND(Values_Entered,scheduled_no_payments&lt;&gt;1),B392+1,"")</f>
        <v>381</v>
      </c>
      <c r="C393" s="33">
        <f ca="1">IF(Pay_Num&lt;&gt;"",DATE(YEAR(C392)+VLOOKUP(Interval,LoanLookup[],4,FALSE),MONTH(C392)+VLOOKUP(Interval,LoanLookup[],2,FALSE),DAY(C392)+VLOOKUP(Interval,LoanLookup[],3,FALSE)),"")</f>
        <v>56433</v>
      </c>
      <c r="D393" s="34">
        <f t="shared" ca="1" si="20"/>
        <v>0</v>
      </c>
      <c r="E393" s="35">
        <f t="shared" ca="1" si="19"/>
        <v>989.93360882498609</v>
      </c>
      <c r="F393" s="36">
        <f ca="1">IF(scheduled_no_payments=1,"",IF(Sched_Pay+Scheduled_Extra_Payments&lt;Beg_Bal,Scheduled_Extra_Payments,IF(AND(Pay_Num&lt;&gt;"",Beg_Bal-Sched_Pay&gt;0),Beg_Bal-Sched_Pay,IF(Pay_Num&lt;&gt;"",0,""))))</f>
        <v>0</v>
      </c>
      <c r="G393" s="34">
        <f ca="1">IF(scheduled_no_payments=1,"",IF(Sched_Pay+Extra_Pay&lt;Beg_Bal,Sched_Pay+Extra_Pay,IF(Pay_Num&lt;&gt;"",Beg_Bal,"")))</f>
        <v>0</v>
      </c>
      <c r="H393" s="34">
        <f t="shared" ca="1" si="18"/>
        <v>0</v>
      </c>
      <c r="I393" s="34">
        <f ca="1">IF(Pay_Num&lt;&gt;"",Beg_Bal*(Interest_Rate/VLOOKUP(Interval,LoanLookup[],5,FALSE)),"")</f>
        <v>0</v>
      </c>
      <c r="J393" s="34">
        <f ca="1">IF(scheduled_no_payments=1,"",IF(AND(Pay_Num&lt;&gt;"",Sched_Pay+Extra_Pay&lt;Beg_Bal),Beg_Bal-Princ,IF(Pay_Num&lt;&gt;"",0,"")))</f>
        <v>0</v>
      </c>
      <c r="K393" s="34">
        <f ca="1">IF(scheduled_no_payments=1,"",SUM($I$13:$I393))</f>
        <v>87584.066117996466</v>
      </c>
      <c r="L393" s="38"/>
    </row>
    <row r="394" spans="2:12" ht="16.5" customHeight="1" x14ac:dyDescent="0.25">
      <c r="B394" s="32">
        <f ca="1">IF(AND(Values_Entered,scheduled_no_payments&lt;&gt;1),B393+1,"")</f>
        <v>382</v>
      </c>
      <c r="C394" s="33">
        <f ca="1">IF(Pay_Num&lt;&gt;"",DATE(YEAR(C393)+VLOOKUP(Interval,LoanLookup[],4,FALSE),MONTH(C393)+VLOOKUP(Interval,LoanLookup[],2,FALSE),DAY(C393)+VLOOKUP(Interval,LoanLookup[],3,FALSE)),"")</f>
        <v>56464</v>
      </c>
      <c r="D394" s="34">
        <f t="shared" ca="1" si="20"/>
        <v>0</v>
      </c>
      <c r="E394" s="35">
        <f t="shared" ca="1" si="19"/>
        <v>989.93360882498609</v>
      </c>
      <c r="F394" s="36">
        <f ca="1">IF(scheduled_no_payments=1,"",IF(Sched_Pay+Scheduled_Extra_Payments&lt;Beg_Bal,Scheduled_Extra_Payments,IF(AND(Pay_Num&lt;&gt;"",Beg_Bal-Sched_Pay&gt;0),Beg_Bal-Sched_Pay,IF(Pay_Num&lt;&gt;"",0,""))))</f>
        <v>0</v>
      </c>
      <c r="G394" s="34">
        <f ca="1">IF(scheduled_no_payments=1,"",IF(Sched_Pay+Extra_Pay&lt;Beg_Bal,Sched_Pay+Extra_Pay,IF(Pay_Num&lt;&gt;"",Beg_Bal,"")))</f>
        <v>0</v>
      </c>
      <c r="H394" s="34">
        <f t="shared" ca="1" si="18"/>
        <v>0</v>
      </c>
      <c r="I394" s="34">
        <f ca="1">IF(Pay_Num&lt;&gt;"",Beg_Bal*(Interest_Rate/VLOOKUP(Interval,LoanLookup[],5,FALSE)),"")</f>
        <v>0</v>
      </c>
      <c r="J394" s="34">
        <f ca="1">IF(scheduled_no_payments=1,"",IF(AND(Pay_Num&lt;&gt;"",Sched_Pay+Extra_Pay&lt;Beg_Bal),Beg_Bal-Princ,IF(Pay_Num&lt;&gt;"",0,"")))</f>
        <v>0</v>
      </c>
      <c r="K394" s="34">
        <f ca="1">IF(scheduled_no_payments=1,"",SUM($I$13:$I394))</f>
        <v>87584.066117996466</v>
      </c>
      <c r="L394" s="38"/>
    </row>
    <row r="395" spans="2:12" ht="16.5" customHeight="1" x14ac:dyDescent="0.25">
      <c r="B395" s="32">
        <f ca="1">IF(AND(Values_Entered,scheduled_no_payments&lt;&gt;1),B394+1,"")</f>
        <v>383</v>
      </c>
      <c r="C395" s="33">
        <f ca="1">IF(Pay_Num&lt;&gt;"",DATE(YEAR(C394)+VLOOKUP(Interval,LoanLookup[],4,FALSE),MONTH(C394)+VLOOKUP(Interval,LoanLookup[],2,FALSE),DAY(C394)+VLOOKUP(Interval,LoanLookup[],3,FALSE)),"")</f>
        <v>56495</v>
      </c>
      <c r="D395" s="34">
        <f t="shared" ca="1" si="20"/>
        <v>0</v>
      </c>
      <c r="E395" s="35">
        <f t="shared" ca="1" si="19"/>
        <v>989.93360882498609</v>
      </c>
      <c r="F395" s="36">
        <f ca="1">IF(scheduled_no_payments=1,"",IF(Sched_Pay+Scheduled_Extra_Payments&lt;Beg_Bal,Scheduled_Extra_Payments,IF(AND(Pay_Num&lt;&gt;"",Beg_Bal-Sched_Pay&gt;0),Beg_Bal-Sched_Pay,IF(Pay_Num&lt;&gt;"",0,""))))</f>
        <v>0</v>
      </c>
      <c r="G395" s="34">
        <f ca="1">IF(scheduled_no_payments=1,"",IF(Sched_Pay+Extra_Pay&lt;Beg_Bal,Sched_Pay+Extra_Pay,IF(Pay_Num&lt;&gt;"",Beg_Bal,"")))</f>
        <v>0</v>
      </c>
      <c r="H395" s="34">
        <f t="shared" ca="1" si="18"/>
        <v>0</v>
      </c>
      <c r="I395" s="34">
        <f ca="1">IF(Pay_Num&lt;&gt;"",Beg_Bal*(Interest_Rate/VLOOKUP(Interval,LoanLookup[],5,FALSE)),"")</f>
        <v>0</v>
      </c>
      <c r="J395" s="34">
        <f ca="1">IF(scheduled_no_payments=1,"",IF(AND(Pay_Num&lt;&gt;"",Sched_Pay+Extra_Pay&lt;Beg_Bal),Beg_Bal-Princ,IF(Pay_Num&lt;&gt;"",0,"")))</f>
        <v>0</v>
      </c>
      <c r="K395" s="34">
        <f ca="1">IF(scheduled_no_payments=1,"",SUM($I$13:$I395))</f>
        <v>87584.066117996466</v>
      </c>
      <c r="L395" s="38"/>
    </row>
    <row r="396" spans="2:12" ht="16.5" customHeight="1" x14ac:dyDescent="0.25">
      <c r="B396" s="32">
        <f ca="1">IF(AND(Values_Entered,scheduled_no_payments&lt;&gt;1),B395+1,"")</f>
        <v>384</v>
      </c>
      <c r="C396" s="33">
        <f ca="1">IF(Pay_Num&lt;&gt;"",DATE(YEAR(C395)+VLOOKUP(Interval,LoanLookup[],4,FALSE),MONTH(C395)+VLOOKUP(Interval,LoanLookup[],2,FALSE),DAY(C395)+VLOOKUP(Interval,LoanLookup[],3,FALSE)),"")</f>
        <v>56525</v>
      </c>
      <c r="D396" s="34">
        <f t="shared" ca="1" si="20"/>
        <v>0</v>
      </c>
      <c r="E396" s="35">
        <f t="shared" ca="1" si="19"/>
        <v>989.93360882498609</v>
      </c>
      <c r="F396" s="36">
        <f ca="1">IF(scheduled_no_payments=1,"",IF(Sched_Pay+Scheduled_Extra_Payments&lt;Beg_Bal,Scheduled_Extra_Payments,IF(AND(Pay_Num&lt;&gt;"",Beg_Bal-Sched_Pay&gt;0),Beg_Bal-Sched_Pay,IF(Pay_Num&lt;&gt;"",0,""))))</f>
        <v>0</v>
      </c>
      <c r="G396" s="34">
        <f ca="1">IF(scheduled_no_payments=1,"",IF(Sched_Pay+Extra_Pay&lt;Beg_Bal,Sched_Pay+Extra_Pay,IF(Pay_Num&lt;&gt;"",Beg_Bal,"")))</f>
        <v>0</v>
      </c>
      <c r="H396" s="34">
        <f t="shared" ca="1" si="18"/>
        <v>0</v>
      </c>
      <c r="I396" s="34">
        <f ca="1">IF(Pay_Num&lt;&gt;"",Beg_Bal*(Interest_Rate/VLOOKUP(Interval,LoanLookup[],5,FALSE)),"")</f>
        <v>0</v>
      </c>
      <c r="J396" s="34">
        <f ca="1">IF(scheduled_no_payments=1,"",IF(AND(Pay_Num&lt;&gt;"",Sched_Pay+Extra_Pay&lt;Beg_Bal),Beg_Bal-Princ,IF(Pay_Num&lt;&gt;"",0,"")))</f>
        <v>0</v>
      </c>
      <c r="K396" s="34">
        <f ca="1">IF(scheduled_no_payments=1,"",SUM($I$13:$I396))</f>
        <v>87584.066117996466</v>
      </c>
      <c r="L396" s="38"/>
    </row>
    <row r="397" spans="2:12" ht="16.5" customHeight="1" x14ac:dyDescent="0.25">
      <c r="B397" s="32">
        <f ca="1">IF(AND(Values_Entered,scheduled_no_payments&lt;&gt;1),B396+1,"")</f>
        <v>385</v>
      </c>
      <c r="C397" s="33">
        <f ca="1">IF(Pay_Num&lt;&gt;"",DATE(YEAR(C396)+VLOOKUP(Interval,LoanLookup[],4,FALSE),MONTH(C396)+VLOOKUP(Interval,LoanLookup[],2,FALSE),DAY(C396)+VLOOKUP(Interval,LoanLookup[],3,FALSE)),"")</f>
        <v>56556</v>
      </c>
      <c r="D397" s="34">
        <f t="shared" ca="1" si="20"/>
        <v>0</v>
      </c>
      <c r="E397" s="35">
        <f t="shared" ca="1" si="19"/>
        <v>989.93360882498609</v>
      </c>
      <c r="F397" s="36">
        <f ca="1">IF(scheduled_no_payments=1,"",IF(Sched_Pay+Scheduled_Extra_Payments&lt;Beg_Bal,Scheduled_Extra_Payments,IF(AND(Pay_Num&lt;&gt;"",Beg_Bal-Sched_Pay&gt;0),Beg_Bal-Sched_Pay,IF(Pay_Num&lt;&gt;"",0,""))))</f>
        <v>0</v>
      </c>
      <c r="G397" s="34">
        <f ca="1">IF(scheduled_no_payments=1,"",IF(Sched_Pay+Extra_Pay&lt;Beg_Bal,Sched_Pay+Extra_Pay,IF(Pay_Num&lt;&gt;"",Beg_Bal,"")))</f>
        <v>0</v>
      </c>
      <c r="H397" s="34">
        <f t="shared" ca="1" si="18"/>
        <v>0</v>
      </c>
      <c r="I397" s="34">
        <f ca="1">IF(Pay_Num&lt;&gt;"",Beg_Bal*(Interest_Rate/VLOOKUP(Interval,LoanLookup[],5,FALSE)),"")</f>
        <v>0</v>
      </c>
      <c r="J397" s="34">
        <f ca="1">IF(scheduled_no_payments=1,"",IF(AND(Pay_Num&lt;&gt;"",Sched_Pay+Extra_Pay&lt;Beg_Bal),Beg_Bal-Princ,IF(Pay_Num&lt;&gt;"",0,"")))</f>
        <v>0</v>
      </c>
      <c r="K397" s="34">
        <f ca="1">IF(scheduled_no_payments=1,"",SUM($I$13:$I397))</f>
        <v>87584.066117996466</v>
      </c>
      <c r="L397" s="38"/>
    </row>
    <row r="398" spans="2:12" ht="16.5" customHeight="1" x14ac:dyDescent="0.25">
      <c r="B398" s="32">
        <f ca="1">IF(AND(Values_Entered,scheduled_no_payments&lt;&gt;1),B397+1,"")</f>
        <v>386</v>
      </c>
      <c r="C398" s="33">
        <f ca="1">IF(Pay_Num&lt;&gt;"",DATE(YEAR(C397)+VLOOKUP(Interval,LoanLookup[],4,FALSE),MONTH(C397)+VLOOKUP(Interval,LoanLookup[],2,FALSE),DAY(C397)+VLOOKUP(Interval,LoanLookup[],3,FALSE)),"")</f>
        <v>56586</v>
      </c>
      <c r="D398" s="34">
        <f t="shared" ca="1" si="20"/>
        <v>0</v>
      </c>
      <c r="E398" s="35">
        <f t="shared" ca="1" si="19"/>
        <v>989.93360882498609</v>
      </c>
      <c r="F398" s="36">
        <f ca="1">IF(scheduled_no_payments=1,"",IF(Sched_Pay+Scheduled_Extra_Payments&lt;Beg_Bal,Scheduled_Extra_Payments,IF(AND(Pay_Num&lt;&gt;"",Beg_Bal-Sched_Pay&gt;0),Beg_Bal-Sched_Pay,IF(Pay_Num&lt;&gt;"",0,""))))</f>
        <v>0</v>
      </c>
      <c r="G398" s="34">
        <f ca="1">IF(scheduled_no_payments=1,"",IF(Sched_Pay+Extra_Pay&lt;Beg_Bal,Sched_Pay+Extra_Pay,IF(Pay_Num&lt;&gt;"",Beg_Bal,"")))</f>
        <v>0</v>
      </c>
      <c r="H398" s="34">
        <f t="shared" ref="H398:H461" ca="1" si="21">IF(Pay_Num&lt;&gt;"",Total_Pay-Int,"")</f>
        <v>0</v>
      </c>
      <c r="I398" s="34">
        <f ca="1">IF(Pay_Num&lt;&gt;"",Beg_Bal*(Interest_Rate/VLOOKUP(Interval,LoanLookup[],5,FALSE)),"")</f>
        <v>0</v>
      </c>
      <c r="J398" s="34">
        <f ca="1">IF(scheduled_no_payments=1,"",IF(AND(Pay_Num&lt;&gt;"",Sched_Pay+Extra_Pay&lt;Beg_Bal),Beg_Bal-Princ,IF(Pay_Num&lt;&gt;"",0,"")))</f>
        <v>0</v>
      </c>
      <c r="K398" s="34">
        <f ca="1">IF(scheduled_no_payments=1,"",SUM($I$13:$I398))</f>
        <v>87584.066117996466</v>
      </c>
      <c r="L398" s="38"/>
    </row>
    <row r="399" spans="2:12" ht="16.5" customHeight="1" x14ac:dyDescent="0.25">
      <c r="B399" s="32">
        <f ca="1">IF(AND(Values_Entered,scheduled_no_payments&lt;&gt;1),B398+1,"")</f>
        <v>387</v>
      </c>
      <c r="C399" s="33">
        <f ca="1">IF(Pay_Num&lt;&gt;"",DATE(YEAR(C398)+VLOOKUP(Interval,LoanLookup[],4,FALSE),MONTH(C398)+VLOOKUP(Interval,LoanLookup[],2,FALSE),DAY(C398)+VLOOKUP(Interval,LoanLookup[],3,FALSE)),"")</f>
        <v>56617</v>
      </c>
      <c r="D399" s="34">
        <f t="shared" ca="1" si="20"/>
        <v>0</v>
      </c>
      <c r="E399" s="35">
        <f t="shared" ref="E399:E462" ca="1" si="22">IF(Pay_Num&lt;&gt;"",Scheduled_Monthly_Payment,"")</f>
        <v>989.93360882498609</v>
      </c>
      <c r="F399" s="36">
        <f ca="1">IF(scheduled_no_payments=1,"",IF(Sched_Pay+Scheduled_Extra_Payments&lt;Beg_Bal,Scheduled_Extra_Payments,IF(AND(Pay_Num&lt;&gt;"",Beg_Bal-Sched_Pay&gt;0),Beg_Bal-Sched_Pay,IF(Pay_Num&lt;&gt;"",0,""))))</f>
        <v>0</v>
      </c>
      <c r="G399" s="34">
        <f ca="1">IF(scheduled_no_payments=1,"",IF(Sched_Pay+Extra_Pay&lt;Beg_Bal,Sched_Pay+Extra_Pay,IF(Pay_Num&lt;&gt;"",Beg_Bal,"")))</f>
        <v>0</v>
      </c>
      <c r="H399" s="34">
        <f t="shared" ca="1" si="21"/>
        <v>0</v>
      </c>
      <c r="I399" s="34">
        <f ca="1">IF(Pay_Num&lt;&gt;"",Beg_Bal*(Interest_Rate/VLOOKUP(Interval,LoanLookup[],5,FALSE)),"")</f>
        <v>0</v>
      </c>
      <c r="J399" s="34">
        <f ca="1">IF(scheduled_no_payments=1,"",IF(AND(Pay_Num&lt;&gt;"",Sched_Pay+Extra_Pay&lt;Beg_Bal),Beg_Bal-Princ,IF(Pay_Num&lt;&gt;"",0,"")))</f>
        <v>0</v>
      </c>
      <c r="K399" s="34">
        <f ca="1">IF(scheduled_no_payments=1,"",SUM($I$13:$I399))</f>
        <v>87584.066117996466</v>
      </c>
      <c r="L399" s="38"/>
    </row>
    <row r="400" spans="2:12" ht="16.5" customHeight="1" x14ac:dyDescent="0.25">
      <c r="B400" s="32">
        <f ca="1">IF(AND(Values_Entered,scheduled_no_payments&lt;&gt;1),B399+1,"")</f>
        <v>388</v>
      </c>
      <c r="C400" s="33">
        <f ca="1">IF(Pay_Num&lt;&gt;"",DATE(YEAR(C399)+VLOOKUP(Interval,LoanLookup[],4,FALSE),MONTH(C399)+VLOOKUP(Interval,LoanLookup[],2,FALSE),DAY(C399)+VLOOKUP(Interval,LoanLookup[],3,FALSE)),"")</f>
        <v>56648</v>
      </c>
      <c r="D400" s="34">
        <f t="shared" ca="1" si="20"/>
        <v>0</v>
      </c>
      <c r="E400" s="35">
        <f t="shared" ca="1" si="22"/>
        <v>989.93360882498609</v>
      </c>
      <c r="F400" s="36">
        <f ca="1">IF(scheduled_no_payments=1,"",IF(Sched_Pay+Scheduled_Extra_Payments&lt;Beg_Bal,Scheduled_Extra_Payments,IF(AND(Pay_Num&lt;&gt;"",Beg_Bal-Sched_Pay&gt;0),Beg_Bal-Sched_Pay,IF(Pay_Num&lt;&gt;"",0,""))))</f>
        <v>0</v>
      </c>
      <c r="G400" s="34">
        <f ca="1">IF(scheduled_no_payments=1,"",IF(Sched_Pay+Extra_Pay&lt;Beg_Bal,Sched_Pay+Extra_Pay,IF(Pay_Num&lt;&gt;"",Beg_Bal,"")))</f>
        <v>0</v>
      </c>
      <c r="H400" s="34">
        <f t="shared" ca="1" si="21"/>
        <v>0</v>
      </c>
      <c r="I400" s="34">
        <f ca="1">IF(Pay_Num&lt;&gt;"",Beg_Bal*(Interest_Rate/VLOOKUP(Interval,LoanLookup[],5,FALSE)),"")</f>
        <v>0</v>
      </c>
      <c r="J400" s="34">
        <f ca="1">IF(scheduled_no_payments=1,"",IF(AND(Pay_Num&lt;&gt;"",Sched_Pay+Extra_Pay&lt;Beg_Bal),Beg_Bal-Princ,IF(Pay_Num&lt;&gt;"",0,"")))</f>
        <v>0</v>
      </c>
      <c r="K400" s="34">
        <f ca="1">IF(scheduled_no_payments=1,"",SUM($I$13:$I400))</f>
        <v>87584.066117996466</v>
      </c>
      <c r="L400" s="38"/>
    </row>
    <row r="401" spans="2:12" ht="16.5" customHeight="1" x14ac:dyDescent="0.25">
      <c r="B401" s="32">
        <f ca="1">IF(AND(Values_Entered,scheduled_no_payments&lt;&gt;1),B400+1,"")</f>
        <v>389</v>
      </c>
      <c r="C401" s="33">
        <f ca="1">IF(Pay_Num&lt;&gt;"",DATE(YEAR(C400)+VLOOKUP(Interval,LoanLookup[],4,FALSE),MONTH(C400)+VLOOKUP(Interval,LoanLookup[],2,FALSE),DAY(C400)+VLOOKUP(Interval,LoanLookup[],3,FALSE)),"")</f>
        <v>56676</v>
      </c>
      <c r="D401" s="34">
        <f t="shared" ca="1" si="20"/>
        <v>0</v>
      </c>
      <c r="E401" s="35">
        <f t="shared" ca="1" si="22"/>
        <v>989.93360882498609</v>
      </c>
      <c r="F401" s="36">
        <f ca="1">IF(scheduled_no_payments=1,"",IF(Sched_Pay+Scheduled_Extra_Payments&lt;Beg_Bal,Scheduled_Extra_Payments,IF(AND(Pay_Num&lt;&gt;"",Beg_Bal-Sched_Pay&gt;0),Beg_Bal-Sched_Pay,IF(Pay_Num&lt;&gt;"",0,""))))</f>
        <v>0</v>
      </c>
      <c r="G401" s="34">
        <f ca="1">IF(scheduled_no_payments=1,"",IF(Sched_Pay+Extra_Pay&lt;Beg_Bal,Sched_Pay+Extra_Pay,IF(Pay_Num&lt;&gt;"",Beg_Bal,"")))</f>
        <v>0</v>
      </c>
      <c r="H401" s="34">
        <f t="shared" ca="1" si="21"/>
        <v>0</v>
      </c>
      <c r="I401" s="34">
        <f ca="1">IF(Pay_Num&lt;&gt;"",Beg_Bal*(Interest_Rate/VLOOKUP(Interval,LoanLookup[],5,FALSE)),"")</f>
        <v>0</v>
      </c>
      <c r="J401" s="34">
        <f ca="1">IF(scheduled_no_payments=1,"",IF(AND(Pay_Num&lt;&gt;"",Sched_Pay+Extra_Pay&lt;Beg_Bal),Beg_Bal-Princ,IF(Pay_Num&lt;&gt;"",0,"")))</f>
        <v>0</v>
      </c>
      <c r="K401" s="34">
        <f ca="1">IF(scheduled_no_payments=1,"",SUM($I$13:$I401))</f>
        <v>87584.066117996466</v>
      </c>
      <c r="L401" s="38"/>
    </row>
    <row r="402" spans="2:12" ht="16.5" customHeight="1" x14ac:dyDescent="0.25">
      <c r="B402" s="32">
        <f ca="1">IF(AND(Values_Entered,scheduled_no_payments&lt;&gt;1),B401+1,"")</f>
        <v>390</v>
      </c>
      <c r="C402" s="33">
        <f ca="1">IF(Pay_Num&lt;&gt;"",DATE(YEAR(C401)+VLOOKUP(Interval,LoanLookup[],4,FALSE),MONTH(C401)+VLOOKUP(Interval,LoanLookup[],2,FALSE),DAY(C401)+VLOOKUP(Interval,LoanLookup[],3,FALSE)),"")</f>
        <v>56707</v>
      </c>
      <c r="D402" s="34">
        <f t="shared" ca="1" si="20"/>
        <v>0</v>
      </c>
      <c r="E402" s="35">
        <f t="shared" ca="1" si="22"/>
        <v>989.93360882498609</v>
      </c>
      <c r="F402" s="36">
        <f ca="1">IF(scheduled_no_payments=1,"",IF(Sched_Pay+Scheduled_Extra_Payments&lt;Beg_Bal,Scheduled_Extra_Payments,IF(AND(Pay_Num&lt;&gt;"",Beg_Bal-Sched_Pay&gt;0),Beg_Bal-Sched_Pay,IF(Pay_Num&lt;&gt;"",0,""))))</f>
        <v>0</v>
      </c>
      <c r="G402" s="34">
        <f ca="1">IF(scheduled_no_payments=1,"",IF(Sched_Pay+Extra_Pay&lt;Beg_Bal,Sched_Pay+Extra_Pay,IF(Pay_Num&lt;&gt;"",Beg_Bal,"")))</f>
        <v>0</v>
      </c>
      <c r="H402" s="34">
        <f t="shared" ca="1" si="21"/>
        <v>0</v>
      </c>
      <c r="I402" s="34">
        <f ca="1">IF(Pay_Num&lt;&gt;"",Beg_Bal*(Interest_Rate/VLOOKUP(Interval,LoanLookup[],5,FALSE)),"")</f>
        <v>0</v>
      </c>
      <c r="J402" s="34">
        <f ca="1">IF(scheduled_no_payments=1,"",IF(AND(Pay_Num&lt;&gt;"",Sched_Pay+Extra_Pay&lt;Beg_Bal),Beg_Bal-Princ,IF(Pay_Num&lt;&gt;"",0,"")))</f>
        <v>0</v>
      </c>
      <c r="K402" s="34">
        <f ca="1">IF(scheduled_no_payments=1,"",SUM($I$13:$I402))</f>
        <v>87584.066117996466</v>
      </c>
      <c r="L402" s="38"/>
    </row>
    <row r="403" spans="2:12" ht="16.5" customHeight="1" x14ac:dyDescent="0.25">
      <c r="B403" s="32">
        <f ca="1">IF(AND(Values_Entered,scheduled_no_payments&lt;&gt;1),B402+1,"")</f>
        <v>391</v>
      </c>
      <c r="C403" s="33">
        <f ca="1">IF(Pay_Num&lt;&gt;"",DATE(YEAR(C402)+VLOOKUP(Interval,LoanLookup[],4,FALSE),MONTH(C402)+VLOOKUP(Interval,LoanLookup[],2,FALSE),DAY(C402)+VLOOKUP(Interval,LoanLookup[],3,FALSE)),"")</f>
        <v>56737</v>
      </c>
      <c r="D403" s="34">
        <f t="shared" ca="1" si="20"/>
        <v>0</v>
      </c>
      <c r="E403" s="35">
        <f t="shared" ca="1" si="22"/>
        <v>989.93360882498609</v>
      </c>
      <c r="F403" s="36">
        <f ca="1">IF(scheduled_no_payments=1,"",IF(Sched_Pay+Scheduled_Extra_Payments&lt;Beg_Bal,Scheduled_Extra_Payments,IF(AND(Pay_Num&lt;&gt;"",Beg_Bal-Sched_Pay&gt;0),Beg_Bal-Sched_Pay,IF(Pay_Num&lt;&gt;"",0,""))))</f>
        <v>0</v>
      </c>
      <c r="G403" s="34">
        <f ca="1">IF(scheduled_no_payments=1,"",IF(Sched_Pay+Extra_Pay&lt;Beg_Bal,Sched_Pay+Extra_Pay,IF(Pay_Num&lt;&gt;"",Beg_Bal,"")))</f>
        <v>0</v>
      </c>
      <c r="H403" s="34">
        <f t="shared" ca="1" si="21"/>
        <v>0</v>
      </c>
      <c r="I403" s="34">
        <f ca="1">IF(Pay_Num&lt;&gt;"",Beg_Bal*(Interest_Rate/VLOOKUP(Interval,LoanLookup[],5,FALSE)),"")</f>
        <v>0</v>
      </c>
      <c r="J403" s="34">
        <f ca="1">IF(scheduled_no_payments=1,"",IF(AND(Pay_Num&lt;&gt;"",Sched_Pay+Extra_Pay&lt;Beg_Bal),Beg_Bal-Princ,IF(Pay_Num&lt;&gt;"",0,"")))</f>
        <v>0</v>
      </c>
      <c r="K403" s="34">
        <f ca="1">IF(scheduled_no_payments=1,"",SUM($I$13:$I403))</f>
        <v>87584.066117996466</v>
      </c>
      <c r="L403" s="38"/>
    </row>
    <row r="404" spans="2:12" ht="16.5" customHeight="1" x14ac:dyDescent="0.25">
      <c r="B404" s="32">
        <f ca="1">IF(AND(Values_Entered,scheduled_no_payments&lt;&gt;1),B403+1,"")</f>
        <v>392</v>
      </c>
      <c r="C404" s="33">
        <f ca="1">IF(Pay_Num&lt;&gt;"",DATE(YEAR(C403)+VLOOKUP(Interval,LoanLookup[],4,FALSE),MONTH(C403)+VLOOKUP(Interval,LoanLookup[],2,FALSE),DAY(C403)+VLOOKUP(Interval,LoanLookup[],3,FALSE)),"")</f>
        <v>56768</v>
      </c>
      <c r="D404" s="34">
        <f t="shared" ca="1" si="20"/>
        <v>0</v>
      </c>
      <c r="E404" s="35">
        <f t="shared" ca="1" si="22"/>
        <v>989.93360882498609</v>
      </c>
      <c r="F404" s="36">
        <f ca="1">IF(scheduled_no_payments=1,"",IF(Sched_Pay+Scheduled_Extra_Payments&lt;Beg_Bal,Scheduled_Extra_Payments,IF(AND(Pay_Num&lt;&gt;"",Beg_Bal-Sched_Pay&gt;0),Beg_Bal-Sched_Pay,IF(Pay_Num&lt;&gt;"",0,""))))</f>
        <v>0</v>
      </c>
      <c r="G404" s="34">
        <f ca="1">IF(scheduled_no_payments=1,"",IF(Sched_Pay+Extra_Pay&lt;Beg_Bal,Sched_Pay+Extra_Pay,IF(Pay_Num&lt;&gt;"",Beg_Bal,"")))</f>
        <v>0</v>
      </c>
      <c r="H404" s="34">
        <f t="shared" ca="1" si="21"/>
        <v>0</v>
      </c>
      <c r="I404" s="34">
        <f ca="1">IF(Pay_Num&lt;&gt;"",Beg_Bal*(Interest_Rate/VLOOKUP(Interval,LoanLookup[],5,FALSE)),"")</f>
        <v>0</v>
      </c>
      <c r="J404" s="34">
        <f ca="1">IF(scheduled_no_payments=1,"",IF(AND(Pay_Num&lt;&gt;"",Sched_Pay+Extra_Pay&lt;Beg_Bal),Beg_Bal-Princ,IF(Pay_Num&lt;&gt;"",0,"")))</f>
        <v>0</v>
      </c>
      <c r="K404" s="34">
        <f ca="1">IF(scheduled_no_payments=1,"",SUM($I$13:$I404))</f>
        <v>87584.066117996466</v>
      </c>
      <c r="L404" s="38"/>
    </row>
    <row r="405" spans="2:12" ht="16.5" customHeight="1" x14ac:dyDescent="0.25">
      <c r="B405" s="32">
        <f ca="1">IF(AND(Values_Entered,scheduled_no_payments&lt;&gt;1),B404+1,"")</f>
        <v>393</v>
      </c>
      <c r="C405" s="33">
        <f ca="1">IF(Pay_Num&lt;&gt;"",DATE(YEAR(C404)+VLOOKUP(Interval,LoanLookup[],4,FALSE),MONTH(C404)+VLOOKUP(Interval,LoanLookup[],2,FALSE),DAY(C404)+VLOOKUP(Interval,LoanLookup[],3,FALSE)),"")</f>
        <v>56798</v>
      </c>
      <c r="D405" s="34">
        <f t="shared" ca="1" si="20"/>
        <v>0</v>
      </c>
      <c r="E405" s="35">
        <f t="shared" ca="1" si="22"/>
        <v>989.93360882498609</v>
      </c>
      <c r="F405" s="36">
        <f ca="1">IF(scheduled_no_payments=1,"",IF(Sched_Pay+Scheduled_Extra_Payments&lt;Beg_Bal,Scheduled_Extra_Payments,IF(AND(Pay_Num&lt;&gt;"",Beg_Bal-Sched_Pay&gt;0),Beg_Bal-Sched_Pay,IF(Pay_Num&lt;&gt;"",0,""))))</f>
        <v>0</v>
      </c>
      <c r="G405" s="34">
        <f ca="1">IF(scheduled_no_payments=1,"",IF(Sched_Pay+Extra_Pay&lt;Beg_Bal,Sched_Pay+Extra_Pay,IF(Pay_Num&lt;&gt;"",Beg_Bal,"")))</f>
        <v>0</v>
      </c>
      <c r="H405" s="34">
        <f t="shared" ca="1" si="21"/>
        <v>0</v>
      </c>
      <c r="I405" s="34">
        <f ca="1">IF(Pay_Num&lt;&gt;"",Beg_Bal*(Interest_Rate/VLOOKUP(Interval,LoanLookup[],5,FALSE)),"")</f>
        <v>0</v>
      </c>
      <c r="J405" s="34">
        <f ca="1">IF(scheduled_no_payments=1,"",IF(AND(Pay_Num&lt;&gt;"",Sched_Pay+Extra_Pay&lt;Beg_Bal),Beg_Bal-Princ,IF(Pay_Num&lt;&gt;"",0,"")))</f>
        <v>0</v>
      </c>
      <c r="K405" s="34">
        <f ca="1">IF(scheduled_no_payments=1,"",SUM($I$13:$I405))</f>
        <v>87584.066117996466</v>
      </c>
      <c r="L405" s="38"/>
    </row>
    <row r="406" spans="2:12" ht="16.5" customHeight="1" x14ac:dyDescent="0.25">
      <c r="B406" s="32">
        <f ca="1">IF(AND(Values_Entered,scheduled_no_payments&lt;&gt;1),B405+1,"")</f>
        <v>394</v>
      </c>
      <c r="C406" s="33">
        <f ca="1">IF(Pay_Num&lt;&gt;"",DATE(YEAR(C405)+VLOOKUP(Interval,LoanLookup[],4,FALSE),MONTH(C405)+VLOOKUP(Interval,LoanLookup[],2,FALSE),DAY(C405)+VLOOKUP(Interval,LoanLookup[],3,FALSE)),"")</f>
        <v>56829</v>
      </c>
      <c r="D406" s="34">
        <f t="shared" ca="1" si="20"/>
        <v>0</v>
      </c>
      <c r="E406" s="35">
        <f t="shared" ca="1" si="22"/>
        <v>989.93360882498609</v>
      </c>
      <c r="F406" s="36">
        <f ca="1">IF(scheduled_no_payments=1,"",IF(Sched_Pay+Scheduled_Extra_Payments&lt;Beg_Bal,Scheduled_Extra_Payments,IF(AND(Pay_Num&lt;&gt;"",Beg_Bal-Sched_Pay&gt;0),Beg_Bal-Sched_Pay,IF(Pay_Num&lt;&gt;"",0,""))))</f>
        <v>0</v>
      </c>
      <c r="G406" s="34">
        <f ca="1">IF(scheduled_no_payments=1,"",IF(Sched_Pay+Extra_Pay&lt;Beg_Bal,Sched_Pay+Extra_Pay,IF(Pay_Num&lt;&gt;"",Beg_Bal,"")))</f>
        <v>0</v>
      </c>
      <c r="H406" s="34">
        <f t="shared" ca="1" si="21"/>
        <v>0</v>
      </c>
      <c r="I406" s="34">
        <f ca="1">IF(Pay_Num&lt;&gt;"",Beg_Bal*(Interest_Rate/VLOOKUP(Interval,LoanLookup[],5,FALSE)),"")</f>
        <v>0</v>
      </c>
      <c r="J406" s="34">
        <f ca="1">IF(scheduled_no_payments=1,"",IF(AND(Pay_Num&lt;&gt;"",Sched_Pay+Extra_Pay&lt;Beg_Bal),Beg_Bal-Princ,IF(Pay_Num&lt;&gt;"",0,"")))</f>
        <v>0</v>
      </c>
      <c r="K406" s="34">
        <f ca="1">IF(scheduled_no_payments=1,"",SUM($I$13:$I406))</f>
        <v>87584.066117996466</v>
      </c>
      <c r="L406" s="38"/>
    </row>
    <row r="407" spans="2:12" ht="16.5" customHeight="1" x14ac:dyDescent="0.25">
      <c r="B407" s="32">
        <f ca="1">IF(AND(Values_Entered,scheduled_no_payments&lt;&gt;1),B406+1,"")</f>
        <v>395</v>
      </c>
      <c r="C407" s="33">
        <f ca="1">IF(Pay_Num&lt;&gt;"",DATE(YEAR(C406)+VLOOKUP(Interval,LoanLookup[],4,FALSE),MONTH(C406)+VLOOKUP(Interval,LoanLookup[],2,FALSE),DAY(C406)+VLOOKUP(Interval,LoanLookup[],3,FALSE)),"")</f>
        <v>56860</v>
      </c>
      <c r="D407" s="34">
        <f t="shared" ca="1" si="20"/>
        <v>0</v>
      </c>
      <c r="E407" s="35">
        <f t="shared" ca="1" si="22"/>
        <v>989.93360882498609</v>
      </c>
      <c r="F407" s="36">
        <f ca="1">IF(scheduled_no_payments=1,"",IF(Sched_Pay+Scheduled_Extra_Payments&lt;Beg_Bal,Scheduled_Extra_Payments,IF(AND(Pay_Num&lt;&gt;"",Beg_Bal-Sched_Pay&gt;0),Beg_Bal-Sched_Pay,IF(Pay_Num&lt;&gt;"",0,""))))</f>
        <v>0</v>
      </c>
      <c r="G407" s="34">
        <f ca="1">IF(scheduled_no_payments=1,"",IF(Sched_Pay+Extra_Pay&lt;Beg_Bal,Sched_Pay+Extra_Pay,IF(Pay_Num&lt;&gt;"",Beg_Bal,"")))</f>
        <v>0</v>
      </c>
      <c r="H407" s="34">
        <f t="shared" ca="1" si="21"/>
        <v>0</v>
      </c>
      <c r="I407" s="34">
        <f ca="1">IF(Pay_Num&lt;&gt;"",Beg_Bal*(Interest_Rate/VLOOKUP(Interval,LoanLookup[],5,FALSE)),"")</f>
        <v>0</v>
      </c>
      <c r="J407" s="34">
        <f ca="1">IF(scheduled_no_payments=1,"",IF(AND(Pay_Num&lt;&gt;"",Sched_Pay+Extra_Pay&lt;Beg_Bal),Beg_Bal-Princ,IF(Pay_Num&lt;&gt;"",0,"")))</f>
        <v>0</v>
      </c>
      <c r="K407" s="34">
        <f ca="1">IF(scheduled_no_payments=1,"",SUM($I$13:$I407))</f>
        <v>87584.066117996466</v>
      </c>
      <c r="L407" s="38"/>
    </row>
    <row r="408" spans="2:12" ht="16.5" customHeight="1" x14ac:dyDescent="0.25">
      <c r="B408" s="32">
        <f ca="1">IF(AND(Values_Entered,scheduled_no_payments&lt;&gt;1),B407+1,"")</f>
        <v>396</v>
      </c>
      <c r="C408" s="33">
        <f ca="1">IF(Pay_Num&lt;&gt;"",DATE(YEAR(C407)+VLOOKUP(Interval,LoanLookup[],4,FALSE),MONTH(C407)+VLOOKUP(Interval,LoanLookup[],2,FALSE),DAY(C407)+VLOOKUP(Interval,LoanLookup[],3,FALSE)),"")</f>
        <v>56890</v>
      </c>
      <c r="D408" s="34">
        <f t="shared" ca="1" si="20"/>
        <v>0</v>
      </c>
      <c r="E408" s="35">
        <f t="shared" ca="1" si="22"/>
        <v>989.93360882498609</v>
      </c>
      <c r="F408" s="36">
        <f ca="1">IF(scheduled_no_payments=1,"",IF(Sched_Pay+Scheduled_Extra_Payments&lt;Beg_Bal,Scheduled_Extra_Payments,IF(AND(Pay_Num&lt;&gt;"",Beg_Bal-Sched_Pay&gt;0),Beg_Bal-Sched_Pay,IF(Pay_Num&lt;&gt;"",0,""))))</f>
        <v>0</v>
      </c>
      <c r="G408" s="34">
        <f ca="1">IF(scheduled_no_payments=1,"",IF(Sched_Pay+Extra_Pay&lt;Beg_Bal,Sched_Pay+Extra_Pay,IF(Pay_Num&lt;&gt;"",Beg_Bal,"")))</f>
        <v>0</v>
      </c>
      <c r="H408" s="34">
        <f t="shared" ca="1" si="21"/>
        <v>0</v>
      </c>
      <c r="I408" s="34">
        <f ca="1">IF(Pay_Num&lt;&gt;"",Beg_Bal*(Interest_Rate/VLOOKUP(Interval,LoanLookup[],5,FALSE)),"")</f>
        <v>0</v>
      </c>
      <c r="J408" s="34">
        <f ca="1">IF(scheduled_no_payments=1,"",IF(AND(Pay_Num&lt;&gt;"",Sched_Pay+Extra_Pay&lt;Beg_Bal),Beg_Bal-Princ,IF(Pay_Num&lt;&gt;"",0,"")))</f>
        <v>0</v>
      </c>
      <c r="K408" s="34">
        <f ca="1">IF(scheduled_no_payments=1,"",SUM($I$13:$I408))</f>
        <v>87584.066117996466</v>
      </c>
      <c r="L408" s="38"/>
    </row>
    <row r="409" spans="2:12" ht="16.5" customHeight="1" x14ac:dyDescent="0.25">
      <c r="B409" s="32">
        <f ca="1">IF(AND(Values_Entered,scheduled_no_payments&lt;&gt;1),B408+1,"")</f>
        <v>397</v>
      </c>
      <c r="C409" s="33">
        <f ca="1">IF(Pay_Num&lt;&gt;"",DATE(YEAR(C408)+VLOOKUP(Interval,LoanLookup[],4,FALSE),MONTH(C408)+VLOOKUP(Interval,LoanLookup[],2,FALSE),DAY(C408)+VLOOKUP(Interval,LoanLookup[],3,FALSE)),"")</f>
        <v>56921</v>
      </c>
      <c r="D409" s="34">
        <f t="shared" ca="1" si="20"/>
        <v>0</v>
      </c>
      <c r="E409" s="35">
        <f t="shared" ca="1" si="22"/>
        <v>989.93360882498609</v>
      </c>
      <c r="F409" s="36">
        <f ca="1">IF(scheduled_no_payments=1,"",IF(Sched_Pay+Scheduled_Extra_Payments&lt;Beg_Bal,Scheduled_Extra_Payments,IF(AND(Pay_Num&lt;&gt;"",Beg_Bal-Sched_Pay&gt;0),Beg_Bal-Sched_Pay,IF(Pay_Num&lt;&gt;"",0,""))))</f>
        <v>0</v>
      </c>
      <c r="G409" s="34">
        <f ca="1">IF(scheduled_no_payments=1,"",IF(Sched_Pay+Extra_Pay&lt;Beg_Bal,Sched_Pay+Extra_Pay,IF(Pay_Num&lt;&gt;"",Beg_Bal,"")))</f>
        <v>0</v>
      </c>
      <c r="H409" s="34">
        <f t="shared" ca="1" si="21"/>
        <v>0</v>
      </c>
      <c r="I409" s="34">
        <f ca="1">IF(Pay_Num&lt;&gt;"",Beg_Bal*(Interest_Rate/VLOOKUP(Interval,LoanLookup[],5,FALSE)),"")</f>
        <v>0</v>
      </c>
      <c r="J409" s="34">
        <f ca="1">IF(scheduled_no_payments=1,"",IF(AND(Pay_Num&lt;&gt;"",Sched_Pay+Extra_Pay&lt;Beg_Bal),Beg_Bal-Princ,IF(Pay_Num&lt;&gt;"",0,"")))</f>
        <v>0</v>
      </c>
      <c r="K409" s="34">
        <f ca="1">IF(scheduled_no_payments=1,"",SUM($I$13:$I409))</f>
        <v>87584.066117996466</v>
      </c>
      <c r="L409" s="38"/>
    </row>
    <row r="410" spans="2:12" ht="16.5" customHeight="1" x14ac:dyDescent="0.25">
      <c r="B410" s="32">
        <f ca="1">IF(AND(Values_Entered,scheduled_no_payments&lt;&gt;1),B409+1,"")</f>
        <v>398</v>
      </c>
      <c r="C410" s="33">
        <f ca="1">IF(Pay_Num&lt;&gt;"",DATE(YEAR(C409)+VLOOKUP(Interval,LoanLookup[],4,FALSE),MONTH(C409)+VLOOKUP(Interval,LoanLookup[],2,FALSE),DAY(C409)+VLOOKUP(Interval,LoanLookup[],3,FALSE)),"")</f>
        <v>56951</v>
      </c>
      <c r="D410" s="34">
        <f t="shared" ca="1" si="20"/>
        <v>0</v>
      </c>
      <c r="E410" s="35">
        <f t="shared" ca="1" si="22"/>
        <v>989.93360882498609</v>
      </c>
      <c r="F410" s="36">
        <f ca="1">IF(scheduled_no_payments=1,"",IF(Sched_Pay+Scheduled_Extra_Payments&lt;Beg_Bal,Scheduled_Extra_Payments,IF(AND(Pay_Num&lt;&gt;"",Beg_Bal-Sched_Pay&gt;0),Beg_Bal-Sched_Pay,IF(Pay_Num&lt;&gt;"",0,""))))</f>
        <v>0</v>
      </c>
      <c r="G410" s="34">
        <f ca="1">IF(scheduled_no_payments=1,"",IF(Sched_Pay+Extra_Pay&lt;Beg_Bal,Sched_Pay+Extra_Pay,IF(Pay_Num&lt;&gt;"",Beg_Bal,"")))</f>
        <v>0</v>
      </c>
      <c r="H410" s="34">
        <f t="shared" ca="1" si="21"/>
        <v>0</v>
      </c>
      <c r="I410" s="34">
        <f ca="1">IF(Pay_Num&lt;&gt;"",Beg_Bal*(Interest_Rate/VLOOKUP(Interval,LoanLookup[],5,FALSE)),"")</f>
        <v>0</v>
      </c>
      <c r="J410" s="34">
        <f ca="1">IF(scheduled_no_payments=1,"",IF(AND(Pay_Num&lt;&gt;"",Sched_Pay+Extra_Pay&lt;Beg_Bal),Beg_Bal-Princ,IF(Pay_Num&lt;&gt;"",0,"")))</f>
        <v>0</v>
      </c>
      <c r="K410" s="34">
        <f ca="1">IF(scheduled_no_payments=1,"",SUM($I$13:$I410))</f>
        <v>87584.066117996466</v>
      </c>
      <c r="L410" s="38"/>
    </row>
    <row r="411" spans="2:12" ht="16.5" customHeight="1" x14ac:dyDescent="0.25">
      <c r="B411" s="32">
        <f ca="1">IF(AND(Values_Entered,scheduled_no_payments&lt;&gt;1),B410+1,"")</f>
        <v>399</v>
      </c>
      <c r="C411" s="33">
        <f ca="1">IF(Pay_Num&lt;&gt;"",DATE(YEAR(C410)+VLOOKUP(Interval,LoanLookup[],4,FALSE),MONTH(C410)+VLOOKUP(Interval,LoanLookup[],2,FALSE),DAY(C410)+VLOOKUP(Interval,LoanLookup[],3,FALSE)),"")</f>
        <v>56982</v>
      </c>
      <c r="D411" s="34">
        <f t="shared" ca="1" si="20"/>
        <v>0</v>
      </c>
      <c r="E411" s="35">
        <f t="shared" ca="1" si="22"/>
        <v>989.93360882498609</v>
      </c>
      <c r="F411" s="36">
        <f ca="1">IF(scheduled_no_payments=1,"",IF(Sched_Pay+Scheduled_Extra_Payments&lt;Beg_Bal,Scheduled_Extra_Payments,IF(AND(Pay_Num&lt;&gt;"",Beg_Bal-Sched_Pay&gt;0),Beg_Bal-Sched_Pay,IF(Pay_Num&lt;&gt;"",0,""))))</f>
        <v>0</v>
      </c>
      <c r="G411" s="34">
        <f ca="1">IF(scheduled_no_payments=1,"",IF(Sched_Pay+Extra_Pay&lt;Beg_Bal,Sched_Pay+Extra_Pay,IF(Pay_Num&lt;&gt;"",Beg_Bal,"")))</f>
        <v>0</v>
      </c>
      <c r="H411" s="34">
        <f t="shared" ca="1" si="21"/>
        <v>0</v>
      </c>
      <c r="I411" s="34">
        <f ca="1">IF(Pay_Num&lt;&gt;"",Beg_Bal*(Interest_Rate/VLOOKUP(Interval,LoanLookup[],5,FALSE)),"")</f>
        <v>0</v>
      </c>
      <c r="J411" s="34">
        <f ca="1">IF(scheduled_no_payments=1,"",IF(AND(Pay_Num&lt;&gt;"",Sched_Pay+Extra_Pay&lt;Beg_Bal),Beg_Bal-Princ,IF(Pay_Num&lt;&gt;"",0,"")))</f>
        <v>0</v>
      </c>
      <c r="K411" s="34">
        <f ca="1">IF(scheduled_no_payments=1,"",SUM($I$13:$I411))</f>
        <v>87584.066117996466</v>
      </c>
      <c r="L411" s="38"/>
    </row>
    <row r="412" spans="2:12" ht="16.5" customHeight="1" x14ac:dyDescent="0.25">
      <c r="B412" s="32">
        <f ca="1">IF(AND(Values_Entered,scheduled_no_payments&lt;&gt;1),B411+1,"")</f>
        <v>400</v>
      </c>
      <c r="C412" s="33">
        <f ca="1">IF(Pay_Num&lt;&gt;"",DATE(YEAR(C411)+VLOOKUP(Interval,LoanLookup[],4,FALSE),MONTH(C411)+VLOOKUP(Interval,LoanLookup[],2,FALSE),DAY(C411)+VLOOKUP(Interval,LoanLookup[],3,FALSE)),"")</f>
        <v>57013</v>
      </c>
      <c r="D412" s="34">
        <f t="shared" ca="1" si="20"/>
        <v>0</v>
      </c>
      <c r="E412" s="35">
        <f t="shared" ca="1" si="22"/>
        <v>989.93360882498609</v>
      </c>
      <c r="F412" s="36">
        <f ca="1">IF(scheduled_no_payments=1,"",IF(Sched_Pay+Scheduled_Extra_Payments&lt;Beg_Bal,Scheduled_Extra_Payments,IF(AND(Pay_Num&lt;&gt;"",Beg_Bal-Sched_Pay&gt;0),Beg_Bal-Sched_Pay,IF(Pay_Num&lt;&gt;"",0,""))))</f>
        <v>0</v>
      </c>
      <c r="G412" s="34">
        <f ca="1">IF(scheduled_no_payments=1,"",IF(Sched_Pay+Extra_Pay&lt;Beg_Bal,Sched_Pay+Extra_Pay,IF(Pay_Num&lt;&gt;"",Beg_Bal,"")))</f>
        <v>0</v>
      </c>
      <c r="H412" s="34">
        <f t="shared" ca="1" si="21"/>
        <v>0</v>
      </c>
      <c r="I412" s="34">
        <f ca="1">IF(Pay_Num&lt;&gt;"",Beg_Bal*(Interest_Rate/VLOOKUP(Interval,LoanLookup[],5,FALSE)),"")</f>
        <v>0</v>
      </c>
      <c r="J412" s="34">
        <f ca="1">IF(scheduled_no_payments=1,"",IF(AND(Pay_Num&lt;&gt;"",Sched_Pay+Extra_Pay&lt;Beg_Bal),Beg_Bal-Princ,IF(Pay_Num&lt;&gt;"",0,"")))</f>
        <v>0</v>
      </c>
      <c r="K412" s="34">
        <f ca="1">IF(scheduled_no_payments=1,"",SUM($I$13:$I412))</f>
        <v>87584.066117996466</v>
      </c>
      <c r="L412" s="38"/>
    </row>
    <row r="413" spans="2:12" ht="16.5" customHeight="1" x14ac:dyDescent="0.25">
      <c r="B413" s="32">
        <f ca="1">IF(AND(Values_Entered,scheduled_no_payments&lt;&gt;1),B412+1,"")</f>
        <v>401</v>
      </c>
      <c r="C413" s="33">
        <f ca="1">IF(Pay_Num&lt;&gt;"",DATE(YEAR(C412)+VLOOKUP(Interval,LoanLookup[],4,FALSE),MONTH(C412)+VLOOKUP(Interval,LoanLookup[],2,FALSE),DAY(C412)+VLOOKUP(Interval,LoanLookup[],3,FALSE)),"")</f>
        <v>57042</v>
      </c>
      <c r="D413" s="34">
        <f t="shared" ca="1" si="20"/>
        <v>0</v>
      </c>
      <c r="E413" s="35">
        <f t="shared" ca="1" si="22"/>
        <v>989.93360882498609</v>
      </c>
      <c r="F413" s="36">
        <f ca="1">IF(scheduled_no_payments=1,"",IF(Sched_Pay+Scheduled_Extra_Payments&lt;Beg_Bal,Scheduled_Extra_Payments,IF(AND(Pay_Num&lt;&gt;"",Beg_Bal-Sched_Pay&gt;0),Beg_Bal-Sched_Pay,IF(Pay_Num&lt;&gt;"",0,""))))</f>
        <v>0</v>
      </c>
      <c r="G413" s="34">
        <f ca="1">IF(scheduled_no_payments=1,"",IF(Sched_Pay+Extra_Pay&lt;Beg_Bal,Sched_Pay+Extra_Pay,IF(Pay_Num&lt;&gt;"",Beg_Bal,"")))</f>
        <v>0</v>
      </c>
      <c r="H413" s="34">
        <f t="shared" ca="1" si="21"/>
        <v>0</v>
      </c>
      <c r="I413" s="34">
        <f ca="1">IF(Pay_Num&lt;&gt;"",Beg_Bal*(Interest_Rate/VLOOKUP(Interval,LoanLookup[],5,FALSE)),"")</f>
        <v>0</v>
      </c>
      <c r="J413" s="34">
        <f ca="1">IF(scheduled_no_payments=1,"",IF(AND(Pay_Num&lt;&gt;"",Sched_Pay+Extra_Pay&lt;Beg_Bal),Beg_Bal-Princ,IF(Pay_Num&lt;&gt;"",0,"")))</f>
        <v>0</v>
      </c>
      <c r="K413" s="34">
        <f ca="1">IF(scheduled_no_payments=1,"",SUM($I$13:$I413))</f>
        <v>87584.066117996466</v>
      </c>
      <c r="L413" s="38"/>
    </row>
    <row r="414" spans="2:12" ht="16.5" customHeight="1" x14ac:dyDescent="0.25">
      <c r="B414" s="32">
        <f ca="1">IF(AND(Values_Entered,scheduled_no_payments&lt;&gt;1),B413+1,"")</f>
        <v>402</v>
      </c>
      <c r="C414" s="33">
        <f ca="1">IF(Pay_Num&lt;&gt;"",DATE(YEAR(C413)+VLOOKUP(Interval,LoanLookup[],4,FALSE),MONTH(C413)+VLOOKUP(Interval,LoanLookup[],2,FALSE),DAY(C413)+VLOOKUP(Interval,LoanLookup[],3,FALSE)),"")</f>
        <v>57073</v>
      </c>
      <c r="D414" s="34">
        <f t="shared" ca="1" si="20"/>
        <v>0</v>
      </c>
      <c r="E414" s="35">
        <f t="shared" ca="1" si="22"/>
        <v>989.93360882498609</v>
      </c>
      <c r="F414" s="36">
        <f ca="1">IF(scheduled_no_payments=1,"",IF(Sched_Pay+Scheduled_Extra_Payments&lt;Beg_Bal,Scheduled_Extra_Payments,IF(AND(Pay_Num&lt;&gt;"",Beg_Bal-Sched_Pay&gt;0),Beg_Bal-Sched_Pay,IF(Pay_Num&lt;&gt;"",0,""))))</f>
        <v>0</v>
      </c>
      <c r="G414" s="34">
        <f ca="1">IF(scheduled_no_payments=1,"",IF(Sched_Pay+Extra_Pay&lt;Beg_Bal,Sched_Pay+Extra_Pay,IF(Pay_Num&lt;&gt;"",Beg_Bal,"")))</f>
        <v>0</v>
      </c>
      <c r="H414" s="34">
        <f t="shared" ca="1" si="21"/>
        <v>0</v>
      </c>
      <c r="I414" s="34">
        <f ca="1">IF(Pay_Num&lt;&gt;"",Beg_Bal*(Interest_Rate/VLOOKUP(Interval,LoanLookup[],5,FALSE)),"")</f>
        <v>0</v>
      </c>
      <c r="J414" s="34">
        <f ca="1">IF(scheduled_no_payments=1,"",IF(AND(Pay_Num&lt;&gt;"",Sched_Pay+Extra_Pay&lt;Beg_Bal),Beg_Bal-Princ,IF(Pay_Num&lt;&gt;"",0,"")))</f>
        <v>0</v>
      </c>
      <c r="K414" s="34">
        <f ca="1">IF(scheduled_no_payments=1,"",SUM($I$13:$I414))</f>
        <v>87584.066117996466</v>
      </c>
      <c r="L414" s="38"/>
    </row>
    <row r="415" spans="2:12" ht="16.5" customHeight="1" x14ac:dyDescent="0.25">
      <c r="B415" s="32">
        <f ca="1">IF(AND(Values_Entered,scheduled_no_payments&lt;&gt;1),B414+1,"")</f>
        <v>403</v>
      </c>
      <c r="C415" s="33">
        <f ca="1">IF(Pay_Num&lt;&gt;"",DATE(YEAR(C414)+VLOOKUP(Interval,LoanLookup[],4,FALSE),MONTH(C414)+VLOOKUP(Interval,LoanLookup[],2,FALSE),DAY(C414)+VLOOKUP(Interval,LoanLookup[],3,FALSE)),"")</f>
        <v>57103</v>
      </c>
      <c r="D415" s="34">
        <f t="shared" ca="1" si="20"/>
        <v>0</v>
      </c>
      <c r="E415" s="35">
        <f t="shared" ca="1" si="22"/>
        <v>989.93360882498609</v>
      </c>
      <c r="F415" s="36">
        <f ca="1">IF(scheduled_no_payments=1,"",IF(Sched_Pay+Scheduled_Extra_Payments&lt;Beg_Bal,Scheduled_Extra_Payments,IF(AND(Pay_Num&lt;&gt;"",Beg_Bal-Sched_Pay&gt;0),Beg_Bal-Sched_Pay,IF(Pay_Num&lt;&gt;"",0,""))))</f>
        <v>0</v>
      </c>
      <c r="G415" s="34">
        <f ca="1">IF(scheduled_no_payments=1,"",IF(Sched_Pay+Extra_Pay&lt;Beg_Bal,Sched_Pay+Extra_Pay,IF(Pay_Num&lt;&gt;"",Beg_Bal,"")))</f>
        <v>0</v>
      </c>
      <c r="H415" s="34">
        <f t="shared" ca="1" si="21"/>
        <v>0</v>
      </c>
      <c r="I415" s="34">
        <f ca="1">IF(Pay_Num&lt;&gt;"",Beg_Bal*(Interest_Rate/VLOOKUP(Interval,LoanLookup[],5,FALSE)),"")</f>
        <v>0</v>
      </c>
      <c r="J415" s="34">
        <f ca="1">IF(scheduled_no_payments=1,"",IF(AND(Pay_Num&lt;&gt;"",Sched_Pay+Extra_Pay&lt;Beg_Bal),Beg_Bal-Princ,IF(Pay_Num&lt;&gt;"",0,"")))</f>
        <v>0</v>
      </c>
      <c r="K415" s="34">
        <f ca="1">IF(scheduled_no_payments=1,"",SUM($I$13:$I415))</f>
        <v>87584.066117996466</v>
      </c>
      <c r="L415" s="38"/>
    </row>
    <row r="416" spans="2:12" ht="16.5" customHeight="1" x14ac:dyDescent="0.25">
      <c r="B416" s="32">
        <f ca="1">IF(AND(Values_Entered,scheduled_no_payments&lt;&gt;1),B415+1,"")</f>
        <v>404</v>
      </c>
      <c r="C416" s="33">
        <f ca="1">IF(Pay_Num&lt;&gt;"",DATE(YEAR(C415)+VLOOKUP(Interval,LoanLookup[],4,FALSE),MONTH(C415)+VLOOKUP(Interval,LoanLookup[],2,FALSE),DAY(C415)+VLOOKUP(Interval,LoanLookup[],3,FALSE)),"")</f>
        <v>57134</v>
      </c>
      <c r="D416" s="34">
        <f t="shared" ca="1" si="20"/>
        <v>0</v>
      </c>
      <c r="E416" s="35">
        <f t="shared" ca="1" si="22"/>
        <v>989.93360882498609</v>
      </c>
      <c r="F416" s="36">
        <f ca="1">IF(scheduled_no_payments=1,"",IF(Sched_Pay+Scheduled_Extra_Payments&lt;Beg_Bal,Scheduled_Extra_Payments,IF(AND(Pay_Num&lt;&gt;"",Beg_Bal-Sched_Pay&gt;0),Beg_Bal-Sched_Pay,IF(Pay_Num&lt;&gt;"",0,""))))</f>
        <v>0</v>
      </c>
      <c r="G416" s="34">
        <f ca="1">IF(scheduled_no_payments=1,"",IF(Sched_Pay+Extra_Pay&lt;Beg_Bal,Sched_Pay+Extra_Pay,IF(Pay_Num&lt;&gt;"",Beg_Bal,"")))</f>
        <v>0</v>
      </c>
      <c r="H416" s="34">
        <f t="shared" ca="1" si="21"/>
        <v>0</v>
      </c>
      <c r="I416" s="34">
        <f ca="1">IF(Pay_Num&lt;&gt;"",Beg_Bal*(Interest_Rate/VLOOKUP(Interval,LoanLookup[],5,FALSE)),"")</f>
        <v>0</v>
      </c>
      <c r="J416" s="34">
        <f ca="1">IF(scheduled_no_payments=1,"",IF(AND(Pay_Num&lt;&gt;"",Sched_Pay+Extra_Pay&lt;Beg_Bal),Beg_Bal-Princ,IF(Pay_Num&lt;&gt;"",0,"")))</f>
        <v>0</v>
      </c>
      <c r="K416" s="34">
        <f ca="1">IF(scheduled_no_payments=1,"",SUM($I$13:$I416))</f>
        <v>87584.066117996466</v>
      </c>
      <c r="L416" s="38"/>
    </row>
    <row r="417" spans="2:12" ht="16.5" customHeight="1" x14ac:dyDescent="0.25">
      <c r="B417" s="32">
        <f ca="1">IF(AND(Values_Entered,scheduled_no_payments&lt;&gt;1),B416+1,"")</f>
        <v>405</v>
      </c>
      <c r="C417" s="33">
        <f ca="1">IF(Pay_Num&lt;&gt;"",DATE(YEAR(C416)+VLOOKUP(Interval,LoanLookup[],4,FALSE),MONTH(C416)+VLOOKUP(Interval,LoanLookup[],2,FALSE),DAY(C416)+VLOOKUP(Interval,LoanLookup[],3,FALSE)),"")</f>
        <v>57164</v>
      </c>
      <c r="D417" s="34">
        <f t="shared" ca="1" si="20"/>
        <v>0</v>
      </c>
      <c r="E417" s="35">
        <f t="shared" ca="1" si="22"/>
        <v>989.93360882498609</v>
      </c>
      <c r="F417" s="36">
        <f ca="1">IF(scheduled_no_payments=1,"",IF(Sched_Pay+Scheduled_Extra_Payments&lt;Beg_Bal,Scheduled_Extra_Payments,IF(AND(Pay_Num&lt;&gt;"",Beg_Bal-Sched_Pay&gt;0),Beg_Bal-Sched_Pay,IF(Pay_Num&lt;&gt;"",0,""))))</f>
        <v>0</v>
      </c>
      <c r="G417" s="34">
        <f ca="1">IF(scheduled_no_payments=1,"",IF(Sched_Pay+Extra_Pay&lt;Beg_Bal,Sched_Pay+Extra_Pay,IF(Pay_Num&lt;&gt;"",Beg_Bal,"")))</f>
        <v>0</v>
      </c>
      <c r="H417" s="34">
        <f t="shared" ca="1" si="21"/>
        <v>0</v>
      </c>
      <c r="I417" s="34">
        <f ca="1">IF(Pay_Num&lt;&gt;"",Beg_Bal*(Interest_Rate/VLOOKUP(Interval,LoanLookup[],5,FALSE)),"")</f>
        <v>0</v>
      </c>
      <c r="J417" s="34">
        <f ca="1">IF(scheduled_no_payments=1,"",IF(AND(Pay_Num&lt;&gt;"",Sched_Pay+Extra_Pay&lt;Beg_Bal),Beg_Bal-Princ,IF(Pay_Num&lt;&gt;"",0,"")))</f>
        <v>0</v>
      </c>
      <c r="K417" s="34">
        <f ca="1">IF(scheduled_no_payments=1,"",SUM($I$13:$I417))</f>
        <v>87584.066117996466</v>
      </c>
      <c r="L417" s="38"/>
    </row>
    <row r="418" spans="2:12" ht="16.5" customHeight="1" x14ac:dyDescent="0.25">
      <c r="B418" s="32">
        <f ca="1">IF(AND(Values_Entered,scheduled_no_payments&lt;&gt;1),B417+1,"")</f>
        <v>406</v>
      </c>
      <c r="C418" s="33">
        <f ca="1">IF(Pay_Num&lt;&gt;"",DATE(YEAR(C417)+VLOOKUP(Interval,LoanLookup[],4,FALSE),MONTH(C417)+VLOOKUP(Interval,LoanLookup[],2,FALSE),DAY(C417)+VLOOKUP(Interval,LoanLookup[],3,FALSE)),"")</f>
        <v>57195</v>
      </c>
      <c r="D418" s="34">
        <f t="shared" ca="1" si="20"/>
        <v>0</v>
      </c>
      <c r="E418" s="35">
        <f t="shared" ca="1" si="22"/>
        <v>989.93360882498609</v>
      </c>
      <c r="F418" s="36">
        <f ca="1">IF(scheduled_no_payments=1,"",IF(Sched_Pay+Scheduled_Extra_Payments&lt;Beg_Bal,Scheduled_Extra_Payments,IF(AND(Pay_Num&lt;&gt;"",Beg_Bal-Sched_Pay&gt;0),Beg_Bal-Sched_Pay,IF(Pay_Num&lt;&gt;"",0,""))))</f>
        <v>0</v>
      </c>
      <c r="G418" s="34">
        <f ca="1">IF(scheduled_no_payments=1,"",IF(Sched_Pay+Extra_Pay&lt;Beg_Bal,Sched_Pay+Extra_Pay,IF(Pay_Num&lt;&gt;"",Beg_Bal,"")))</f>
        <v>0</v>
      </c>
      <c r="H418" s="34">
        <f t="shared" ca="1" si="21"/>
        <v>0</v>
      </c>
      <c r="I418" s="34">
        <f ca="1">IF(Pay_Num&lt;&gt;"",Beg_Bal*(Interest_Rate/VLOOKUP(Interval,LoanLookup[],5,FALSE)),"")</f>
        <v>0</v>
      </c>
      <c r="J418" s="34">
        <f ca="1">IF(scheduled_no_payments=1,"",IF(AND(Pay_Num&lt;&gt;"",Sched_Pay+Extra_Pay&lt;Beg_Bal),Beg_Bal-Princ,IF(Pay_Num&lt;&gt;"",0,"")))</f>
        <v>0</v>
      </c>
      <c r="K418" s="34">
        <f ca="1">IF(scheduled_no_payments=1,"",SUM($I$13:$I418))</f>
        <v>87584.066117996466</v>
      </c>
      <c r="L418" s="38"/>
    </row>
    <row r="419" spans="2:12" ht="16.5" customHeight="1" x14ac:dyDescent="0.25">
      <c r="B419" s="32">
        <f ca="1">IF(AND(Values_Entered,scheduled_no_payments&lt;&gt;1),B418+1,"")</f>
        <v>407</v>
      </c>
      <c r="C419" s="33">
        <f ca="1">IF(Pay_Num&lt;&gt;"",DATE(YEAR(C418)+VLOOKUP(Interval,LoanLookup[],4,FALSE),MONTH(C418)+VLOOKUP(Interval,LoanLookup[],2,FALSE),DAY(C418)+VLOOKUP(Interval,LoanLookup[],3,FALSE)),"")</f>
        <v>57226</v>
      </c>
      <c r="D419" s="34">
        <f t="shared" ca="1" si="20"/>
        <v>0</v>
      </c>
      <c r="E419" s="35">
        <f t="shared" ca="1" si="22"/>
        <v>989.93360882498609</v>
      </c>
      <c r="F419" s="36">
        <f ca="1">IF(scheduled_no_payments=1,"",IF(Sched_Pay+Scheduled_Extra_Payments&lt;Beg_Bal,Scheduled_Extra_Payments,IF(AND(Pay_Num&lt;&gt;"",Beg_Bal-Sched_Pay&gt;0),Beg_Bal-Sched_Pay,IF(Pay_Num&lt;&gt;"",0,""))))</f>
        <v>0</v>
      </c>
      <c r="G419" s="34">
        <f ca="1">IF(scheduled_no_payments=1,"",IF(Sched_Pay+Extra_Pay&lt;Beg_Bal,Sched_Pay+Extra_Pay,IF(Pay_Num&lt;&gt;"",Beg_Bal,"")))</f>
        <v>0</v>
      </c>
      <c r="H419" s="34">
        <f t="shared" ca="1" si="21"/>
        <v>0</v>
      </c>
      <c r="I419" s="34">
        <f ca="1">IF(Pay_Num&lt;&gt;"",Beg_Bal*(Interest_Rate/VLOOKUP(Interval,LoanLookup[],5,FALSE)),"")</f>
        <v>0</v>
      </c>
      <c r="J419" s="34">
        <f ca="1">IF(scheduled_no_payments=1,"",IF(AND(Pay_Num&lt;&gt;"",Sched_Pay+Extra_Pay&lt;Beg_Bal),Beg_Bal-Princ,IF(Pay_Num&lt;&gt;"",0,"")))</f>
        <v>0</v>
      </c>
      <c r="K419" s="34">
        <f ca="1">IF(scheduled_no_payments=1,"",SUM($I$13:$I419))</f>
        <v>87584.066117996466</v>
      </c>
      <c r="L419" s="38"/>
    </row>
    <row r="420" spans="2:12" ht="16.5" customHeight="1" x14ac:dyDescent="0.25">
      <c r="B420" s="32">
        <f ca="1">IF(AND(Values_Entered,scheduled_no_payments&lt;&gt;1),B419+1,"")</f>
        <v>408</v>
      </c>
      <c r="C420" s="33">
        <f ca="1">IF(Pay_Num&lt;&gt;"",DATE(YEAR(C419)+VLOOKUP(Interval,LoanLookup[],4,FALSE),MONTH(C419)+VLOOKUP(Interval,LoanLookup[],2,FALSE),DAY(C419)+VLOOKUP(Interval,LoanLookup[],3,FALSE)),"")</f>
        <v>57256</v>
      </c>
      <c r="D420" s="34">
        <f t="shared" ca="1" si="20"/>
        <v>0</v>
      </c>
      <c r="E420" s="35">
        <f t="shared" ca="1" si="22"/>
        <v>989.93360882498609</v>
      </c>
      <c r="F420" s="36">
        <f ca="1">IF(scheduled_no_payments=1,"",IF(Sched_Pay+Scheduled_Extra_Payments&lt;Beg_Bal,Scheduled_Extra_Payments,IF(AND(Pay_Num&lt;&gt;"",Beg_Bal-Sched_Pay&gt;0),Beg_Bal-Sched_Pay,IF(Pay_Num&lt;&gt;"",0,""))))</f>
        <v>0</v>
      </c>
      <c r="G420" s="34">
        <f ca="1">IF(scheduled_no_payments=1,"",IF(Sched_Pay+Extra_Pay&lt;Beg_Bal,Sched_Pay+Extra_Pay,IF(Pay_Num&lt;&gt;"",Beg_Bal,"")))</f>
        <v>0</v>
      </c>
      <c r="H420" s="34">
        <f t="shared" ca="1" si="21"/>
        <v>0</v>
      </c>
      <c r="I420" s="34">
        <f ca="1">IF(Pay_Num&lt;&gt;"",Beg_Bal*(Interest_Rate/VLOOKUP(Interval,LoanLookup[],5,FALSE)),"")</f>
        <v>0</v>
      </c>
      <c r="J420" s="34">
        <f ca="1">IF(scheduled_no_payments=1,"",IF(AND(Pay_Num&lt;&gt;"",Sched_Pay+Extra_Pay&lt;Beg_Bal),Beg_Bal-Princ,IF(Pay_Num&lt;&gt;"",0,"")))</f>
        <v>0</v>
      </c>
      <c r="K420" s="34">
        <f ca="1">IF(scheduled_no_payments=1,"",SUM($I$13:$I420))</f>
        <v>87584.066117996466</v>
      </c>
      <c r="L420" s="38"/>
    </row>
    <row r="421" spans="2:12" ht="16.5" customHeight="1" x14ac:dyDescent="0.25">
      <c r="B421" s="32">
        <f ca="1">IF(AND(Values_Entered,scheduled_no_payments&lt;&gt;1),B420+1,"")</f>
        <v>409</v>
      </c>
      <c r="C421" s="33">
        <f ca="1">IF(Pay_Num&lt;&gt;"",DATE(YEAR(C420)+VLOOKUP(Interval,LoanLookup[],4,FALSE),MONTH(C420)+VLOOKUP(Interval,LoanLookup[],2,FALSE),DAY(C420)+VLOOKUP(Interval,LoanLookup[],3,FALSE)),"")</f>
        <v>57287</v>
      </c>
      <c r="D421" s="34">
        <f t="shared" ca="1" si="20"/>
        <v>0</v>
      </c>
      <c r="E421" s="35">
        <f t="shared" ca="1" si="22"/>
        <v>989.93360882498609</v>
      </c>
      <c r="F421" s="36">
        <f ca="1">IF(scheduled_no_payments=1,"",IF(Sched_Pay+Scheduled_Extra_Payments&lt;Beg_Bal,Scheduled_Extra_Payments,IF(AND(Pay_Num&lt;&gt;"",Beg_Bal-Sched_Pay&gt;0),Beg_Bal-Sched_Pay,IF(Pay_Num&lt;&gt;"",0,""))))</f>
        <v>0</v>
      </c>
      <c r="G421" s="34">
        <f ca="1">IF(scheduled_no_payments=1,"",IF(Sched_Pay+Extra_Pay&lt;Beg_Bal,Sched_Pay+Extra_Pay,IF(Pay_Num&lt;&gt;"",Beg_Bal,"")))</f>
        <v>0</v>
      </c>
      <c r="H421" s="34">
        <f t="shared" ca="1" si="21"/>
        <v>0</v>
      </c>
      <c r="I421" s="34">
        <f ca="1">IF(Pay_Num&lt;&gt;"",Beg_Bal*(Interest_Rate/VLOOKUP(Interval,LoanLookup[],5,FALSE)),"")</f>
        <v>0</v>
      </c>
      <c r="J421" s="34">
        <f ca="1">IF(scheduled_no_payments=1,"",IF(AND(Pay_Num&lt;&gt;"",Sched_Pay+Extra_Pay&lt;Beg_Bal),Beg_Bal-Princ,IF(Pay_Num&lt;&gt;"",0,"")))</f>
        <v>0</v>
      </c>
      <c r="K421" s="34">
        <f ca="1">IF(scheduled_no_payments=1,"",SUM($I$13:$I421))</f>
        <v>87584.066117996466</v>
      </c>
      <c r="L421" s="38"/>
    </row>
    <row r="422" spans="2:12" ht="16.5" customHeight="1" x14ac:dyDescent="0.25">
      <c r="B422" s="32">
        <f ca="1">IF(AND(Values_Entered,scheduled_no_payments&lt;&gt;1),B421+1,"")</f>
        <v>410</v>
      </c>
      <c r="C422" s="33">
        <f ca="1">IF(Pay_Num&lt;&gt;"",DATE(YEAR(C421)+VLOOKUP(Interval,LoanLookup[],4,FALSE),MONTH(C421)+VLOOKUP(Interval,LoanLookup[],2,FALSE),DAY(C421)+VLOOKUP(Interval,LoanLookup[],3,FALSE)),"")</f>
        <v>57317</v>
      </c>
      <c r="D422" s="34">
        <f t="shared" ca="1" si="20"/>
        <v>0</v>
      </c>
      <c r="E422" s="35">
        <f t="shared" ca="1" si="22"/>
        <v>989.93360882498609</v>
      </c>
      <c r="F422" s="36">
        <f ca="1">IF(scheduled_no_payments=1,"",IF(Sched_Pay+Scheduled_Extra_Payments&lt;Beg_Bal,Scheduled_Extra_Payments,IF(AND(Pay_Num&lt;&gt;"",Beg_Bal-Sched_Pay&gt;0),Beg_Bal-Sched_Pay,IF(Pay_Num&lt;&gt;"",0,""))))</f>
        <v>0</v>
      </c>
      <c r="G422" s="34">
        <f ca="1">IF(scheduled_no_payments=1,"",IF(Sched_Pay+Extra_Pay&lt;Beg_Bal,Sched_Pay+Extra_Pay,IF(Pay_Num&lt;&gt;"",Beg_Bal,"")))</f>
        <v>0</v>
      </c>
      <c r="H422" s="34">
        <f t="shared" ca="1" si="21"/>
        <v>0</v>
      </c>
      <c r="I422" s="34">
        <f ca="1">IF(Pay_Num&lt;&gt;"",Beg_Bal*(Interest_Rate/VLOOKUP(Interval,LoanLookup[],5,FALSE)),"")</f>
        <v>0</v>
      </c>
      <c r="J422" s="34">
        <f ca="1">IF(scheduled_no_payments=1,"",IF(AND(Pay_Num&lt;&gt;"",Sched_Pay+Extra_Pay&lt;Beg_Bal),Beg_Bal-Princ,IF(Pay_Num&lt;&gt;"",0,"")))</f>
        <v>0</v>
      </c>
      <c r="K422" s="34">
        <f ca="1">IF(scheduled_no_payments=1,"",SUM($I$13:$I422))</f>
        <v>87584.066117996466</v>
      </c>
      <c r="L422" s="38"/>
    </row>
    <row r="423" spans="2:12" ht="16.5" customHeight="1" x14ac:dyDescent="0.25">
      <c r="B423" s="32">
        <f ca="1">IF(AND(Values_Entered,scheduled_no_payments&lt;&gt;1),B422+1,"")</f>
        <v>411</v>
      </c>
      <c r="C423" s="33">
        <f ca="1">IF(Pay_Num&lt;&gt;"",DATE(YEAR(C422)+VLOOKUP(Interval,LoanLookup[],4,FALSE),MONTH(C422)+VLOOKUP(Interval,LoanLookup[],2,FALSE),DAY(C422)+VLOOKUP(Interval,LoanLookup[],3,FALSE)),"")</f>
        <v>57348</v>
      </c>
      <c r="D423" s="34">
        <f t="shared" ca="1" si="20"/>
        <v>0</v>
      </c>
      <c r="E423" s="35">
        <f t="shared" ca="1" si="22"/>
        <v>989.93360882498609</v>
      </c>
      <c r="F423" s="36">
        <f ca="1">IF(scheduled_no_payments=1,"",IF(Sched_Pay+Scheduled_Extra_Payments&lt;Beg_Bal,Scheduled_Extra_Payments,IF(AND(Pay_Num&lt;&gt;"",Beg_Bal-Sched_Pay&gt;0),Beg_Bal-Sched_Pay,IF(Pay_Num&lt;&gt;"",0,""))))</f>
        <v>0</v>
      </c>
      <c r="G423" s="34">
        <f ca="1">IF(scheduled_no_payments=1,"",IF(Sched_Pay+Extra_Pay&lt;Beg_Bal,Sched_Pay+Extra_Pay,IF(Pay_Num&lt;&gt;"",Beg_Bal,"")))</f>
        <v>0</v>
      </c>
      <c r="H423" s="34">
        <f t="shared" ca="1" si="21"/>
        <v>0</v>
      </c>
      <c r="I423" s="34">
        <f ca="1">IF(Pay_Num&lt;&gt;"",Beg_Bal*(Interest_Rate/VLOOKUP(Interval,LoanLookup[],5,FALSE)),"")</f>
        <v>0</v>
      </c>
      <c r="J423" s="34">
        <f ca="1">IF(scheduled_no_payments=1,"",IF(AND(Pay_Num&lt;&gt;"",Sched_Pay+Extra_Pay&lt;Beg_Bal),Beg_Bal-Princ,IF(Pay_Num&lt;&gt;"",0,"")))</f>
        <v>0</v>
      </c>
      <c r="K423" s="34">
        <f ca="1">IF(scheduled_no_payments=1,"",SUM($I$13:$I423))</f>
        <v>87584.066117996466</v>
      </c>
      <c r="L423" s="38"/>
    </row>
    <row r="424" spans="2:12" ht="16.5" customHeight="1" x14ac:dyDescent="0.25">
      <c r="B424" s="32">
        <f ca="1">IF(AND(Values_Entered,scheduled_no_payments&lt;&gt;1),B423+1,"")</f>
        <v>412</v>
      </c>
      <c r="C424" s="33">
        <f ca="1">IF(Pay_Num&lt;&gt;"",DATE(YEAR(C423)+VLOOKUP(Interval,LoanLookup[],4,FALSE),MONTH(C423)+VLOOKUP(Interval,LoanLookup[],2,FALSE),DAY(C423)+VLOOKUP(Interval,LoanLookup[],3,FALSE)),"")</f>
        <v>57379</v>
      </c>
      <c r="D424" s="34">
        <f t="shared" ca="1" si="20"/>
        <v>0</v>
      </c>
      <c r="E424" s="35">
        <f t="shared" ca="1" si="22"/>
        <v>989.93360882498609</v>
      </c>
      <c r="F424" s="36">
        <f ca="1">IF(scheduled_no_payments=1,"",IF(Sched_Pay+Scheduled_Extra_Payments&lt;Beg_Bal,Scheduled_Extra_Payments,IF(AND(Pay_Num&lt;&gt;"",Beg_Bal-Sched_Pay&gt;0),Beg_Bal-Sched_Pay,IF(Pay_Num&lt;&gt;"",0,""))))</f>
        <v>0</v>
      </c>
      <c r="G424" s="34">
        <f ca="1">IF(scheduled_no_payments=1,"",IF(Sched_Pay+Extra_Pay&lt;Beg_Bal,Sched_Pay+Extra_Pay,IF(Pay_Num&lt;&gt;"",Beg_Bal,"")))</f>
        <v>0</v>
      </c>
      <c r="H424" s="34">
        <f t="shared" ca="1" si="21"/>
        <v>0</v>
      </c>
      <c r="I424" s="34">
        <f ca="1">IF(Pay_Num&lt;&gt;"",Beg_Bal*(Interest_Rate/VLOOKUP(Interval,LoanLookup[],5,FALSE)),"")</f>
        <v>0</v>
      </c>
      <c r="J424" s="34">
        <f ca="1">IF(scheduled_no_payments=1,"",IF(AND(Pay_Num&lt;&gt;"",Sched_Pay+Extra_Pay&lt;Beg_Bal),Beg_Bal-Princ,IF(Pay_Num&lt;&gt;"",0,"")))</f>
        <v>0</v>
      </c>
      <c r="K424" s="34">
        <f ca="1">IF(scheduled_no_payments=1,"",SUM($I$13:$I424))</f>
        <v>87584.066117996466</v>
      </c>
      <c r="L424" s="38"/>
    </row>
    <row r="425" spans="2:12" ht="16.5" customHeight="1" x14ac:dyDescent="0.25">
      <c r="B425" s="32">
        <f ca="1">IF(AND(Values_Entered,scheduled_no_payments&lt;&gt;1),B424+1,"")</f>
        <v>413</v>
      </c>
      <c r="C425" s="33">
        <f ca="1">IF(Pay_Num&lt;&gt;"",DATE(YEAR(C424)+VLOOKUP(Interval,LoanLookup[],4,FALSE),MONTH(C424)+VLOOKUP(Interval,LoanLookup[],2,FALSE),DAY(C424)+VLOOKUP(Interval,LoanLookup[],3,FALSE)),"")</f>
        <v>57407</v>
      </c>
      <c r="D425" s="34">
        <f t="shared" ca="1" si="20"/>
        <v>0</v>
      </c>
      <c r="E425" s="35">
        <f t="shared" ca="1" si="22"/>
        <v>989.93360882498609</v>
      </c>
      <c r="F425" s="36">
        <f ca="1">IF(scheduled_no_payments=1,"",IF(Sched_Pay+Scheduled_Extra_Payments&lt;Beg_Bal,Scheduled_Extra_Payments,IF(AND(Pay_Num&lt;&gt;"",Beg_Bal-Sched_Pay&gt;0),Beg_Bal-Sched_Pay,IF(Pay_Num&lt;&gt;"",0,""))))</f>
        <v>0</v>
      </c>
      <c r="G425" s="34">
        <f ca="1">IF(scheduled_no_payments=1,"",IF(Sched_Pay+Extra_Pay&lt;Beg_Bal,Sched_Pay+Extra_Pay,IF(Pay_Num&lt;&gt;"",Beg_Bal,"")))</f>
        <v>0</v>
      </c>
      <c r="H425" s="34">
        <f t="shared" ca="1" si="21"/>
        <v>0</v>
      </c>
      <c r="I425" s="34">
        <f ca="1">IF(Pay_Num&lt;&gt;"",Beg_Bal*(Interest_Rate/VLOOKUP(Interval,LoanLookup[],5,FALSE)),"")</f>
        <v>0</v>
      </c>
      <c r="J425" s="34">
        <f ca="1">IF(scheduled_no_payments=1,"",IF(AND(Pay_Num&lt;&gt;"",Sched_Pay+Extra_Pay&lt;Beg_Bal),Beg_Bal-Princ,IF(Pay_Num&lt;&gt;"",0,"")))</f>
        <v>0</v>
      </c>
      <c r="K425" s="34">
        <f ca="1">IF(scheduled_no_payments=1,"",SUM($I$13:$I425))</f>
        <v>87584.066117996466</v>
      </c>
      <c r="L425" s="38"/>
    </row>
    <row r="426" spans="2:12" ht="16.5" customHeight="1" x14ac:dyDescent="0.25">
      <c r="B426" s="32">
        <f ca="1">IF(AND(Values_Entered,scheduled_no_payments&lt;&gt;1),B425+1,"")</f>
        <v>414</v>
      </c>
      <c r="C426" s="33">
        <f ca="1">IF(Pay_Num&lt;&gt;"",DATE(YEAR(C425)+VLOOKUP(Interval,LoanLookup[],4,FALSE),MONTH(C425)+VLOOKUP(Interval,LoanLookup[],2,FALSE),DAY(C425)+VLOOKUP(Interval,LoanLookup[],3,FALSE)),"")</f>
        <v>57438</v>
      </c>
      <c r="D426" s="34">
        <f t="shared" ca="1" si="20"/>
        <v>0</v>
      </c>
      <c r="E426" s="35">
        <f t="shared" ca="1" si="22"/>
        <v>989.93360882498609</v>
      </c>
      <c r="F426" s="36">
        <f ca="1">IF(scheduled_no_payments=1,"",IF(Sched_Pay+Scheduled_Extra_Payments&lt;Beg_Bal,Scheduled_Extra_Payments,IF(AND(Pay_Num&lt;&gt;"",Beg_Bal-Sched_Pay&gt;0),Beg_Bal-Sched_Pay,IF(Pay_Num&lt;&gt;"",0,""))))</f>
        <v>0</v>
      </c>
      <c r="G426" s="34">
        <f ca="1">IF(scheduled_no_payments=1,"",IF(Sched_Pay+Extra_Pay&lt;Beg_Bal,Sched_Pay+Extra_Pay,IF(Pay_Num&lt;&gt;"",Beg_Bal,"")))</f>
        <v>0</v>
      </c>
      <c r="H426" s="34">
        <f t="shared" ca="1" si="21"/>
        <v>0</v>
      </c>
      <c r="I426" s="34">
        <f ca="1">IF(Pay_Num&lt;&gt;"",Beg_Bal*(Interest_Rate/VLOOKUP(Interval,LoanLookup[],5,FALSE)),"")</f>
        <v>0</v>
      </c>
      <c r="J426" s="34">
        <f ca="1">IF(scheduled_no_payments=1,"",IF(AND(Pay_Num&lt;&gt;"",Sched_Pay+Extra_Pay&lt;Beg_Bal),Beg_Bal-Princ,IF(Pay_Num&lt;&gt;"",0,"")))</f>
        <v>0</v>
      </c>
      <c r="K426" s="34">
        <f ca="1">IF(scheduled_no_payments=1,"",SUM($I$13:$I426))</f>
        <v>87584.066117996466</v>
      </c>
      <c r="L426" s="38"/>
    </row>
    <row r="427" spans="2:12" ht="16.5" customHeight="1" x14ac:dyDescent="0.25">
      <c r="B427" s="32">
        <f ca="1">IF(AND(Values_Entered,scheduled_no_payments&lt;&gt;1),B426+1,"")</f>
        <v>415</v>
      </c>
      <c r="C427" s="33">
        <f ca="1">IF(Pay_Num&lt;&gt;"",DATE(YEAR(C426)+VLOOKUP(Interval,LoanLookup[],4,FALSE),MONTH(C426)+VLOOKUP(Interval,LoanLookup[],2,FALSE),DAY(C426)+VLOOKUP(Interval,LoanLookup[],3,FALSE)),"")</f>
        <v>57468</v>
      </c>
      <c r="D427" s="34">
        <f t="shared" ca="1" si="20"/>
        <v>0</v>
      </c>
      <c r="E427" s="35">
        <f t="shared" ca="1" si="22"/>
        <v>989.93360882498609</v>
      </c>
      <c r="F427" s="36">
        <f ca="1">IF(scheduled_no_payments=1,"",IF(Sched_Pay+Scheduled_Extra_Payments&lt;Beg_Bal,Scheduled_Extra_Payments,IF(AND(Pay_Num&lt;&gt;"",Beg_Bal-Sched_Pay&gt;0),Beg_Bal-Sched_Pay,IF(Pay_Num&lt;&gt;"",0,""))))</f>
        <v>0</v>
      </c>
      <c r="G427" s="34">
        <f ca="1">IF(scheduled_no_payments=1,"",IF(Sched_Pay+Extra_Pay&lt;Beg_Bal,Sched_Pay+Extra_Pay,IF(Pay_Num&lt;&gt;"",Beg_Bal,"")))</f>
        <v>0</v>
      </c>
      <c r="H427" s="34">
        <f t="shared" ca="1" si="21"/>
        <v>0</v>
      </c>
      <c r="I427" s="34">
        <f ca="1">IF(Pay_Num&lt;&gt;"",Beg_Bal*(Interest_Rate/VLOOKUP(Interval,LoanLookup[],5,FALSE)),"")</f>
        <v>0</v>
      </c>
      <c r="J427" s="34">
        <f ca="1">IF(scheduled_no_payments=1,"",IF(AND(Pay_Num&lt;&gt;"",Sched_Pay+Extra_Pay&lt;Beg_Bal),Beg_Bal-Princ,IF(Pay_Num&lt;&gt;"",0,"")))</f>
        <v>0</v>
      </c>
      <c r="K427" s="34">
        <f ca="1">IF(scheduled_no_payments=1,"",SUM($I$13:$I427))</f>
        <v>87584.066117996466</v>
      </c>
      <c r="L427" s="38"/>
    </row>
    <row r="428" spans="2:12" ht="16.5" customHeight="1" x14ac:dyDescent="0.25">
      <c r="B428" s="32">
        <f ca="1">IF(AND(Values_Entered,scheduled_no_payments&lt;&gt;1),B427+1,"")</f>
        <v>416</v>
      </c>
      <c r="C428" s="33">
        <f ca="1">IF(Pay_Num&lt;&gt;"",DATE(YEAR(C427)+VLOOKUP(Interval,LoanLookup[],4,FALSE),MONTH(C427)+VLOOKUP(Interval,LoanLookup[],2,FALSE),DAY(C427)+VLOOKUP(Interval,LoanLookup[],3,FALSE)),"")</f>
        <v>57499</v>
      </c>
      <c r="D428" s="34">
        <f t="shared" ca="1" si="20"/>
        <v>0</v>
      </c>
      <c r="E428" s="35">
        <f t="shared" ca="1" si="22"/>
        <v>989.93360882498609</v>
      </c>
      <c r="F428" s="36">
        <f ca="1">IF(scheduled_no_payments=1,"",IF(Sched_Pay+Scheduled_Extra_Payments&lt;Beg_Bal,Scheduled_Extra_Payments,IF(AND(Pay_Num&lt;&gt;"",Beg_Bal-Sched_Pay&gt;0),Beg_Bal-Sched_Pay,IF(Pay_Num&lt;&gt;"",0,""))))</f>
        <v>0</v>
      </c>
      <c r="G428" s="34">
        <f ca="1">IF(scheduled_no_payments=1,"",IF(Sched_Pay+Extra_Pay&lt;Beg_Bal,Sched_Pay+Extra_Pay,IF(Pay_Num&lt;&gt;"",Beg_Bal,"")))</f>
        <v>0</v>
      </c>
      <c r="H428" s="34">
        <f t="shared" ca="1" si="21"/>
        <v>0</v>
      </c>
      <c r="I428" s="34">
        <f ca="1">IF(Pay_Num&lt;&gt;"",Beg_Bal*(Interest_Rate/VLOOKUP(Interval,LoanLookup[],5,FALSE)),"")</f>
        <v>0</v>
      </c>
      <c r="J428" s="34">
        <f ca="1">IF(scheduled_no_payments=1,"",IF(AND(Pay_Num&lt;&gt;"",Sched_Pay+Extra_Pay&lt;Beg_Bal),Beg_Bal-Princ,IF(Pay_Num&lt;&gt;"",0,"")))</f>
        <v>0</v>
      </c>
      <c r="K428" s="34">
        <f ca="1">IF(scheduled_no_payments=1,"",SUM($I$13:$I428))</f>
        <v>87584.066117996466</v>
      </c>
      <c r="L428" s="38"/>
    </row>
    <row r="429" spans="2:12" ht="16.5" customHeight="1" x14ac:dyDescent="0.25">
      <c r="B429" s="32">
        <f ca="1">IF(AND(Values_Entered,scheduled_no_payments&lt;&gt;1),B428+1,"")</f>
        <v>417</v>
      </c>
      <c r="C429" s="33">
        <f ca="1">IF(Pay_Num&lt;&gt;"",DATE(YEAR(C428)+VLOOKUP(Interval,LoanLookup[],4,FALSE),MONTH(C428)+VLOOKUP(Interval,LoanLookup[],2,FALSE),DAY(C428)+VLOOKUP(Interval,LoanLookup[],3,FALSE)),"")</f>
        <v>57529</v>
      </c>
      <c r="D429" s="34">
        <f t="shared" ca="1" si="20"/>
        <v>0</v>
      </c>
      <c r="E429" s="35">
        <f t="shared" ca="1" si="22"/>
        <v>989.93360882498609</v>
      </c>
      <c r="F429" s="36">
        <f ca="1">IF(scheduled_no_payments=1,"",IF(Sched_Pay+Scheduled_Extra_Payments&lt;Beg_Bal,Scheduled_Extra_Payments,IF(AND(Pay_Num&lt;&gt;"",Beg_Bal-Sched_Pay&gt;0),Beg_Bal-Sched_Pay,IF(Pay_Num&lt;&gt;"",0,""))))</f>
        <v>0</v>
      </c>
      <c r="G429" s="34">
        <f ca="1">IF(scheduled_no_payments=1,"",IF(Sched_Pay+Extra_Pay&lt;Beg_Bal,Sched_Pay+Extra_Pay,IF(Pay_Num&lt;&gt;"",Beg_Bal,"")))</f>
        <v>0</v>
      </c>
      <c r="H429" s="34">
        <f t="shared" ca="1" si="21"/>
        <v>0</v>
      </c>
      <c r="I429" s="34">
        <f ca="1">IF(Pay_Num&lt;&gt;"",Beg_Bal*(Interest_Rate/VLOOKUP(Interval,LoanLookup[],5,FALSE)),"")</f>
        <v>0</v>
      </c>
      <c r="J429" s="34">
        <f ca="1">IF(scheduled_no_payments=1,"",IF(AND(Pay_Num&lt;&gt;"",Sched_Pay+Extra_Pay&lt;Beg_Bal),Beg_Bal-Princ,IF(Pay_Num&lt;&gt;"",0,"")))</f>
        <v>0</v>
      </c>
      <c r="K429" s="34">
        <f ca="1">IF(scheduled_no_payments=1,"",SUM($I$13:$I429))</f>
        <v>87584.066117996466</v>
      </c>
      <c r="L429" s="38"/>
    </row>
    <row r="430" spans="2:12" ht="16.5" customHeight="1" x14ac:dyDescent="0.25">
      <c r="B430" s="32">
        <f ca="1">IF(AND(Values_Entered,scheduled_no_payments&lt;&gt;1),B429+1,"")</f>
        <v>418</v>
      </c>
      <c r="C430" s="33">
        <f ca="1">IF(Pay_Num&lt;&gt;"",DATE(YEAR(C429)+VLOOKUP(Interval,LoanLookup[],4,FALSE),MONTH(C429)+VLOOKUP(Interval,LoanLookup[],2,FALSE),DAY(C429)+VLOOKUP(Interval,LoanLookup[],3,FALSE)),"")</f>
        <v>57560</v>
      </c>
      <c r="D430" s="34">
        <f t="shared" ca="1" si="20"/>
        <v>0</v>
      </c>
      <c r="E430" s="35">
        <f t="shared" ca="1" si="22"/>
        <v>989.93360882498609</v>
      </c>
      <c r="F430" s="36">
        <f ca="1">IF(scheduled_no_payments=1,"",IF(Sched_Pay+Scheduled_Extra_Payments&lt;Beg_Bal,Scheduled_Extra_Payments,IF(AND(Pay_Num&lt;&gt;"",Beg_Bal-Sched_Pay&gt;0),Beg_Bal-Sched_Pay,IF(Pay_Num&lt;&gt;"",0,""))))</f>
        <v>0</v>
      </c>
      <c r="G430" s="34">
        <f ca="1">IF(scheduled_no_payments=1,"",IF(Sched_Pay+Extra_Pay&lt;Beg_Bal,Sched_Pay+Extra_Pay,IF(Pay_Num&lt;&gt;"",Beg_Bal,"")))</f>
        <v>0</v>
      </c>
      <c r="H430" s="34">
        <f t="shared" ca="1" si="21"/>
        <v>0</v>
      </c>
      <c r="I430" s="34">
        <f ca="1">IF(Pay_Num&lt;&gt;"",Beg_Bal*(Interest_Rate/VLOOKUP(Interval,LoanLookup[],5,FALSE)),"")</f>
        <v>0</v>
      </c>
      <c r="J430" s="34">
        <f ca="1">IF(scheduled_no_payments=1,"",IF(AND(Pay_Num&lt;&gt;"",Sched_Pay+Extra_Pay&lt;Beg_Bal),Beg_Bal-Princ,IF(Pay_Num&lt;&gt;"",0,"")))</f>
        <v>0</v>
      </c>
      <c r="K430" s="34">
        <f ca="1">IF(scheduled_no_payments=1,"",SUM($I$13:$I430))</f>
        <v>87584.066117996466</v>
      </c>
      <c r="L430" s="38"/>
    </row>
    <row r="431" spans="2:12" ht="16.5" customHeight="1" x14ac:dyDescent="0.25">
      <c r="B431" s="32">
        <f ca="1">IF(AND(Values_Entered,scheduled_no_payments&lt;&gt;1),B430+1,"")</f>
        <v>419</v>
      </c>
      <c r="C431" s="33">
        <f ca="1">IF(Pay_Num&lt;&gt;"",DATE(YEAR(C430)+VLOOKUP(Interval,LoanLookup[],4,FALSE),MONTH(C430)+VLOOKUP(Interval,LoanLookup[],2,FALSE),DAY(C430)+VLOOKUP(Interval,LoanLookup[],3,FALSE)),"")</f>
        <v>57591</v>
      </c>
      <c r="D431" s="34">
        <f t="shared" ca="1" si="20"/>
        <v>0</v>
      </c>
      <c r="E431" s="35">
        <f t="shared" ca="1" si="22"/>
        <v>989.93360882498609</v>
      </c>
      <c r="F431" s="36">
        <f ca="1">IF(scheduled_no_payments=1,"",IF(Sched_Pay+Scheduled_Extra_Payments&lt;Beg_Bal,Scheduled_Extra_Payments,IF(AND(Pay_Num&lt;&gt;"",Beg_Bal-Sched_Pay&gt;0),Beg_Bal-Sched_Pay,IF(Pay_Num&lt;&gt;"",0,""))))</f>
        <v>0</v>
      </c>
      <c r="G431" s="34">
        <f ca="1">IF(scheduled_no_payments=1,"",IF(Sched_Pay+Extra_Pay&lt;Beg_Bal,Sched_Pay+Extra_Pay,IF(Pay_Num&lt;&gt;"",Beg_Bal,"")))</f>
        <v>0</v>
      </c>
      <c r="H431" s="34">
        <f t="shared" ca="1" si="21"/>
        <v>0</v>
      </c>
      <c r="I431" s="34">
        <f ca="1">IF(Pay_Num&lt;&gt;"",Beg_Bal*(Interest_Rate/VLOOKUP(Interval,LoanLookup[],5,FALSE)),"")</f>
        <v>0</v>
      </c>
      <c r="J431" s="34">
        <f ca="1">IF(scheduled_no_payments=1,"",IF(AND(Pay_Num&lt;&gt;"",Sched_Pay+Extra_Pay&lt;Beg_Bal),Beg_Bal-Princ,IF(Pay_Num&lt;&gt;"",0,"")))</f>
        <v>0</v>
      </c>
      <c r="K431" s="34">
        <f ca="1">IF(scheduled_no_payments=1,"",SUM($I$13:$I431))</f>
        <v>87584.066117996466</v>
      </c>
      <c r="L431" s="38"/>
    </row>
    <row r="432" spans="2:12" ht="16.5" customHeight="1" x14ac:dyDescent="0.25">
      <c r="B432" s="32">
        <f ca="1">IF(AND(Values_Entered,scheduled_no_payments&lt;&gt;1),B431+1,"")</f>
        <v>420</v>
      </c>
      <c r="C432" s="33">
        <f ca="1">IF(Pay_Num&lt;&gt;"",DATE(YEAR(C431)+VLOOKUP(Interval,LoanLookup[],4,FALSE),MONTH(C431)+VLOOKUP(Interval,LoanLookup[],2,FALSE),DAY(C431)+VLOOKUP(Interval,LoanLookup[],3,FALSE)),"")</f>
        <v>57621</v>
      </c>
      <c r="D432" s="34">
        <f t="shared" ca="1" si="20"/>
        <v>0</v>
      </c>
      <c r="E432" s="35">
        <f t="shared" ca="1" si="22"/>
        <v>989.93360882498609</v>
      </c>
      <c r="F432" s="36">
        <f ca="1">IF(scheduled_no_payments=1,"",IF(Sched_Pay+Scheduled_Extra_Payments&lt;Beg_Bal,Scheduled_Extra_Payments,IF(AND(Pay_Num&lt;&gt;"",Beg_Bal-Sched_Pay&gt;0),Beg_Bal-Sched_Pay,IF(Pay_Num&lt;&gt;"",0,""))))</f>
        <v>0</v>
      </c>
      <c r="G432" s="34">
        <f ca="1">IF(scheduled_no_payments=1,"",IF(Sched_Pay+Extra_Pay&lt;Beg_Bal,Sched_Pay+Extra_Pay,IF(Pay_Num&lt;&gt;"",Beg_Bal,"")))</f>
        <v>0</v>
      </c>
      <c r="H432" s="34">
        <f t="shared" ca="1" si="21"/>
        <v>0</v>
      </c>
      <c r="I432" s="34">
        <f ca="1">IF(Pay_Num&lt;&gt;"",Beg_Bal*(Interest_Rate/VLOOKUP(Interval,LoanLookup[],5,FALSE)),"")</f>
        <v>0</v>
      </c>
      <c r="J432" s="34">
        <f ca="1">IF(scheduled_no_payments=1,"",IF(AND(Pay_Num&lt;&gt;"",Sched_Pay+Extra_Pay&lt;Beg_Bal),Beg_Bal-Princ,IF(Pay_Num&lt;&gt;"",0,"")))</f>
        <v>0</v>
      </c>
      <c r="K432" s="34">
        <f ca="1">IF(scheduled_no_payments=1,"",SUM($I$13:$I432))</f>
        <v>87584.066117996466</v>
      </c>
      <c r="L432" s="38"/>
    </row>
    <row r="433" spans="2:12" ht="16.5" customHeight="1" x14ac:dyDescent="0.25">
      <c r="B433" s="32">
        <f ca="1">IF(AND(Values_Entered,scheduled_no_payments&lt;&gt;1),B432+1,"")</f>
        <v>421</v>
      </c>
      <c r="C433" s="33">
        <f ca="1">IF(Pay_Num&lt;&gt;"",DATE(YEAR(C432)+VLOOKUP(Interval,LoanLookup[],4,FALSE),MONTH(C432)+VLOOKUP(Interval,LoanLookup[],2,FALSE),DAY(C432)+VLOOKUP(Interval,LoanLookup[],3,FALSE)),"")</f>
        <v>57652</v>
      </c>
      <c r="D433" s="34">
        <f t="shared" ca="1" si="20"/>
        <v>0</v>
      </c>
      <c r="E433" s="35">
        <f t="shared" ca="1" si="22"/>
        <v>989.93360882498609</v>
      </c>
      <c r="F433" s="36">
        <f ca="1">IF(scheduled_no_payments=1,"",IF(Sched_Pay+Scheduled_Extra_Payments&lt;Beg_Bal,Scheduled_Extra_Payments,IF(AND(Pay_Num&lt;&gt;"",Beg_Bal-Sched_Pay&gt;0),Beg_Bal-Sched_Pay,IF(Pay_Num&lt;&gt;"",0,""))))</f>
        <v>0</v>
      </c>
      <c r="G433" s="34">
        <f ca="1">IF(scheduled_no_payments=1,"",IF(Sched_Pay+Extra_Pay&lt;Beg_Bal,Sched_Pay+Extra_Pay,IF(Pay_Num&lt;&gt;"",Beg_Bal,"")))</f>
        <v>0</v>
      </c>
      <c r="H433" s="34">
        <f t="shared" ca="1" si="21"/>
        <v>0</v>
      </c>
      <c r="I433" s="34">
        <f ca="1">IF(Pay_Num&lt;&gt;"",Beg_Bal*(Interest_Rate/VLOOKUP(Interval,LoanLookup[],5,FALSE)),"")</f>
        <v>0</v>
      </c>
      <c r="J433" s="34">
        <f ca="1">IF(scheduled_no_payments=1,"",IF(AND(Pay_Num&lt;&gt;"",Sched_Pay+Extra_Pay&lt;Beg_Bal),Beg_Bal-Princ,IF(Pay_Num&lt;&gt;"",0,"")))</f>
        <v>0</v>
      </c>
      <c r="K433" s="34">
        <f ca="1">IF(scheduled_no_payments=1,"",SUM($I$13:$I433))</f>
        <v>87584.066117996466</v>
      </c>
      <c r="L433" s="38"/>
    </row>
    <row r="434" spans="2:12" ht="16.5" customHeight="1" x14ac:dyDescent="0.25">
      <c r="B434" s="32">
        <f ca="1">IF(AND(Values_Entered,scheduled_no_payments&lt;&gt;1),B433+1,"")</f>
        <v>422</v>
      </c>
      <c r="C434" s="33">
        <f ca="1">IF(Pay_Num&lt;&gt;"",DATE(YEAR(C433)+VLOOKUP(Interval,LoanLookup[],4,FALSE),MONTH(C433)+VLOOKUP(Interval,LoanLookup[],2,FALSE),DAY(C433)+VLOOKUP(Interval,LoanLookup[],3,FALSE)),"")</f>
        <v>57682</v>
      </c>
      <c r="D434" s="34">
        <f t="shared" ca="1" si="20"/>
        <v>0</v>
      </c>
      <c r="E434" s="35">
        <f t="shared" ca="1" si="22"/>
        <v>989.93360882498609</v>
      </c>
      <c r="F434" s="36">
        <f ca="1">IF(scheduled_no_payments=1,"",IF(Sched_Pay+Scheduled_Extra_Payments&lt;Beg_Bal,Scheduled_Extra_Payments,IF(AND(Pay_Num&lt;&gt;"",Beg_Bal-Sched_Pay&gt;0),Beg_Bal-Sched_Pay,IF(Pay_Num&lt;&gt;"",0,""))))</f>
        <v>0</v>
      </c>
      <c r="G434" s="34">
        <f ca="1">IF(scheduled_no_payments=1,"",IF(Sched_Pay+Extra_Pay&lt;Beg_Bal,Sched_Pay+Extra_Pay,IF(Pay_Num&lt;&gt;"",Beg_Bal,"")))</f>
        <v>0</v>
      </c>
      <c r="H434" s="34">
        <f t="shared" ca="1" si="21"/>
        <v>0</v>
      </c>
      <c r="I434" s="34">
        <f ca="1">IF(Pay_Num&lt;&gt;"",Beg_Bal*(Interest_Rate/VLOOKUP(Interval,LoanLookup[],5,FALSE)),"")</f>
        <v>0</v>
      </c>
      <c r="J434" s="34">
        <f ca="1">IF(scheduled_no_payments=1,"",IF(AND(Pay_Num&lt;&gt;"",Sched_Pay+Extra_Pay&lt;Beg_Bal),Beg_Bal-Princ,IF(Pay_Num&lt;&gt;"",0,"")))</f>
        <v>0</v>
      </c>
      <c r="K434" s="34">
        <f ca="1">IF(scheduled_no_payments=1,"",SUM($I$13:$I434))</f>
        <v>87584.066117996466</v>
      </c>
      <c r="L434" s="38"/>
    </row>
    <row r="435" spans="2:12" ht="16.5" customHeight="1" x14ac:dyDescent="0.25">
      <c r="B435" s="32">
        <f ca="1">IF(AND(Values_Entered,scheduled_no_payments&lt;&gt;1),B434+1,"")</f>
        <v>423</v>
      </c>
      <c r="C435" s="33">
        <f ca="1">IF(Pay_Num&lt;&gt;"",DATE(YEAR(C434)+VLOOKUP(Interval,LoanLookup[],4,FALSE),MONTH(C434)+VLOOKUP(Interval,LoanLookup[],2,FALSE),DAY(C434)+VLOOKUP(Interval,LoanLookup[],3,FALSE)),"")</f>
        <v>57713</v>
      </c>
      <c r="D435" s="34">
        <f t="shared" ca="1" si="20"/>
        <v>0</v>
      </c>
      <c r="E435" s="35">
        <f t="shared" ca="1" si="22"/>
        <v>989.93360882498609</v>
      </c>
      <c r="F435" s="36">
        <f ca="1">IF(scheduled_no_payments=1,"",IF(Sched_Pay+Scheduled_Extra_Payments&lt;Beg_Bal,Scheduled_Extra_Payments,IF(AND(Pay_Num&lt;&gt;"",Beg_Bal-Sched_Pay&gt;0),Beg_Bal-Sched_Pay,IF(Pay_Num&lt;&gt;"",0,""))))</f>
        <v>0</v>
      </c>
      <c r="G435" s="34">
        <f ca="1">IF(scheduled_no_payments=1,"",IF(Sched_Pay+Extra_Pay&lt;Beg_Bal,Sched_Pay+Extra_Pay,IF(Pay_Num&lt;&gt;"",Beg_Bal,"")))</f>
        <v>0</v>
      </c>
      <c r="H435" s="34">
        <f t="shared" ca="1" si="21"/>
        <v>0</v>
      </c>
      <c r="I435" s="34">
        <f ca="1">IF(Pay_Num&lt;&gt;"",Beg_Bal*(Interest_Rate/VLOOKUP(Interval,LoanLookup[],5,FALSE)),"")</f>
        <v>0</v>
      </c>
      <c r="J435" s="34">
        <f ca="1">IF(scheduled_no_payments=1,"",IF(AND(Pay_Num&lt;&gt;"",Sched_Pay+Extra_Pay&lt;Beg_Bal),Beg_Bal-Princ,IF(Pay_Num&lt;&gt;"",0,"")))</f>
        <v>0</v>
      </c>
      <c r="K435" s="34">
        <f ca="1">IF(scheduled_no_payments=1,"",SUM($I$13:$I435))</f>
        <v>87584.066117996466</v>
      </c>
      <c r="L435" s="38"/>
    </row>
    <row r="436" spans="2:12" ht="16.5" customHeight="1" x14ac:dyDescent="0.25">
      <c r="B436" s="32">
        <f ca="1">IF(AND(Values_Entered,scheduled_no_payments&lt;&gt;1),B435+1,"")</f>
        <v>424</v>
      </c>
      <c r="C436" s="33">
        <f ca="1">IF(Pay_Num&lt;&gt;"",DATE(YEAR(C435)+VLOOKUP(Interval,LoanLookup[],4,FALSE),MONTH(C435)+VLOOKUP(Interval,LoanLookup[],2,FALSE),DAY(C435)+VLOOKUP(Interval,LoanLookup[],3,FALSE)),"")</f>
        <v>57744</v>
      </c>
      <c r="D436" s="34">
        <f t="shared" ca="1" si="20"/>
        <v>0</v>
      </c>
      <c r="E436" s="35">
        <f t="shared" ca="1" si="22"/>
        <v>989.93360882498609</v>
      </c>
      <c r="F436" s="36">
        <f ca="1">IF(scheduled_no_payments=1,"",IF(Sched_Pay+Scheduled_Extra_Payments&lt;Beg_Bal,Scheduled_Extra_Payments,IF(AND(Pay_Num&lt;&gt;"",Beg_Bal-Sched_Pay&gt;0),Beg_Bal-Sched_Pay,IF(Pay_Num&lt;&gt;"",0,""))))</f>
        <v>0</v>
      </c>
      <c r="G436" s="34">
        <f ca="1">IF(scheduled_no_payments=1,"",IF(Sched_Pay+Extra_Pay&lt;Beg_Bal,Sched_Pay+Extra_Pay,IF(Pay_Num&lt;&gt;"",Beg_Bal,"")))</f>
        <v>0</v>
      </c>
      <c r="H436" s="34">
        <f t="shared" ca="1" si="21"/>
        <v>0</v>
      </c>
      <c r="I436" s="34">
        <f ca="1">IF(Pay_Num&lt;&gt;"",Beg_Bal*(Interest_Rate/VLOOKUP(Interval,LoanLookup[],5,FALSE)),"")</f>
        <v>0</v>
      </c>
      <c r="J436" s="34">
        <f ca="1">IF(scheduled_no_payments=1,"",IF(AND(Pay_Num&lt;&gt;"",Sched_Pay+Extra_Pay&lt;Beg_Bal),Beg_Bal-Princ,IF(Pay_Num&lt;&gt;"",0,"")))</f>
        <v>0</v>
      </c>
      <c r="K436" s="34">
        <f ca="1">IF(scheduled_no_payments=1,"",SUM($I$13:$I436))</f>
        <v>87584.066117996466</v>
      </c>
      <c r="L436" s="38"/>
    </row>
    <row r="437" spans="2:12" ht="16.5" customHeight="1" x14ac:dyDescent="0.25">
      <c r="B437" s="32">
        <f ca="1">IF(AND(Values_Entered,scheduled_no_payments&lt;&gt;1),B436+1,"")</f>
        <v>425</v>
      </c>
      <c r="C437" s="33">
        <f ca="1">IF(Pay_Num&lt;&gt;"",DATE(YEAR(C436)+VLOOKUP(Interval,LoanLookup[],4,FALSE),MONTH(C436)+VLOOKUP(Interval,LoanLookup[],2,FALSE),DAY(C436)+VLOOKUP(Interval,LoanLookup[],3,FALSE)),"")</f>
        <v>57772</v>
      </c>
      <c r="D437" s="34">
        <f t="shared" ca="1" si="20"/>
        <v>0</v>
      </c>
      <c r="E437" s="35">
        <f t="shared" ca="1" si="22"/>
        <v>989.93360882498609</v>
      </c>
      <c r="F437" s="36">
        <f ca="1">IF(scheduled_no_payments=1,"",IF(Sched_Pay+Scheduled_Extra_Payments&lt;Beg_Bal,Scheduled_Extra_Payments,IF(AND(Pay_Num&lt;&gt;"",Beg_Bal-Sched_Pay&gt;0),Beg_Bal-Sched_Pay,IF(Pay_Num&lt;&gt;"",0,""))))</f>
        <v>0</v>
      </c>
      <c r="G437" s="34">
        <f ca="1">IF(scheduled_no_payments=1,"",IF(Sched_Pay+Extra_Pay&lt;Beg_Bal,Sched_Pay+Extra_Pay,IF(Pay_Num&lt;&gt;"",Beg_Bal,"")))</f>
        <v>0</v>
      </c>
      <c r="H437" s="34">
        <f t="shared" ca="1" si="21"/>
        <v>0</v>
      </c>
      <c r="I437" s="34">
        <f ca="1">IF(Pay_Num&lt;&gt;"",Beg_Bal*(Interest_Rate/VLOOKUP(Interval,LoanLookup[],5,FALSE)),"")</f>
        <v>0</v>
      </c>
      <c r="J437" s="34">
        <f ca="1">IF(scheduled_no_payments=1,"",IF(AND(Pay_Num&lt;&gt;"",Sched_Pay+Extra_Pay&lt;Beg_Bal),Beg_Bal-Princ,IF(Pay_Num&lt;&gt;"",0,"")))</f>
        <v>0</v>
      </c>
      <c r="K437" s="34">
        <f ca="1">IF(scheduled_no_payments=1,"",SUM($I$13:$I437))</f>
        <v>87584.066117996466</v>
      </c>
      <c r="L437" s="38"/>
    </row>
    <row r="438" spans="2:12" ht="16.5" customHeight="1" x14ac:dyDescent="0.25">
      <c r="B438" s="32">
        <f ca="1">IF(AND(Values_Entered,scheduled_no_payments&lt;&gt;1),B437+1,"")</f>
        <v>426</v>
      </c>
      <c r="C438" s="33">
        <f ca="1">IF(Pay_Num&lt;&gt;"",DATE(YEAR(C437)+VLOOKUP(Interval,LoanLookup[],4,FALSE),MONTH(C437)+VLOOKUP(Interval,LoanLookup[],2,FALSE),DAY(C437)+VLOOKUP(Interval,LoanLookup[],3,FALSE)),"")</f>
        <v>57803</v>
      </c>
      <c r="D438" s="34">
        <f t="shared" ref="D438:D501" ca="1" si="23">IF(Pay_Num&lt;&gt;"",J437,"")</f>
        <v>0</v>
      </c>
      <c r="E438" s="35">
        <f t="shared" ca="1" si="22"/>
        <v>989.93360882498609</v>
      </c>
      <c r="F438" s="36">
        <f ca="1">IF(scheduled_no_payments=1,"",IF(Sched_Pay+Scheduled_Extra_Payments&lt;Beg_Bal,Scheduled_Extra_Payments,IF(AND(Pay_Num&lt;&gt;"",Beg_Bal-Sched_Pay&gt;0),Beg_Bal-Sched_Pay,IF(Pay_Num&lt;&gt;"",0,""))))</f>
        <v>0</v>
      </c>
      <c r="G438" s="34">
        <f ca="1">IF(scheduled_no_payments=1,"",IF(Sched_Pay+Extra_Pay&lt;Beg_Bal,Sched_Pay+Extra_Pay,IF(Pay_Num&lt;&gt;"",Beg_Bal,"")))</f>
        <v>0</v>
      </c>
      <c r="H438" s="34">
        <f t="shared" ca="1" si="21"/>
        <v>0</v>
      </c>
      <c r="I438" s="34">
        <f ca="1">IF(Pay_Num&lt;&gt;"",Beg_Bal*(Interest_Rate/VLOOKUP(Interval,LoanLookup[],5,FALSE)),"")</f>
        <v>0</v>
      </c>
      <c r="J438" s="34">
        <f ca="1">IF(scheduled_no_payments=1,"",IF(AND(Pay_Num&lt;&gt;"",Sched_Pay+Extra_Pay&lt;Beg_Bal),Beg_Bal-Princ,IF(Pay_Num&lt;&gt;"",0,"")))</f>
        <v>0</v>
      </c>
      <c r="K438" s="34">
        <f ca="1">IF(scheduled_no_payments=1,"",SUM($I$13:$I438))</f>
        <v>87584.066117996466</v>
      </c>
      <c r="L438" s="38"/>
    </row>
    <row r="439" spans="2:12" ht="16.5" customHeight="1" x14ac:dyDescent="0.25">
      <c r="B439" s="32">
        <f ca="1">IF(AND(Values_Entered,scheduled_no_payments&lt;&gt;1),B438+1,"")</f>
        <v>427</v>
      </c>
      <c r="C439" s="33">
        <f ca="1">IF(Pay_Num&lt;&gt;"",DATE(YEAR(C438)+VLOOKUP(Interval,LoanLookup[],4,FALSE),MONTH(C438)+VLOOKUP(Interval,LoanLookup[],2,FALSE),DAY(C438)+VLOOKUP(Interval,LoanLookup[],3,FALSE)),"")</f>
        <v>57833</v>
      </c>
      <c r="D439" s="34">
        <f t="shared" ca="1" si="23"/>
        <v>0</v>
      </c>
      <c r="E439" s="35">
        <f t="shared" ca="1" si="22"/>
        <v>989.93360882498609</v>
      </c>
      <c r="F439" s="36">
        <f ca="1">IF(scheduled_no_payments=1,"",IF(Sched_Pay+Scheduled_Extra_Payments&lt;Beg_Bal,Scheduled_Extra_Payments,IF(AND(Pay_Num&lt;&gt;"",Beg_Bal-Sched_Pay&gt;0),Beg_Bal-Sched_Pay,IF(Pay_Num&lt;&gt;"",0,""))))</f>
        <v>0</v>
      </c>
      <c r="G439" s="34">
        <f ca="1">IF(scheduled_no_payments=1,"",IF(Sched_Pay+Extra_Pay&lt;Beg_Bal,Sched_Pay+Extra_Pay,IF(Pay_Num&lt;&gt;"",Beg_Bal,"")))</f>
        <v>0</v>
      </c>
      <c r="H439" s="34">
        <f t="shared" ca="1" si="21"/>
        <v>0</v>
      </c>
      <c r="I439" s="34">
        <f ca="1">IF(Pay_Num&lt;&gt;"",Beg_Bal*(Interest_Rate/VLOOKUP(Interval,LoanLookup[],5,FALSE)),"")</f>
        <v>0</v>
      </c>
      <c r="J439" s="34">
        <f ca="1">IF(scheduled_no_payments=1,"",IF(AND(Pay_Num&lt;&gt;"",Sched_Pay+Extra_Pay&lt;Beg_Bal),Beg_Bal-Princ,IF(Pay_Num&lt;&gt;"",0,"")))</f>
        <v>0</v>
      </c>
      <c r="K439" s="34">
        <f ca="1">IF(scheduled_no_payments=1,"",SUM($I$13:$I439))</f>
        <v>87584.066117996466</v>
      </c>
      <c r="L439" s="38"/>
    </row>
    <row r="440" spans="2:12" ht="16.5" customHeight="1" x14ac:dyDescent="0.25">
      <c r="B440" s="32">
        <f ca="1">IF(AND(Values_Entered,scheduled_no_payments&lt;&gt;1),B439+1,"")</f>
        <v>428</v>
      </c>
      <c r="C440" s="33">
        <f ca="1">IF(Pay_Num&lt;&gt;"",DATE(YEAR(C439)+VLOOKUP(Interval,LoanLookup[],4,FALSE),MONTH(C439)+VLOOKUP(Interval,LoanLookup[],2,FALSE),DAY(C439)+VLOOKUP(Interval,LoanLookup[],3,FALSE)),"")</f>
        <v>57864</v>
      </c>
      <c r="D440" s="34">
        <f t="shared" ca="1" si="23"/>
        <v>0</v>
      </c>
      <c r="E440" s="35">
        <f t="shared" ca="1" si="22"/>
        <v>989.93360882498609</v>
      </c>
      <c r="F440" s="36">
        <f ca="1">IF(scheduled_no_payments=1,"",IF(Sched_Pay+Scheduled_Extra_Payments&lt;Beg_Bal,Scheduled_Extra_Payments,IF(AND(Pay_Num&lt;&gt;"",Beg_Bal-Sched_Pay&gt;0),Beg_Bal-Sched_Pay,IF(Pay_Num&lt;&gt;"",0,""))))</f>
        <v>0</v>
      </c>
      <c r="G440" s="34">
        <f ca="1">IF(scheduled_no_payments=1,"",IF(Sched_Pay+Extra_Pay&lt;Beg_Bal,Sched_Pay+Extra_Pay,IF(Pay_Num&lt;&gt;"",Beg_Bal,"")))</f>
        <v>0</v>
      </c>
      <c r="H440" s="34">
        <f t="shared" ca="1" si="21"/>
        <v>0</v>
      </c>
      <c r="I440" s="34">
        <f ca="1">IF(Pay_Num&lt;&gt;"",Beg_Bal*(Interest_Rate/VLOOKUP(Interval,LoanLookup[],5,FALSE)),"")</f>
        <v>0</v>
      </c>
      <c r="J440" s="34">
        <f ca="1">IF(scheduled_no_payments=1,"",IF(AND(Pay_Num&lt;&gt;"",Sched_Pay+Extra_Pay&lt;Beg_Bal),Beg_Bal-Princ,IF(Pay_Num&lt;&gt;"",0,"")))</f>
        <v>0</v>
      </c>
      <c r="K440" s="34">
        <f ca="1">IF(scheduled_no_payments=1,"",SUM($I$13:$I440))</f>
        <v>87584.066117996466</v>
      </c>
      <c r="L440" s="38"/>
    </row>
    <row r="441" spans="2:12" ht="16.5" customHeight="1" x14ac:dyDescent="0.25">
      <c r="B441" s="32">
        <f ca="1">IF(AND(Values_Entered,scheduled_no_payments&lt;&gt;1),B440+1,"")</f>
        <v>429</v>
      </c>
      <c r="C441" s="33">
        <f ca="1">IF(Pay_Num&lt;&gt;"",DATE(YEAR(C440)+VLOOKUP(Interval,LoanLookup[],4,FALSE),MONTH(C440)+VLOOKUP(Interval,LoanLookup[],2,FALSE),DAY(C440)+VLOOKUP(Interval,LoanLookup[],3,FALSE)),"")</f>
        <v>57894</v>
      </c>
      <c r="D441" s="34">
        <f t="shared" ca="1" si="23"/>
        <v>0</v>
      </c>
      <c r="E441" s="35">
        <f t="shared" ca="1" si="22"/>
        <v>989.93360882498609</v>
      </c>
      <c r="F441" s="36">
        <f ca="1">IF(scheduled_no_payments=1,"",IF(Sched_Pay+Scheduled_Extra_Payments&lt;Beg_Bal,Scheduled_Extra_Payments,IF(AND(Pay_Num&lt;&gt;"",Beg_Bal-Sched_Pay&gt;0),Beg_Bal-Sched_Pay,IF(Pay_Num&lt;&gt;"",0,""))))</f>
        <v>0</v>
      </c>
      <c r="G441" s="34">
        <f ca="1">IF(scheduled_no_payments=1,"",IF(Sched_Pay+Extra_Pay&lt;Beg_Bal,Sched_Pay+Extra_Pay,IF(Pay_Num&lt;&gt;"",Beg_Bal,"")))</f>
        <v>0</v>
      </c>
      <c r="H441" s="34">
        <f t="shared" ca="1" si="21"/>
        <v>0</v>
      </c>
      <c r="I441" s="34">
        <f ca="1">IF(Pay_Num&lt;&gt;"",Beg_Bal*(Interest_Rate/VLOOKUP(Interval,LoanLookup[],5,FALSE)),"")</f>
        <v>0</v>
      </c>
      <c r="J441" s="34">
        <f ca="1">IF(scheduled_no_payments=1,"",IF(AND(Pay_Num&lt;&gt;"",Sched_Pay+Extra_Pay&lt;Beg_Bal),Beg_Bal-Princ,IF(Pay_Num&lt;&gt;"",0,"")))</f>
        <v>0</v>
      </c>
      <c r="K441" s="34">
        <f ca="1">IF(scheduled_no_payments=1,"",SUM($I$13:$I441))</f>
        <v>87584.066117996466</v>
      </c>
      <c r="L441" s="38"/>
    </row>
    <row r="442" spans="2:12" ht="16.5" customHeight="1" x14ac:dyDescent="0.25">
      <c r="B442" s="32">
        <f ca="1">IF(AND(Values_Entered,scheduled_no_payments&lt;&gt;1),B441+1,"")</f>
        <v>430</v>
      </c>
      <c r="C442" s="33">
        <f ca="1">IF(Pay_Num&lt;&gt;"",DATE(YEAR(C441)+VLOOKUP(Interval,LoanLookup[],4,FALSE),MONTH(C441)+VLOOKUP(Interval,LoanLookup[],2,FALSE),DAY(C441)+VLOOKUP(Interval,LoanLookup[],3,FALSE)),"")</f>
        <v>57925</v>
      </c>
      <c r="D442" s="34">
        <f t="shared" ca="1" si="23"/>
        <v>0</v>
      </c>
      <c r="E442" s="35">
        <f t="shared" ca="1" si="22"/>
        <v>989.93360882498609</v>
      </c>
      <c r="F442" s="36">
        <f ca="1">IF(scheduled_no_payments=1,"",IF(Sched_Pay+Scheduled_Extra_Payments&lt;Beg_Bal,Scheduled_Extra_Payments,IF(AND(Pay_Num&lt;&gt;"",Beg_Bal-Sched_Pay&gt;0),Beg_Bal-Sched_Pay,IF(Pay_Num&lt;&gt;"",0,""))))</f>
        <v>0</v>
      </c>
      <c r="G442" s="34">
        <f ca="1">IF(scheduled_no_payments=1,"",IF(Sched_Pay+Extra_Pay&lt;Beg_Bal,Sched_Pay+Extra_Pay,IF(Pay_Num&lt;&gt;"",Beg_Bal,"")))</f>
        <v>0</v>
      </c>
      <c r="H442" s="34">
        <f t="shared" ca="1" si="21"/>
        <v>0</v>
      </c>
      <c r="I442" s="34">
        <f ca="1">IF(Pay_Num&lt;&gt;"",Beg_Bal*(Interest_Rate/VLOOKUP(Interval,LoanLookup[],5,FALSE)),"")</f>
        <v>0</v>
      </c>
      <c r="J442" s="34">
        <f ca="1">IF(scheduled_no_payments=1,"",IF(AND(Pay_Num&lt;&gt;"",Sched_Pay+Extra_Pay&lt;Beg_Bal),Beg_Bal-Princ,IF(Pay_Num&lt;&gt;"",0,"")))</f>
        <v>0</v>
      </c>
      <c r="K442" s="34">
        <f ca="1">IF(scheduled_no_payments=1,"",SUM($I$13:$I442))</f>
        <v>87584.066117996466</v>
      </c>
      <c r="L442" s="38"/>
    </row>
    <row r="443" spans="2:12" ht="16.5" customHeight="1" x14ac:dyDescent="0.25">
      <c r="B443" s="32">
        <f ca="1">IF(AND(Values_Entered,scheduled_no_payments&lt;&gt;1),B442+1,"")</f>
        <v>431</v>
      </c>
      <c r="C443" s="33">
        <f ca="1">IF(Pay_Num&lt;&gt;"",DATE(YEAR(C442)+VLOOKUP(Interval,LoanLookup[],4,FALSE),MONTH(C442)+VLOOKUP(Interval,LoanLookup[],2,FALSE),DAY(C442)+VLOOKUP(Interval,LoanLookup[],3,FALSE)),"")</f>
        <v>57956</v>
      </c>
      <c r="D443" s="34">
        <f t="shared" ca="1" si="23"/>
        <v>0</v>
      </c>
      <c r="E443" s="35">
        <f t="shared" ca="1" si="22"/>
        <v>989.93360882498609</v>
      </c>
      <c r="F443" s="36">
        <f ca="1">IF(scheduled_no_payments=1,"",IF(Sched_Pay+Scheduled_Extra_Payments&lt;Beg_Bal,Scheduled_Extra_Payments,IF(AND(Pay_Num&lt;&gt;"",Beg_Bal-Sched_Pay&gt;0),Beg_Bal-Sched_Pay,IF(Pay_Num&lt;&gt;"",0,""))))</f>
        <v>0</v>
      </c>
      <c r="G443" s="34">
        <f ca="1">IF(scheduled_no_payments=1,"",IF(Sched_Pay+Extra_Pay&lt;Beg_Bal,Sched_Pay+Extra_Pay,IF(Pay_Num&lt;&gt;"",Beg_Bal,"")))</f>
        <v>0</v>
      </c>
      <c r="H443" s="34">
        <f t="shared" ca="1" si="21"/>
        <v>0</v>
      </c>
      <c r="I443" s="34">
        <f ca="1">IF(Pay_Num&lt;&gt;"",Beg_Bal*(Interest_Rate/VLOOKUP(Interval,LoanLookup[],5,FALSE)),"")</f>
        <v>0</v>
      </c>
      <c r="J443" s="34">
        <f ca="1">IF(scheduled_no_payments=1,"",IF(AND(Pay_Num&lt;&gt;"",Sched_Pay+Extra_Pay&lt;Beg_Bal),Beg_Bal-Princ,IF(Pay_Num&lt;&gt;"",0,"")))</f>
        <v>0</v>
      </c>
      <c r="K443" s="34">
        <f ca="1">IF(scheduled_no_payments=1,"",SUM($I$13:$I443))</f>
        <v>87584.066117996466</v>
      </c>
      <c r="L443" s="38"/>
    </row>
    <row r="444" spans="2:12" ht="16.5" customHeight="1" x14ac:dyDescent="0.25">
      <c r="B444" s="32">
        <f ca="1">IF(AND(Values_Entered,scheduled_no_payments&lt;&gt;1),B443+1,"")</f>
        <v>432</v>
      </c>
      <c r="C444" s="33">
        <f ca="1">IF(Pay_Num&lt;&gt;"",DATE(YEAR(C443)+VLOOKUP(Interval,LoanLookup[],4,FALSE),MONTH(C443)+VLOOKUP(Interval,LoanLookup[],2,FALSE),DAY(C443)+VLOOKUP(Interval,LoanLookup[],3,FALSE)),"")</f>
        <v>57986</v>
      </c>
      <c r="D444" s="34">
        <f t="shared" ca="1" si="23"/>
        <v>0</v>
      </c>
      <c r="E444" s="35">
        <f t="shared" ca="1" si="22"/>
        <v>989.93360882498609</v>
      </c>
      <c r="F444" s="36">
        <f ca="1">IF(scheduled_no_payments=1,"",IF(Sched_Pay+Scheduled_Extra_Payments&lt;Beg_Bal,Scheduled_Extra_Payments,IF(AND(Pay_Num&lt;&gt;"",Beg_Bal-Sched_Pay&gt;0),Beg_Bal-Sched_Pay,IF(Pay_Num&lt;&gt;"",0,""))))</f>
        <v>0</v>
      </c>
      <c r="G444" s="34">
        <f ca="1">IF(scheduled_no_payments=1,"",IF(Sched_Pay+Extra_Pay&lt;Beg_Bal,Sched_Pay+Extra_Pay,IF(Pay_Num&lt;&gt;"",Beg_Bal,"")))</f>
        <v>0</v>
      </c>
      <c r="H444" s="34">
        <f t="shared" ca="1" si="21"/>
        <v>0</v>
      </c>
      <c r="I444" s="34">
        <f ca="1">IF(Pay_Num&lt;&gt;"",Beg_Bal*(Interest_Rate/VLOOKUP(Interval,LoanLookup[],5,FALSE)),"")</f>
        <v>0</v>
      </c>
      <c r="J444" s="34">
        <f ca="1">IF(scheduled_no_payments=1,"",IF(AND(Pay_Num&lt;&gt;"",Sched_Pay+Extra_Pay&lt;Beg_Bal),Beg_Bal-Princ,IF(Pay_Num&lt;&gt;"",0,"")))</f>
        <v>0</v>
      </c>
      <c r="K444" s="34">
        <f ca="1">IF(scheduled_no_payments=1,"",SUM($I$13:$I444))</f>
        <v>87584.066117996466</v>
      </c>
      <c r="L444" s="38"/>
    </row>
    <row r="445" spans="2:12" ht="16.5" customHeight="1" x14ac:dyDescent="0.25">
      <c r="B445" s="32">
        <f ca="1">IF(AND(Values_Entered,scheduled_no_payments&lt;&gt;1),B444+1,"")</f>
        <v>433</v>
      </c>
      <c r="C445" s="33">
        <f ca="1">IF(Pay_Num&lt;&gt;"",DATE(YEAR(C444)+VLOOKUP(Interval,LoanLookup[],4,FALSE),MONTH(C444)+VLOOKUP(Interval,LoanLookup[],2,FALSE),DAY(C444)+VLOOKUP(Interval,LoanLookup[],3,FALSE)),"")</f>
        <v>58017</v>
      </c>
      <c r="D445" s="34">
        <f t="shared" ca="1" si="23"/>
        <v>0</v>
      </c>
      <c r="E445" s="35">
        <f t="shared" ca="1" si="22"/>
        <v>989.93360882498609</v>
      </c>
      <c r="F445" s="36">
        <f ca="1">IF(scheduled_no_payments=1,"",IF(Sched_Pay+Scheduled_Extra_Payments&lt;Beg_Bal,Scheduled_Extra_Payments,IF(AND(Pay_Num&lt;&gt;"",Beg_Bal-Sched_Pay&gt;0),Beg_Bal-Sched_Pay,IF(Pay_Num&lt;&gt;"",0,""))))</f>
        <v>0</v>
      </c>
      <c r="G445" s="34">
        <f ca="1">IF(scheduled_no_payments=1,"",IF(Sched_Pay+Extra_Pay&lt;Beg_Bal,Sched_Pay+Extra_Pay,IF(Pay_Num&lt;&gt;"",Beg_Bal,"")))</f>
        <v>0</v>
      </c>
      <c r="H445" s="34">
        <f t="shared" ca="1" si="21"/>
        <v>0</v>
      </c>
      <c r="I445" s="34">
        <f ca="1">IF(Pay_Num&lt;&gt;"",Beg_Bal*(Interest_Rate/VLOOKUP(Interval,LoanLookup[],5,FALSE)),"")</f>
        <v>0</v>
      </c>
      <c r="J445" s="34">
        <f ca="1">IF(scheduled_no_payments=1,"",IF(AND(Pay_Num&lt;&gt;"",Sched_Pay+Extra_Pay&lt;Beg_Bal),Beg_Bal-Princ,IF(Pay_Num&lt;&gt;"",0,"")))</f>
        <v>0</v>
      </c>
      <c r="K445" s="34">
        <f ca="1">IF(scheduled_no_payments=1,"",SUM($I$13:$I445))</f>
        <v>87584.066117996466</v>
      </c>
      <c r="L445" s="38"/>
    </row>
    <row r="446" spans="2:12" ht="16.5" customHeight="1" x14ac:dyDescent="0.25">
      <c r="B446" s="32">
        <f ca="1">IF(AND(Values_Entered,scheduled_no_payments&lt;&gt;1),B445+1,"")</f>
        <v>434</v>
      </c>
      <c r="C446" s="33">
        <f ca="1">IF(Pay_Num&lt;&gt;"",DATE(YEAR(C445)+VLOOKUP(Interval,LoanLookup[],4,FALSE),MONTH(C445)+VLOOKUP(Interval,LoanLookup[],2,FALSE),DAY(C445)+VLOOKUP(Interval,LoanLookup[],3,FALSE)),"")</f>
        <v>58047</v>
      </c>
      <c r="D446" s="34">
        <f t="shared" ca="1" si="23"/>
        <v>0</v>
      </c>
      <c r="E446" s="35">
        <f t="shared" ca="1" si="22"/>
        <v>989.93360882498609</v>
      </c>
      <c r="F446" s="36">
        <f ca="1">IF(scheduled_no_payments=1,"",IF(Sched_Pay+Scheduled_Extra_Payments&lt;Beg_Bal,Scheduled_Extra_Payments,IF(AND(Pay_Num&lt;&gt;"",Beg_Bal-Sched_Pay&gt;0),Beg_Bal-Sched_Pay,IF(Pay_Num&lt;&gt;"",0,""))))</f>
        <v>0</v>
      </c>
      <c r="G446" s="34">
        <f ca="1">IF(scheduled_no_payments=1,"",IF(Sched_Pay+Extra_Pay&lt;Beg_Bal,Sched_Pay+Extra_Pay,IF(Pay_Num&lt;&gt;"",Beg_Bal,"")))</f>
        <v>0</v>
      </c>
      <c r="H446" s="34">
        <f t="shared" ca="1" si="21"/>
        <v>0</v>
      </c>
      <c r="I446" s="34">
        <f ca="1">IF(Pay_Num&lt;&gt;"",Beg_Bal*(Interest_Rate/VLOOKUP(Interval,LoanLookup[],5,FALSE)),"")</f>
        <v>0</v>
      </c>
      <c r="J446" s="34">
        <f ca="1">IF(scheduled_no_payments=1,"",IF(AND(Pay_Num&lt;&gt;"",Sched_Pay+Extra_Pay&lt;Beg_Bal),Beg_Bal-Princ,IF(Pay_Num&lt;&gt;"",0,"")))</f>
        <v>0</v>
      </c>
      <c r="K446" s="34">
        <f ca="1">IF(scheduled_no_payments=1,"",SUM($I$13:$I446))</f>
        <v>87584.066117996466</v>
      </c>
      <c r="L446" s="38"/>
    </row>
    <row r="447" spans="2:12" ht="16.5" customHeight="1" x14ac:dyDescent="0.25">
      <c r="B447" s="32">
        <f ca="1">IF(AND(Values_Entered,scheduled_no_payments&lt;&gt;1),B446+1,"")</f>
        <v>435</v>
      </c>
      <c r="C447" s="33">
        <f ca="1">IF(Pay_Num&lt;&gt;"",DATE(YEAR(C446)+VLOOKUP(Interval,LoanLookup[],4,FALSE),MONTH(C446)+VLOOKUP(Interval,LoanLookup[],2,FALSE),DAY(C446)+VLOOKUP(Interval,LoanLookup[],3,FALSE)),"")</f>
        <v>58078</v>
      </c>
      <c r="D447" s="34">
        <f t="shared" ca="1" si="23"/>
        <v>0</v>
      </c>
      <c r="E447" s="35">
        <f t="shared" ca="1" si="22"/>
        <v>989.93360882498609</v>
      </c>
      <c r="F447" s="36">
        <f ca="1">IF(scheduled_no_payments=1,"",IF(Sched_Pay+Scheduled_Extra_Payments&lt;Beg_Bal,Scheduled_Extra_Payments,IF(AND(Pay_Num&lt;&gt;"",Beg_Bal-Sched_Pay&gt;0),Beg_Bal-Sched_Pay,IF(Pay_Num&lt;&gt;"",0,""))))</f>
        <v>0</v>
      </c>
      <c r="G447" s="34">
        <f ca="1">IF(scheduled_no_payments=1,"",IF(Sched_Pay+Extra_Pay&lt;Beg_Bal,Sched_Pay+Extra_Pay,IF(Pay_Num&lt;&gt;"",Beg_Bal,"")))</f>
        <v>0</v>
      </c>
      <c r="H447" s="34">
        <f t="shared" ca="1" si="21"/>
        <v>0</v>
      </c>
      <c r="I447" s="34">
        <f ca="1">IF(Pay_Num&lt;&gt;"",Beg_Bal*(Interest_Rate/VLOOKUP(Interval,LoanLookup[],5,FALSE)),"")</f>
        <v>0</v>
      </c>
      <c r="J447" s="34">
        <f ca="1">IF(scheduled_no_payments=1,"",IF(AND(Pay_Num&lt;&gt;"",Sched_Pay+Extra_Pay&lt;Beg_Bal),Beg_Bal-Princ,IF(Pay_Num&lt;&gt;"",0,"")))</f>
        <v>0</v>
      </c>
      <c r="K447" s="34">
        <f ca="1">IF(scheduled_no_payments=1,"",SUM($I$13:$I447))</f>
        <v>87584.066117996466</v>
      </c>
      <c r="L447" s="38"/>
    </row>
    <row r="448" spans="2:12" ht="16.5" customHeight="1" x14ac:dyDescent="0.25">
      <c r="B448" s="32">
        <f ca="1">IF(AND(Values_Entered,scheduled_no_payments&lt;&gt;1),B447+1,"")</f>
        <v>436</v>
      </c>
      <c r="C448" s="33">
        <f ca="1">IF(Pay_Num&lt;&gt;"",DATE(YEAR(C447)+VLOOKUP(Interval,LoanLookup[],4,FALSE),MONTH(C447)+VLOOKUP(Interval,LoanLookup[],2,FALSE),DAY(C447)+VLOOKUP(Interval,LoanLookup[],3,FALSE)),"")</f>
        <v>58109</v>
      </c>
      <c r="D448" s="34">
        <f t="shared" ca="1" si="23"/>
        <v>0</v>
      </c>
      <c r="E448" s="35">
        <f t="shared" ca="1" si="22"/>
        <v>989.93360882498609</v>
      </c>
      <c r="F448" s="36">
        <f ca="1">IF(scheduled_no_payments=1,"",IF(Sched_Pay+Scheduled_Extra_Payments&lt;Beg_Bal,Scheduled_Extra_Payments,IF(AND(Pay_Num&lt;&gt;"",Beg_Bal-Sched_Pay&gt;0),Beg_Bal-Sched_Pay,IF(Pay_Num&lt;&gt;"",0,""))))</f>
        <v>0</v>
      </c>
      <c r="G448" s="34">
        <f ca="1">IF(scheduled_no_payments=1,"",IF(Sched_Pay+Extra_Pay&lt;Beg_Bal,Sched_Pay+Extra_Pay,IF(Pay_Num&lt;&gt;"",Beg_Bal,"")))</f>
        <v>0</v>
      </c>
      <c r="H448" s="34">
        <f t="shared" ca="1" si="21"/>
        <v>0</v>
      </c>
      <c r="I448" s="34">
        <f ca="1">IF(Pay_Num&lt;&gt;"",Beg_Bal*(Interest_Rate/VLOOKUP(Interval,LoanLookup[],5,FALSE)),"")</f>
        <v>0</v>
      </c>
      <c r="J448" s="34">
        <f ca="1">IF(scheduled_no_payments=1,"",IF(AND(Pay_Num&lt;&gt;"",Sched_Pay+Extra_Pay&lt;Beg_Bal),Beg_Bal-Princ,IF(Pay_Num&lt;&gt;"",0,"")))</f>
        <v>0</v>
      </c>
      <c r="K448" s="34">
        <f ca="1">IF(scheduled_no_payments=1,"",SUM($I$13:$I448))</f>
        <v>87584.066117996466</v>
      </c>
      <c r="L448" s="38"/>
    </row>
    <row r="449" spans="2:12" ht="16.5" customHeight="1" x14ac:dyDescent="0.25">
      <c r="B449" s="32">
        <f ca="1">IF(AND(Values_Entered,scheduled_no_payments&lt;&gt;1),B448+1,"")</f>
        <v>437</v>
      </c>
      <c r="C449" s="33">
        <f ca="1">IF(Pay_Num&lt;&gt;"",DATE(YEAR(C448)+VLOOKUP(Interval,LoanLookup[],4,FALSE),MONTH(C448)+VLOOKUP(Interval,LoanLookup[],2,FALSE),DAY(C448)+VLOOKUP(Interval,LoanLookup[],3,FALSE)),"")</f>
        <v>58137</v>
      </c>
      <c r="D449" s="34">
        <f t="shared" ca="1" si="23"/>
        <v>0</v>
      </c>
      <c r="E449" s="35">
        <f t="shared" ca="1" si="22"/>
        <v>989.93360882498609</v>
      </c>
      <c r="F449" s="36">
        <f ca="1">IF(scheduled_no_payments=1,"",IF(Sched_Pay+Scheduled_Extra_Payments&lt;Beg_Bal,Scheduled_Extra_Payments,IF(AND(Pay_Num&lt;&gt;"",Beg_Bal-Sched_Pay&gt;0),Beg_Bal-Sched_Pay,IF(Pay_Num&lt;&gt;"",0,""))))</f>
        <v>0</v>
      </c>
      <c r="G449" s="34">
        <f ca="1">IF(scheduled_no_payments=1,"",IF(Sched_Pay+Extra_Pay&lt;Beg_Bal,Sched_Pay+Extra_Pay,IF(Pay_Num&lt;&gt;"",Beg_Bal,"")))</f>
        <v>0</v>
      </c>
      <c r="H449" s="34">
        <f t="shared" ca="1" si="21"/>
        <v>0</v>
      </c>
      <c r="I449" s="34">
        <f ca="1">IF(Pay_Num&lt;&gt;"",Beg_Bal*(Interest_Rate/VLOOKUP(Interval,LoanLookup[],5,FALSE)),"")</f>
        <v>0</v>
      </c>
      <c r="J449" s="34">
        <f ca="1">IF(scheduled_no_payments=1,"",IF(AND(Pay_Num&lt;&gt;"",Sched_Pay+Extra_Pay&lt;Beg_Bal),Beg_Bal-Princ,IF(Pay_Num&lt;&gt;"",0,"")))</f>
        <v>0</v>
      </c>
      <c r="K449" s="34">
        <f ca="1">IF(scheduled_no_payments=1,"",SUM($I$13:$I449))</f>
        <v>87584.066117996466</v>
      </c>
      <c r="L449" s="38"/>
    </row>
    <row r="450" spans="2:12" ht="16.5" customHeight="1" x14ac:dyDescent="0.25">
      <c r="B450" s="32">
        <f ca="1">IF(AND(Values_Entered,scheduled_no_payments&lt;&gt;1),B449+1,"")</f>
        <v>438</v>
      </c>
      <c r="C450" s="33">
        <f ca="1">IF(Pay_Num&lt;&gt;"",DATE(YEAR(C449)+VLOOKUP(Interval,LoanLookup[],4,FALSE),MONTH(C449)+VLOOKUP(Interval,LoanLookup[],2,FALSE),DAY(C449)+VLOOKUP(Interval,LoanLookup[],3,FALSE)),"")</f>
        <v>58168</v>
      </c>
      <c r="D450" s="34">
        <f t="shared" ca="1" si="23"/>
        <v>0</v>
      </c>
      <c r="E450" s="35">
        <f t="shared" ca="1" si="22"/>
        <v>989.93360882498609</v>
      </c>
      <c r="F450" s="36">
        <f ca="1">IF(scheduled_no_payments=1,"",IF(Sched_Pay+Scheduled_Extra_Payments&lt;Beg_Bal,Scheduled_Extra_Payments,IF(AND(Pay_Num&lt;&gt;"",Beg_Bal-Sched_Pay&gt;0),Beg_Bal-Sched_Pay,IF(Pay_Num&lt;&gt;"",0,""))))</f>
        <v>0</v>
      </c>
      <c r="G450" s="34">
        <f ca="1">IF(scheduled_no_payments=1,"",IF(Sched_Pay+Extra_Pay&lt;Beg_Bal,Sched_Pay+Extra_Pay,IF(Pay_Num&lt;&gt;"",Beg_Bal,"")))</f>
        <v>0</v>
      </c>
      <c r="H450" s="34">
        <f t="shared" ca="1" si="21"/>
        <v>0</v>
      </c>
      <c r="I450" s="34">
        <f ca="1">IF(Pay_Num&lt;&gt;"",Beg_Bal*(Interest_Rate/VLOOKUP(Interval,LoanLookup[],5,FALSE)),"")</f>
        <v>0</v>
      </c>
      <c r="J450" s="34">
        <f ca="1">IF(scheduled_no_payments=1,"",IF(AND(Pay_Num&lt;&gt;"",Sched_Pay+Extra_Pay&lt;Beg_Bal),Beg_Bal-Princ,IF(Pay_Num&lt;&gt;"",0,"")))</f>
        <v>0</v>
      </c>
      <c r="K450" s="34">
        <f ca="1">IF(scheduled_no_payments=1,"",SUM($I$13:$I450))</f>
        <v>87584.066117996466</v>
      </c>
      <c r="L450" s="38"/>
    </row>
    <row r="451" spans="2:12" ht="16.5" customHeight="1" x14ac:dyDescent="0.25">
      <c r="B451" s="32">
        <f ca="1">IF(AND(Values_Entered,scheduled_no_payments&lt;&gt;1),B450+1,"")</f>
        <v>439</v>
      </c>
      <c r="C451" s="33">
        <f ca="1">IF(Pay_Num&lt;&gt;"",DATE(YEAR(C450)+VLOOKUP(Interval,LoanLookup[],4,FALSE),MONTH(C450)+VLOOKUP(Interval,LoanLookup[],2,FALSE),DAY(C450)+VLOOKUP(Interval,LoanLookup[],3,FALSE)),"")</f>
        <v>58198</v>
      </c>
      <c r="D451" s="34">
        <f t="shared" ca="1" si="23"/>
        <v>0</v>
      </c>
      <c r="E451" s="35">
        <f t="shared" ca="1" si="22"/>
        <v>989.93360882498609</v>
      </c>
      <c r="F451" s="36">
        <f ca="1">IF(scheduled_no_payments=1,"",IF(Sched_Pay+Scheduled_Extra_Payments&lt;Beg_Bal,Scheduled_Extra_Payments,IF(AND(Pay_Num&lt;&gt;"",Beg_Bal-Sched_Pay&gt;0),Beg_Bal-Sched_Pay,IF(Pay_Num&lt;&gt;"",0,""))))</f>
        <v>0</v>
      </c>
      <c r="G451" s="34">
        <f ca="1">IF(scheduled_no_payments=1,"",IF(Sched_Pay+Extra_Pay&lt;Beg_Bal,Sched_Pay+Extra_Pay,IF(Pay_Num&lt;&gt;"",Beg_Bal,"")))</f>
        <v>0</v>
      </c>
      <c r="H451" s="34">
        <f t="shared" ca="1" si="21"/>
        <v>0</v>
      </c>
      <c r="I451" s="34">
        <f ca="1">IF(Pay_Num&lt;&gt;"",Beg_Bal*(Interest_Rate/VLOOKUP(Interval,LoanLookup[],5,FALSE)),"")</f>
        <v>0</v>
      </c>
      <c r="J451" s="34">
        <f ca="1">IF(scheduled_no_payments=1,"",IF(AND(Pay_Num&lt;&gt;"",Sched_Pay+Extra_Pay&lt;Beg_Bal),Beg_Bal-Princ,IF(Pay_Num&lt;&gt;"",0,"")))</f>
        <v>0</v>
      </c>
      <c r="K451" s="34">
        <f ca="1">IF(scheduled_no_payments=1,"",SUM($I$13:$I451))</f>
        <v>87584.066117996466</v>
      </c>
      <c r="L451" s="38"/>
    </row>
    <row r="452" spans="2:12" ht="16.5" customHeight="1" x14ac:dyDescent="0.25">
      <c r="B452" s="32">
        <f ca="1">IF(AND(Values_Entered,scheduled_no_payments&lt;&gt;1),B451+1,"")</f>
        <v>440</v>
      </c>
      <c r="C452" s="33">
        <f ca="1">IF(Pay_Num&lt;&gt;"",DATE(YEAR(C451)+VLOOKUP(Interval,LoanLookup[],4,FALSE),MONTH(C451)+VLOOKUP(Interval,LoanLookup[],2,FALSE),DAY(C451)+VLOOKUP(Interval,LoanLookup[],3,FALSE)),"")</f>
        <v>58229</v>
      </c>
      <c r="D452" s="34">
        <f t="shared" ca="1" si="23"/>
        <v>0</v>
      </c>
      <c r="E452" s="35">
        <f t="shared" ca="1" si="22"/>
        <v>989.93360882498609</v>
      </c>
      <c r="F452" s="36">
        <f ca="1">IF(scheduled_no_payments=1,"",IF(Sched_Pay+Scheduled_Extra_Payments&lt;Beg_Bal,Scheduled_Extra_Payments,IF(AND(Pay_Num&lt;&gt;"",Beg_Bal-Sched_Pay&gt;0),Beg_Bal-Sched_Pay,IF(Pay_Num&lt;&gt;"",0,""))))</f>
        <v>0</v>
      </c>
      <c r="G452" s="34">
        <f ca="1">IF(scheduled_no_payments=1,"",IF(Sched_Pay+Extra_Pay&lt;Beg_Bal,Sched_Pay+Extra_Pay,IF(Pay_Num&lt;&gt;"",Beg_Bal,"")))</f>
        <v>0</v>
      </c>
      <c r="H452" s="34">
        <f t="shared" ca="1" si="21"/>
        <v>0</v>
      </c>
      <c r="I452" s="34">
        <f ca="1">IF(Pay_Num&lt;&gt;"",Beg_Bal*(Interest_Rate/VLOOKUP(Interval,LoanLookup[],5,FALSE)),"")</f>
        <v>0</v>
      </c>
      <c r="J452" s="34">
        <f ca="1">IF(scheduled_no_payments=1,"",IF(AND(Pay_Num&lt;&gt;"",Sched_Pay+Extra_Pay&lt;Beg_Bal),Beg_Bal-Princ,IF(Pay_Num&lt;&gt;"",0,"")))</f>
        <v>0</v>
      </c>
      <c r="K452" s="34">
        <f ca="1">IF(scheduled_no_payments=1,"",SUM($I$13:$I452))</f>
        <v>87584.066117996466</v>
      </c>
      <c r="L452" s="38"/>
    </row>
    <row r="453" spans="2:12" ht="16.5" customHeight="1" x14ac:dyDescent="0.25">
      <c r="B453" s="32">
        <f ca="1">IF(AND(Values_Entered,scheduled_no_payments&lt;&gt;1),B452+1,"")</f>
        <v>441</v>
      </c>
      <c r="C453" s="33">
        <f ca="1">IF(Pay_Num&lt;&gt;"",DATE(YEAR(C452)+VLOOKUP(Interval,LoanLookup[],4,FALSE),MONTH(C452)+VLOOKUP(Interval,LoanLookup[],2,FALSE),DAY(C452)+VLOOKUP(Interval,LoanLookup[],3,FALSE)),"")</f>
        <v>58259</v>
      </c>
      <c r="D453" s="34">
        <f t="shared" ca="1" si="23"/>
        <v>0</v>
      </c>
      <c r="E453" s="35">
        <f t="shared" ca="1" si="22"/>
        <v>989.93360882498609</v>
      </c>
      <c r="F453" s="36">
        <f ca="1">IF(scheduled_no_payments=1,"",IF(Sched_Pay+Scheduled_Extra_Payments&lt;Beg_Bal,Scheduled_Extra_Payments,IF(AND(Pay_Num&lt;&gt;"",Beg_Bal-Sched_Pay&gt;0),Beg_Bal-Sched_Pay,IF(Pay_Num&lt;&gt;"",0,""))))</f>
        <v>0</v>
      </c>
      <c r="G453" s="34">
        <f ca="1">IF(scheduled_no_payments=1,"",IF(Sched_Pay+Extra_Pay&lt;Beg_Bal,Sched_Pay+Extra_Pay,IF(Pay_Num&lt;&gt;"",Beg_Bal,"")))</f>
        <v>0</v>
      </c>
      <c r="H453" s="34">
        <f t="shared" ca="1" si="21"/>
        <v>0</v>
      </c>
      <c r="I453" s="34">
        <f ca="1">IF(Pay_Num&lt;&gt;"",Beg_Bal*(Interest_Rate/VLOOKUP(Interval,LoanLookup[],5,FALSE)),"")</f>
        <v>0</v>
      </c>
      <c r="J453" s="34">
        <f ca="1">IF(scheduled_no_payments=1,"",IF(AND(Pay_Num&lt;&gt;"",Sched_Pay+Extra_Pay&lt;Beg_Bal),Beg_Bal-Princ,IF(Pay_Num&lt;&gt;"",0,"")))</f>
        <v>0</v>
      </c>
      <c r="K453" s="34">
        <f ca="1">IF(scheduled_no_payments=1,"",SUM($I$13:$I453))</f>
        <v>87584.066117996466</v>
      </c>
      <c r="L453" s="38"/>
    </row>
    <row r="454" spans="2:12" ht="16.5" customHeight="1" x14ac:dyDescent="0.25">
      <c r="B454" s="32">
        <f ca="1">IF(AND(Values_Entered,scheduled_no_payments&lt;&gt;1),B453+1,"")</f>
        <v>442</v>
      </c>
      <c r="C454" s="33">
        <f ca="1">IF(Pay_Num&lt;&gt;"",DATE(YEAR(C453)+VLOOKUP(Interval,LoanLookup[],4,FALSE),MONTH(C453)+VLOOKUP(Interval,LoanLookup[],2,FALSE),DAY(C453)+VLOOKUP(Interval,LoanLookup[],3,FALSE)),"")</f>
        <v>58290</v>
      </c>
      <c r="D454" s="34">
        <f t="shared" ca="1" si="23"/>
        <v>0</v>
      </c>
      <c r="E454" s="35">
        <f t="shared" ca="1" si="22"/>
        <v>989.93360882498609</v>
      </c>
      <c r="F454" s="36">
        <f ca="1">IF(scheduled_no_payments=1,"",IF(Sched_Pay+Scheduled_Extra_Payments&lt;Beg_Bal,Scheduled_Extra_Payments,IF(AND(Pay_Num&lt;&gt;"",Beg_Bal-Sched_Pay&gt;0),Beg_Bal-Sched_Pay,IF(Pay_Num&lt;&gt;"",0,""))))</f>
        <v>0</v>
      </c>
      <c r="G454" s="34">
        <f ca="1">IF(scheduled_no_payments=1,"",IF(Sched_Pay+Extra_Pay&lt;Beg_Bal,Sched_Pay+Extra_Pay,IF(Pay_Num&lt;&gt;"",Beg_Bal,"")))</f>
        <v>0</v>
      </c>
      <c r="H454" s="34">
        <f t="shared" ca="1" si="21"/>
        <v>0</v>
      </c>
      <c r="I454" s="34">
        <f ca="1">IF(Pay_Num&lt;&gt;"",Beg_Bal*(Interest_Rate/VLOOKUP(Interval,LoanLookup[],5,FALSE)),"")</f>
        <v>0</v>
      </c>
      <c r="J454" s="34">
        <f ca="1">IF(scheduled_no_payments=1,"",IF(AND(Pay_Num&lt;&gt;"",Sched_Pay+Extra_Pay&lt;Beg_Bal),Beg_Bal-Princ,IF(Pay_Num&lt;&gt;"",0,"")))</f>
        <v>0</v>
      </c>
      <c r="K454" s="34">
        <f ca="1">IF(scheduled_no_payments=1,"",SUM($I$13:$I454))</f>
        <v>87584.066117996466</v>
      </c>
      <c r="L454" s="38"/>
    </row>
    <row r="455" spans="2:12" ht="16.5" customHeight="1" x14ac:dyDescent="0.25">
      <c r="B455" s="32">
        <f ca="1">IF(AND(Values_Entered,scheduled_no_payments&lt;&gt;1),B454+1,"")</f>
        <v>443</v>
      </c>
      <c r="C455" s="33">
        <f ca="1">IF(Pay_Num&lt;&gt;"",DATE(YEAR(C454)+VLOOKUP(Interval,LoanLookup[],4,FALSE),MONTH(C454)+VLOOKUP(Interval,LoanLookup[],2,FALSE),DAY(C454)+VLOOKUP(Interval,LoanLookup[],3,FALSE)),"")</f>
        <v>58321</v>
      </c>
      <c r="D455" s="34">
        <f t="shared" ca="1" si="23"/>
        <v>0</v>
      </c>
      <c r="E455" s="35">
        <f t="shared" ca="1" si="22"/>
        <v>989.93360882498609</v>
      </c>
      <c r="F455" s="36">
        <f ca="1">IF(scheduled_no_payments=1,"",IF(Sched_Pay+Scheduled_Extra_Payments&lt;Beg_Bal,Scheduled_Extra_Payments,IF(AND(Pay_Num&lt;&gt;"",Beg_Bal-Sched_Pay&gt;0),Beg_Bal-Sched_Pay,IF(Pay_Num&lt;&gt;"",0,""))))</f>
        <v>0</v>
      </c>
      <c r="G455" s="34">
        <f ca="1">IF(scheduled_no_payments=1,"",IF(Sched_Pay+Extra_Pay&lt;Beg_Bal,Sched_Pay+Extra_Pay,IF(Pay_Num&lt;&gt;"",Beg_Bal,"")))</f>
        <v>0</v>
      </c>
      <c r="H455" s="34">
        <f t="shared" ca="1" si="21"/>
        <v>0</v>
      </c>
      <c r="I455" s="34">
        <f ca="1">IF(Pay_Num&lt;&gt;"",Beg_Bal*(Interest_Rate/VLOOKUP(Interval,LoanLookup[],5,FALSE)),"")</f>
        <v>0</v>
      </c>
      <c r="J455" s="34">
        <f ca="1">IF(scheduled_no_payments=1,"",IF(AND(Pay_Num&lt;&gt;"",Sched_Pay+Extra_Pay&lt;Beg_Bal),Beg_Bal-Princ,IF(Pay_Num&lt;&gt;"",0,"")))</f>
        <v>0</v>
      </c>
      <c r="K455" s="34">
        <f ca="1">IF(scheduled_no_payments=1,"",SUM($I$13:$I455))</f>
        <v>87584.066117996466</v>
      </c>
      <c r="L455" s="38"/>
    </row>
    <row r="456" spans="2:12" ht="16.5" customHeight="1" x14ac:dyDescent="0.25">
      <c r="B456" s="32">
        <f ca="1">IF(AND(Values_Entered,scheduled_no_payments&lt;&gt;1),B455+1,"")</f>
        <v>444</v>
      </c>
      <c r="C456" s="33">
        <f ca="1">IF(Pay_Num&lt;&gt;"",DATE(YEAR(C455)+VLOOKUP(Interval,LoanLookup[],4,FALSE),MONTH(C455)+VLOOKUP(Interval,LoanLookup[],2,FALSE),DAY(C455)+VLOOKUP(Interval,LoanLookup[],3,FALSE)),"")</f>
        <v>58351</v>
      </c>
      <c r="D456" s="34">
        <f t="shared" ca="1" si="23"/>
        <v>0</v>
      </c>
      <c r="E456" s="35">
        <f t="shared" ca="1" si="22"/>
        <v>989.93360882498609</v>
      </c>
      <c r="F456" s="36">
        <f ca="1">IF(scheduled_no_payments=1,"",IF(Sched_Pay+Scheduled_Extra_Payments&lt;Beg_Bal,Scheduled_Extra_Payments,IF(AND(Pay_Num&lt;&gt;"",Beg_Bal-Sched_Pay&gt;0),Beg_Bal-Sched_Pay,IF(Pay_Num&lt;&gt;"",0,""))))</f>
        <v>0</v>
      </c>
      <c r="G456" s="34">
        <f ca="1">IF(scheduled_no_payments=1,"",IF(Sched_Pay+Extra_Pay&lt;Beg_Bal,Sched_Pay+Extra_Pay,IF(Pay_Num&lt;&gt;"",Beg_Bal,"")))</f>
        <v>0</v>
      </c>
      <c r="H456" s="34">
        <f t="shared" ca="1" si="21"/>
        <v>0</v>
      </c>
      <c r="I456" s="34">
        <f ca="1">IF(Pay_Num&lt;&gt;"",Beg_Bal*(Interest_Rate/VLOOKUP(Interval,LoanLookup[],5,FALSE)),"")</f>
        <v>0</v>
      </c>
      <c r="J456" s="34">
        <f ca="1">IF(scheduled_no_payments=1,"",IF(AND(Pay_Num&lt;&gt;"",Sched_Pay+Extra_Pay&lt;Beg_Bal),Beg_Bal-Princ,IF(Pay_Num&lt;&gt;"",0,"")))</f>
        <v>0</v>
      </c>
      <c r="K456" s="34">
        <f ca="1">IF(scheduled_no_payments=1,"",SUM($I$13:$I456))</f>
        <v>87584.066117996466</v>
      </c>
      <c r="L456" s="38"/>
    </row>
    <row r="457" spans="2:12" ht="16.5" customHeight="1" x14ac:dyDescent="0.25">
      <c r="B457" s="32">
        <f ca="1">IF(AND(Values_Entered,scheduled_no_payments&lt;&gt;1),B456+1,"")</f>
        <v>445</v>
      </c>
      <c r="C457" s="33">
        <f ca="1">IF(Pay_Num&lt;&gt;"",DATE(YEAR(C456)+VLOOKUP(Interval,LoanLookup[],4,FALSE),MONTH(C456)+VLOOKUP(Interval,LoanLookup[],2,FALSE),DAY(C456)+VLOOKUP(Interval,LoanLookup[],3,FALSE)),"")</f>
        <v>58382</v>
      </c>
      <c r="D457" s="34">
        <f t="shared" ca="1" si="23"/>
        <v>0</v>
      </c>
      <c r="E457" s="35">
        <f t="shared" ca="1" si="22"/>
        <v>989.93360882498609</v>
      </c>
      <c r="F457" s="36">
        <f ca="1">IF(scheduled_no_payments=1,"",IF(Sched_Pay+Scheduled_Extra_Payments&lt;Beg_Bal,Scheduled_Extra_Payments,IF(AND(Pay_Num&lt;&gt;"",Beg_Bal-Sched_Pay&gt;0),Beg_Bal-Sched_Pay,IF(Pay_Num&lt;&gt;"",0,""))))</f>
        <v>0</v>
      </c>
      <c r="G457" s="34">
        <f ca="1">IF(scheduled_no_payments=1,"",IF(Sched_Pay+Extra_Pay&lt;Beg_Bal,Sched_Pay+Extra_Pay,IF(Pay_Num&lt;&gt;"",Beg_Bal,"")))</f>
        <v>0</v>
      </c>
      <c r="H457" s="34">
        <f t="shared" ca="1" si="21"/>
        <v>0</v>
      </c>
      <c r="I457" s="34">
        <f ca="1">IF(Pay_Num&lt;&gt;"",Beg_Bal*(Interest_Rate/VLOOKUP(Interval,LoanLookup[],5,FALSE)),"")</f>
        <v>0</v>
      </c>
      <c r="J457" s="34">
        <f ca="1">IF(scheduled_no_payments=1,"",IF(AND(Pay_Num&lt;&gt;"",Sched_Pay+Extra_Pay&lt;Beg_Bal),Beg_Bal-Princ,IF(Pay_Num&lt;&gt;"",0,"")))</f>
        <v>0</v>
      </c>
      <c r="K457" s="34">
        <f ca="1">IF(scheduled_no_payments=1,"",SUM($I$13:$I457))</f>
        <v>87584.066117996466</v>
      </c>
      <c r="L457" s="38"/>
    </row>
    <row r="458" spans="2:12" ht="16.5" customHeight="1" x14ac:dyDescent="0.25">
      <c r="B458" s="32">
        <f ca="1">IF(AND(Values_Entered,scheduled_no_payments&lt;&gt;1),B457+1,"")</f>
        <v>446</v>
      </c>
      <c r="C458" s="33">
        <f ca="1">IF(Pay_Num&lt;&gt;"",DATE(YEAR(C457)+VLOOKUP(Interval,LoanLookup[],4,FALSE),MONTH(C457)+VLOOKUP(Interval,LoanLookup[],2,FALSE),DAY(C457)+VLOOKUP(Interval,LoanLookup[],3,FALSE)),"")</f>
        <v>58412</v>
      </c>
      <c r="D458" s="34">
        <f t="shared" ca="1" si="23"/>
        <v>0</v>
      </c>
      <c r="E458" s="35">
        <f t="shared" ca="1" si="22"/>
        <v>989.93360882498609</v>
      </c>
      <c r="F458" s="36">
        <f ca="1">IF(scheduled_no_payments=1,"",IF(Sched_Pay+Scheduled_Extra_Payments&lt;Beg_Bal,Scheduled_Extra_Payments,IF(AND(Pay_Num&lt;&gt;"",Beg_Bal-Sched_Pay&gt;0),Beg_Bal-Sched_Pay,IF(Pay_Num&lt;&gt;"",0,""))))</f>
        <v>0</v>
      </c>
      <c r="G458" s="34">
        <f ca="1">IF(scheduled_no_payments=1,"",IF(Sched_Pay+Extra_Pay&lt;Beg_Bal,Sched_Pay+Extra_Pay,IF(Pay_Num&lt;&gt;"",Beg_Bal,"")))</f>
        <v>0</v>
      </c>
      <c r="H458" s="34">
        <f t="shared" ca="1" si="21"/>
        <v>0</v>
      </c>
      <c r="I458" s="34">
        <f ca="1">IF(Pay_Num&lt;&gt;"",Beg_Bal*(Interest_Rate/VLOOKUP(Interval,LoanLookup[],5,FALSE)),"")</f>
        <v>0</v>
      </c>
      <c r="J458" s="34">
        <f ca="1">IF(scheduled_no_payments=1,"",IF(AND(Pay_Num&lt;&gt;"",Sched_Pay+Extra_Pay&lt;Beg_Bal),Beg_Bal-Princ,IF(Pay_Num&lt;&gt;"",0,"")))</f>
        <v>0</v>
      </c>
      <c r="K458" s="34">
        <f ca="1">IF(scheduled_no_payments=1,"",SUM($I$13:$I458))</f>
        <v>87584.066117996466</v>
      </c>
      <c r="L458" s="38"/>
    </row>
    <row r="459" spans="2:12" ht="16.5" customHeight="1" x14ac:dyDescent="0.25">
      <c r="B459" s="32">
        <f ca="1">IF(AND(Values_Entered,scheduled_no_payments&lt;&gt;1),B458+1,"")</f>
        <v>447</v>
      </c>
      <c r="C459" s="33">
        <f ca="1">IF(Pay_Num&lt;&gt;"",DATE(YEAR(C458)+VLOOKUP(Interval,LoanLookup[],4,FALSE),MONTH(C458)+VLOOKUP(Interval,LoanLookup[],2,FALSE),DAY(C458)+VLOOKUP(Interval,LoanLookup[],3,FALSE)),"")</f>
        <v>58443</v>
      </c>
      <c r="D459" s="34">
        <f t="shared" ca="1" si="23"/>
        <v>0</v>
      </c>
      <c r="E459" s="35">
        <f t="shared" ca="1" si="22"/>
        <v>989.93360882498609</v>
      </c>
      <c r="F459" s="36">
        <f ca="1">IF(scheduled_no_payments=1,"",IF(Sched_Pay+Scheduled_Extra_Payments&lt;Beg_Bal,Scheduled_Extra_Payments,IF(AND(Pay_Num&lt;&gt;"",Beg_Bal-Sched_Pay&gt;0),Beg_Bal-Sched_Pay,IF(Pay_Num&lt;&gt;"",0,""))))</f>
        <v>0</v>
      </c>
      <c r="G459" s="34">
        <f ca="1">IF(scheduled_no_payments=1,"",IF(Sched_Pay+Extra_Pay&lt;Beg_Bal,Sched_Pay+Extra_Pay,IF(Pay_Num&lt;&gt;"",Beg_Bal,"")))</f>
        <v>0</v>
      </c>
      <c r="H459" s="34">
        <f t="shared" ca="1" si="21"/>
        <v>0</v>
      </c>
      <c r="I459" s="34">
        <f ca="1">IF(Pay_Num&lt;&gt;"",Beg_Bal*(Interest_Rate/VLOOKUP(Interval,LoanLookup[],5,FALSE)),"")</f>
        <v>0</v>
      </c>
      <c r="J459" s="34">
        <f ca="1">IF(scheduled_no_payments=1,"",IF(AND(Pay_Num&lt;&gt;"",Sched_Pay+Extra_Pay&lt;Beg_Bal),Beg_Bal-Princ,IF(Pay_Num&lt;&gt;"",0,"")))</f>
        <v>0</v>
      </c>
      <c r="K459" s="34">
        <f ca="1">IF(scheduled_no_payments=1,"",SUM($I$13:$I459))</f>
        <v>87584.066117996466</v>
      </c>
      <c r="L459" s="38"/>
    </row>
    <row r="460" spans="2:12" ht="16.5" customHeight="1" x14ac:dyDescent="0.25">
      <c r="B460" s="32">
        <f ca="1">IF(AND(Values_Entered,scheduled_no_payments&lt;&gt;1),B459+1,"")</f>
        <v>448</v>
      </c>
      <c r="C460" s="33">
        <f ca="1">IF(Pay_Num&lt;&gt;"",DATE(YEAR(C459)+VLOOKUP(Interval,LoanLookup[],4,FALSE),MONTH(C459)+VLOOKUP(Interval,LoanLookup[],2,FALSE),DAY(C459)+VLOOKUP(Interval,LoanLookup[],3,FALSE)),"")</f>
        <v>58474</v>
      </c>
      <c r="D460" s="34">
        <f t="shared" ca="1" si="23"/>
        <v>0</v>
      </c>
      <c r="E460" s="35">
        <f t="shared" ca="1" si="22"/>
        <v>989.93360882498609</v>
      </c>
      <c r="F460" s="36">
        <f ca="1">IF(scheduled_no_payments=1,"",IF(Sched_Pay+Scheduled_Extra_Payments&lt;Beg_Bal,Scheduled_Extra_Payments,IF(AND(Pay_Num&lt;&gt;"",Beg_Bal-Sched_Pay&gt;0),Beg_Bal-Sched_Pay,IF(Pay_Num&lt;&gt;"",0,""))))</f>
        <v>0</v>
      </c>
      <c r="G460" s="34">
        <f ca="1">IF(scheduled_no_payments=1,"",IF(Sched_Pay+Extra_Pay&lt;Beg_Bal,Sched_Pay+Extra_Pay,IF(Pay_Num&lt;&gt;"",Beg_Bal,"")))</f>
        <v>0</v>
      </c>
      <c r="H460" s="34">
        <f t="shared" ca="1" si="21"/>
        <v>0</v>
      </c>
      <c r="I460" s="34">
        <f ca="1">IF(Pay_Num&lt;&gt;"",Beg_Bal*(Interest_Rate/VLOOKUP(Interval,LoanLookup[],5,FALSE)),"")</f>
        <v>0</v>
      </c>
      <c r="J460" s="34">
        <f ca="1">IF(scheduled_no_payments=1,"",IF(AND(Pay_Num&lt;&gt;"",Sched_Pay+Extra_Pay&lt;Beg_Bal),Beg_Bal-Princ,IF(Pay_Num&lt;&gt;"",0,"")))</f>
        <v>0</v>
      </c>
      <c r="K460" s="34">
        <f ca="1">IF(scheduled_no_payments=1,"",SUM($I$13:$I460))</f>
        <v>87584.066117996466</v>
      </c>
      <c r="L460" s="38"/>
    </row>
    <row r="461" spans="2:12" ht="16.5" customHeight="1" x14ac:dyDescent="0.25">
      <c r="B461" s="32">
        <f ca="1">IF(AND(Values_Entered,scheduled_no_payments&lt;&gt;1),B460+1,"")</f>
        <v>449</v>
      </c>
      <c r="C461" s="33">
        <f ca="1">IF(Pay_Num&lt;&gt;"",DATE(YEAR(C460)+VLOOKUP(Interval,LoanLookup[],4,FALSE),MONTH(C460)+VLOOKUP(Interval,LoanLookup[],2,FALSE),DAY(C460)+VLOOKUP(Interval,LoanLookup[],3,FALSE)),"")</f>
        <v>58503</v>
      </c>
      <c r="D461" s="34">
        <f t="shared" ca="1" si="23"/>
        <v>0</v>
      </c>
      <c r="E461" s="35">
        <f t="shared" ca="1" si="22"/>
        <v>989.93360882498609</v>
      </c>
      <c r="F461" s="36">
        <f ca="1">IF(scheduled_no_payments=1,"",IF(Sched_Pay+Scheduled_Extra_Payments&lt;Beg_Bal,Scheduled_Extra_Payments,IF(AND(Pay_Num&lt;&gt;"",Beg_Bal-Sched_Pay&gt;0),Beg_Bal-Sched_Pay,IF(Pay_Num&lt;&gt;"",0,""))))</f>
        <v>0</v>
      </c>
      <c r="G461" s="34">
        <f ca="1">IF(scheduled_no_payments=1,"",IF(Sched_Pay+Extra_Pay&lt;Beg_Bal,Sched_Pay+Extra_Pay,IF(Pay_Num&lt;&gt;"",Beg_Bal,"")))</f>
        <v>0</v>
      </c>
      <c r="H461" s="34">
        <f t="shared" ca="1" si="21"/>
        <v>0</v>
      </c>
      <c r="I461" s="34">
        <f ca="1">IF(Pay_Num&lt;&gt;"",Beg_Bal*(Interest_Rate/VLOOKUP(Interval,LoanLookup[],5,FALSE)),"")</f>
        <v>0</v>
      </c>
      <c r="J461" s="34">
        <f ca="1">IF(scheduled_no_payments=1,"",IF(AND(Pay_Num&lt;&gt;"",Sched_Pay+Extra_Pay&lt;Beg_Bal),Beg_Bal-Princ,IF(Pay_Num&lt;&gt;"",0,"")))</f>
        <v>0</v>
      </c>
      <c r="K461" s="34">
        <f ca="1">IF(scheduled_no_payments=1,"",SUM($I$13:$I461))</f>
        <v>87584.066117996466</v>
      </c>
      <c r="L461" s="38"/>
    </row>
    <row r="462" spans="2:12" ht="16.5" customHeight="1" x14ac:dyDescent="0.25">
      <c r="B462" s="32">
        <f ca="1">IF(AND(Values_Entered,scheduled_no_payments&lt;&gt;1),B461+1,"")</f>
        <v>450</v>
      </c>
      <c r="C462" s="33">
        <f ca="1">IF(Pay_Num&lt;&gt;"",DATE(YEAR(C461)+VLOOKUP(Interval,LoanLookup[],4,FALSE),MONTH(C461)+VLOOKUP(Interval,LoanLookup[],2,FALSE),DAY(C461)+VLOOKUP(Interval,LoanLookup[],3,FALSE)),"")</f>
        <v>58534</v>
      </c>
      <c r="D462" s="34">
        <f t="shared" ca="1" si="23"/>
        <v>0</v>
      </c>
      <c r="E462" s="35">
        <f t="shared" ca="1" si="22"/>
        <v>989.93360882498609</v>
      </c>
      <c r="F462" s="36">
        <f ca="1">IF(scheduled_no_payments=1,"",IF(Sched_Pay+Scheduled_Extra_Payments&lt;Beg_Bal,Scheduled_Extra_Payments,IF(AND(Pay_Num&lt;&gt;"",Beg_Bal-Sched_Pay&gt;0),Beg_Bal-Sched_Pay,IF(Pay_Num&lt;&gt;"",0,""))))</f>
        <v>0</v>
      </c>
      <c r="G462" s="34">
        <f ca="1">IF(scheduled_no_payments=1,"",IF(Sched_Pay+Extra_Pay&lt;Beg_Bal,Sched_Pay+Extra_Pay,IF(Pay_Num&lt;&gt;"",Beg_Bal,"")))</f>
        <v>0</v>
      </c>
      <c r="H462" s="34">
        <f t="shared" ref="H462:H525" ca="1" si="24">IF(Pay_Num&lt;&gt;"",Total_Pay-Int,"")</f>
        <v>0</v>
      </c>
      <c r="I462" s="34">
        <f ca="1">IF(Pay_Num&lt;&gt;"",Beg_Bal*(Interest_Rate/VLOOKUP(Interval,LoanLookup[],5,FALSE)),"")</f>
        <v>0</v>
      </c>
      <c r="J462" s="34">
        <f ca="1">IF(scheduled_no_payments=1,"",IF(AND(Pay_Num&lt;&gt;"",Sched_Pay+Extra_Pay&lt;Beg_Bal),Beg_Bal-Princ,IF(Pay_Num&lt;&gt;"",0,"")))</f>
        <v>0</v>
      </c>
      <c r="K462" s="34">
        <f ca="1">IF(scheduled_no_payments=1,"",SUM($I$13:$I462))</f>
        <v>87584.066117996466</v>
      </c>
      <c r="L462" s="38"/>
    </row>
    <row r="463" spans="2:12" ht="16.5" customHeight="1" x14ac:dyDescent="0.25">
      <c r="B463" s="32">
        <f ca="1">IF(AND(Values_Entered,scheduled_no_payments&lt;&gt;1),B462+1,"")</f>
        <v>451</v>
      </c>
      <c r="C463" s="33">
        <f ca="1">IF(Pay_Num&lt;&gt;"",DATE(YEAR(C462)+VLOOKUP(Interval,LoanLookup[],4,FALSE),MONTH(C462)+VLOOKUP(Interval,LoanLookup[],2,FALSE),DAY(C462)+VLOOKUP(Interval,LoanLookup[],3,FALSE)),"")</f>
        <v>58564</v>
      </c>
      <c r="D463" s="34">
        <f t="shared" ca="1" si="23"/>
        <v>0</v>
      </c>
      <c r="E463" s="35">
        <f t="shared" ref="E463:E526" ca="1" si="25">IF(Pay_Num&lt;&gt;"",Scheduled_Monthly_Payment,"")</f>
        <v>989.93360882498609</v>
      </c>
      <c r="F463" s="36">
        <f ca="1">IF(scheduled_no_payments=1,"",IF(Sched_Pay+Scheduled_Extra_Payments&lt;Beg_Bal,Scheduled_Extra_Payments,IF(AND(Pay_Num&lt;&gt;"",Beg_Bal-Sched_Pay&gt;0),Beg_Bal-Sched_Pay,IF(Pay_Num&lt;&gt;"",0,""))))</f>
        <v>0</v>
      </c>
      <c r="G463" s="34">
        <f ca="1">IF(scheduled_no_payments=1,"",IF(Sched_Pay+Extra_Pay&lt;Beg_Bal,Sched_Pay+Extra_Pay,IF(Pay_Num&lt;&gt;"",Beg_Bal,"")))</f>
        <v>0</v>
      </c>
      <c r="H463" s="34">
        <f t="shared" ca="1" si="24"/>
        <v>0</v>
      </c>
      <c r="I463" s="34">
        <f ca="1">IF(Pay_Num&lt;&gt;"",Beg_Bal*(Interest_Rate/VLOOKUP(Interval,LoanLookup[],5,FALSE)),"")</f>
        <v>0</v>
      </c>
      <c r="J463" s="34">
        <f ca="1">IF(scheduled_no_payments=1,"",IF(AND(Pay_Num&lt;&gt;"",Sched_Pay+Extra_Pay&lt;Beg_Bal),Beg_Bal-Princ,IF(Pay_Num&lt;&gt;"",0,"")))</f>
        <v>0</v>
      </c>
      <c r="K463" s="34">
        <f ca="1">IF(scheduled_no_payments=1,"",SUM($I$13:$I463))</f>
        <v>87584.066117996466</v>
      </c>
      <c r="L463" s="38"/>
    </row>
    <row r="464" spans="2:12" ht="16.5" customHeight="1" x14ac:dyDescent="0.25">
      <c r="B464" s="32">
        <f ca="1">IF(AND(Values_Entered,scheduled_no_payments&lt;&gt;1),B463+1,"")</f>
        <v>452</v>
      </c>
      <c r="C464" s="33">
        <f ca="1">IF(Pay_Num&lt;&gt;"",DATE(YEAR(C463)+VLOOKUP(Interval,LoanLookup[],4,FALSE),MONTH(C463)+VLOOKUP(Interval,LoanLookup[],2,FALSE),DAY(C463)+VLOOKUP(Interval,LoanLookup[],3,FALSE)),"")</f>
        <v>58595</v>
      </c>
      <c r="D464" s="34">
        <f t="shared" ca="1" si="23"/>
        <v>0</v>
      </c>
      <c r="E464" s="35">
        <f t="shared" ca="1" si="25"/>
        <v>989.93360882498609</v>
      </c>
      <c r="F464" s="36">
        <f ca="1">IF(scheduled_no_payments=1,"",IF(Sched_Pay+Scheduled_Extra_Payments&lt;Beg_Bal,Scheduled_Extra_Payments,IF(AND(Pay_Num&lt;&gt;"",Beg_Bal-Sched_Pay&gt;0),Beg_Bal-Sched_Pay,IF(Pay_Num&lt;&gt;"",0,""))))</f>
        <v>0</v>
      </c>
      <c r="G464" s="34">
        <f ca="1">IF(scheduled_no_payments=1,"",IF(Sched_Pay+Extra_Pay&lt;Beg_Bal,Sched_Pay+Extra_Pay,IF(Pay_Num&lt;&gt;"",Beg_Bal,"")))</f>
        <v>0</v>
      </c>
      <c r="H464" s="34">
        <f t="shared" ca="1" si="24"/>
        <v>0</v>
      </c>
      <c r="I464" s="34">
        <f ca="1">IF(Pay_Num&lt;&gt;"",Beg_Bal*(Interest_Rate/VLOOKUP(Interval,LoanLookup[],5,FALSE)),"")</f>
        <v>0</v>
      </c>
      <c r="J464" s="34">
        <f ca="1">IF(scheduled_no_payments=1,"",IF(AND(Pay_Num&lt;&gt;"",Sched_Pay+Extra_Pay&lt;Beg_Bal),Beg_Bal-Princ,IF(Pay_Num&lt;&gt;"",0,"")))</f>
        <v>0</v>
      </c>
      <c r="K464" s="34">
        <f ca="1">IF(scheduled_no_payments=1,"",SUM($I$13:$I464))</f>
        <v>87584.066117996466</v>
      </c>
      <c r="L464" s="38"/>
    </row>
    <row r="465" spans="2:12" ht="16.5" customHeight="1" x14ac:dyDescent="0.25">
      <c r="B465" s="32">
        <f ca="1">IF(AND(Values_Entered,scheduled_no_payments&lt;&gt;1),B464+1,"")</f>
        <v>453</v>
      </c>
      <c r="C465" s="33">
        <f ca="1">IF(Pay_Num&lt;&gt;"",DATE(YEAR(C464)+VLOOKUP(Interval,LoanLookup[],4,FALSE),MONTH(C464)+VLOOKUP(Interval,LoanLookup[],2,FALSE),DAY(C464)+VLOOKUP(Interval,LoanLookup[],3,FALSE)),"")</f>
        <v>58625</v>
      </c>
      <c r="D465" s="34">
        <f t="shared" ca="1" si="23"/>
        <v>0</v>
      </c>
      <c r="E465" s="35">
        <f t="shared" ca="1" si="25"/>
        <v>989.93360882498609</v>
      </c>
      <c r="F465" s="36">
        <f ca="1">IF(scheduled_no_payments=1,"",IF(Sched_Pay+Scheduled_Extra_Payments&lt;Beg_Bal,Scheduled_Extra_Payments,IF(AND(Pay_Num&lt;&gt;"",Beg_Bal-Sched_Pay&gt;0),Beg_Bal-Sched_Pay,IF(Pay_Num&lt;&gt;"",0,""))))</f>
        <v>0</v>
      </c>
      <c r="G465" s="34">
        <f ca="1">IF(scheduled_no_payments=1,"",IF(Sched_Pay+Extra_Pay&lt;Beg_Bal,Sched_Pay+Extra_Pay,IF(Pay_Num&lt;&gt;"",Beg_Bal,"")))</f>
        <v>0</v>
      </c>
      <c r="H465" s="34">
        <f t="shared" ca="1" si="24"/>
        <v>0</v>
      </c>
      <c r="I465" s="34">
        <f ca="1">IF(Pay_Num&lt;&gt;"",Beg_Bal*(Interest_Rate/VLOOKUP(Interval,LoanLookup[],5,FALSE)),"")</f>
        <v>0</v>
      </c>
      <c r="J465" s="34">
        <f ca="1">IF(scheduled_no_payments=1,"",IF(AND(Pay_Num&lt;&gt;"",Sched_Pay+Extra_Pay&lt;Beg_Bal),Beg_Bal-Princ,IF(Pay_Num&lt;&gt;"",0,"")))</f>
        <v>0</v>
      </c>
      <c r="K465" s="34">
        <f ca="1">IF(scheduled_no_payments=1,"",SUM($I$13:$I465))</f>
        <v>87584.066117996466</v>
      </c>
      <c r="L465" s="38"/>
    </row>
    <row r="466" spans="2:12" ht="16.5" customHeight="1" x14ac:dyDescent="0.25">
      <c r="B466" s="32">
        <f ca="1">IF(AND(Values_Entered,scheduled_no_payments&lt;&gt;1),B465+1,"")</f>
        <v>454</v>
      </c>
      <c r="C466" s="33">
        <f ca="1">IF(Pay_Num&lt;&gt;"",DATE(YEAR(C465)+VLOOKUP(Interval,LoanLookup[],4,FALSE),MONTH(C465)+VLOOKUP(Interval,LoanLookup[],2,FALSE),DAY(C465)+VLOOKUP(Interval,LoanLookup[],3,FALSE)),"")</f>
        <v>58656</v>
      </c>
      <c r="D466" s="34">
        <f t="shared" ca="1" si="23"/>
        <v>0</v>
      </c>
      <c r="E466" s="35">
        <f t="shared" ca="1" si="25"/>
        <v>989.93360882498609</v>
      </c>
      <c r="F466" s="36">
        <f ca="1">IF(scheduled_no_payments=1,"",IF(Sched_Pay+Scheduled_Extra_Payments&lt;Beg_Bal,Scheduled_Extra_Payments,IF(AND(Pay_Num&lt;&gt;"",Beg_Bal-Sched_Pay&gt;0),Beg_Bal-Sched_Pay,IF(Pay_Num&lt;&gt;"",0,""))))</f>
        <v>0</v>
      </c>
      <c r="G466" s="34">
        <f ca="1">IF(scheduled_no_payments=1,"",IF(Sched_Pay+Extra_Pay&lt;Beg_Bal,Sched_Pay+Extra_Pay,IF(Pay_Num&lt;&gt;"",Beg_Bal,"")))</f>
        <v>0</v>
      </c>
      <c r="H466" s="34">
        <f t="shared" ca="1" si="24"/>
        <v>0</v>
      </c>
      <c r="I466" s="34">
        <f ca="1">IF(Pay_Num&lt;&gt;"",Beg_Bal*(Interest_Rate/VLOOKUP(Interval,LoanLookup[],5,FALSE)),"")</f>
        <v>0</v>
      </c>
      <c r="J466" s="34">
        <f ca="1">IF(scheduled_no_payments=1,"",IF(AND(Pay_Num&lt;&gt;"",Sched_Pay+Extra_Pay&lt;Beg_Bal),Beg_Bal-Princ,IF(Pay_Num&lt;&gt;"",0,"")))</f>
        <v>0</v>
      </c>
      <c r="K466" s="34">
        <f ca="1">IF(scheduled_no_payments=1,"",SUM($I$13:$I466))</f>
        <v>87584.066117996466</v>
      </c>
      <c r="L466" s="38"/>
    </row>
    <row r="467" spans="2:12" ht="16.5" customHeight="1" x14ac:dyDescent="0.25">
      <c r="B467" s="32">
        <f ca="1">IF(AND(Values_Entered,scheduled_no_payments&lt;&gt;1),B466+1,"")</f>
        <v>455</v>
      </c>
      <c r="C467" s="33">
        <f ca="1">IF(Pay_Num&lt;&gt;"",DATE(YEAR(C466)+VLOOKUP(Interval,LoanLookup[],4,FALSE),MONTH(C466)+VLOOKUP(Interval,LoanLookup[],2,FALSE),DAY(C466)+VLOOKUP(Interval,LoanLookup[],3,FALSE)),"")</f>
        <v>58687</v>
      </c>
      <c r="D467" s="34">
        <f t="shared" ca="1" si="23"/>
        <v>0</v>
      </c>
      <c r="E467" s="35">
        <f t="shared" ca="1" si="25"/>
        <v>989.93360882498609</v>
      </c>
      <c r="F467" s="36">
        <f ca="1">IF(scheduled_no_payments=1,"",IF(Sched_Pay+Scheduled_Extra_Payments&lt;Beg_Bal,Scheduled_Extra_Payments,IF(AND(Pay_Num&lt;&gt;"",Beg_Bal-Sched_Pay&gt;0),Beg_Bal-Sched_Pay,IF(Pay_Num&lt;&gt;"",0,""))))</f>
        <v>0</v>
      </c>
      <c r="G467" s="34">
        <f ca="1">IF(scheduled_no_payments=1,"",IF(Sched_Pay+Extra_Pay&lt;Beg_Bal,Sched_Pay+Extra_Pay,IF(Pay_Num&lt;&gt;"",Beg_Bal,"")))</f>
        <v>0</v>
      </c>
      <c r="H467" s="34">
        <f t="shared" ca="1" si="24"/>
        <v>0</v>
      </c>
      <c r="I467" s="34">
        <f ca="1">IF(Pay_Num&lt;&gt;"",Beg_Bal*(Interest_Rate/VLOOKUP(Interval,LoanLookup[],5,FALSE)),"")</f>
        <v>0</v>
      </c>
      <c r="J467" s="34">
        <f ca="1">IF(scheduled_no_payments=1,"",IF(AND(Pay_Num&lt;&gt;"",Sched_Pay+Extra_Pay&lt;Beg_Bal),Beg_Bal-Princ,IF(Pay_Num&lt;&gt;"",0,"")))</f>
        <v>0</v>
      </c>
      <c r="K467" s="34">
        <f ca="1">IF(scheduled_no_payments=1,"",SUM($I$13:$I467))</f>
        <v>87584.066117996466</v>
      </c>
      <c r="L467" s="38"/>
    </row>
    <row r="468" spans="2:12" ht="16.5" customHeight="1" x14ac:dyDescent="0.25">
      <c r="B468" s="32">
        <f ca="1">IF(AND(Values_Entered,scheduled_no_payments&lt;&gt;1),B467+1,"")</f>
        <v>456</v>
      </c>
      <c r="C468" s="33">
        <f ca="1">IF(Pay_Num&lt;&gt;"",DATE(YEAR(C467)+VLOOKUP(Interval,LoanLookup[],4,FALSE),MONTH(C467)+VLOOKUP(Interval,LoanLookup[],2,FALSE),DAY(C467)+VLOOKUP(Interval,LoanLookup[],3,FALSE)),"")</f>
        <v>58717</v>
      </c>
      <c r="D468" s="34">
        <f t="shared" ca="1" si="23"/>
        <v>0</v>
      </c>
      <c r="E468" s="35">
        <f t="shared" ca="1" si="25"/>
        <v>989.93360882498609</v>
      </c>
      <c r="F468" s="36">
        <f ca="1">IF(scheduled_no_payments=1,"",IF(Sched_Pay+Scheduled_Extra_Payments&lt;Beg_Bal,Scheduled_Extra_Payments,IF(AND(Pay_Num&lt;&gt;"",Beg_Bal-Sched_Pay&gt;0),Beg_Bal-Sched_Pay,IF(Pay_Num&lt;&gt;"",0,""))))</f>
        <v>0</v>
      </c>
      <c r="G468" s="34">
        <f ca="1">IF(scheduled_no_payments=1,"",IF(Sched_Pay+Extra_Pay&lt;Beg_Bal,Sched_Pay+Extra_Pay,IF(Pay_Num&lt;&gt;"",Beg_Bal,"")))</f>
        <v>0</v>
      </c>
      <c r="H468" s="34">
        <f t="shared" ca="1" si="24"/>
        <v>0</v>
      </c>
      <c r="I468" s="34">
        <f ca="1">IF(Pay_Num&lt;&gt;"",Beg_Bal*(Interest_Rate/VLOOKUP(Interval,LoanLookup[],5,FALSE)),"")</f>
        <v>0</v>
      </c>
      <c r="J468" s="34">
        <f ca="1">IF(scheduled_no_payments=1,"",IF(AND(Pay_Num&lt;&gt;"",Sched_Pay+Extra_Pay&lt;Beg_Bal),Beg_Bal-Princ,IF(Pay_Num&lt;&gt;"",0,"")))</f>
        <v>0</v>
      </c>
      <c r="K468" s="34">
        <f ca="1">IF(scheduled_no_payments=1,"",SUM($I$13:$I468))</f>
        <v>87584.066117996466</v>
      </c>
      <c r="L468" s="38"/>
    </row>
    <row r="469" spans="2:12" ht="16.5" customHeight="1" x14ac:dyDescent="0.25">
      <c r="B469" s="32">
        <f ca="1">IF(AND(Values_Entered,scheduled_no_payments&lt;&gt;1),B468+1,"")</f>
        <v>457</v>
      </c>
      <c r="C469" s="33">
        <f ca="1">IF(Pay_Num&lt;&gt;"",DATE(YEAR(C468)+VLOOKUP(Interval,LoanLookup[],4,FALSE),MONTH(C468)+VLOOKUP(Interval,LoanLookup[],2,FALSE),DAY(C468)+VLOOKUP(Interval,LoanLookup[],3,FALSE)),"")</f>
        <v>58748</v>
      </c>
      <c r="D469" s="34">
        <f t="shared" ca="1" si="23"/>
        <v>0</v>
      </c>
      <c r="E469" s="35">
        <f t="shared" ca="1" si="25"/>
        <v>989.93360882498609</v>
      </c>
      <c r="F469" s="36">
        <f ca="1">IF(scheduled_no_payments=1,"",IF(Sched_Pay+Scheduled_Extra_Payments&lt;Beg_Bal,Scheduled_Extra_Payments,IF(AND(Pay_Num&lt;&gt;"",Beg_Bal-Sched_Pay&gt;0),Beg_Bal-Sched_Pay,IF(Pay_Num&lt;&gt;"",0,""))))</f>
        <v>0</v>
      </c>
      <c r="G469" s="34">
        <f ca="1">IF(scheduled_no_payments=1,"",IF(Sched_Pay+Extra_Pay&lt;Beg_Bal,Sched_Pay+Extra_Pay,IF(Pay_Num&lt;&gt;"",Beg_Bal,"")))</f>
        <v>0</v>
      </c>
      <c r="H469" s="34">
        <f t="shared" ca="1" si="24"/>
        <v>0</v>
      </c>
      <c r="I469" s="34">
        <f ca="1">IF(Pay_Num&lt;&gt;"",Beg_Bal*(Interest_Rate/VLOOKUP(Interval,LoanLookup[],5,FALSE)),"")</f>
        <v>0</v>
      </c>
      <c r="J469" s="34">
        <f ca="1">IF(scheduled_no_payments=1,"",IF(AND(Pay_Num&lt;&gt;"",Sched_Pay+Extra_Pay&lt;Beg_Bal),Beg_Bal-Princ,IF(Pay_Num&lt;&gt;"",0,"")))</f>
        <v>0</v>
      </c>
      <c r="K469" s="34">
        <f ca="1">IF(scheduled_no_payments=1,"",SUM($I$13:$I469))</f>
        <v>87584.066117996466</v>
      </c>
      <c r="L469" s="38"/>
    </row>
    <row r="470" spans="2:12" ht="16.5" customHeight="1" x14ac:dyDescent="0.25">
      <c r="B470" s="32">
        <f ca="1">IF(AND(Values_Entered,scheduled_no_payments&lt;&gt;1),B469+1,"")</f>
        <v>458</v>
      </c>
      <c r="C470" s="33">
        <f ca="1">IF(Pay_Num&lt;&gt;"",DATE(YEAR(C469)+VLOOKUP(Interval,LoanLookup[],4,FALSE),MONTH(C469)+VLOOKUP(Interval,LoanLookup[],2,FALSE),DAY(C469)+VLOOKUP(Interval,LoanLookup[],3,FALSE)),"")</f>
        <v>58778</v>
      </c>
      <c r="D470" s="34">
        <f t="shared" ca="1" si="23"/>
        <v>0</v>
      </c>
      <c r="E470" s="35">
        <f t="shared" ca="1" si="25"/>
        <v>989.93360882498609</v>
      </c>
      <c r="F470" s="36">
        <f ca="1">IF(scheduled_no_payments=1,"",IF(Sched_Pay+Scheduled_Extra_Payments&lt;Beg_Bal,Scheduled_Extra_Payments,IF(AND(Pay_Num&lt;&gt;"",Beg_Bal-Sched_Pay&gt;0),Beg_Bal-Sched_Pay,IF(Pay_Num&lt;&gt;"",0,""))))</f>
        <v>0</v>
      </c>
      <c r="G470" s="34">
        <f ca="1">IF(scheduled_no_payments=1,"",IF(Sched_Pay+Extra_Pay&lt;Beg_Bal,Sched_Pay+Extra_Pay,IF(Pay_Num&lt;&gt;"",Beg_Bal,"")))</f>
        <v>0</v>
      </c>
      <c r="H470" s="34">
        <f t="shared" ca="1" si="24"/>
        <v>0</v>
      </c>
      <c r="I470" s="34">
        <f ca="1">IF(Pay_Num&lt;&gt;"",Beg_Bal*(Interest_Rate/VLOOKUP(Interval,LoanLookup[],5,FALSE)),"")</f>
        <v>0</v>
      </c>
      <c r="J470" s="34">
        <f ca="1">IF(scheduled_no_payments=1,"",IF(AND(Pay_Num&lt;&gt;"",Sched_Pay+Extra_Pay&lt;Beg_Bal),Beg_Bal-Princ,IF(Pay_Num&lt;&gt;"",0,"")))</f>
        <v>0</v>
      </c>
      <c r="K470" s="34">
        <f ca="1">IF(scheduled_no_payments=1,"",SUM($I$13:$I470))</f>
        <v>87584.066117996466</v>
      </c>
      <c r="L470" s="38"/>
    </row>
    <row r="471" spans="2:12" ht="16.5" customHeight="1" x14ac:dyDescent="0.25">
      <c r="B471" s="32">
        <f ca="1">IF(AND(Values_Entered,scheduled_no_payments&lt;&gt;1),B470+1,"")</f>
        <v>459</v>
      </c>
      <c r="C471" s="33">
        <f ca="1">IF(Pay_Num&lt;&gt;"",DATE(YEAR(C470)+VLOOKUP(Interval,LoanLookup[],4,FALSE),MONTH(C470)+VLOOKUP(Interval,LoanLookup[],2,FALSE),DAY(C470)+VLOOKUP(Interval,LoanLookup[],3,FALSE)),"")</f>
        <v>58809</v>
      </c>
      <c r="D471" s="34">
        <f t="shared" ca="1" si="23"/>
        <v>0</v>
      </c>
      <c r="E471" s="35">
        <f t="shared" ca="1" si="25"/>
        <v>989.93360882498609</v>
      </c>
      <c r="F471" s="36">
        <f ca="1">IF(scheduled_no_payments=1,"",IF(Sched_Pay+Scheduled_Extra_Payments&lt;Beg_Bal,Scheduled_Extra_Payments,IF(AND(Pay_Num&lt;&gt;"",Beg_Bal-Sched_Pay&gt;0),Beg_Bal-Sched_Pay,IF(Pay_Num&lt;&gt;"",0,""))))</f>
        <v>0</v>
      </c>
      <c r="G471" s="34">
        <f ca="1">IF(scheduled_no_payments=1,"",IF(Sched_Pay+Extra_Pay&lt;Beg_Bal,Sched_Pay+Extra_Pay,IF(Pay_Num&lt;&gt;"",Beg_Bal,"")))</f>
        <v>0</v>
      </c>
      <c r="H471" s="34">
        <f t="shared" ca="1" si="24"/>
        <v>0</v>
      </c>
      <c r="I471" s="34">
        <f ca="1">IF(Pay_Num&lt;&gt;"",Beg_Bal*(Interest_Rate/VLOOKUP(Interval,LoanLookup[],5,FALSE)),"")</f>
        <v>0</v>
      </c>
      <c r="J471" s="34">
        <f ca="1">IF(scheduled_no_payments=1,"",IF(AND(Pay_Num&lt;&gt;"",Sched_Pay+Extra_Pay&lt;Beg_Bal),Beg_Bal-Princ,IF(Pay_Num&lt;&gt;"",0,"")))</f>
        <v>0</v>
      </c>
      <c r="K471" s="34">
        <f ca="1">IF(scheduled_no_payments=1,"",SUM($I$13:$I471))</f>
        <v>87584.066117996466</v>
      </c>
      <c r="L471" s="38"/>
    </row>
    <row r="472" spans="2:12" ht="16.5" customHeight="1" x14ac:dyDescent="0.25">
      <c r="B472" s="32">
        <f ca="1">IF(AND(Values_Entered,scheduled_no_payments&lt;&gt;1),B471+1,"")</f>
        <v>460</v>
      </c>
      <c r="C472" s="33">
        <f ca="1">IF(Pay_Num&lt;&gt;"",DATE(YEAR(C471)+VLOOKUP(Interval,LoanLookup[],4,FALSE),MONTH(C471)+VLOOKUP(Interval,LoanLookup[],2,FALSE),DAY(C471)+VLOOKUP(Interval,LoanLookup[],3,FALSE)),"")</f>
        <v>58840</v>
      </c>
      <c r="D472" s="34">
        <f t="shared" ca="1" si="23"/>
        <v>0</v>
      </c>
      <c r="E472" s="35">
        <f t="shared" ca="1" si="25"/>
        <v>989.93360882498609</v>
      </c>
      <c r="F472" s="36">
        <f ca="1">IF(scheduled_no_payments=1,"",IF(Sched_Pay+Scheduled_Extra_Payments&lt;Beg_Bal,Scheduled_Extra_Payments,IF(AND(Pay_Num&lt;&gt;"",Beg_Bal-Sched_Pay&gt;0),Beg_Bal-Sched_Pay,IF(Pay_Num&lt;&gt;"",0,""))))</f>
        <v>0</v>
      </c>
      <c r="G472" s="34">
        <f ca="1">IF(scheduled_no_payments=1,"",IF(Sched_Pay+Extra_Pay&lt;Beg_Bal,Sched_Pay+Extra_Pay,IF(Pay_Num&lt;&gt;"",Beg_Bal,"")))</f>
        <v>0</v>
      </c>
      <c r="H472" s="34">
        <f t="shared" ca="1" si="24"/>
        <v>0</v>
      </c>
      <c r="I472" s="34">
        <f ca="1">IF(Pay_Num&lt;&gt;"",Beg_Bal*(Interest_Rate/VLOOKUP(Interval,LoanLookup[],5,FALSE)),"")</f>
        <v>0</v>
      </c>
      <c r="J472" s="34">
        <f ca="1">IF(scheduled_no_payments=1,"",IF(AND(Pay_Num&lt;&gt;"",Sched_Pay+Extra_Pay&lt;Beg_Bal),Beg_Bal-Princ,IF(Pay_Num&lt;&gt;"",0,"")))</f>
        <v>0</v>
      </c>
      <c r="K472" s="34">
        <f ca="1">IF(scheduled_no_payments=1,"",SUM($I$13:$I472))</f>
        <v>87584.066117996466</v>
      </c>
      <c r="L472" s="38"/>
    </row>
    <row r="473" spans="2:12" ht="16.5" customHeight="1" x14ac:dyDescent="0.25">
      <c r="B473" s="32">
        <f ca="1">IF(AND(Values_Entered,scheduled_no_payments&lt;&gt;1),B472+1,"")</f>
        <v>461</v>
      </c>
      <c r="C473" s="33">
        <f ca="1">IF(Pay_Num&lt;&gt;"",DATE(YEAR(C472)+VLOOKUP(Interval,LoanLookup[],4,FALSE),MONTH(C472)+VLOOKUP(Interval,LoanLookup[],2,FALSE),DAY(C472)+VLOOKUP(Interval,LoanLookup[],3,FALSE)),"")</f>
        <v>58868</v>
      </c>
      <c r="D473" s="34">
        <f t="shared" ca="1" si="23"/>
        <v>0</v>
      </c>
      <c r="E473" s="35">
        <f t="shared" ca="1" si="25"/>
        <v>989.93360882498609</v>
      </c>
      <c r="F473" s="36">
        <f ca="1">IF(scheduled_no_payments=1,"",IF(Sched_Pay+Scheduled_Extra_Payments&lt;Beg_Bal,Scheduled_Extra_Payments,IF(AND(Pay_Num&lt;&gt;"",Beg_Bal-Sched_Pay&gt;0),Beg_Bal-Sched_Pay,IF(Pay_Num&lt;&gt;"",0,""))))</f>
        <v>0</v>
      </c>
      <c r="G473" s="34">
        <f ca="1">IF(scheduled_no_payments=1,"",IF(Sched_Pay+Extra_Pay&lt;Beg_Bal,Sched_Pay+Extra_Pay,IF(Pay_Num&lt;&gt;"",Beg_Bal,"")))</f>
        <v>0</v>
      </c>
      <c r="H473" s="34">
        <f t="shared" ca="1" si="24"/>
        <v>0</v>
      </c>
      <c r="I473" s="34">
        <f ca="1">IF(Pay_Num&lt;&gt;"",Beg_Bal*(Interest_Rate/VLOOKUP(Interval,LoanLookup[],5,FALSE)),"")</f>
        <v>0</v>
      </c>
      <c r="J473" s="34">
        <f ca="1">IF(scheduled_no_payments=1,"",IF(AND(Pay_Num&lt;&gt;"",Sched_Pay+Extra_Pay&lt;Beg_Bal),Beg_Bal-Princ,IF(Pay_Num&lt;&gt;"",0,"")))</f>
        <v>0</v>
      </c>
      <c r="K473" s="34">
        <f ca="1">IF(scheduled_no_payments=1,"",SUM($I$13:$I473))</f>
        <v>87584.066117996466</v>
      </c>
      <c r="L473" s="38"/>
    </row>
    <row r="474" spans="2:12" ht="16.5" customHeight="1" x14ac:dyDescent="0.25">
      <c r="B474" s="32">
        <f ca="1">IF(AND(Values_Entered,scheduled_no_payments&lt;&gt;1),B473+1,"")</f>
        <v>462</v>
      </c>
      <c r="C474" s="33">
        <f ca="1">IF(Pay_Num&lt;&gt;"",DATE(YEAR(C473)+VLOOKUP(Interval,LoanLookup[],4,FALSE),MONTH(C473)+VLOOKUP(Interval,LoanLookup[],2,FALSE),DAY(C473)+VLOOKUP(Interval,LoanLookup[],3,FALSE)),"")</f>
        <v>58899</v>
      </c>
      <c r="D474" s="34">
        <f t="shared" ca="1" si="23"/>
        <v>0</v>
      </c>
      <c r="E474" s="35">
        <f t="shared" ca="1" si="25"/>
        <v>989.93360882498609</v>
      </c>
      <c r="F474" s="36">
        <f ca="1">IF(scheduled_no_payments=1,"",IF(Sched_Pay+Scheduled_Extra_Payments&lt;Beg_Bal,Scheduled_Extra_Payments,IF(AND(Pay_Num&lt;&gt;"",Beg_Bal-Sched_Pay&gt;0),Beg_Bal-Sched_Pay,IF(Pay_Num&lt;&gt;"",0,""))))</f>
        <v>0</v>
      </c>
      <c r="G474" s="34">
        <f ca="1">IF(scheduled_no_payments=1,"",IF(Sched_Pay+Extra_Pay&lt;Beg_Bal,Sched_Pay+Extra_Pay,IF(Pay_Num&lt;&gt;"",Beg_Bal,"")))</f>
        <v>0</v>
      </c>
      <c r="H474" s="34">
        <f t="shared" ca="1" si="24"/>
        <v>0</v>
      </c>
      <c r="I474" s="34">
        <f ca="1">IF(Pay_Num&lt;&gt;"",Beg_Bal*(Interest_Rate/VLOOKUP(Interval,LoanLookup[],5,FALSE)),"")</f>
        <v>0</v>
      </c>
      <c r="J474" s="34">
        <f ca="1">IF(scheduled_no_payments=1,"",IF(AND(Pay_Num&lt;&gt;"",Sched_Pay+Extra_Pay&lt;Beg_Bal),Beg_Bal-Princ,IF(Pay_Num&lt;&gt;"",0,"")))</f>
        <v>0</v>
      </c>
      <c r="K474" s="34">
        <f ca="1">IF(scheduled_no_payments=1,"",SUM($I$13:$I474))</f>
        <v>87584.066117996466</v>
      </c>
      <c r="L474" s="38"/>
    </row>
    <row r="475" spans="2:12" ht="16.5" customHeight="1" x14ac:dyDescent="0.25">
      <c r="B475" s="32">
        <f ca="1">IF(AND(Values_Entered,scheduled_no_payments&lt;&gt;1),B474+1,"")</f>
        <v>463</v>
      </c>
      <c r="C475" s="33">
        <f ca="1">IF(Pay_Num&lt;&gt;"",DATE(YEAR(C474)+VLOOKUP(Interval,LoanLookup[],4,FALSE),MONTH(C474)+VLOOKUP(Interval,LoanLookup[],2,FALSE),DAY(C474)+VLOOKUP(Interval,LoanLookup[],3,FALSE)),"")</f>
        <v>58929</v>
      </c>
      <c r="D475" s="34">
        <f t="shared" ca="1" si="23"/>
        <v>0</v>
      </c>
      <c r="E475" s="35">
        <f t="shared" ca="1" si="25"/>
        <v>989.93360882498609</v>
      </c>
      <c r="F475" s="36">
        <f ca="1">IF(scheduled_no_payments=1,"",IF(Sched_Pay+Scheduled_Extra_Payments&lt;Beg_Bal,Scheduled_Extra_Payments,IF(AND(Pay_Num&lt;&gt;"",Beg_Bal-Sched_Pay&gt;0),Beg_Bal-Sched_Pay,IF(Pay_Num&lt;&gt;"",0,""))))</f>
        <v>0</v>
      </c>
      <c r="G475" s="34">
        <f ca="1">IF(scheduled_no_payments=1,"",IF(Sched_Pay+Extra_Pay&lt;Beg_Bal,Sched_Pay+Extra_Pay,IF(Pay_Num&lt;&gt;"",Beg_Bal,"")))</f>
        <v>0</v>
      </c>
      <c r="H475" s="34">
        <f t="shared" ca="1" si="24"/>
        <v>0</v>
      </c>
      <c r="I475" s="34">
        <f ca="1">IF(Pay_Num&lt;&gt;"",Beg_Bal*(Interest_Rate/VLOOKUP(Interval,LoanLookup[],5,FALSE)),"")</f>
        <v>0</v>
      </c>
      <c r="J475" s="34">
        <f ca="1">IF(scheduled_no_payments=1,"",IF(AND(Pay_Num&lt;&gt;"",Sched_Pay+Extra_Pay&lt;Beg_Bal),Beg_Bal-Princ,IF(Pay_Num&lt;&gt;"",0,"")))</f>
        <v>0</v>
      </c>
      <c r="K475" s="34">
        <f ca="1">IF(scheduled_no_payments=1,"",SUM($I$13:$I475))</f>
        <v>87584.066117996466</v>
      </c>
      <c r="L475" s="38"/>
    </row>
    <row r="476" spans="2:12" ht="16.5" customHeight="1" x14ac:dyDescent="0.25">
      <c r="B476" s="32">
        <f ca="1">IF(AND(Values_Entered,scheduled_no_payments&lt;&gt;1),B475+1,"")</f>
        <v>464</v>
      </c>
      <c r="C476" s="33">
        <f ca="1">IF(Pay_Num&lt;&gt;"",DATE(YEAR(C475)+VLOOKUP(Interval,LoanLookup[],4,FALSE),MONTH(C475)+VLOOKUP(Interval,LoanLookup[],2,FALSE),DAY(C475)+VLOOKUP(Interval,LoanLookup[],3,FALSE)),"")</f>
        <v>58960</v>
      </c>
      <c r="D476" s="34">
        <f t="shared" ca="1" si="23"/>
        <v>0</v>
      </c>
      <c r="E476" s="35">
        <f t="shared" ca="1" si="25"/>
        <v>989.93360882498609</v>
      </c>
      <c r="F476" s="36">
        <f ca="1">IF(scheduled_no_payments=1,"",IF(Sched_Pay+Scheduled_Extra_Payments&lt;Beg_Bal,Scheduled_Extra_Payments,IF(AND(Pay_Num&lt;&gt;"",Beg_Bal-Sched_Pay&gt;0),Beg_Bal-Sched_Pay,IF(Pay_Num&lt;&gt;"",0,""))))</f>
        <v>0</v>
      </c>
      <c r="G476" s="34">
        <f ca="1">IF(scheduled_no_payments=1,"",IF(Sched_Pay+Extra_Pay&lt;Beg_Bal,Sched_Pay+Extra_Pay,IF(Pay_Num&lt;&gt;"",Beg_Bal,"")))</f>
        <v>0</v>
      </c>
      <c r="H476" s="34">
        <f t="shared" ca="1" si="24"/>
        <v>0</v>
      </c>
      <c r="I476" s="34">
        <f ca="1">IF(Pay_Num&lt;&gt;"",Beg_Bal*(Interest_Rate/VLOOKUP(Interval,LoanLookup[],5,FALSE)),"")</f>
        <v>0</v>
      </c>
      <c r="J476" s="34">
        <f ca="1">IF(scheduled_no_payments=1,"",IF(AND(Pay_Num&lt;&gt;"",Sched_Pay+Extra_Pay&lt;Beg_Bal),Beg_Bal-Princ,IF(Pay_Num&lt;&gt;"",0,"")))</f>
        <v>0</v>
      </c>
      <c r="K476" s="34">
        <f ca="1">IF(scheduled_no_payments=1,"",SUM($I$13:$I476))</f>
        <v>87584.066117996466</v>
      </c>
      <c r="L476" s="38"/>
    </row>
    <row r="477" spans="2:12" ht="16.5" customHeight="1" x14ac:dyDescent="0.25">
      <c r="B477" s="32">
        <f ca="1">IF(AND(Values_Entered,scheduled_no_payments&lt;&gt;1),B476+1,"")</f>
        <v>465</v>
      </c>
      <c r="C477" s="33">
        <f ca="1">IF(Pay_Num&lt;&gt;"",DATE(YEAR(C476)+VLOOKUP(Interval,LoanLookup[],4,FALSE),MONTH(C476)+VLOOKUP(Interval,LoanLookup[],2,FALSE),DAY(C476)+VLOOKUP(Interval,LoanLookup[],3,FALSE)),"")</f>
        <v>58990</v>
      </c>
      <c r="D477" s="34">
        <f t="shared" ca="1" si="23"/>
        <v>0</v>
      </c>
      <c r="E477" s="35">
        <f t="shared" ca="1" si="25"/>
        <v>989.93360882498609</v>
      </c>
      <c r="F477" s="36">
        <f ca="1">IF(scheduled_no_payments=1,"",IF(Sched_Pay+Scheduled_Extra_Payments&lt;Beg_Bal,Scheduled_Extra_Payments,IF(AND(Pay_Num&lt;&gt;"",Beg_Bal-Sched_Pay&gt;0),Beg_Bal-Sched_Pay,IF(Pay_Num&lt;&gt;"",0,""))))</f>
        <v>0</v>
      </c>
      <c r="G477" s="34">
        <f ca="1">IF(scheduled_no_payments=1,"",IF(Sched_Pay+Extra_Pay&lt;Beg_Bal,Sched_Pay+Extra_Pay,IF(Pay_Num&lt;&gt;"",Beg_Bal,"")))</f>
        <v>0</v>
      </c>
      <c r="H477" s="34">
        <f t="shared" ca="1" si="24"/>
        <v>0</v>
      </c>
      <c r="I477" s="34">
        <f ca="1">IF(Pay_Num&lt;&gt;"",Beg_Bal*(Interest_Rate/VLOOKUP(Interval,LoanLookup[],5,FALSE)),"")</f>
        <v>0</v>
      </c>
      <c r="J477" s="34">
        <f ca="1">IF(scheduled_no_payments=1,"",IF(AND(Pay_Num&lt;&gt;"",Sched_Pay+Extra_Pay&lt;Beg_Bal),Beg_Bal-Princ,IF(Pay_Num&lt;&gt;"",0,"")))</f>
        <v>0</v>
      </c>
      <c r="K477" s="34">
        <f ca="1">IF(scheduled_no_payments=1,"",SUM($I$13:$I477))</f>
        <v>87584.066117996466</v>
      </c>
      <c r="L477" s="38"/>
    </row>
    <row r="478" spans="2:12" ht="16.5" customHeight="1" x14ac:dyDescent="0.25">
      <c r="B478" s="32">
        <f ca="1">IF(AND(Values_Entered,scheduled_no_payments&lt;&gt;1),B477+1,"")</f>
        <v>466</v>
      </c>
      <c r="C478" s="33">
        <f ca="1">IF(Pay_Num&lt;&gt;"",DATE(YEAR(C477)+VLOOKUP(Interval,LoanLookup[],4,FALSE),MONTH(C477)+VLOOKUP(Interval,LoanLookup[],2,FALSE),DAY(C477)+VLOOKUP(Interval,LoanLookup[],3,FALSE)),"")</f>
        <v>59021</v>
      </c>
      <c r="D478" s="34">
        <f t="shared" ca="1" si="23"/>
        <v>0</v>
      </c>
      <c r="E478" s="35">
        <f t="shared" ca="1" si="25"/>
        <v>989.93360882498609</v>
      </c>
      <c r="F478" s="36">
        <f ca="1">IF(scheduled_no_payments=1,"",IF(Sched_Pay+Scheduled_Extra_Payments&lt;Beg_Bal,Scheduled_Extra_Payments,IF(AND(Pay_Num&lt;&gt;"",Beg_Bal-Sched_Pay&gt;0),Beg_Bal-Sched_Pay,IF(Pay_Num&lt;&gt;"",0,""))))</f>
        <v>0</v>
      </c>
      <c r="G478" s="34">
        <f ca="1">IF(scheduled_no_payments=1,"",IF(Sched_Pay+Extra_Pay&lt;Beg_Bal,Sched_Pay+Extra_Pay,IF(Pay_Num&lt;&gt;"",Beg_Bal,"")))</f>
        <v>0</v>
      </c>
      <c r="H478" s="34">
        <f t="shared" ca="1" si="24"/>
        <v>0</v>
      </c>
      <c r="I478" s="34">
        <f ca="1">IF(Pay_Num&lt;&gt;"",Beg_Bal*(Interest_Rate/VLOOKUP(Interval,LoanLookup[],5,FALSE)),"")</f>
        <v>0</v>
      </c>
      <c r="J478" s="34">
        <f ca="1">IF(scheduled_no_payments=1,"",IF(AND(Pay_Num&lt;&gt;"",Sched_Pay+Extra_Pay&lt;Beg_Bal),Beg_Bal-Princ,IF(Pay_Num&lt;&gt;"",0,"")))</f>
        <v>0</v>
      </c>
      <c r="K478" s="34">
        <f ca="1">IF(scheduled_no_payments=1,"",SUM($I$13:$I478))</f>
        <v>87584.066117996466</v>
      </c>
      <c r="L478" s="38"/>
    </row>
    <row r="479" spans="2:12" ht="16.5" customHeight="1" x14ac:dyDescent="0.25">
      <c r="B479" s="32">
        <f ca="1">IF(AND(Values_Entered,scheduled_no_payments&lt;&gt;1),B478+1,"")</f>
        <v>467</v>
      </c>
      <c r="C479" s="33">
        <f ca="1">IF(Pay_Num&lt;&gt;"",DATE(YEAR(C478)+VLOOKUP(Interval,LoanLookup[],4,FALSE),MONTH(C478)+VLOOKUP(Interval,LoanLookup[],2,FALSE),DAY(C478)+VLOOKUP(Interval,LoanLookup[],3,FALSE)),"")</f>
        <v>59052</v>
      </c>
      <c r="D479" s="34">
        <f t="shared" ca="1" si="23"/>
        <v>0</v>
      </c>
      <c r="E479" s="35">
        <f t="shared" ca="1" si="25"/>
        <v>989.93360882498609</v>
      </c>
      <c r="F479" s="36">
        <f ca="1">IF(scheduled_no_payments=1,"",IF(Sched_Pay+Scheduled_Extra_Payments&lt;Beg_Bal,Scheduled_Extra_Payments,IF(AND(Pay_Num&lt;&gt;"",Beg_Bal-Sched_Pay&gt;0),Beg_Bal-Sched_Pay,IF(Pay_Num&lt;&gt;"",0,""))))</f>
        <v>0</v>
      </c>
      <c r="G479" s="34">
        <f ca="1">IF(scheduled_no_payments=1,"",IF(Sched_Pay+Extra_Pay&lt;Beg_Bal,Sched_Pay+Extra_Pay,IF(Pay_Num&lt;&gt;"",Beg_Bal,"")))</f>
        <v>0</v>
      </c>
      <c r="H479" s="34">
        <f t="shared" ca="1" si="24"/>
        <v>0</v>
      </c>
      <c r="I479" s="34">
        <f ca="1">IF(Pay_Num&lt;&gt;"",Beg_Bal*(Interest_Rate/VLOOKUP(Interval,LoanLookup[],5,FALSE)),"")</f>
        <v>0</v>
      </c>
      <c r="J479" s="34">
        <f ca="1">IF(scheduled_no_payments=1,"",IF(AND(Pay_Num&lt;&gt;"",Sched_Pay+Extra_Pay&lt;Beg_Bal),Beg_Bal-Princ,IF(Pay_Num&lt;&gt;"",0,"")))</f>
        <v>0</v>
      </c>
      <c r="K479" s="34">
        <f ca="1">IF(scheduled_no_payments=1,"",SUM($I$13:$I479))</f>
        <v>87584.066117996466</v>
      </c>
      <c r="L479" s="38"/>
    </row>
    <row r="480" spans="2:12" ht="16.5" customHeight="1" x14ac:dyDescent="0.25">
      <c r="B480" s="32">
        <f ca="1">IF(AND(Values_Entered,scheduled_no_payments&lt;&gt;1),B479+1,"")</f>
        <v>468</v>
      </c>
      <c r="C480" s="33">
        <f ca="1">IF(Pay_Num&lt;&gt;"",DATE(YEAR(C479)+VLOOKUP(Interval,LoanLookup[],4,FALSE),MONTH(C479)+VLOOKUP(Interval,LoanLookup[],2,FALSE),DAY(C479)+VLOOKUP(Interval,LoanLookup[],3,FALSE)),"")</f>
        <v>59082</v>
      </c>
      <c r="D480" s="34">
        <f t="shared" ca="1" si="23"/>
        <v>0</v>
      </c>
      <c r="E480" s="35">
        <f t="shared" ca="1" si="25"/>
        <v>989.93360882498609</v>
      </c>
      <c r="F480" s="36">
        <f ca="1">IF(scheduled_no_payments=1,"",IF(Sched_Pay+Scheduled_Extra_Payments&lt;Beg_Bal,Scheduled_Extra_Payments,IF(AND(Pay_Num&lt;&gt;"",Beg_Bal-Sched_Pay&gt;0),Beg_Bal-Sched_Pay,IF(Pay_Num&lt;&gt;"",0,""))))</f>
        <v>0</v>
      </c>
      <c r="G480" s="34">
        <f ca="1">IF(scheduled_no_payments=1,"",IF(Sched_Pay+Extra_Pay&lt;Beg_Bal,Sched_Pay+Extra_Pay,IF(Pay_Num&lt;&gt;"",Beg_Bal,"")))</f>
        <v>0</v>
      </c>
      <c r="H480" s="34">
        <f t="shared" ca="1" si="24"/>
        <v>0</v>
      </c>
      <c r="I480" s="34">
        <f ca="1">IF(Pay_Num&lt;&gt;"",Beg_Bal*(Interest_Rate/VLOOKUP(Interval,LoanLookup[],5,FALSE)),"")</f>
        <v>0</v>
      </c>
      <c r="J480" s="34">
        <f ca="1">IF(scheduled_no_payments=1,"",IF(AND(Pay_Num&lt;&gt;"",Sched_Pay+Extra_Pay&lt;Beg_Bal),Beg_Bal-Princ,IF(Pay_Num&lt;&gt;"",0,"")))</f>
        <v>0</v>
      </c>
      <c r="K480" s="34">
        <f ca="1">IF(scheduled_no_payments=1,"",SUM($I$13:$I480))</f>
        <v>87584.066117996466</v>
      </c>
      <c r="L480" s="38"/>
    </row>
    <row r="481" spans="2:12" ht="16.5" customHeight="1" x14ac:dyDescent="0.25">
      <c r="B481" s="32">
        <f ca="1">IF(AND(Values_Entered,scheduled_no_payments&lt;&gt;1),B480+1,"")</f>
        <v>469</v>
      </c>
      <c r="C481" s="33">
        <f ca="1">IF(Pay_Num&lt;&gt;"",DATE(YEAR(C480)+VLOOKUP(Interval,LoanLookup[],4,FALSE),MONTH(C480)+VLOOKUP(Interval,LoanLookup[],2,FALSE),DAY(C480)+VLOOKUP(Interval,LoanLookup[],3,FALSE)),"")</f>
        <v>59113</v>
      </c>
      <c r="D481" s="34">
        <f t="shared" ca="1" si="23"/>
        <v>0</v>
      </c>
      <c r="E481" s="35">
        <f t="shared" ca="1" si="25"/>
        <v>989.93360882498609</v>
      </c>
      <c r="F481" s="36">
        <f ca="1">IF(scheduled_no_payments=1,"",IF(Sched_Pay+Scheduled_Extra_Payments&lt;Beg_Bal,Scheduled_Extra_Payments,IF(AND(Pay_Num&lt;&gt;"",Beg_Bal-Sched_Pay&gt;0),Beg_Bal-Sched_Pay,IF(Pay_Num&lt;&gt;"",0,""))))</f>
        <v>0</v>
      </c>
      <c r="G481" s="34">
        <f ca="1">IF(scheduled_no_payments=1,"",IF(Sched_Pay+Extra_Pay&lt;Beg_Bal,Sched_Pay+Extra_Pay,IF(Pay_Num&lt;&gt;"",Beg_Bal,"")))</f>
        <v>0</v>
      </c>
      <c r="H481" s="34">
        <f t="shared" ca="1" si="24"/>
        <v>0</v>
      </c>
      <c r="I481" s="34">
        <f ca="1">IF(Pay_Num&lt;&gt;"",Beg_Bal*(Interest_Rate/VLOOKUP(Interval,LoanLookup[],5,FALSE)),"")</f>
        <v>0</v>
      </c>
      <c r="J481" s="34">
        <f ca="1">IF(scheduled_no_payments=1,"",IF(AND(Pay_Num&lt;&gt;"",Sched_Pay+Extra_Pay&lt;Beg_Bal),Beg_Bal-Princ,IF(Pay_Num&lt;&gt;"",0,"")))</f>
        <v>0</v>
      </c>
      <c r="K481" s="34">
        <f ca="1">IF(scheduled_no_payments=1,"",SUM($I$13:$I481))</f>
        <v>87584.066117996466</v>
      </c>
      <c r="L481" s="38"/>
    </row>
    <row r="482" spans="2:12" ht="16.5" customHeight="1" x14ac:dyDescent="0.25">
      <c r="B482" s="32">
        <f ca="1">IF(AND(Values_Entered,scheduled_no_payments&lt;&gt;1),B481+1,"")</f>
        <v>470</v>
      </c>
      <c r="C482" s="33">
        <f ca="1">IF(Pay_Num&lt;&gt;"",DATE(YEAR(C481)+VLOOKUP(Interval,LoanLookup[],4,FALSE),MONTH(C481)+VLOOKUP(Interval,LoanLookup[],2,FALSE),DAY(C481)+VLOOKUP(Interval,LoanLookup[],3,FALSE)),"")</f>
        <v>59143</v>
      </c>
      <c r="D482" s="34">
        <f t="shared" ca="1" si="23"/>
        <v>0</v>
      </c>
      <c r="E482" s="35">
        <f t="shared" ca="1" si="25"/>
        <v>989.93360882498609</v>
      </c>
      <c r="F482" s="36">
        <f ca="1">IF(scheduled_no_payments=1,"",IF(Sched_Pay+Scheduled_Extra_Payments&lt;Beg_Bal,Scheduled_Extra_Payments,IF(AND(Pay_Num&lt;&gt;"",Beg_Bal-Sched_Pay&gt;0),Beg_Bal-Sched_Pay,IF(Pay_Num&lt;&gt;"",0,""))))</f>
        <v>0</v>
      </c>
      <c r="G482" s="34">
        <f ca="1">IF(scheduled_no_payments=1,"",IF(Sched_Pay+Extra_Pay&lt;Beg_Bal,Sched_Pay+Extra_Pay,IF(Pay_Num&lt;&gt;"",Beg_Bal,"")))</f>
        <v>0</v>
      </c>
      <c r="H482" s="34">
        <f t="shared" ca="1" si="24"/>
        <v>0</v>
      </c>
      <c r="I482" s="34">
        <f ca="1">IF(Pay_Num&lt;&gt;"",Beg_Bal*(Interest_Rate/VLOOKUP(Interval,LoanLookup[],5,FALSE)),"")</f>
        <v>0</v>
      </c>
      <c r="J482" s="34">
        <f ca="1">IF(scheduled_no_payments=1,"",IF(AND(Pay_Num&lt;&gt;"",Sched_Pay+Extra_Pay&lt;Beg_Bal),Beg_Bal-Princ,IF(Pay_Num&lt;&gt;"",0,"")))</f>
        <v>0</v>
      </c>
      <c r="K482" s="34">
        <f ca="1">IF(scheduled_no_payments=1,"",SUM($I$13:$I482))</f>
        <v>87584.066117996466</v>
      </c>
      <c r="L482" s="38"/>
    </row>
    <row r="483" spans="2:12" ht="16.5" customHeight="1" x14ac:dyDescent="0.25">
      <c r="B483" s="32">
        <f ca="1">IF(AND(Values_Entered,scheduled_no_payments&lt;&gt;1),B482+1,"")</f>
        <v>471</v>
      </c>
      <c r="C483" s="33">
        <f ca="1">IF(Pay_Num&lt;&gt;"",DATE(YEAR(C482)+VLOOKUP(Interval,LoanLookup[],4,FALSE),MONTH(C482)+VLOOKUP(Interval,LoanLookup[],2,FALSE),DAY(C482)+VLOOKUP(Interval,LoanLookup[],3,FALSE)),"")</f>
        <v>59174</v>
      </c>
      <c r="D483" s="34">
        <f t="shared" ca="1" si="23"/>
        <v>0</v>
      </c>
      <c r="E483" s="35">
        <f t="shared" ca="1" si="25"/>
        <v>989.93360882498609</v>
      </c>
      <c r="F483" s="36">
        <f ca="1">IF(scheduled_no_payments=1,"",IF(Sched_Pay+Scheduled_Extra_Payments&lt;Beg_Bal,Scheduled_Extra_Payments,IF(AND(Pay_Num&lt;&gt;"",Beg_Bal-Sched_Pay&gt;0),Beg_Bal-Sched_Pay,IF(Pay_Num&lt;&gt;"",0,""))))</f>
        <v>0</v>
      </c>
      <c r="G483" s="34">
        <f ca="1">IF(scheduled_no_payments=1,"",IF(Sched_Pay+Extra_Pay&lt;Beg_Bal,Sched_Pay+Extra_Pay,IF(Pay_Num&lt;&gt;"",Beg_Bal,"")))</f>
        <v>0</v>
      </c>
      <c r="H483" s="34">
        <f t="shared" ca="1" si="24"/>
        <v>0</v>
      </c>
      <c r="I483" s="34">
        <f ca="1">IF(Pay_Num&lt;&gt;"",Beg_Bal*(Interest_Rate/VLOOKUP(Interval,LoanLookup[],5,FALSE)),"")</f>
        <v>0</v>
      </c>
      <c r="J483" s="34">
        <f ca="1">IF(scheduled_no_payments=1,"",IF(AND(Pay_Num&lt;&gt;"",Sched_Pay+Extra_Pay&lt;Beg_Bal),Beg_Bal-Princ,IF(Pay_Num&lt;&gt;"",0,"")))</f>
        <v>0</v>
      </c>
      <c r="K483" s="34">
        <f ca="1">IF(scheduled_no_payments=1,"",SUM($I$13:$I483))</f>
        <v>87584.066117996466</v>
      </c>
      <c r="L483" s="38"/>
    </row>
    <row r="484" spans="2:12" ht="16.5" customHeight="1" x14ac:dyDescent="0.25">
      <c r="B484" s="32">
        <f ca="1">IF(AND(Values_Entered,scheduled_no_payments&lt;&gt;1),B483+1,"")</f>
        <v>472</v>
      </c>
      <c r="C484" s="33">
        <f ca="1">IF(Pay_Num&lt;&gt;"",DATE(YEAR(C483)+VLOOKUP(Interval,LoanLookup[],4,FALSE),MONTH(C483)+VLOOKUP(Interval,LoanLookup[],2,FALSE),DAY(C483)+VLOOKUP(Interval,LoanLookup[],3,FALSE)),"")</f>
        <v>59205</v>
      </c>
      <c r="D484" s="34">
        <f t="shared" ca="1" si="23"/>
        <v>0</v>
      </c>
      <c r="E484" s="35">
        <f t="shared" ca="1" si="25"/>
        <v>989.93360882498609</v>
      </c>
      <c r="F484" s="36">
        <f ca="1">IF(scheduled_no_payments=1,"",IF(Sched_Pay+Scheduled_Extra_Payments&lt;Beg_Bal,Scheduled_Extra_Payments,IF(AND(Pay_Num&lt;&gt;"",Beg_Bal-Sched_Pay&gt;0),Beg_Bal-Sched_Pay,IF(Pay_Num&lt;&gt;"",0,""))))</f>
        <v>0</v>
      </c>
      <c r="G484" s="34">
        <f ca="1">IF(scheduled_no_payments=1,"",IF(Sched_Pay+Extra_Pay&lt;Beg_Bal,Sched_Pay+Extra_Pay,IF(Pay_Num&lt;&gt;"",Beg_Bal,"")))</f>
        <v>0</v>
      </c>
      <c r="H484" s="34">
        <f t="shared" ca="1" si="24"/>
        <v>0</v>
      </c>
      <c r="I484" s="34">
        <f ca="1">IF(Pay_Num&lt;&gt;"",Beg_Bal*(Interest_Rate/VLOOKUP(Interval,LoanLookup[],5,FALSE)),"")</f>
        <v>0</v>
      </c>
      <c r="J484" s="34">
        <f ca="1">IF(scheduled_no_payments=1,"",IF(AND(Pay_Num&lt;&gt;"",Sched_Pay+Extra_Pay&lt;Beg_Bal),Beg_Bal-Princ,IF(Pay_Num&lt;&gt;"",0,"")))</f>
        <v>0</v>
      </c>
      <c r="K484" s="34">
        <f ca="1">IF(scheduled_no_payments=1,"",SUM($I$13:$I484))</f>
        <v>87584.066117996466</v>
      </c>
      <c r="L484" s="38"/>
    </row>
    <row r="485" spans="2:12" ht="16.5" customHeight="1" x14ac:dyDescent="0.25">
      <c r="B485" s="32">
        <f ca="1">IF(AND(Values_Entered,scheduled_no_payments&lt;&gt;1),B484+1,"")</f>
        <v>473</v>
      </c>
      <c r="C485" s="33">
        <f ca="1">IF(Pay_Num&lt;&gt;"",DATE(YEAR(C484)+VLOOKUP(Interval,LoanLookup[],4,FALSE),MONTH(C484)+VLOOKUP(Interval,LoanLookup[],2,FALSE),DAY(C484)+VLOOKUP(Interval,LoanLookup[],3,FALSE)),"")</f>
        <v>59233</v>
      </c>
      <c r="D485" s="34">
        <f t="shared" ca="1" si="23"/>
        <v>0</v>
      </c>
      <c r="E485" s="35">
        <f t="shared" ca="1" si="25"/>
        <v>989.93360882498609</v>
      </c>
      <c r="F485" s="36">
        <f ca="1">IF(scheduled_no_payments=1,"",IF(Sched_Pay+Scheduled_Extra_Payments&lt;Beg_Bal,Scheduled_Extra_Payments,IF(AND(Pay_Num&lt;&gt;"",Beg_Bal-Sched_Pay&gt;0),Beg_Bal-Sched_Pay,IF(Pay_Num&lt;&gt;"",0,""))))</f>
        <v>0</v>
      </c>
      <c r="G485" s="34">
        <f ca="1">IF(scheduled_no_payments=1,"",IF(Sched_Pay+Extra_Pay&lt;Beg_Bal,Sched_Pay+Extra_Pay,IF(Pay_Num&lt;&gt;"",Beg_Bal,"")))</f>
        <v>0</v>
      </c>
      <c r="H485" s="34">
        <f t="shared" ca="1" si="24"/>
        <v>0</v>
      </c>
      <c r="I485" s="34">
        <f ca="1">IF(Pay_Num&lt;&gt;"",Beg_Bal*(Interest_Rate/VLOOKUP(Interval,LoanLookup[],5,FALSE)),"")</f>
        <v>0</v>
      </c>
      <c r="J485" s="34">
        <f ca="1">IF(scheduled_no_payments=1,"",IF(AND(Pay_Num&lt;&gt;"",Sched_Pay+Extra_Pay&lt;Beg_Bal),Beg_Bal-Princ,IF(Pay_Num&lt;&gt;"",0,"")))</f>
        <v>0</v>
      </c>
      <c r="K485" s="34">
        <f ca="1">IF(scheduled_no_payments=1,"",SUM($I$13:$I485))</f>
        <v>87584.066117996466</v>
      </c>
      <c r="L485" s="38"/>
    </row>
    <row r="486" spans="2:12" ht="16.5" customHeight="1" x14ac:dyDescent="0.25">
      <c r="B486" s="32">
        <f ca="1">IF(AND(Values_Entered,scheduled_no_payments&lt;&gt;1),B485+1,"")</f>
        <v>474</v>
      </c>
      <c r="C486" s="33">
        <f ca="1">IF(Pay_Num&lt;&gt;"",DATE(YEAR(C485)+VLOOKUP(Interval,LoanLookup[],4,FALSE),MONTH(C485)+VLOOKUP(Interval,LoanLookup[],2,FALSE),DAY(C485)+VLOOKUP(Interval,LoanLookup[],3,FALSE)),"")</f>
        <v>59264</v>
      </c>
      <c r="D486" s="34">
        <f t="shared" ca="1" si="23"/>
        <v>0</v>
      </c>
      <c r="E486" s="35">
        <f t="shared" ca="1" si="25"/>
        <v>989.93360882498609</v>
      </c>
      <c r="F486" s="36">
        <f ca="1">IF(scheduled_no_payments=1,"",IF(Sched_Pay+Scheduled_Extra_Payments&lt;Beg_Bal,Scheduled_Extra_Payments,IF(AND(Pay_Num&lt;&gt;"",Beg_Bal-Sched_Pay&gt;0),Beg_Bal-Sched_Pay,IF(Pay_Num&lt;&gt;"",0,""))))</f>
        <v>0</v>
      </c>
      <c r="G486" s="34">
        <f ca="1">IF(scheduled_no_payments=1,"",IF(Sched_Pay+Extra_Pay&lt;Beg_Bal,Sched_Pay+Extra_Pay,IF(Pay_Num&lt;&gt;"",Beg_Bal,"")))</f>
        <v>0</v>
      </c>
      <c r="H486" s="34">
        <f t="shared" ca="1" si="24"/>
        <v>0</v>
      </c>
      <c r="I486" s="34">
        <f ca="1">IF(Pay_Num&lt;&gt;"",Beg_Bal*(Interest_Rate/VLOOKUP(Interval,LoanLookup[],5,FALSE)),"")</f>
        <v>0</v>
      </c>
      <c r="J486" s="34">
        <f ca="1">IF(scheduled_no_payments=1,"",IF(AND(Pay_Num&lt;&gt;"",Sched_Pay+Extra_Pay&lt;Beg_Bal),Beg_Bal-Princ,IF(Pay_Num&lt;&gt;"",0,"")))</f>
        <v>0</v>
      </c>
      <c r="K486" s="34">
        <f ca="1">IF(scheduled_no_payments=1,"",SUM($I$13:$I486))</f>
        <v>87584.066117996466</v>
      </c>
      <c r="L486" s="38"/>
    </row>
    <row r="487" spans="2:12" ht="16.5" customHeight="1" x14ac:dyDescent="0.25">
      <c r="B487" s="32">
        <f ca="1">IF(AND(Values_Entered,scheduled_no_payments&lt;&gt;1),B486+1,"")</f>
        <v>475</v>
      </c>
      <c r="C487" s="33">
        <f ca="1">IF(Pay_Num&lt;&gt;"",DATE(YEAR(C486)+VLOOKUP(Interval,LoanLookup[],4,FALSE),MONTH(C486)+VLOOKUP(Interval,LoanLookup[],2,FALSE),DAY(C486)+VLOOKUP(Interval,LoanLookup[],3,FALSE)),"")</f>
        <v>59294</v>
      </c>
      <c r="D487" s="34">
        <f t="shared" ca="1" si="23"/>
        <v>0</v>
      </c>
      <c r="E487" s="35">
        <f t="shared" ca="1" si="25"/>
        <v>989.93360882498609</v>
      </c>
      <c r="F487" s="36">
        <f ca="1">IF(scheduled_no_payments=1,"",IF(Sched_Pay+Scheduled_Extra_Payments&lt;Beg_Bal,Scheduled_Extra_Payments,IF(AND(Pay_Num&lt;&gt;"",Beg_Bal-Sched_Pay&gt;0),Beg_Bal-Sched_Pay,IF(Pay_Num&lt;&gt;"",0,""))))</f>
        <v>0</v>
      </c>
      <c r="G487" s="34">
        <f ca="1">IF(scheduled_no_payments=1,"",IF(Sched_Pay+Extra_Pay&lt;Beg_Bal,Sched_Pay+Extra_Pay,IF(Pay_Num&lt;&gt;"",Beg_Bal,"")))</f>
        <v>0</v>
      </c>
      <c r="H487" s="34">
        <f t="shared" ca="1" si="24"/>
        <v>0</v>
      </c>
      <c r="I487" s="34">
        <f ca="1">IF(Pay_Num&lt;&gt;"",Beg_Bal*(Interest_Rate/VLOOKUP(Interval,LoanLookup[],5,FALSE)),"")</f>
        <v>0</v>
      </c>
      <c r="J487" s="34">
        <f ca="1">IF(scheduled_no_payments=1,"",IF(AND(Pay_Num&lt;&gt;"",Sched_Pay+Extra_Pay&lt;Beg_Bal),Beg_Bal-Princ,IF(Pay_Num&lt;&gt;"",0,"")))</f>
        <v>0</v>
      </c>
      <c r="K487" s="34">
        <f ca="1">IF(scheduled_no_payments=1,"",SUM($I$13:$I487))</f>
        <v>87584.066117996466</v>
      </c>
      <c r="L487" s="38"/>
    </row>
    <row r="488" spans="2:12" ht="16.5" customHeight="1" x14ac:dyDescent="0.25">
      <c r="B488" s="32">
        <f ca="1">IF(AND(Values_Entered,scheduled_no_payments&lt;&gt;1),B487+1,"")</f>
        <v>476</v>
      </c>
      <c r="C488" s="33">
        <f ca="1">IF(Pay_Num&lt;&gt;"",DATE(YEAR(C487)+VLOOKUP(Interval,LoanLookup[],4,FALSE),MONTH(C487)+VLOOKUP(Interval,LoanLookup[],2,FALSE),DAY(C487)+VLOOKUP(Interval,LoanLookup[],3,FALSE)),"")</f>
        <v>59325</v>
      </c>
      <c r="D488" s="34">
        <f t="shared" ca="1" si="23"/>
        <v>0</v>
      </c>
      <c r="E488" s="35">
        <f t="shared" ca="1" si="25"/>
        <v>989.93360882498609</v>
      </c>
      <c r="F488" s="36">
        <f ca="1">IF(scheduled_no_payments=1,"",IF(Sched_Pay+Scheduled_Extra_Payments&lt;Beg_Bal,Scheduled_Extra_Payments,IF(AND(Pay_Num&lt;&gt;"",Beg_Bal-Sched_Pay&gt;0),Beg_Bal-Sched_Pay,IF(Pay_Num&lt;&gt;"",0,""))))</f>
        <v>0</v>
      </c>
      <c r="G488" s="34">
        <f ca="1">IF(scheduled_no_payments=1,"",IF(Sched_Pay+Extra_Pay&lt;Beg_Bal,Sched_Pay+Extra_Pay,IF(Pay_Num&lt;&gt;"",Beg_Bal,"")))</f>
        <v>0</v>
      </c>
      <c r="H488" s="34">
        <f t="shared" ca="1" si="24"/>
        <v>0</v>
      </c>
      <c r="I488" s="34">
        <f ca="1">IF(Pay_Num&lt;&gt;"",Beg_Bal*(Interest_Rate/VLOOKUP(Interval,LoanLookup[],5,FALSE)),"")</f>
        <v>0</v>
      </c>
      <c r="J488" s="34">
        <f ca="1">IF(scheduled_no_payments=1,"",IF(AND(Pay_Num&lt;&gt;"",Sched_Pay+Extra_Pay&lt;Beg_Bal),Beg_Bal-Princ,IF(Pay_Num&lt;&gt;"",0,"")))</f>
        <v>0</v>
      </c>
      <c r="K488" s="34">
        <f ca="1">IF(scheduled_no_payments=1,"",SUM($I$13:$I488))</f>
        <v>87584.066117996466</v>
      </c>
      <c r="L488" s="38"/>
    </row>
    <row r="489" spans="2:12" ht="16.5" customHeight="1" x14ac:dyDescent="0.25">
      <c r="B489" s="32">
        <f ca="1">IF(AND(Values_Entered,scheduled_no_payments&lt;&gt;1),B488+1,"")</f>
        <v>477</v>
      </c>
      <c r="C489" s="33">
        <f ca="1">IF(Pay_Num&lt;&gt;"",DATE(YEAR(C488)+VLOOKUP(Interval,LoanLookup[],4,FALSE),MONTH(C488)+VLOOKUP(Interval,LoanLookup[],2,FALSE),DAY(C488)+VLOOKUP(Interval,LoanLookup[],3,FALSE)),"")</f>
        <v>59355</v>
      </c>
      <c r="D489" s="34">
        <f t="shared" ca="1" si="23"/>
        <v>0</v>
      </c>
      <c r="E489" s="35">
        <f t="shared" ca="1" si="25"/>
        <v>989.93360882498609</v>
      </c>
      <c r="F489" s="36">
        <f ca="1">IF(scheduled_no_payments=1,"",IF(Sched_Pay+Scheduled_Extra_Payments&lt;Beg_Bal,Scheduled_Extra_Payments,IF(AND(Pay_Num&lt;&gt;"",Beg_Bal-Sched_Pay&gt;0),Beg_Bal-Sched_Pay,IF(Pay_Num&lt;&gt;"",0,""))))</f>
        <v>0</v>
      </c>
      <c r="G489" s="34">
        <f ca="1">IF(scheduled_no_payments=1,"",IF(Sched_Pay+Extra_Pay&lt;Beg_Bal,Sched_Pay+Extra_Pay,IF(Pay_Num&lt;&gt;"",Beg_Bal,"")))</f>
        <v>0</v>
      </c>
      <c r="H489" s="34">
        <f t="shared" ca="1" si="24"/>
        <v>0</v>
      </c>
      <c r="I489" s="34">
        <f ca="1">IF(Pay_Num&lt;&gt;"",Beg_Bal*(Interest_Rate/VLOOKUP(Interval,LoanLookup[],5,FALSE)),"")</f>
        <v>0</v>
      </c>
      <c r="J489" s="34">
        <f ca="1">IF(scheduled_no_payments=1,"",IF(AND(Pay_Num&lt;&gt;"",Sched_Pay+Extra_Pay&lt;Beg_Bal),Beg_Bal-Princ,IF(Pay_Num&lt;&gt;"",0,"")))</f>
        <v>0</v>
      </c>
      <c r="K489" s="34">
        <f ca="1">IF(scheduled_no_payments=1,"",SUM($I$13:$I489))</f>
        <v>87584.066117996466</v>
      </c>
      <c r="L489" s="38"/>
    </row>
    <row r="490" spans="2:12" ht="16.5" customHeight="1" x14ac:dyDescent="0.25">
      <c r="B490" s="32">
        <f ca="1">IF(AND(Values_Entered,scheduled_no_payments&lt;&gt;1),B489+1,"")</f>
        <v>478</v>
      </c>
      <c r="C490" s="33">
        <f ca="1">IF(Pay_Num&lt;&gt;"",DATE(YEAR(C489)+VLOOKUP(Interval,LoanLookup[],4,FALSE),MONTH(C489)+VLOOKUP(Interval,LoanLookup[],2,FALSE),DAY(C489)+VLOOKUP(Interval,LoanLookup[],3,FALSE)),"")</f>
        <v>59386</v>
      </c>
      <c r="D490" s="34">
        <f t="shared" ca="1" si="23"/>
        <v>0</v>
      </c>
      <c r="E490" s="35">
        <f t="shared" ca="1" si="25"/>
        <v>989.93360882498609</v>
      </c>
      <c r="F490" s="36">
        <f ca="1">IF(scheduled_no_payments=1,"",IF(Sched_Pay+Scheduled_Extra_Payments&lt;Beg_Bal,Scheduled_Extra_Payments,IF(AND(Pay_Num&lt;&gt;"",Beg_Bal-Sched_Pay&gt;0),Beg_Bal-Sched_Pay,IF(Pay_Num&lt;&gt;"",0,""))))</f>
        <v>0</v>
      </c>
      <c r="G490" s="34">
        <f ca="1">IF(scheduled_no_payments=1,"",IF(Sched_Pay+Extra_Pay&lt;Beg_Bal,Sched_Pay+Extra_Pay,IF(Pay_Num&lt;&gt;"",Beg_Bal,"")))</f>
        <v>0</v>
      </c>
      <c r="H490" s="34">
        <f t="shared" ca="1" si="24"/>
        <v>0</v>
      </c>
      <c r="I490" s="34">
        <f ca="1">IF(Pay_Num&lt;&gt;"",Beg_Bal*(Interest_Rate/VLOOKUP(Interval,LoanLookup[],5,FALSE)),"")</f>
        <v>0</v>
      </c>
      <c r="J490" s="34">
        <f ca="1">IF(scheduled_no_payments=1,"",IF(AND(Pay_Num&lt;&gt;"",Sched_Pay+Extra_Pay&lt;Beg_Bal),Beg_Bal-Princ,IF(Pay_Num&lt;&gt;"",0,"")))</f>
        <v>0</v>
      </c>
      <c r="K490" s="34">
        <f ca="1">IF(scheduled_no_payments=1,"",SUM($I$13:$I490))</f>
        <v>87584.066117996466</v>
      </c>
      <c r="L490" s="38"/>
    </row>
    <row r="491" spans="2:12" ht="16.5" customHeight="1" x14ac:dyDescent="0.25">
      <c r="B491" s="32">
        <f ca="1">IF(AND(Values_Entered,scheduled_no_payments&lt;&gt;1),B490+1,"")</f>
        <v>479</v>
      </c>
      <c r="C491" s="33">
        <f ca="1">IF(Pay_Num&lt;&gt;"",DATE(YEAR(C490)+VLOOKUP(Interval,LoanLookup[],4,FALSE),MONTH(C490)+VLOOKUP(Interval,LoanLookup[],2,FALSE),DAY(C490)+VLOOKUP(Interval,LoanLookup[],3,FALSE)),"")</f>
        <v>59417</v>
      </c>
      <c r="D491" s="34">
        <f t="shared" ca="1" si="23"/>
        <v>0</v>
      </c>
      <c r="E491" s="35">
        <f t="shared" ca="1" si="25"/>
        <v>989.93360882498609</v>
      </c>
      <c r="F491" s="36">
        <f ca="1">IF(scheduled_no_payments=1,"",IF(Sched_Pay+Scheduled_Extra_Payments&lt;Beg_Bal,Scheduled_Extra_Payments,IF(AND(Pay_Num&lt;&gt;"",Beg_Bal-Sched_Pay&gt;0),Beg_Bal-Sched_Pay,IF(Pay_Num&lt;&gt;"",0,""))))</f>
        <v>0</v>
      </c>
      <c r="G491" s="34">
        <f ca="1">IF(scheduled_no_payments=1,"",IF(Sched_Pay+Extra_Pay&lt;Beg_Bal,Sched_Pay+Extra_Pay,IF(Pay_Num&lt;&gt;"",Beg_Bal,"")))</f>
        <v>0</v>
      </c>
      <c r="H491" s="34">
        <f t="shared" ca="1" si="24"/>
        <v>0</v>
      </c>
      <c r="I491" s="34">
        <f ca="1">IF(Pay_Num&lt;&gt;"",Beg_Bal*(Interest_Rate/VLOOKUP(Interval,LoanLookup[],5,FALSE)),"")</f>
        <v>0</v>
      </c>
      <c r="J491" s="34">
        <f ca="1">IF(scheduled_no_payments=1,"",IF(AND(Pay_Num&lt;&gt;"",Sched_Pay+Extra_Pay&lt;Beg_Bal),Beg_Bal-Princ,IF(Pay_Num&lt;&gt;"",0,"")))</f>
        <v>0</v>
      </c>
      <c r="K491" s="34">
        <f ca="1">IF(scheduled_no_payments=1,"",SUM($I$13:$I491))</f>
        <v>87584.066117996466</v>
      </c>
      <c r="L491" s="38"/>
    </row>
    <row r="492" spans="2:12" ht="16.5" customHeight="1" x14ac:dyDescent="0.25">
      <c r="B492" s="32">
        <f ca="1">IF(AND(Values_Entered,scheduled_no_payments&lt;&gt;1),B491+1,"")</f>
        <v>480</v>
      </c>
      <c r="C492" s="33">
        <f ca="1">IF(Pay_Num&lt;&gt;"",DATE(YEAR(C491)+VLOOKUP(Interval,LoanLookup[],4,FALSE),MONTH(C491)+VLOOKUP(Interval,LoanLookup[],2,FALSE),DAY(C491)+VLOOKUP(Interval,LoanLookup[],3,FALSE)),"")</f>
        <v>59447</v>
      </c>
      <c r="D492" s="34">
        <f t="shared" ca="1" si="23"/>
        <v>0</v>
      </c>
      <c r="E492" s="35">
        <f t="shared" ca="1" si="25"/>
        <v>989.93360882498609</v>
      </c>
      <c r="F492" s="36">
        <f ca="1">IF(scheduled_no_payments=1,"",IF(Sched_Pay+Scheduled_Extra_Payments&lt;Beg_Bal,Scheduled_Extra_Payments,IF(AND(Pay_Num&lt;&gt;"",Beg_Bal-Sched_Pay&gt;0),Beg_Bal-Sched_Pay,IF(Pay_Num&lt;&gt;"",0,""))))</f>
        <v>0</v>
      </c>
      <c r="G492" s="34">
        <f ca="1">IF(scheduled_no_payments=1,"",IF(Sched_Pay+Extra_Pay&lt;Beg_Bal,Sched_Pay+Extra_Pay,IF(Pay_Num&lt;&gt;"",Beg_Bal,"")))</f>
        <v>0</v>
      </c>
      <c r="H492" s="34">
        <f t="shared" ca="1" si="24"/>
        <v>0</v>
      </c>
      <c r="I492" s="34">
        <f ca="1">IF(Pay_Num&lt;&gt;"",Beg_Bal*(Interest_Rate/VLOOKUP(Interval,LoanLookup[],5,FALSE)),"")</f>
        <v>0</v>
      </c>
      <c r="J492" s="34">
        <f ca="1">IF(scheduled_no_payments=1,"",IF(AND(Pay_Num&lt;&gt;"",Sched_Pay+Extra_Pay&lt;Beg_Bal),Beg_Bal-Princ,IF(Pay_Num&lt;&gt;"",0,"")))</f>
        <v>0</v>
      </c>
      <c r="K492" s="34">
        <f ca="1">IF(scheduled_no_payments=1,"",SUM($I$13:$I492))</f>
        <v>87584.066117996466</v>
      </c>
      <c r="L492" s="38"/>
    </row>
    <row r="493" spans="2:12" ht="16.5" customHeight="1" x14ac:dyDescent="0.25">
      <c r="B493" s="32">
        <f ca="1">IF(AND(Values_Entered,scheduled_no_payments&lt;&gt;1),B492+1,"")</f>
        <v>481</v>
      </c>
      <c r="C493" s="33">
        <f ca="1">IF(Pay_Num&lt;&gt;"",DATE(YEAR(C492)+VLOOKUP(Interval,LoanLookup[],4,FALSE),MONTH(C492)+VLOOKUP(Interval,LoanLookup[],2,FALSE),DAY(C492)+VLOOKUP(Interval,LoanLookup[],3,FALSE)),"")</f>
        <v>59478</v>
      </c>
      <c r="D493" s="34">
        <f t="shared" ca="1" si="23"/>
        <v>0</v>
      </c>
      <c r="E493" s="35">
        <f t="shared" ca="1" si="25"/>
        <v>989.93360882498609</v>
      </c>
      <c r="F493" s="36">
        <f ca="1">IF(scheduled_no_payments=1,"",IF(Sched_Pay+Scheduled_Extra_Payments&lt;Beg_Bal,Scheduled_Extra_Payments,IF(AND(Pay_Num&lt;&gt;"",Beg_Bal-Sched_Pay&gt;0),Beg_Bal-Sched_Pay,IF(Pay_Num&lt;&gt;"",0,""))))</f>
        <v>0</v>
      </c>
      <c r="G493" s="34">
        <f ca="1">IF(scheduled_no_payments=1,"",IF(Sched_Pay+Extra_Pay&lt;Beg_Bal,Sched_Pay+Extra_Pay,IF(Pay_Num&lt;&gt;"",Beg_Bal,"")))</f>
        <v>0</v>
      </c>
      <c r="H493" s="34">
        <f t="shared" ca="1" si="24"/>
        <v>0</v>
      </c>
      <c r="I493" s="34">
        <f ca="1">IF(Pay_Num&lt;&gt;"",Beg_Bal*(Interest_Rate/VLOOKUP(Interval,LoanLookup[],5,FALSE)),"")</f>
        <v>0</v>
      </c>
      <c r="J493" s="34">
        <f ca="1">IF(scheduled_no_payments=1,"",IF(AND(Pay_Num&lt;&gt;"",Sched_Pay+Extra_Pay&lt;Beg_Bal),Beg_Bal-Princ,IF(Pay_Num&lt;&gt;"",0,"")))</f>
        <v>0</v>
      </c>
      <c r="K493" s="34">
        <f ca="1">IF(scheduled_no_payments=1,"",SUM($I$13:$I493))</f>
        <v>87584.066117996466</v>
      </c>
      <c r="L493" s="38"/>
    </row>
    <row r="494" spans="2:12" ht="16.5" customHeight="1" x14ac:dyDescent="0.25">
      <c r="B494" s="32">
        <f ca="1">IF(AND(Values_Entered,scheduled_no_payments&lt;&gt;1),B493+1,"")</f>
        <v>482</v>
      </c>
      <c r="C494" s="33">
        <f ca="1">IF(Pay_Num&lt;&gt;"",DATE(YEAR(C493)+VLOOKUP(Interval,LoanLookup[],4,FALSE),MONTH(C493)+VLOOKUP(Interval,LoanLookup[],2,FALSE),DAY(C493)+VLOOKUP(Interval,LoanLookup[],3,FALSE)),"")</f>
        <v>59508</v>
      </c>
      <c r="D494" s="34">
        <f t="shared" ca="1" si="23"/>
        <v>0</v>
      </c>
      <c r="E494" s="35">
        <f t="shared" ca="1" si="25"/>
        <v>989.93360882498609</v>
      </c>
      <c r="F494" s="36">
        <f ca="1">IF(scheduled_no_payments=1,"",IF(Sched_Pay+Scheduled_Extra_Payments&lt;Beg_Bal,Scheduled_Extra_Payments,IF(AND(Pay_Num&lt;&gt;"",Beg_Bal-Sched_Pay&gt;0),Beg_Bal-Sched_Pay,IF(Pay_Num&lt;&gt;"",0,""))))</f>
        <v>0</v>
      </c>
      <c r="G494" s="34">
        <f ca="1">IF(scheduled_no_payments=1,"",IF(Sched_Pay+Extra_Pay&lt;Beg_Bal,Sched_Pay+Extra_Pay,IF(Pay_Num&lt;&gt;"",Beg_Bal,"")))</f>
        <v>0</v>
      </c>
      <c r="H494" s="34">
        <f t="shared" ca="1" si="24"/>
        <v>0</v>
      </c>
      <c r="I494" s="34">
        <f ca="1">IF(Pay_Num&lt;&gt;"",Beg_Bal*(Interest_Rate/VLOOKUP(Interval,LoanLookup[],5,FALSE)),"")</f>
        <v>0</v>
      </c>
      <c r="J494" s="34">
        <f ca="1">IF(scheduled_no_payments=1,"",IF(AND(Pay_Num&lt;&gt;"",Sched_Pay+Extra_Pay&lt;Beg_Bal),Beg_Bal-Princ,IF(Pay_Num&lt;&gt;"",0,"")))</f>
        <v>0</v>
      </c>
      <c r="K494" s="34">
        <f ca="1">IF(scheduled_no_payments=1,"",SUM($I$13:$I494))</f>
        <v>87584.066117996466</v>
      </c>
      <c r="L494" s="38"/>
    </row>
    <row r="495" spans="2:12" ht="16.5" customHeight="1" x14ac:dyDescent="0.25">
      <c r="B495" s="32">
        <f ca="1">IF(AND(Values_Entered,scheduled_no_payments&lt;&gt;1),B494+1,"")</f>
        <v>483</v>
      </c>
      <c r="C495" s="33">
        <f ca="1">IF(Pay_Num&lt;&gt;"",DATE(YEAR(C494)+VLOOKUP(Interval,LoanLookup[],4,FALSE),MONTH(C494)+VLOOKUP(Interval,LoanLookup[],2,FALSE),DAY(C494)+VLOOKUP(Interval,LoanLookup[],3,FALSE)),"")</f>
        <v>59539</v>
      </c>
      <c r="D495" s="34">
        <f t="shared" ca="1" si="23"/>
        <v>0</v>
      </c>
      <c r="E495" s="35">
        <f t="shared" ca="1" si="25"/>
        <v>989.93360882498609</v>
      </c>
      <c r="F495" s="36">
        <f ca="1">IF(scheduled_no_payments=1,"",IF(Sched_Pay+Scheduled_Extra_Payments&lt;Beg_Bal,Scheduled_Extra_Payments,IF(AND(Pay_Num&lt;&gt;"",Beg_Bal-Sched_Pay&gt;0),Beg_Bal-Sched_Pay,IF(Pay_Num&lt;&gt;"",0,""))))</f>
        <v>0</v>
      </c>
      <c r="G495" s="34">
        <f ca="1">IF(scheduled_no_payments=1,"",IF(Sched_Pay+Extra_Pay&lt;Beg_Bal,Sched_Pay+Extra_Pay,IF(Pay_Num&lt;&gt;"",Beg_Bal,"")))</f>
        <v>0</v>
      </c>
      <c r="H495" s="34">
        <f t="shared" ca="1" si="24"/>
        <v>0</v>
      </c>
      <c r="I495" s="34">
        <f ca="1">IF(Pay_Num&lt;&gt;"",Beg_Bal*(Interest_Rate/VLOOKUP(Interval,LoanLookup[],5,FALSE)),"")</f>
        <v>0</v>
      </c>
      <c r="J495" s="34">
        <f ca="1">IF(scheduled_no_payments=1,"",IF(AND(Pay_Num&lt;&gt;"",Sched_Pay+Extra_Pay&lt;Beg_Bal),Beg_Bal-Princ,IF(Pay_Num&lt;&gt;"",0,"")))</f>
        <v>0</v>
      </c>
      <c r="K495" s="34">
        <f ca="1">IF(scheduled_no_payments=1,"",SUM($I$13:$I495))</f>
        <v>87584.066117996466</v>
      </c>
      <c r="L495" s="38"/>
    </row>
    <row r="496" spans="2:12" ht="16.5" customHeight="1" x14ac:dyDescent="0.25">
      <c r="B496" s="32">
        <f ca="1">IF(AND(Values_Entered,scheduled_no_payments&lt;&gt;1),B495+1,"")</f>
        <v>484</v>
      </c>
      <c r="C496" s="33">
        <f ca="1">IF(Pay_Num&lt;&gt;"",DATE(YEAR(C495)+VLOOKUP(Interval,LoanLookup[],4,FALSE),MONTH(C495)+VLOOKUP(Interval,LoanLookup[],2,FALSE),DAY(C495)+VLOOKUP(Interval,LoanLookup[],3,FALSE)),"")</f>
        <v>59570</v>
      </c>
      <c r="D496" s="34">
        <f t="shared" ca="1" si="23"/>
        <v>0</v>
      </c>
      <c r="E496" s="35">
        <f t="shared" ca="1" si="25"/>
        <v>989.93360882498609</v>
      </c>
      <c r="F496" s="36">
        <f ca="1">IF(scheduled_no_payments=1,"",IF(Sched_Pay+Scheduled_Extra_Payments&lt;Beg_Bal,Scheduled_Extra_Payments,IF(AND(Pay_Num&lt;&gt;"",Beg_Bal-Sched_Pay&gt;0),Beg_Bal-Sched_Pay,IF(Pay_Num&lt;&gt;"",0,""))))</f>
        <v>0</v>
      </c>
      <c r="G496" s="34">
        <f ca="1">IF(scheduled_no_payments=1,"",IF(Sched_Pay+Extra_Pay&lt;Beg_Bal,Sched_Pay+Extra_Pay,IF(Pay_Num&lt;&gt;"",Beg_Bal,"")))</f>
        <v>0</v>
      </c>
      <c r="H496" s="34">
        <f t="shared" ca="1" si="24"/>
        <v>0</v>
      </c>
      <c r="I496" s="34">
        <f ca="1">IF(Pay_Num&lt;&gt;"",Beg_Bal*(Interest_Rate/VLOOKUP(Interval,LoanLookup[],5,FALSE)),"")</f>
        <v>0</v>
      </c>
      <c r="J496" s="34">
        <f ca="1">IF(scheduled_no_payments=1,"",IF(AND(Pay_Num&lt;&gt;"",Sched_Pay+Extra_Pay&lt;Beg_Bal),Beg_Bal-Princ,IF(Pay_Num&lt;&gt;"",0,"")))</f>
        <v>0</v>
      </c>
      <c r="K496" s="34">
        <f ca="1">IF(scheduled_no_payments=1,"",SUM($I$13:$I496))</f>
        <v>87584.066117996466</v>
      </c>
      <c r="L496" s="38"/>
    </row>
    <row r="497" spans="2:12" ht="16.5" customHeight="1" x14ac:dyDescent="0.25">
      <c r="B497" s="32">
        <f ca="1">IF(AND(Values_Entered,scheduled_no_payments&lt;&gt;1),B496+1,"")</f>
        <v>485</v>
      </c>
      <c r="C497" s="33">
        <f ca="1">IF(Pay_Num&lt;&gt;"",DATE(YEAR(C496)+VLOOKUP(Interval,LoanLookup[],4,FALSE),MONTH(C496)+VLOOKUP(Interval,LoanLookup[],2,FALSE),DAY(C496)+VLOOKUP(Interval,LoanLookup[],3,FALSE)),"")</f>
        <v>59598</v>
      </c>
      <c r="D497" s="34">
        <f t="shared" ca="1" si="23"/>
        <v>0</v>
      </c>
      <c r="E497" s="35">
        <f t="shared" ca="1" si="25"/>
        <v>989.93360882498609</v>
      </c>
      <c r="F497" s="36">
        <f ca="1">IF(scheduled_no_payments=1,"",IF(Sched_Pay+Scheduled_Extra_Payments&lt;Beg_Bal,Scheduled_Extra_Payments,IF(AND(Pay_Num&lt;&gt;"",Beg_Bal-Sched_Pay&gt;0),Beg_Bal-Sched_Pay,IF(Pay_Num&lt;&gt;"",0,""))))</f>
        <v>0</v>
      </c>
      <c r="G497" s="34">
        <f ca="1">IF(scheduled_no_payments=1,"",IF(Sched_Pay+Extra_Pay&lt;Beg_Bal,Sched_Pay+Extra_Pay,IF(Pay_Num&lt;&gt;"",Beg_Bal,"")))</f>
        <v>0</v>
      </c>
      <c r="H497" s="34">
        <f t="shared" ca="1" si="24"/>
        <v>0</v>
      </c>
      <c r="I497" s="34">
        <f ca="1">IF(Pay_Num&lt;&gt;"",Beg_Bal*(Interest_Rate/VLOOKUP(Interval,LoanLookup[],5,FALSE)),"")</f>
        <v>0</v>
      </c>
      <c r="J497" s="34">
        <f ca="1">IF(scheduled_no_payments=1,"",IF(AND(Pay_Num&lt;&gt;"",Sched_Pay+Extra_Pay&lt;Beg_Bal),Beg_Bal-Princ,IF(Pay_Num&lt;&gt;"",0,"")))</f>
        <v>0</v>
      </c>
      <c r="K497" s="34">
        <f ca="1">IF(scheduled_no_payments=1,"",SUM($I$13:$I497))</f>
        <v>87584.066117996466</v>
      </c>
      <c r="L497" s="38"/>
    </row>
    <row r="498" spans="2:12" ht="16.5" customHeight="1" x14ac:dyDescent="0.25">
      <c r="B498" s="32">
        <f ca="1">IF(AND(Values_Entered,scheduled_no_payments&lt;&gt;1),B497+1,"")</f>
        <v>486</v>
      </c>
      <c r="C498" s="33">
        <f ca="1">IF(Pay_Num&lt;&gt;"",DATE(YEAR(C497)+VLOOKUP(Interval,LoanLookup[],4,FALSE),MONTH(C497)+VLOOKUP(Interval,LoanLookup[],2,FALSE),DAY(C497)+VLOOKUP(Interval,LoanLookup[],3,FALSE)),"")</f>
        <v>59629</v>
      </c>
      <c r="D498" s="34">
        <f t="shared" ca="1" si="23"/>
        <v>0</v>
      </c>
      <c r="E498" s="35">
        <f t="shared" ca="1" si="25"/>
        <v>989.93360882498609</v>
      </c>
      <c r="F498" s="36">
        <f ca="1">IF(scheduled_no_payments=1,"",IF(Sched_Pay+Scheduled_Extra_Payments&lt;Beg_Bal,Scheduled_Extra_Payments,IF(AND(Pay_Num&lt;&gt;"",Beg_Bal-Sched_Pay&gt;0),Beg_Bal-Sched_Pay,IF(Pay_Num&lt;&gt;"",0,""))))</f>
        <v>0</v>
      </c>
      <c r="G498" s="34">
        <f ca="1">IF(scheduled_no_payments=1,"",IF(Sched_Pay+Extra_Pay&lt;Beg_Bal,Sched_Pay+Extra_Pay,IF(Pay_Num&lt;&gt;"",Beg_Bal,"")))</f>
        <v>0</v>
      </c>
      <c r="H498" s="34">
        <f t="shared" ca="1" si="24"/>
        <v>0</v>
      </c>
      <c r="I498" s="34">
        <f ca="1">IF(Pay_Num&lt;&gt;"",Beg_Bal*(Interest_Rate/VLOOKUP(Interval,LoanLookup[],5,FALSE)),"")</f>
        <v>0</v>
      </c>
      <c r="J498" s="34">
        <f ca="1">IF(scheduled_no_payments=1,"",IF(AND(Pay_Num&lt;&gt;"",Sched_Pay+Extra_Pay&lt;Beg_Bal),Beg_Bal-Princ,IF(Pay_Num&lt;&gt;"",0,"")))</f>
        <v>0</v>
      </c>
      <c r="K498" s="34">
        <f ca="1">IF(scheduled_no_payments=1,"",SUM($I$13:$I498))</f>
        <v>87584.066117996466</v>
      </c>
      <c r="L498" s="38"/>
    </row>
    <row r="499" spans="2:12" ht="16.5" customHeight="1" x14ac:dyDescent="0.25">
      <c r="B499" s="32">
        <f ca="1">IF(AND(Values_Entered,scheduled_no_payments&lt;&gt;1),B498+1,"")</f>
        <v>487</v>
      </c>
      <c r="C499" s="33">
        <f ca="1">IF(Pay_Num&lt;&gt;"",DATE(YEAR(C498)+VLOOKUP(Interval,LoanLookup[],4,FALSE),MONTH(C498)+VLOOKUP(Interval,LoanLookup[],2,FALSE),DAY(C498)+VLOOKUP(Interval,LoanLookup[],3,FALSE)),"")</f>
        <v>59659</v>
      </c>
      <c r="D499" s="34">
        <f t="shared" ca="1" si="23"/>
        <v>0</v>
      </c>
      <c r="E499" s="35">
        <f t="shared" ca="1" si="25"/>
        <v>989.93360882498609</v>
      </c>
      <c r="F499" s="36">
        <f ca="1">IF(scheduled_no_payments=1,"",IF(Sched_Pay+Scheduled_Extra_Payments&lt;Beg_Bal,Scheduled_Extra_Payments,IF(AND(Pay_Num&lt;&gt;"",Beg_Bal-Sched_Pay&gt;0),Beg_Bal-Sched_Pay,IF(Pay_Num&lt;&gt;"",0,""))))</f>
        <v>0</v>
      </c>
      <c r="G499" s="34">
        <f ca="1">IF(scheduled_no_payments=1,"",IF(Sched_Pay+Extra_Pay&lt;Beg_Bal,Sched_Pay+Extra_Pay,IF(Pay_Num&lt;&gt;"",Beg_Bal,"")))</f>
        <v>0</v>
      </c>
      <c r="H499" s="34">
        <f t="shared" ca="1" si="24"/>
        <v>0</v>
      </c>
      <c r="I499" s="34">
        <f ca="1">IF(Pay_Num&lt;&gt;"",Beg_Bal*(Interest_Rate/VLOOKUP(Interval,LoanLookup[],5,FALSE)),"")</f>
        <v>0</v>
      </c>
      <c r="J499" s="34">
        <f ca="1">IF(scheduled_no_payments=1,"",IF(AND(Pay_Num&lt;&gt;"",Sched_Pay+Extra_Pay&lt;Beg_Bal),Beg_Bal-Princ,IF(Pay_Num&lt;&gt;"",0,"")))</f>
        <v>0</v>
      </c>
      <c r="K499" s="34">
        <f ca="1">IF(scheduled_no_payments=1,"",SUM($I$13:$I499))</f>
        <v>87584.066117996466</v>
      </c>
      <c r="L499" s="38"/>
    </row>
    <row r="500" spans="2:12" ht="16.5" customHeight="1" x14ac:dyDescent="0.25">
      <c r="B500" s="32">
        <f ca="1">IF(AND(Values_Entered,scheduled_no_payments&lt;&gt;1),B499+1,"")</f>
        <v>488</v>
      </c>
      <c r="C500" s="33">
        <f ca="1">IF(Pay_Num&lt;&gt;"",DATE(YEAR(C499)+VLOOKUP(Interval,LoanLookup[],4,FALSE),MONTH(C499)+VLOOKUP(Interval,LoanLookup[],2,FALSE),DAY(C499)+VLOOKUP(Interval,LoanLookup[],3,FALSE)),"")</f>
        <v>59690</v>
      </c>
      <c r="D500" s="34">
        <f t="shared" ca="1" si="23"/>
        <v>0</v>
      </c>
      <c r="E500" s="35">
        <f t="shared" ca="1" si="25"/>
        <v>989.93360882498609</v>
      </c>
      <c r="F500" s="36">
        <f ca="1">IF(scheduled_no_payments=1,"",IF(Sched_Pay+Scheduled_Extra_Payments&lt;Beg_Bal,Scheduled_Extra_Payments,IF(AND(Pay_Num&lt;&gt;"",Beg_Bal-Sched_Pay&gt;0),Beg_Bal-Sched_Pay,IF(Pay_Num&lt;&gt;"",0,""))))</f>
        <v>0</v>
      </c>
      <c r="G500" s="34">
        <f ca="1">IF(scheduled_no_payments=1,"",IF(Sched_Pay+Extra_Pay&lt;Beg_Bal,Sched_Pay+Extra_Pay,IF(Pay_Num&lt;&gt;"",Beg_Bal,"")))</f>
        <v>0</v>
      </c>
      <c r="H500" s="34">
        <f t="shared" ca="1" si="24"/>
        <v>0</v>
      </c>
      <c r="I500" s="34">
        <f ca="1">IF(Pay_Num&lt;&gt;"",Beg_Bal*(Interest_Rate/VLOOKUP(Interval,LoanLookup[],5,FALSE)),"")</f>
        <v>0</v>
      </c>
      <c r="J500" s="34">
        <f ca="1">IF(scheduled_no_payments=1,"",IF(AND(Pay_Num&lt;&gt;"",Sched_Pay+Extra_Pay&lt;Beg_Bal),Beg_Bal-Princ,IF(Pay_Num&lt;&gt;"",0,"")))</f>
        <v>0</v>
      </c>
      <c r="K500" s="34">
        <f ca="1">IF(scheduled_no_payments=1,"",SUM($I$13:$I500))</f>
        <v>87584.066117996466</v>
      </c>
      <c r="L500" s="38"/>
    </row>
    <row r="501" spans="2:12" ht="16.5" customHeight="1" x14ac:dyDescent="0.25">
      <c r="B501" s="32">
        <f ca="1">IF(AND(Values_Entered,scheduled_no_payments&lt;&gt;1),B500+1,"")</f>
        <v>489</v>
      </c>
      <c r="C501" s="33">
        <f ca="1">IF(Pay_Num&lt;&gt;"",DATE(YEAR(C500)+VLOOKUP(Interval,LoanLookup[],4,FALSE),MONTH(C500)+VLOOKUP(Interval,LoanLookup[],2,FALSE),DAY(C500)+VLOOKUP(Interval,LoanLookup[],3,FALSE)),"")</f>
        <v>59720</v>
      </c>
      <c r="D501" s="34">
        <f t="shared" ca="1" si="23"/>
        <v>0</v>
      </c>
      <c r="E501" s="35">
        <f t="shared" ca="1" si="25"/>
        <v>989.93360882498609</v>
      </c>
      <c r="F501" s="36">
        <f ca="1">IF(scheduled_no_payments=1,"",IF(Sched_Pay+Scheduled_Extra_Payments&lt;Beg_Bal,Scheduled_Extra_Payments,IF(AND(Pay_Num&lt;&gt;"",Beg_Bal-Sched_Pay&gt;0),Beg_Bal-Sched_Pay,IF(Pay_Num&lt;&gt;"",0,""))))</f>
        <v>0</v>
      </c>
      <c r="G501" s="34">
        <f ca="1">IF(scheduled_no_payments=1,"",IF(Sched_Pay+Extra_Pay&lt;Beg_Bal,Sched_Pay+Extra_Pay,IF(Pay_Num&lt;&gt;"",Beg_Bal,"")))</f>
        <v>0</v>
      </c>
      <c r="H501" s="34">
        <f t="shared" ca="1" si="24"/>
        <v>0</v>
      </c>
      <c r="I501" s="34">
        <f ca="1">IF(Pay_Num&lt;&gt;"",Beg_Bal*(Interest_Rate/VLOOKUP(Interval,LoanLookup[],5,FALSE)),"")</f>
        <v>0</v>
      </c>
      <c r="J501" s="34">
        <f ca="1">IF(scheduled_no_payments=1,"",IF(AND(Pay_Num&lt;&gt;"",Sched_Pay+Extra_Pay&lt;Beg_Bal),Beg_Bal-Princ,IF(Pay_Num&lt;&gt;"",0,"")))</f>
        <v>0</v>
      </c>
      <c r="K501" s="34">
        <f ca="1">IF(scheduled_no_payments=1,"",SUM($I$13:$I501))</f>
        <v>87584.066117996466</v>
      </c>
      <c r="L501" s="38"/>
    </row>
    <row r="502" spans="2:12" ht="16.5" customHeight="1" x14ac:dyDescent="0.25">
      <c r="B502" s="32">
        <f ca="1">IF(AND(Values_Entered,scheduled_no_payments&lt;&gt;1),B501+1,"")</f>
        <v>490</v>
      </c>
      <c r="C502" s="33">
        <f ca="1">IF(Pay_Num&lt;&gt;"",DATE(YEAR(C501)+VLOOKUP(Interval,LoanLookup[],4,FALSE),MONTH(C501)+VLOOKUP(Interval,LoanLookup[],2,FALSE),DAY(C501)+VLOOKUP(Interval,LoanLookup[],3,FALSE)),"")</f>
        <v>59751</v>
      </c>
      <c r="D502" s="34">
        <f t="shared" ref="D502:D565" ca="1" si="26">IF(Pay_Num&lt;&gt;"",J501,"")</f>
        <v>0</v>
      </c>
      <c r="E502" s="35">
        <f t="shared" ca="1" si="25"/>
        <v>989.93360882498609</v>
      </c>
      <c r="F502" s="36">
        <f ca="1">IF(scheduled_no_payments=1,"",IF(Sched_Pay+Scheduled_Extra_Payments&lt;Beg_Bal,Scheduled_Extra_Payments,IF(AND(Pay_Num&lt;&gt;"",Beg_Bal-Sched_Pay&gt;0),Beg_Bal-Sched_Pay,IF(Pay_Num&lt;&gt;"",0,""))))</f>
        <v>0</v>
      </c>
      <c r="G502" s="34">
        <f ca="1">IF(scheduled_no_payments=1,"",IF(Sched_Pay+Extra_Pay&lt;Beg_Bal,Sched_Pay+Extra_Pay,IF(Pay_Num&lt;&gt;"",Beg_Bal,"")))</f>
        <v>0</v>
      </c>
      <c r="H502" s="34">
        <f t="shared" ca="1" si="24"/>
        <v>0</v>
      </c>
      <c r="I502" s="34">
        <f ca="1">IF(Pay_Num&lt;&gt;"",Beg_Bal*(Interest_Rate/VLOOKUP(Interval,LoanLookup[],5,FALSE)),"")</f>
        <v>0</v>
      </c>
      <c r="J502" s="34">
        <f ca="1">IF(scheduled_no_payments=1,"",IF(AND(Pay_Num&lt;&gt;"",Sched_Pay+Extra_Pay&lt;Beg_Bal),Beg_Bal-Princ,IF(Pay_Num&lt;&gt;"",0,"")))</f>
        <v>0</v>
      </c>
      <c r="K502" s="34">
        <f ca="1">IF(scheduled_no_payments=1,"",SUM($I$13:$I502))</f>
        <v>87584.066117996466</v>
      </c>
      <c r="L502" s="38"/>
    </row>
    <row r="503" spans="2:12" ht="16.5" customHeight="1" x14ac:dyDescent="0.25">
      <c r="B503" s="32">
        <f ca="1">IF(AND(Values_Entered,scheduled_no_payments&lt;&gt;1),B502+1,"")</f>
        <v>491</v>
      </c>
      <c r="C503" s="33">
        <f ca="1">IF(Pay_Num&lt;&gt;"",DATE(YEAR(C502)+VLOOKUP(Interval,LoanLookup[],4,FALSE),MONTH(C502)+VLOOKUP(Interval,LoanLookup[],2,FALSE),DAY(C502)+VLOOKUP(Interval,LoanLookup[],3,FALSE)),"")</f>
        <v>59782</v>
      </c>
      <c r="D503" s="34">
        <f t="shared" ca="1" si="26"/>
        <v>0</v>
      </c>
      <c r="E503" s="35">
        <f t="shared" ca="1" si="25"/>
        <v>989.93360882498609</v>
      </c>
      <c r="F503" s="36">
        <f ca="1">IF(scheduled_no_payments=1,"",IF(Sched_Pay+Scheduled_Extra_Payments&lt;Beg_Bal,Scheduled_Extra_Payments,IF(AND(Pay_Num&lt;&gt;"",Beg_Bal-Sched_Pay&gt;0),Beg_Bal-Sched_Pay,IF(Pay_Num&lt;&gt;"",0,""))))</f>
        <v>0</v>
      </c>
      <c r="G503" s="34">
        <f ca="1">IF(scheduled_no_payments=1,"",IF(Sched_Pay+Extra_Pay&lt;Beg_Bal,Sched_Pay+Extra_Pay,IF(Pay_Num&lt;&gt;"",Beg_Bal,"")))</f>
        <v>0</v>
      </c>
      <c r="H503" s="34">
        <f t="shared" ca="1" si="24"/>
        <v>0</v>
      </c>
      <c r="I503" s="34">
        <f ca="1">IF(Pay_Num&lt;&gt;"",Beg_Bal*(Interest_Rate/VLOOKUP(Interval,LoanLookup[],5,FALSE)),"")</f>
        <v>0</v>
      </c>
      <c r="J503" s="34">
        <f ca="1">IF(scheduled_no_payments=1,"",IF(AND(Pay_Num&lt;&gt;"",Sched_Pay+Extra_Pay&lt;Beg_Bal),Beg_Bal-Princ,IF(Pay_Num&lt;&gt;"",0,"")))</f>
        <v>0</v>
      </c>
      <c r="K503" s="34">
        <f ca="1">IF(scheduled_no_payments=1,"",SUM($I$13:$I503))</f>
        <v>87584.066117996466</v>
      </c>
      <c r="L503" s="38"/>
    </row>
    <row r="504" spans="2:12" ht="16.5" customHeight="1" x14ac:dyDescent="0.25">
      <c r="B504" s="32">
        <f ca="1">IF(AND(Values_Entered,scheduled_no_payments&lt;&gt;1),B503+1,"")</f>
        <v>492</v>
      </c>
      <c r="C504" s="33">
        <f ca="1">IF(Pay_Num&lt;&gt;"",DATE(YEAR(C503)+VLOOKUP(Interval,LoanLookup[],4,FALSE),MONTH(C503)+VLOOKUP(Interval,LoanLookup[],2,FALSE),DAY(C503)+VLOOKUP(Interval,LoanLookup[],3,FALSE)),"")</f>
        <v>59812</v>
      </c>
      <c r="D504" s="34">
        <f t="shared" ca="1" si="26"/>
        <v>0</v>
      </c>
      <c r="E504" s="35">
        <f t="shared" ca="1" si="25"/>
        <v>989.93360882498609</v>
      </c>
      <c r="F504" s="36">
        <f ca="1">IF(scheduled_no_payments=1,"",IF(Sched_Pay+Scheduled_Extra_Payments&lt;Beg_Bal,Scheduled_Extra_Payments,IF(AND(Pay_Num&lt;&gt;"",Beg_Bal-Sched_Pay&gt;0),Beg_Bal-Sched_Pay,IF(Pay_Num&lt;&gt;"",0,""))))</f>
        <v>0</v>
      </c>
      <c r="G504" s="34">
        <f ca="1">IF(scheduled_no_payments=1,"",IF(Sched_Pay+Extra_Pay&lt;Beg_Bal,Sched_Pay+Extra_Pay,IF(Pay_Num&lt;&gt;"",Beg_Bal,"")))</f>
        <v>0</v>
      </c>
      <c r="H504" s="34">
        <f t="shared" ca="1" si="24"/>
        <v>0</v>
      </c>
      <c r="I504" s="34">
        <f ca="1">IF(Pay_Num&lt;&gt;"",Beg_Bal*(Interest_Rate/VLOOKUP(Interval,LoanLookup[],5,FALSE)),"")</f>
        <v>0</v>
      </c>
      <c r="J504" s="34">
        <f ca="1">IF(scheduled_no_payments=1,"",IF(AND(Pay_Num&lt;&gt;"",Sched_Pay+Extra_Pay&lt;Beg_Bal),Beg_Bal-Princ,IF(Pay_Num&lt;&gt;"",0,"")))</f>
        <v>0</v>
      </c>
      <c r="K504" s="34">
        <f ca="1">IF(scheduled_no_payments=1,"",SUM($I$13:$I504))</f>
        <v>87584.066117996466</v>
      </c>
      <c r="L504" s="38"/>
    </row>
    <row r="505" spans="2:12" ht="16.5" customHeight="1" x14ac:dyDescent="0.25">
      <c r="B505" s="32">
        <f ca="1">IF(AND(Values_Entered,scheduled_no_payments&lt;&gt;1),B504+1,"")</f>
        <v>493</v>
      </c>
      <c r="C505" s="33">
        <f ca="1">IF(Pay_Num&lt;&gt;"",DATE(YEAR(C504)+VLOOKUP(Interval,LoanLookup[],4,FALSE),MONTH(C504)+VLOOKUP(Interval,LoanLookup[],2,FALSE),DAY(C504)+VLOOKUP(Interval,LoanLookup[],3,FALSE)),"")</f>
        <v>59843</v>
      </c>
      <c r="D505" s="34">
        <f t="shared" ca="1" si="26"/>
        <v>0</v>
      </c>
      <c r="E505" s="35">
        <f t="shared" ca="1" si="25"/>
        <v>989.93360882498609</v>
      </c>
      <c r="F505" s="36">
        <f ca="1">IF(scheduled_no_payments=1,"",IF(Sched_Pay+Scheduled_Extra_Payments&lt;Beg_Bal,Scheduled_Extra_Payments,IF(AND(Pay_Num&lt;&gt;"",Beg_Bal-Sched_Pay&gt;0),Beg_Bal-Sched_Pay,IF(Pay_Num&lt;&gt;"",0,""))))</f>
        <v>0</v>
      </c>
      <c r="G505" s="34">
        <f ca="1">IF(scheduled_no_payments=1,"",IF(Sched_Pay+Extra_Pay&lt;Beg_Bal,Sched_Pay+Extra_Pay,IF(Pay_Num&lt;&gt;"",Beg_Bal,"")))</f>
        <v>0</v>
      </c>
      <c r="H505" s="34">
        <f t="shared" ca="1" si="24"/>
        <v>0</v>
      </c>
      <c r="I505" s="34">
        <f ca="1">IF(Pay_Num&lt;&gt;"",Beg_Bal*(Interest_Rate/VLOOKUP(Interval,LoanLookup[],5,FALSE)),"")</f>
        <v>0</v>
      </c>
      <c r="J505" s="34">
        <f ca="1">IF(scheduled_no_payments=1,"",IF(AND(Pay_Num&lt;&gt;"",Sched_Pay+Extra_Pay&lt;Beg_Bal),Beg_Bal-Princ,IF(Pay_Num&lt;&gt;"",0,"")))</f>
        <v>0</v>
      </c>
      <c r="K505" s="34">
        <f ca="1">IF(scheduled_no_payments=1,"",SUM($I$13:$I505))</f>
        <v>87584.066117996466</v>
      </c>
      <c r="L505" s="38"/>
    </row>
    <row r="506" spans="2:12" ht="16.5" customHeight="1" x14ac:dyDescent="0.25">
      <c r="B506" s="32">
        <f ca="1">IF(AND(Values_Entered,scheduled_no_payments&lt;&gt;1),B505+1,"")</f>
        <v>494</v>
      </c>
      <c r="C506" s="33">
        <f ca="1">IF(Pay_Num&lt;&gt;"",DATE(YEAR(C505)+VLOOKUP(Interval,LoanLookup[],4,FALSE),MONTH(C505)+VLOOKUP(Interval,LoanLookup[],2,FALSE),DAY(C505)+VLOOKUP(Interval,LoanLookup[],3,FALSE)),"")</f>
        <v>59873</v>
      </c>
      <c r="D506" s="34">
        <f t="shared" ca="1" si="26"/>
        <v>0</v>
      </c>
      <c r="E506" s="35">
        <f t="shared" ca="1" si="25"/>
        <v>989.93360882498609</v>
      </c>
      <c r="F506" s="36">
        <f ca="1">IF(scheduled_no_payments=1,"",IF(Sched_Pay+Scheduled_Extra_Payments&lt;Beg_Bal,Scheduled_Extra_Payments,IF(AND(Pay_Num&lt;&gt;"",Beg_Bal-Sched_Pay&gt;0),Beg_Bal-Sched_Pay,IF(Pay_Num&lt;&gt;"",0,""))))</f>
        <v>0</v>
      </c>
      <c r="G506" s="34">
        <f ca="1">IF(scheduled_no_payments=1,"",IF(Sched_Pay+Extra_Pay&lt;Beg_Bal,Sched_Pay+Extra_Pay,IF(Pay_Num&lt;&gt;"",Beg_Bal,"")))</f>
        <v>0</v>
      </c>
      <c r="H506" s="34">
        <f t="shared" ca="1" si="24"/>
        <v>0</v>
      </c>
      <c r="I506" s="34">
        <f ca="1">IF(Pay_Num&lt;&gt;"",Beg_Bal*(Interest_Rate/VLOOKUP(Interval,LoanLookup[],5,FALSE)),"")</f>
        <v>0</v>
      </c>
      <c r="J506" s="34">
        <f ca="1">IF(scheduled_no_payments=1,"",IF(AND(Pay_Num&lt;&gt;"",Sched_Pay+Extra_Pay&lt;Beg_Bal),Beg_Bal-Princ,IF(Pay_Num&lt;&gt;"",0,"")))</f>
        <v>0</v>
      </c>
      <c r="K506" s="34">
        <f ca="1">IF(scheduled_no_payments=1,"",SUM($I$13:$I506))</f>
        <v>87584.066117996466</v>
      </c>
      <c r="L506" s="38"/>
    </row>
    <row r="507" spans="2:12" ht="16.5" customHeight="1" x14ac:dyDescent="0.25">
      <c r="B507" s="32">
        <f ca="1">IF(AND(Values_Entered,scheduled_no_payments&lt;&gt;1),B506+1,"")</f>
        <v>495</v>
      </c>
      <c r="C507" s="33">
        <f ca="1">IF(Pay_Num&lt;&gt;"",DATE(YEAR(C506)+VLOOKUP(Interval,LoanLookup[],4,FALSE),MONTH(C506)+VLOOKUP(Interval,LoanLookup[],2,FALSE),DAY(C506)+VLOOKUP(Interval,LoanLookup[],3,FALSE)),"")</f>
        <v>59904</v>
      </c>
      <c r="D507" s="34">
        <f t="shared" ca="1" si="26"/>
        <v>0</v>
      </c>
      <c r="E507" s="35">
        <f t="shared" ca="1" si="25"/>
        <v>989.93360882498609</v>
      </c>
      <c r="F507" s="36">
        <f ca="1">IF(scheduled_no_payments=1,"",IF(Sched_Pay+Scheduled_Extra_Payments&lt;Beg_Bal,Scheduled_Extra_Payments,IF(AND(Pay_Num&lt;&gt;"",Beg_Bal-Sched_Pay&gt;0),Beg_Bal-Sched_Pay,IF(Pay_Num&lt;&gt;"",0,""))))</f>
        <v>0</v>
      </c>
      <c r="G507" s="34">
        <f ca="1">IF(scheduled_no_payments=1,"",IF(Sched_Pay+Extra_Pay&lt;Beg_Bal,Sched_Pay+Extra_Pay,IF(Pay_Num&lt;&gt;"",Beg_Bal,"")))</f>
        <v>0</v>
      </c>
      <c r="H507" s="34">
        <f t="shared" ca="1" si="24"/>
        <v>0</v>
      </c>
      <c r="I507" s="34">
        <f ca="1">IF(Pay_Num&lt;&gt;"",Beg_Bal*(Interest_Rate/VLOOKUP(Interval,LoanLookup[],5,FALSE)),"")</f>
        <v>0</v>
      </c>
      <c r="J507" s="34">
        <f ca="1">IF(scheduled_no_payments=1,"",IF(AND(Pay_Num&lt;&gt;"",Sched_Pay+Extra_Pay&lt;Beg_Bal),Beg_Bal-Princ,IF(Pay_Num&lt;&gt;"",0,"")))</f>
        <v>0</v>
      </c>
      <c r="K507" s="34">
        <f ca="1">IF(scheduled_no_payments=1,"",SUM($I$13:$I507))</f>
        <v>87584.066117996466</v>
      </c>
      <c r="L507" s="38"/>
    </row>
    <row r="508" spans="2:12" ht="16.5" customHeight="1" x14ac:dyDescent="0.25">
      <c r="B508" s="32">
        <f ca="1">IF(AND(Values_Entered,scheduled_no_payments&lt;&gt;1),B507+1,"")</f>
        <v>496</v>
      </c>
      <c r="C508" s="33">
        <f ca="1">IF(Pay_Num&lt;&gt;"",DATE(YEAR(C507)+VLOOKUP(Interval,LoanLookup[],4,FALSE),MONTH(C507)+VLOOKUP(Interval,LoanLookup[],2,FALSE),DAY(C507)+VLOOKUP(Interval,LoanLookup[],3,FALSE)),"")</f>
        <v>59935</v>
      </c>
      <c r="D508" s="34">
        <f t="shared" ca="1" si="26"/>
        <v>0</v>
      </c>
      <c r="E508" s="35">
        <f t="shared" ca="1" si="25"/>
        <v>989.93360882498609</v>
      </c>
      <c r="F508" s="36">
        <f ca="1">IF(scheduled_no_payments=1,"",IF(Sched_Pay+Scheduled_Extra_Payments&lt;Beg_Bal,Scheduled_Extra_Payments,IF(AND(Pay_Num&lt;&gt;"",Beg_Bal-Sched_Pay&gt;0),Beg_Bal-Sched_Pay,IF(Pay_Num&lt;&gt;"",0,""))))</f>
        <v>0</v>
      </c>
      <c r="G508" s="34">
        <f ca="1">IF(scheduled_no_payments=1,"",IF(Sched_Pay+Extra_Pay&lt;Beg_Bal,Sched_Pay+Extra_Pay,IF(Pay_Num&lt;&gt;"",Beg_Bal,"")))</f>
        <v>0</v>
      </c>
      <c r="H508" s="34">
        <f t="shared" ca="1" si="24"/>
        <v>0</v>
      </c>
      <c r="I508" s="34">
        <f ca="1">IF(Pay_Num&lt;&gt;"",Beg_Bal*(Interest_Rate/VLOOKUP(Interval,LoanLookup[],5,FALSE)),"")</f>
        <v>0</v>
      </c>
      <c r="J508" s="34">
        <f ca="1">IF(scheduled_no_payments=1,"",IF(AND(Pay_Num&lt;&gt;"",Sched_Pay+Extra_Pay&lt;Beg_Bal),Beg_Bal-Princ,IF(Pay_Num&lt;&gt;"",0,"")))</f>
        <v>0</v>
      </c>
      <c r="K508" s="34">
        <f ca="1">IF(scheduled_no_payments=1,"",SUM($I$13:$I508))</f>
        <v>87584.066117996466</v>
      </c>
      <c r="L508" s="38"/>
    </row>
    <row r="509" spans="2:12" ht="16.5" customHeight="1" x14ac:dyDescent="0.25">
      <c r="B509" s="32">
        <f ca="1">IF(AND(Values_Entered,scheduled_no_payments&lt;&gt;1),B508+1,"")</f>
        <v>497</v>
      </c>
      <c r="C509" s="33">
        <f ca="1">IF(Pay_Num&lt;&gt;"",DATE(YEAR(C508)+VLOOKUP(Interval,LoanLookup[],4,FALSE),MONTH(C508)+VLOOKUP(Interval,LoanLookup[],2,FALSE),DAY(C508)+VLOOKUP(Interval,LoanLookup[],3,FALSE)),"")</f>
        <v>59964</v>
      </c>
      <c r="D509" s="34">
        <f t="shared" ca="1" si="26"/>
        <v>0</v>
      </c>
      <c r="E509" s="35">
        <f t="shared" ca="1" si="25"/>
        <v>989.93360882498609</v>
      </c>
      <c r="F509" s="36">
        <f ca="1">IF(scheduled_no_payments=1,"",IF(Sched_Pay+Scheduled_Extra_Payments&lt;Beg_Bal,Scheduled_Extra_Payments,IF(AND(Pay_Num&lt;&gt;"",Beg_Bal-Sched_Pay&gt;0),Beg_Bal-Sched_Pay,IF(Pay_Num&lt;&gt;"",0,""))))</f>
        <v>0</v>
      </c>
      <c r="G509" s="34">
        <f ca="1">IF(scheduled_no_payments=1,"",IF(Sched_Pay+Extra_Pay&lt;Beg_Bal,Sched_Pay+Extra_Pay,IF(Pay_Num&lt;&gt;"",Beg_Bal,"")))</f>
        <v>0</v>
      </c>
      <c r="H509" s="34">
        <f t="shared" ca="1" si="24"/>
        <v>0</v>
      </c>
      <c r="I509" s="34">
        <f ca="1">IF(Pay_Num&lt;&gt;"",Beg_Bal*(Interest_Rate/VLOOKUP(Interval,LoanLookup[],5,FALSE)),"")</f>
        <v>0</v>
      </c>
      <c r="J509" s="34">
        <f ca="1">IF(scheduled_no_payments=1,"",IF(AND(Pay_Num&lt;&gt;"",Sched_Pay+Extra_Pay&lt;Beg_Bal),Beg_Bal-Princ,IF(Pay_Num&lt;&gt;"",0,"")))</f>
        <v>0</v>
      </c>
      <c r="K509" s="34">
        <f ca="1">IF(scheduled_no_payments=1,"",SUM($I$13:$I509))</f>
        <v>87584.066117996466</v>
      </c>
      <c r="L509" s="38"/>
    </row>
    <row r="510" spans="2:12" ht="16.5" customHeight="1" x14ac:dyDescent="0.25">
      <c r="B510" s="32">
        <f ca="1">IF(AND(Values_Entered,scheduled_no_payments&lt;&gt;1),B509+1,"")</f>
        <v>498</v>
      </c>
      <c r="C510" s="33">
        <f ca="1">IF(Pay_Num&lt;&gt;"",DATE(YEAR(C509)+VLOOKUP(Interval,LoanLookup[],4,FALSE),MONTH(C509)+VLOOKUP(Interval,LoanLookup[],2,FALSE),DAY(C509)+VLOOKUP(Interval,LoanLookup[],3,FALSE)),"")</f>
        <v>59995</v>
      </c>
      <c r="D510" s="34">
        <f t="shared" ca="1" si="26"/>
        <v>0</v>
      </c>
      <c r="E510" s="35">
        <f t="shared" ca="1" si="25"/>
        <v>989.93360882498609</v>
      </c>
      <c r="F510" s="36">
        <f ca="1">IF(scheduled_no_payments=1,"",IF(Sched_Pay+Scheduled_Extra_Payments&lt;Beg_Bal,Scheduled_Extra_Payments,IF(AND(Pay_Num&lt;&gt;"",Beg_Bal-Sched_Pay&gt;0),Beg_Bal-Sched_Pay,IF(Pay_Num&lt;&gt;"",0,""))))</f>
        <v>0</v>
      </c>
      <c r="G510" s="34">
        <f ca="1">IF(scheduled_no_payments=1,"",IF(Sched_Pay+Extra_Pay&lt;Beg_Bal,Sched_Pay+Extra_Pay,IF(Pay_Num&lt;&gt;"",Beg_Bal,"")))</f>
        <v>0</v>
      </c>
      <c r="H510" s="34">
        <f t="shared" ca="1" si="24"/>
        <v>0</v>
      </c>
      <c r="I510" s="34">
        <f ca="1">IF(Pay_Num&lt;&gt;"",Beg_Bal*(Interest_Rate/VLOOKUP(Interval,LoanLookup[],5,FALSE)),"")</f>
        <v>0</v>
      </c>
      <c r="J510" s="34">
        <f ca="1">IF(scheduled_no_payments=1,"",IF(AND(Pay_Num&lt;&gt;"",Sched_Pay+Extra_Pay&lt;Beg_Bal),Beg_Bal-Princ,IF(Pay_Num&lt;&gt;"",0,"")))</f>
        <v>0</v>
      </c>
      <c r="K510" s="34">
        <f ca="1">IF(scheduled_no_payments=1,"",SUM($I$13:$I510))</f>
        <v>87584.066117996466</v>
      </c>
      <c r="L510" s="38"/>
    </row>
    <row r="511" spans="2:12" ht="16.5" customHeight="1" x14ac:dyDescent="0.25">
      <c r="B511" s="32">
        <f ca="1">IF(AND(Values_Entered,scheduled_no_payments&lt;&gt;1),B510+1,"")</f>
        <v>499</v>
      </c>
      <c r="C511" s="33">
        <f ca="1">IF(Pay_Num&lt;&gt;"",DATE(YEAR(C510)+VLOOKUP(Interval,LoanLookup[],4,FALSE),MONTH(C510)+VLOOKUP(Interval,LoanLookup[],2,FALSE),DAY(C510)+VLOOKUP(Interval,LoanLookup[],3,FALSE)),"")</f>
        <v>60025</v>
      </c>
      <c r="D511" s="34">
        <f t="shared" ca="1" si="26"/>
        <v>0</v>
      </c>
      <c r="E511" s="35">
        <f t="shared" ca="1" si="25"/>
        <v>989.93360882498609</v>
      </c>
      <c r="F511" s="36">
        <f ca="1">IF(scheduled_no_payments=1,"",IF(Sched_Pay+Scheduled_Extra_Payments&lt;Beg_Bal,Scheduled_Extra_Payments,IF(AND(Pay_Num&lt;&gt;"",Beg_Bal-Sched_Pay&gt;0),Beg_Bal-Sched_Pay,IF(Pay_Num&lt;&gt;"",0,""))))</f>
        <v>0</v>
      </c>
      <c r="G511" s="34">
        <f ca="1">IF(scheduled_no_payments=1,"",IF(Sched_Pay+Extra_Pay&lt;Beg_Bal,Sched_Pay+Extra_Pay,IF(Pay_Num&lt;&gt;"",Beg_Bal,"")))</f>
        <v>0</v>
      </c>
      <c r="H511" s="34">
        <f t="shared" ca="1" si="24"/>
        <v>0</v>
      </c>
      <c r="I511" s="34">
        <f ca="1">IF(Pay_Num&lt;&gt;"",Beg_Bal*(Interest_Rate/VLOOKUP(Interval,LoanLookup[],5,FALSE)),"")</f>
        <v>0</v>
      </c>
      <c r="J511" s="34">
        <f ca="1">IF(scheduled_no_payments=1,"",IF(AND(Pay_Num&lt;&gt;"",Sched_Pay+Extra_Pay&lt;Beg_Bal),Beg_Bal-Princ,IF(Pay_Num&lt;&gt;"",0,"")))</f>
        <v>0</v>
      </c>
      <c r="K511" s="34">
        <f ca="1">IF(scheduled_no_payments=1,"",SUM($I$13:$I511))</f>
        <v>87584.066117996466</v>
      </c>
      <c r="L511" s="38"/>
    </row>
    <row r="512" spans="2:12" ht="16.5" customHeight="1" x14ac:dyDescent="0.25">
      <c r="B512" s="32">
        <f ca="1">IF(AND(Values_Entered,scheduled_no_payments&lt;&gt;1),B511+1,"")</f>
        <v>500</v>
      </c>
      <c r="C512" s="33">
        <f ca="1">IF(Pay_Num&lt;&gt;"",DATE(YEAR(C511)+VLOOKUP(Interval,LoanLookup[],4,FALSE),MONTH(C511)+VLOOKUP(Interval,LoanLookup[],2,FALSE),DAY(C511)+VLOOKUP(Interval,LoanLookup[],3,FALSE)),"")</f>
        <v>60056</v>
      </c>
      <c r="D512" s="34">
        <f t="shared" ca="1" si="26"/>
        <v>0</v>
      </c>
      <c r="E512" s="35">
        <f t="shared" ca="1" si="25"/>
        <v>989.93360882498609</v>
      </c>
      <c r="F512" s="36">
        <f ca="1">IF(scheduled_no_payments=1,"",IF(Sched_Pay+Scheduled_Extra_Payments&lt;Beg_Bal,Scheduled_Extra_Payments,IF(AND(Pay_Num&lt;&gt;"",Beg_Bal-Sched_Pay&gt;0),Beg_Bal-Sched_Pay,IF(Pay_Num&lt;&gt;"",0,""))))</f>
        <v>0</v>
      </c>
      <c r="G512" s="34">
        <f ca="1">IF(scheduled_no_payments=1,"",IF(Sched_Pay+Extra_Pay&lt;Beg_Bal,Sched_Pay+Extra_Pay,IF(Pay_Num&lt;&gt;"",Beg_Bal,"")))</f>
        <v>0</v>
      </c>
      <c r="H512" s="34">
        <f t="shared" ca="1" si="24"/>
        <v>0</v>
      </c>
      <c r="I512" s="34">
        <f ca="1">IF(Pay_Num&lt;&gt;"",Beg_Bal*(Interest_Rate/VLOOKUP(Interval,LoanLookup[],5,FALSE)),"")</f>
        <v>0</v>
      </c>
      <c r="J512" s="34">
        <f ca="1">IF(scheduled_no_payments=1,"",IF(AND(Pay_Num&lt;&gt;"",Sched_Pay+Extra_Pay&lt;Beg_Bal),Beg_Bal-Princ,IF(Pay_Num&lt;&gt;"",0,"")))</f>
        <v>0</v>
      </c>
      <c r="K512" s="34">
        <f ca="1">IF(scheduled_no_payments=1,"",SUM($I$13:$I512))</f>
        <v>87584.066117996466</v>
      </c>
      <c r="L512" s="38"/>
    </row>
    <row r="513" spans="2:12" ht="16.5" customHeight="1" x14ac:dyDescent="0.25">
      <c r="B513" s="32">
        <f ca="1">IF(AND(Values_Entered,scheduled_no_payments&lt;&gt;1),B512+1,"")</f>
        <v>501</v>
      </c>
      <c r="C513" s="33">
        <f ca="1">IF(Pay_Num&lt;&gt;"",DATE(YEAR(C512)+VLOOKUP(Interval,LoanLookup[],4,FALSE),MONTH(C512)+VLOOKUP(Interval,LoanLookup[],2,FALSE),DAY(C512)+VLOOKUP(Interval,LoanLookup[],3,FALSE)),"")</f>
        <v>60086</v>
      </c>
      <c r="D513" s="34">
        <f t="shared" ca="1" si="26"/>
        <v>0</v>
      </c>
      <c r="E513" s="35">
        <f t="shared" ca="1" si="25"/>
        <v>989.93360882498609</v>
      </c>
      <c r="F513" s="36">
        <f ca="1">IF(scheduled_no_payments=1,"",IF(Sched_Pay+Scheduled_Extra_Payments&lt;Beg_Bal,Scheduled_Extra_Payments,IF(AND(Pay_Num&lt;&gt;"",Beg_Bal-Sched_Pay&gt;0),Beg_Bal-Sched_Pay,IF(Pay_Num&lt;&gt;"",0,""))))</f>
        <v>0</v>
      </c>
      <c r="G513" s="34">
        <f ca="1">IF(scheduled_no_payments=1,"",IF(Sched_Pay+Extra_Pay&lt;Beg_Bal,Sched_Pay+Extra_Pay,IF(Pay_Num&lt;&gt;"",Beg_Bal,"")))</f>
        <v>0</v>
      </c>
      <c r="H513" s="34">
        <f t="shared" ca="1" si="24"/>
        <v>0</v>
      </c>
      <c r="I513" s="34">
        <f ca="1">IF(Pay_Num&lt;&gt;"",Beg_Bal*(Interest_Rate/VLOOKUP(Interval,LoanLookup[],5,FALSE)),"")</f>
        <v>0</v>
      </c>
      <c r="J513" s="34">
        <f ca="1">IF(scheduled_no_payments=1,"",IF(AND(Pay_Num&lt;&gt;"",Sched_Pay+Extra_Pay&lt;Beg_Bal),Beg_Bal-Princ,IF(Pay_Num&lt;&gt;"",0,"")))</f>
        <v>0</v>
      </c>
      <c r="K513" s="34">
        <f ca="1">IF(scheduled_no_payments=1,"",SUM($I$13:$I513))</f>
        <v>87584.066117996466</v>
      </c>
      <c r="L513" s="38"/>
    </row>
    <row r="514" spans="2:12" ht="16.5" customHeight="1" x14ac:dyDescent="0.25">
      <c r="B514" s="32">
        <f ca="1">IF(AND(Values_Entered,scheduled_no_payments&lt;&gt;1),B513+1,"")</f>
        <v>502</v>
      </c>
      <c r="C514" s="33">
        <f ca="1">IF(Pay_Num&lt;&gt;"",DATE(YEAR(C513)+VLOOKUP(Interval,LoanLookup[],4,FALSE),MONTH(C513)+VLOOKUP(Interval,LoanLookup[],2,FALSE),DAY(C513)+VLOOKUP(Interval,LoanLookup[],3,FALSE)),"")</f>
        <v>60117</v>
      </c>
      <c r="D514" s="34">
        <f t="shared" ca="1" si="26"/>
        <v>0</v>
      </c>
      <c r="E514" s="35">
        <f t="shared" ca="1" si="25"/>
        <v>989.93360882498609</v>
      </c>
      <c r="F514" s="36">
        <f ca="1">IF(scheduled_no_payments=1,"",IF(Sched_Pay+Scheduled_Extra_Payments&lt;Beg_Bal,Scheduled_Extra_Payments,IF(AND(Pay_Num&lt;&gt;"",Beg_Bal-Sched_Pay&gt;0),Beg_Bal-Sched_Pay,IF(Pay_Num&lt;&gt;"",0,""))))</f>
        <v>0</v>
      </c>
      <c r="G514" s="34">
        <f ca="1">IF(scheduled_no_payments=1,"",IF(Sched_Pay+Extra_Pay&lt;Beg_Bal,Sched_Pay+Extra_Pay,IF(Pay_Num&lt;&gt;"",Beg_Bal,"")))</f>
        <v>0</v>
      </c>
      <c r="H514" s="34">
        <f t="shared" ca="1" si="24"/>
        <v>0</v>
      </c>
      <c r="I514" s="34">
        <f ca="1">IF(Pay_Num&lt;&gt;"",Beg_Bal*(Interest_Rate/VLOOKUP(Interval,LoanLookup[],5,FALSE)),"")</f>
        <v>0</v>
      </c>
      <c r="J514" s="34">
        <f ca="1">IF(scheduled_no_payments=1,"",IF(AND(Pay_Num&lt;&gt;"",Sched_Pay+Extra_Pay&lt;Beg_Bal),Beg_Bal-Princ,IF(Pay_Num&lt;&gt;"",0,"")))</f>
        <v>0</v>
      </c>
      <c r="K514" s="34">
        <f ca="1">IF(scheduled_no_payments=1,"",SUM($I$13:$I514))</f>
        <v>87584.066117996466</v>
      </c>
      <c r="L514" s="38"/>
    </row>
    <row r="515" spans="2:12" ht="16.5" customHeight="1" x14ac:dyDescent="0.25">
      <c r="B515" s="32">
        <f ca="1">IF(AND(Values_Entered,scheduled_no_payments&lt;&gt;1),B514+1,"")</f>
        <v>503</v>
      </c>
      <c r="C515" s="33">
        <f ca="1">IF(Pay_Num&lt;&gt;"",DATE(YEAR(C514)+VLOOKUP(Interval,LoanLookup[],4,FALSE),MONTH(C514)+VLOOKUP(Interval,LoanLookup[],2,FALSE),DAY(C514)+VLOOKUP(Interval,LoanLookup[],3,FALSE)),"")</f>
        <v>60148</v>
      </c>
      <c r="D515" s="34">
        <f t="shared" ca="1" si="26"/>
        <v>0</v>
      </c>
      <c r="E515" s="35">
        <f t="shared" ca="1" si="25"/>
        <v>989.93360882498609</v>
      </c>
      <c r="F515" s="36">
        <f ca="1">IF(scheduled_no_payments=1,"",IF(Sched_Pay+Scheduled_Extra_Payments&lt;Beg_Bal,Scheduled_Extra_Payments,IF(AND(Pay_Num&lt;&gt;"",Beg_Bal-Sched_Pay&gt;0),Beg_Bal-Sched_Pay,IF(Pay_Num&lt;&gt;"",0,""))))</f>
        <v>0</v>
      </c>
      <c r="G515" s="34">
        <f ca="1">IF(scheduled_no_payments=1,"",IF(Sched_Pay+Extra_Pay&lt;Beg_Bal,Sched_Pay+Extra_Pay,IF(Pay_Num&lt;&gt;"",Beg_Bal,"")))</f>
        <v>0</v>
      </c>
      <c r="H515" s="34">
        <f t="shared" ca="1" si="24"/>
        <v>0</v>
      </c>
      <c r="I515" s="34">
        <f ca="1">IF(Pay_Num&lt;&gt;"",Beg_Bal*(Interest_Rate/VLOOKUP(Interval,LoanLookup[],5,FALSE)),"")</f>
        <v>0</v>
      </c>
      <c r="J515" s="34">
        <f ca="1">IF(scheduled_no_payments=1,"",IF(AND(Pay_Num&lt;&gt;"",Sched_Pay+Extra_Pay&lt;Beg_Bal),Beg_Bal-Princ,IF(Pay_Num&lt;&gt;"",0,"")))</f>
        <v>0</v>
      </c>
      <c r="K515" s="34">
        <f ca="1">IF(scheduled_no_payments=1,"",SUM($I$13:$I515))</f>
        <v>87584.066117996466</v>
      </c>
      <c r="L515" s="38"/>
    </row>
    <row r="516" spans="2:12" ht="16.5" customHeight="1" x14ac:dyDescent="0.25">
      <c r="B516" s="32">
        <f ca="1">IF(AND(Values_Entered,scheduled_no_payments&lt;&gt;1),B515+1,"")</f>
        <v>504</v>
      </c>
      <c r="C516" s="33">
        <f ca="1">IF(Pay_Num&lt;&gt;"",DATE(YEAR(C515)+VLOOKUP(Interval,LoanLookup[],4,FALSE),MONTH(C515)+VLOOKUP(Interval,LoanLookup[],2,FALSE),DAY(C515)+VLOOKUP(Interval,LoanLookup[],3,FALSE)),"")</f>
        <v>60178</v>
      </c>
      <c r="D516" s="34">
        <f t="shared" ca="1" si="26"/>
        <v>0</v>
      </c>
      <c r="E516" s="35">
        <f t="shared" ca="1" si="25"/>
        <v>989.93360882498609</v>
      </c>
      <c r="F516" s="36">
        <f ca="1">IF(scheduled_no_payments=1,"",IF(Sched_Pay+Scheduled_Extra_Payments&lt;Beg_Bal,Scheduled_Extra_Payments,IF(AND(Pay_Num&lt;&gt;"",Beg_Bal-Sched_Pay&gt;0),Beg_Bal-Sched_Pay,IF(Pay_Num&lt;&gt;"",0,""))))</f>
        <v>0</v>
      </c>
      <c r="G516" s="34">
        <f ca="1">IF(scheduled_no_payments=1,"",IF(Sched_Pay+Extra_Pay&lt;Beg_Bal,Sched_Pay+Extra_Pay,IF(Pay_Num&lt;&gt;"",Beg_Bal,"")))</f>
        <v>0</v>
      </c>
      <c r="H516" s="34">
        <f t="shared" ca="1" si="24"/>
        <v>0</v>
      </c>
      <c r="I516" s="34">
        <f ca="1">IF(Pay_Num&lt;&gt;"",Beg_Bal*(Interest_Rate/VLOOKUP(Interval,LoanLookup[],5,FALSE)),"")</f>
        <v>0</v>
      </c>
      <c r="J516" s="34">
        <f ca="1">IF(scheduled_no_payments=1,"",IF(AND(Pay_Num&lt;&gt;"",Sched_Pay+Extra_Pay&lt;Beg_Bal),Beg_Bal-Princ,IF(Pay_Num&lt;&gt;"",0,"")))</f>
        <v>0</v>
      </c>
      <c r="K516" s="34">
        <f ca="1">IF(scheduled_no_payments=1,"",SUM($I$13:$I516))</f>
        <v>87584.066117996466</v>
      </c>
      <c r="L516" s="38"/>
    </row>
    <row r="517" spans="2:12" ht="16.5" customHeight="1" x14ac:dyDescent="0.25">
      <c r="B517" s="32">
        <f ca="1">IF(AND(Values_Entered,scheduled_no_payments&lt;&gt;1),B516+1,"")</f>
        <v>505</v>
      </c>
      <c r="C517" s="33">
        <f ca="1">IF(Pay_Num&lt;&gt;"",DATE(YEAR(C516)+VLOOKUP(Interval,LoanLookup[],4,FALSE),MONTH(C516)+VLOOKUP(Interval,LoanLookup[],2,FALSE),DAY(C516)+VLOOKUP(Interval,LoanLookup[],3,FALSE)),"")</f>
        <v>60209</v>
      </c>
      <c r="D517" s="34">
        <f t="shared" ca="1" si="26"/>
        <v>0</v>
      </c>
      <c r="E517" s="35">
        <f t="shared" ca="1" si="25"/>
        <v>989.93360882498609</v>
      </c>
      <c r="F517" s="36">
        <f ca="1">IF(scheduled_no_payments=1,"",IF(Sched_Pay+Scheduled_Extra_Payments&lt;Beg_Bal,Scheduled_Extra_Payments,IF(AND(Pay_Num&lt;&gt;"",Beg_Bal-Sched_Pay&gt;0),Beg_Bal-Sched_Pay,IF(Pay_Num&lt;&gt;"",0,""))))</f>
        <v>0</v>
      </c>
      <c r="G517" s="34">
        <f ca="1">IF(scheduled_no_payments=1,"",IF(Sched_Pay+Extra_Pay&lt;Beg_Bal,Sched_Pay+Extra_Pay,IF(Pay_Num&lt;&gt;"",Beg_Bal,"")))</f>
        <v>0</v>
      </c>
      <c r="H517" s="34">
        <f t="shared" ca="1" si="24"/>
        <v>0</v>
      </c>
      <c r="I517" s="34">
        <f ca="1">IF(Pay_Num&lt;&gt;"",Beg_Bal*(Interest_Rate/VLOOKUP(Interval,LoanLookup[],5,FALSE)),"")</f>
        <v>0</v>
      </c>
      <c r="J517" s="34">
        <f ca="1">IF(scheduled_no_payments=1,"",IF(AND(Pay_Num&lt;&gt;"",Sched_Pay+Extra_Pay&lt;Beg_Bal),Beg_Bal-Princ,IF(Pay_Num&lt;&gt;"",0,"")))</f>
        <v>0</v>
      </c>
      <c r="K517" s="34">
        <f ca="1">IF(scheduled_no_payments=1,"",SUM($I$13:$I517))</f>
        <v>87584.066117996466</v>
      </c>
      <c r="L517" s="38"/>
    </row>
    <row r="518" spans="2:12" ht="16.5" customHeight="1" x14ac:dyDescent="0.25">
      <c r="B518" s="32">
        <f ca="1">IF(AND(Values_Entered,scheduled_no_payments&lt;&gt;1),B517+1,"")</f>
        <v>506</v>
      </c>
      <c r="C518" s="33">
        <f ca="1">IF(Pay_Num&lt;&gt;"",DATE(YEAR(C517)+VLOOKUP(Interval,LoanLookup[],4,FALSE),MONTH(C517)+VLOOKUP(Interval,LoanLookup[],2,FALSE),DAY(C517)+VLOOKUP(Interval,LoanLookup[],3,FALSE)),"")</f>
        <v>60239</v>
      </c>
      <c r="D518" s="34">
        <f t="shared" ca="1" si="26"/>
        <v>0</v>
      </c>
      <c r="E518" s="35">
        <f t="shared" ca="1" si="25"/>
        <v>989.93360882498609</v>
      </c>
      <c r="F518" s="36">
        <f ca="1">IF(scheduled_no_payments=1,"",IF(Sched_Pay+Scheduled_Extra_Payments&lt;Beg_Bal,Scheduled_Extra_Payments,IF(AND(Pay_Num&lt;&gt;"",Beg_Bal-Sched_Pay&gt;0),Beg_Bal-Sched_Pay,IF(Pay_Num&lt;&gt;"",0,""))))</f>
        <v>0</v>
      </c>
      <c r="G518" s="34">
        <f ca="1">IF(scheduled_no_payments=1,"",IF(Sched_Pay+Extra_Pay&lt;Beg_Bal,Sched_Pay+Extra_Pay,IF(Pay_Num&lt;&gt;"",Beg_Bal,"")))</f>
        <v>0</v>
      </c>
      <c r="H518" s="34">
        <f t="shared" ca="1" si="24"/>
        <v>0</v>
      </c>
      <c r="I518" s="34">
        <f ca="1">IF(Pay_Num&lt;&gt;"",Beg_Bal*(Interest_Rate/VLOOKUP(Interval,LoanLookup[],5,FALSE)),"")</f>
        <v>0</v>
      </c>
      <c r="J518" s="34">
        <f ca="1">IF(scheduled_no_payments=1,"",IF(AND(Pay_Num&lt;&gt;"",Sched_Pay+Extra_Pay&lt;Beg_Bal),Beg_Bal-Princ,IF(Pay_Num&lt;&gt;"",0,"")))</f>
        <v>0</v>
      </c>
      <c r="K518" s="34">
        <f ca="1">IF(scheduled_no_payments=1,"",SUM($I$13:$I518))</f>
        <v>87584.066117996466</v>
      </c>
      <c r="L518" s="38"/>
    </row>
    <row r="519" spans="2:12" ht="16.5" customHeight="1" x14ac:dyDescent="0.25">
      <c r="B519" s="32">
        <f ca="1">IF(AND(Values_Entered,scheduled_no_payments&lt;&gt;1),B518+1,"")</f>
        <v>507</v>
      </c>
      <c r="C519" s="33">
        <f ca="1">IF(Pay_Num&lt;&gt;"",DATE(YEAR(C518)+VLOOKUP(Interval,LoanLookup[],4,FALSE),MONTH(C518)+VLOOKUP(Interval,LoanLookup[],2,FALSE),DAY(C518)+VLOOKUP(Interval,LoanLookup[],3,FALSE)),"")</f>
        <v>60270</v>
      </c>
      <c r="D519" s="34">
        <f t="shared" ca="1" si="26"/>
        <v>0</v>
      </c>
      <c r="E519" s="35">
        <f t="shared" ca="1" si="25"/>
        <v>989.93360882498609</v>
      </c>
      <c r="F519" s="36">
        <f ca="1">IF(scheduled_no_payments=1,"",IF(Sched_Pay+Scheduled_Extra_Payments&lt;Beg_Bal,Scheduled_Extra_Payments,IF(AND(Pay_Num&lt;&gt;"",Beg_Bal-Sched_Pay&gt;0),Beg_Bal-Sched_Pay,IF(Pay_Num&lt;&gt;"",0,""))))</f>
        <v>0</v>
      </c>
      <c r="G519" s="34">
        <f ca="1">IF(scheduled_no_payments=1,"",IF(Sched_Pay+Extra_Pay&lt;Beg_Bal,Sched_Pay+Extra_Pay,IF(Pay_Num&lt;&gt;"",Beg_Bal,"")))</f>
        <v>0</v>
      </c>
      <c r="H519" s="34">
        <f t="shared" ca="1" si="24"/>
        <v>0</v>
      </c>
      <c r="I519" s="34">
        <f ca="1">IF(Pay_Num&lt;&gt;"",Beg_Bal*(Interest_Rate/VLOOKUP(Interval,LoanLookup[],5,FALSE)),"")</f>
        <v>0</v>
      </c>
      <c r="J519" s="34">
        <f ca="1">IF(scheduled_no_payments=1,"",IF(AND(Pay_Num&lt;&gt;"",Sched_Pay+Extra_Pay&lt;Beg_Bal),Beg_Bal-Princ,IF(Pay_Num&lt;&gt;"",0,"")))</f>
        <v>0</v>
      </c>
      <c r="K519" s="34">
        <f ca="1">IF(scheduled_no_payments=1,"",SUM($I$13:$I519))</f>
        <v>87584.066117996466</v>
      </c>
      <c r="L519" s="38"/>
    </row>
    <row r="520" spans="2:12" ht="16.5" customHeight="1" x14ac:dyDescent="0.25">
      <c r="B520" s="32">
        <f ca="1">IF(AND(Values_Entered,scheduled_no_payments&lt;&gt;1),B519+1,"")</f>
        <v>508</v>
      </c>
      <c r="C520" s="33">
        <f ca="1">IF(Pay_Num&lt;&gt;"",DATE(YEAR(C519)+VLOOKUP(Interval,LoanLookup[],4,FALSE),MONTH(C519)+VLOOKUP(Interval,LoanLookup[],2,FALSE),DAY(C519)+VLOOKUP(Interval,LoanLookup[],3,FALSE)),"")</f>
        <v>60301</v>
      </c>
      <c r="D520" s="34">
        <f t="shared" ca="1" si="26"/>
        <v>0</v>
      </c>
      <c r="E520" s="35">
        <f t="shared" ca="1" si="25"/>
        <v>989.93360882498609</v>
      </c>
      <c r="F520" s="36">
        <f ca="1">IF(scheduled_no_payments=1,"",IF(Sched_Pay+Scheduled_Extra_Payments&lt;Beg_Bal,Scheduled_Extra_Payments,IF(AND(Pay_Num&lt;&gt;"",Beg_Bal-Sched_Pay&gt;0),Beg_Bal-Sched_Pay,IF(Pay_Num&lt;&gt;"",0,""))))</f>
        <v>0</v>
      </c>
      <c r="G520" s="34">
        <f ca="1">IF(scheduled_no_payments=1,"",IF(Sched_Pay+Extra_Pay&lt;Beg_Bal,Sched_Pay+Extra_Pay,IF(Pay_Num&lt;&gt;"",Beg_Bal,"")))</f>
        <v>0</v>
      </c>
      <c r="H520" s="34">
        <f t="shared" ca="1" si="24"/>
        <v>0</v>
      </c>
      <c r="I520" s="34">
        <f ca="1">IF(Pay_Num&lt;&gt;"",Beg_Bal*(Interest_Rate/VLOOKUP(Interval,LoanLookup[],5,FALSE)),"")</f>
        <v>0</v>
      </c>
      <c r="J520" s="34">
        <f ca="1">IF(scheduled_no_payments=1,"",IF(AND(Pay_Num&lt;&gt;"",Sched_Pay+Extra_Pay&lt;Beg_Bal),Beg_Bal-Princ,IF(Pay_Num&lt;&gt;"",0,"")))</f>
        <v>0</v>
      </c>
      <c r="K520" s="34">
        <f ca="1">IF(scheduled_no_payments=1,"",SUM($I$13:$I520))</f>
        <v>87584.066117996466</v>
      </c>
      <c r="L520" s="38"/>
    </row>
    <row r="521" spans="2:12" ht="16.5" customHeight="1" x14ac:dyDescent="0.25">
      <c r="B521" s="32">
        <f ca="1">IF(AND(Values_Entered,scheduled_no_payments&lt;&gt;1),B520+1,"")</f>
        <v>509</v>
      </c>
      <c r="C521" s="33">
        <f ca="1">IF(Pay_Num&lt;&gt;"",DATE(YEAR(C520)+VLOOKUP(Interval,LoanLookup[],4,FALSE),MONTH(C520)+VLOOKUP(Interval,LoanLookup[],2,FALSE),DAY(C520)+VLOOKUP(Interval,LoanLookup[],3,FALSE)),"")</f>
        <v>60329</v>
      </c>
      <c r="D521" s="34">
        <f t="shared" ca="1" si="26"/>
        <v>0</v>
      </c>
      <c r="E521" s="35">
        <f t="shared" ca="1" si="25"/>
        <v>989.93360882498609</v>
      </c>
      <c r="F521" s="36">
        <f ca="1">IF(scheduled_no_payments=1,"",IF(Sched_Pay+Scheduled_Extra_Payments&lt;Beg_Bal,Scheduled_Extra_Payments,IF(AND(Pay_Num&lt;&gt;"",Beg_Bal-Sched_Pay&gt;0),Beg_Bal-Sched_Pay,IF(Pay_Num&lt;&gt;"",0,""))))</f>
        <v>0</v>
      </c>
      <c r="G521" s="34">
        <f ca="1">IF(scheduled_no_payments=1,"",IF(Sched_Pay+Extra_Pay&lt;Beg_Bal,Sched_Pay+Extra_Pay,IF(Pay_Num&lt;&gt;"",Beg_Bal,"")))</f>
        <v>0</v>
      </c>
      <c r="H521" s="34">
        <f t="shared" ca="1" si="24"/>
        <v>0</v>
      </c>
      <c r="I521" s="34">
        <f ca="1">IF(Pay_Num&lt;&gt;"",Beg_Bal*(Interest_Rate/VLOOKUP(Interval,LoanLookup[],5,FALSE)),"")</f>
        <v>0</v>
      </c>
      <c r="J521" s="34">
        <f ca="1">IF(scheduled_no_payments=1,"",IF(AND(Pay_Num&lt;&gt;"",Sched_Pay+Extra_Pay&lt;Beg_Bal),Beg_Bal-Princ,IF(Pay_Num&lt;&gt;"",0,"")))</f>
        <v>0</v>
      </c>
      <c r="K521" s="34">
        <f ca="1">IF(scheduled_no_payments=1,"",SUM($I$13:$I521))</f>
        <v>87584.066117996466</v>
      </c>
      <c r="L521" s="38"/>
    </row>
    <row r="522" spans="2:12" ht="16.5" customHeight="1" x14ac:dyDescent="0.25">
      <c r="B522" s="32">
        <f ca="1">IF(AND(Values_Entered,scheduled_no_payments&lt;&gt;1),B521+1,"")</f>
        <v>510</v>
      </c>
      <c r="C522" s="33">
        <f ca="1">IF(Pay_Num&lt;&gt;"",DATE(YEAR(C521)+VLOOKUP(Interval,LoanLookup[],4,FALSE),MONTH(C521)+VLOOKUP(Interval,LoanLookup[],2,FALSE),DAY(C521)+VLOOKUP(Interval,LoanLookup[],3,FALSE)),"")</f>
        <v>60360</v>
      </c>
      <c r="D522" s="34">
        <f t="shared" ca="1" si="26"/>
        <v>0</v>
      </c>
      <c r="E522" s="35">
        <f t="shared" ca="1" si="25"/>
        <v>989.93360882498609</v>
      </c>
      <c r="F522" s="36">
        <f ca="1">IF(scheduled_no_payments=1,"",IF(Sched_Pay+Scheduled_Extra_Payments&lt;Beg_Bal,Scheduled_Extra_Payments,IF(AND(Pay_Num&lt;&gt;"",Beg_Bal-Sched_Pay&gt;0),Beg_Bal-Sched_Pay,IF(Pay_Num&lt;&gt;"",0,""))))</f>
        <v>0</v>
      </c>
      <c r="G522" s="34">
        <f ca="1">IF(scheduled_no_payments=1,"",IF(Sched_Pay+Extra_Pay&lt;Beg_Bal,Sched_Pay+Extra_Pay,IF(Pay_Num&lt;&gt;"",Beg_Bal,"")))</f>
        <v>0</v>
      </c>
      <c r="H522" s="34">
        <f t="shared" ca="1" si="24"/>
        <v>0</v>
      </c>
      <c r="I522" s="34">
        <f ca="1">IF(Pay_Num&lt;&gt;"",Beg_Bal*(Interest_Rate/VLOOKUP(Interval,LoanLookup[],5,FALSE)),"")</f>
        <v>0</v>
      </c>
      <c r="J522" s="34">
        <f ca="1">IF(scheduled_no_payments=1,"",IF(AND(Pay_Num&lt;&gt;"",Sched_Pay+Extra_Pay&lt;Beg_Bal),Beg_Bal-Princ,IF(Pay_Num&lt;&gt;"",0,"")))</f>
        <v>0</v>
      </c>
      <c r="K522" s="34">
        <f ca="1">IF(scheduled_no_payments=1,"",SUM($I$13:$I522))</f>
        <v>87584.066117996466</v>
      </c>
      <c r="L522" s="38"/>
    </row>
    <row r="523" spans="2:12" ht="16.5" customHeight="1" x14ac:dyDescent="0.25">
      <c r="B523" s="32">
        <f ca="1">IF(AND(Values_Entered,scheduled_no_payments&lt;&gt;1),B522+1,"")</f>
        <v>511</v>
      </c>
      <c r="C523" s="33">
        <f ca="1">IF(Pay_Num&lt;&gt;"",DATE(YEAR(C522)+VLOOKUP(Interval,LoanLookup[],4,FALSE),MONTH(C522)+VLOOKUP(Interval,LoanLookup[],2,FALSE),DAY(C522)+VLOOKUP(Interval,LoanLookup[],3,FALSE)),"")</f>
        <v>60390</v>
      </c>
      <c r="D523" s="34">
        <f t="shared" ca="1" si="26"/>
        <v>0</v>
      </c>
      <c r="E523" s="35">
        <f t="shared" ca="1" si="25"/>
        <v>989.93360882498609</v>
      </c>
      <c r="F523" s="36">
        <f ca="1">IF(scheduled_no_payments=1,"",IF(Sched_Pay+Scheduled_Extra_Payments&lt;Beg_Bal,Scheduled_Extra_Payments,IF(AND(Pay_Num&lt;&gt;"",Beg_Bal-Sched_Pay&gt;0),Beg_Bal-Sched_Pay,IF(Pay_Num&lt;&gt;"",0,""))))</f>
        <v>0</v>
      </c>
      <c r="G523" s="34">
        <f ca="1">IF(scheduled_no_payments=1,"",IF(Sched_Pay+Extra_Pay&lt;Beg_Bal,Sched_Pay+Extra_Pay,IF(Pay_Num&lt;&gt;"",Beg_Bal,"")))</f>
        <v>0</v>
      </c>
      <c r="H523" s="34">
        <f t="shared" ca="1" si="24"/>
        <v>0</v>
      </c>
      <c r="I523" s="34">
        <f ca="1">IF(Pay_Num&lt;&gt;"",Beg_Bal*(Interest_Rate/VLOOKUP(Interval,LoanLookup[],5,FALSE)),"")</f>
        <v>0</v>
      </c>
      <c r="J523" s="34">
        <f ca="1">IF(scheduled_no_payments=1,"",IF(AND(Pay_Num&lt;&gt;"",Sched_Pay+Extra_Pay&lt;Beg_Bal),Beg_Bal-Princ,IF(Pay_Num&lt;&gt;"",0,"")))</f>
        <v>0</v>
      </c>
      <c r="K523" s="34">
        <f ca="1">IF(scheduled_no_payments=1,"",SUM($I$13:$I523))</f>
        <v>87584.066117996466</v>
      </c>
      <c r="L523" s="38"/>
    </row>
    <row r="524" spans="2:12" ht="16.5" customHeight="1" x14ac:dyDescent="0.25">
      <c r="B524" s="32">
        <f ca="1">IF(AND(Values_Entered,scheduled_no_payments&lt;&gt;1),B523+1,"")</f>
        <v>512</v>
      </c>
      <c r="C524" s="33">
        <f ca="1">IF(Pay_Num&lt;&gt;"",DATE(YEAR(C523)+VLOOKUP(Interval,LoanLookup[],4,FALSE),MONTH(C523)+VLOOKUP(Interval,LoanLookup[],2,FALSE),DAY(C523)+VLOOKUP(Interval,LoanLookup[],3,FALSE)),"")</f>
        <v>60421</v>
      </c>
      <c r="D524" s="34">
        <f t="shared" ca="1" si="26"/>
        <v>0</v>
      </c>
      <c r="E524" s="35">
        <f t="shared" ca="1" si="25"/>
        <v>989.93360882498609</v>
      </c>
      <c r="F524" s="36">
        <f ca="1">IF(scheduled_no_payments=1,"",IF(Sched_Pay+Scheduled_Extra_Payments&lt;Beg_Bal,Scheduled_Extra_Payments,IF(AND(Pay_Num&lt;&gt;"",Beg_Bal-Sched_Pay&gt;0),Beg_Bal-Sched_Pay,IF(Pay_Num&lt;&gt;"",0,""))))</f>
        <v>0</v>
      </c>
      <c r="G524" s="34">
        <f ca="1">IF(scheduled_no_payments=1,"",IF(Sched_Pay+Extra_Pay&lt;Beg_Bal,Sched_Pay+Extra_Pay,IF(Pay_Num&lt;&gt;"",Beg_Bal,"")))</f>
        <v>0</v>
      </c>
      <c r="H524" s="34">
        <f t="shared" ca="1" si="24"/>
        <v>0</v>
      </c>
      <c r="I524" s="34">
        <f ca="1">IF(Pay_Num&lt;&gt;"",Beg_Bal*(Interest_Rate/VLOOKUP(Interval,LoanLookup[],5,FALSE)),"")</f>
        <v>0</v>
      </c>
      <c r="J524" s="34">
        <f ca="1">IF(scheduled_no_payments=1,"",IF(AND(Pay_Num&lt;&gt;"",Sched_Pay+Extra_Pay&lt;Beg_Bal),Beg_Bal-Princ,IF(Pay_Num&lt;&gt;"",0,"")))</f>
        <v>0</v>
      </c>
      <c r="K524" s="34">
        <f ca="1">IF(scheduled_no_payments=1,"",SUM($I$13:$I524))</f>
        <v>87584.066117996466</v>
      </c>
      <c r="L524" s="38"/>
    </row>
    <row r="525" spans="2:12" ht="16.5" customHeight="1" x14ac:dyDescent="0.25">
      <c r="B525" s="32">
        <f ca="1">IF(AND(Values_Entered,scheduled_no_payments&lt;&gt;1),B524+1,"")</f>
        <v>513</v>
      </c>
      <c r="C525" s="33">
        <f ca="1">IF(Pay_Num&lt;&gt;"",DATE(YEAR(C524)+VLOOKUP(Interval,LoanLookup[],4,FALSE),MONTH(C524)+VLOOKUP(Interval,LoanLookup[],2,FALSE),DAY(C524)+VLOOKUP(Interval,LoanLookup[],3,FALSE)),"")</f>
        <v>60451</v>
      </c>
      <c r="D525" s="34">
        <f t="shared" ca="1" si="26"/>
        <v>0</v>
      </c>
      <c r="E525" s="35">
        <f t="shared" ca="1" si="25"/>
        <v>989.93360882498609</v>
      </c>
      <c r="F525" s="36">
        <f ca="1">IF(scheduled_no_payments=1,"",IF(Sched_Pay+Scheduled_Extra_Payments&lt;Beg_Bal,Scheduled_Extra_Payments,IF(AND(Pay_Num&lt;&gt;"",Beg_Bal-Sched_Pay&gt;0),Beg_Bal-Sched_Pay,IF(Pay_Num&lt;&gt;"",0,""))))</f>
        <v>0</v>
      </c>
      <c r="G525" s="34">
        <f ca="1">IF(scheduled_no_payments=1,"",IF(Sched_Pay+Extra_Pay&lt;Beg_Bal,Sched_Pay+Extra_Pay,IF(Pay_Num&lt;&gt;"",Beg_Bal,"")))</f>
        <v>0</v>
      </c>
      <c r="H525" s="34">
        <f t="shared" ca="1" si="24"/>
        <v>0</v>
      </c>
      <c r="I525" s="34">
        <f ca="1">IF(Pay_Num&lt;&gt;"",Beg_Bal*(Interest_Rate/VLOOKUP(Interval,LoanLookup[],5,FALSE)),"")</f>
        <v>0</v>
      </c>
      <c r="J525" s="34">
        <f ca="1">IF(scheduled_no_payments=1,"",IF(AND(Pay_Num&lt;&gt;"",Sched_Pay+Extra_Pay&lt;Beg_Bal),Beg_Bal-Princ,IF(Pay_Num&lt;&gt;"",0,"")))</f>
        <v>0</v>
      </c>
      <c r="K525" s="34">
        <f ca="1">IF(scheduled_no_payments=1,"",SUM($I$13:$I525))</f>
        <v>87584.066117996466</v>
      </c>
      <c r="L525" s="38"/>
    </row>
    <row r="526" spans="2:12" ht="16.5" customHeight="1" x14ac:dyDescent="0.25">
      <c r="B526" s="32">
        <f ca="1">IF(AND(Values_Entered,scheduled_no_payments&lt;&gt;1),B525+1,"")</f>
        <v>514</v>
      </c>
      <c r="C526" s="33">
        <f ca="1">IF(Pay_Num&lt;&gt;"",DATE(YEAR(C525)+VLOOKUP(Interval,LoanLookup[],4,FALSE),MONTH(C525)+VLOOKUP(Interval,LoanLookup[],2,FALSE),DAY(C525)+VLOOKUP(Interval,LoanLookup[],3,FALSE)),"")</f>
        <v>60482</v>
      </c>
      <c r="D526" s="34">
        <f t="shared" ca="1" si="26"/>
        <v>0</v>
      </c>
      <c r="E526" s="35">
        <f t="shared" ca="1" si="25"/>
        <v>989.93360882498609</v>
      </c>
      <c r="F526" s="36">
        <f ca="1">IF(scheduled_no_payments=1,"",IF(Sched_Pay+Scheduled_Extra_Payments&lt;Beg_Bal,Scheduled_Extra_Payments,IF(AND(Pay_Num&lt;&gt;"",Beg_Bal-Sched_Pay&gt;0),Beg_Bal-Sched_Pay,IF(Pay_Num&lt;&gt;"",0,""))))</f>
        <v>0</v>
      </c>
      <c r="G526" s="34">
        <f ca="1">IF(scheduled_no_payments=1,"",IF(Sched_Pay+Extra_Pay&lt;Beg_Bal,Sched_Pay+Extra_Pay,IF(Pay_Num&lt;&gt;"",Beg_Bal,"")))</f>
        <v>0</v>
      </c>
      <c r="H526" s="34">
        <f t="shared" ref="H526:H589" ca="1" si="27">IF(Pay_Num&lt;&gt;"",Total_Pay-Int,"")</f>
        <v>0</v>
      </c>
      <c r="I526" s="34">
        <f ca="1">IF(Pay_Num&lt;&gt;"",Beg_Bal*(Interest_Rate/VLOOKUP(Interval,LoanLookup[],5,FALSE)),"")</f>
        <v>0</v>
      </c>
      <c r="J526" s="34">
        <f ca="1">IF(scheduled_no_payments=1,"",IF(AND(Pay_Num&lt;&gt;"",Sched_Pay+Extra_Pay&lt;Beg_Bal),Beg_Bal-Princ,IF(Pay_Num&lt;&gt;"",0,"")))</f>
        <v>0</v>
      </c>
      <c r="K526" s="34">
        <f ca="1">IF(scheduled_no_payments=1,"",SUM($I$13:$I526))</f>
        <v>87584.066117996466</v>
      </c>
      <c r="L526" s="38"/>
    </row>
    <row r="527" spans="2:12" ht="16.5" customHeight="1" x14ac:dyDescent="0.25">
      <c r="B527" s="32">
        <f ca="1">IF(AND(Values_Entered,scheduled_no_payments&lt;&gt;1),B526+1,"")</f>
        <v>515</v>
      </c>
      <c r="C527" s="33">
        <f ca="1">IF(Pay_Num&lt;&gt;"",DATE(YEAR(C526)+VLOOKUP(Interval,LoanLookup[],4,FALSE),MONTH(C526)+VLOOKUP(Interval,LoanLookup[],2,FALSE),DAY(C526)+VLOOKUP(Interval,LoanLookup[],3,FALSE)),"")</f>
        <v>60513</v>
      </c>
      <c r="D527" s="34">
        <f t="shared" ca="1" si="26"/>
        <v>0</v>
      </c>
      <c r="E527" s="35">
        <f t="shared" ref="E527:E590" ca="1" si="28">IF(Pay_Num&lt;&gt;"",Scheduled_Monthly_Payment,"")</f>
        <v>989.93360882498609</v>
      </c>
      <c r="F527" s="36">
        <f ca="1">IF(scheduled_no_payments=1,"",IF(Sched_Pay+Scheduled_Extra_Payments&lt;Beg_Bal,Scheduled_Extra_Payments,IF(AND(Pay_Num&lt;&gt;"",Beg_Bal-Sched_Pay&gt;0),Beg_Bal-Sched_Pay,IF(Pay_Num&lt;&gt;"",0,""))))</f>
        <v>0</v>
      </c>
      <c r="G527" s="34">
        <f ca="1">IF(scheduled_no_payments=1,"",IF(Sched_Pay+Extra_Pay&lt;Beg_Bal,Sched_Pay+Extra_Pay,IF(Pay_Num&lt;&gt;"",Beg_Bal,"")))</f>
        <v>0</v>
      </c>
      <c r="H527" s="34">
        <f t="shared" ca="1" si="27"/>
        <v>0</v>
      </c>
      <c r="I527" s="34">
        <f ca="1">IF(Pay_Num&lt;&gt;"",Beg_Bal*(Interest_Rate/VLOOKUP(Interval,LoanLookup[],5,FALSE)),"")</f>
        <v>0</v>
      </c>
      <c r="J527" s="34">
        <f ca="1">IF(scheduled_no_payments=1,"",IF(AND(Pay_Num&lt;&gt;"",Sched_Pay+Extra_Pay&lt;Beg_Bal),Beg_Bal-Princ,IF(Pay_Num&lt;&gt;"",0,"")))</f>
        <v>0</v>
      </c>
      <c r="K527" s="34">
        <f ca="1">IF(scheduled_no_payments=1,"",SUM($I$13:$I527))</f>
        <v>87584.066117996466</v>
      </c>
      <c r="L527" s="38"/>
    </row>
    <row r="528" spans="2:12" ht="16.5" customHeight="1" x14ac:dyDescent="0.25">
      <c r="B528" s="32">
        <f ca="1">IF(AND(Values_Entered,scheduled_no_payments&lt;&gt;1),B527+1,"")</f>
        <v>516</v>
      </c>
      <c r="C528" s="33">
        <f ca="1">IF(Pay_Num&lt;&gt;"",DATE(YEAR(C527)+VLOOKUP(Interval,LoanLookup[],4,FALSE),MONTH(C527)+VLOOKUP(Interval,LoanLookup[],2,FALSE),DAY(C527)+VLOOKUP(Interval,LoanLookup[],3,FALSE)),"")</f>
        <v>60543</v>
      </c>
      <c r="D528" s="34">
        <f t="shared" ca="1" si="26"/>
        <v>0</v>
      </c>
      <c r="E528" s="35">
        <f t="shared" ca="1" si="28"/>
        <v>989.93360882498609</v>
      </c>
      <c r="F528" s="36">
        <f ca="1">IF(scheduled_no_payments=1,"",IF(Sched_Pay+Scheduled_Extra_Payments&lt;Beg_Bal,Scheduled_Extra_Payments,IF(AND(Pay_Num&lt;&gt;"",Beg_Bal-Sched_Pay&gt;0),Beg_Bal-Sched_Pay,IF(Pay_Num&lt;&gt;"",0,""))))</f>
        <v>0</v>
      </c>
      <c r="G528" s="34">
        <f ca="1">IF(scheduled_no_payments=1,"",IF(Sched_Pay+Extra_Pay&lt;Beg_Bal,Sched_Pay+Extra_Pay,IF(Pay_Num&lt;&gt;"",Beg_Bal,"")))</f>
        <v>0</v>
      </c>
      <c r="H528" s="34">
        <f t="shared" ca="1" si="27"/>
        <v>0</v>
      </c>
      <c r="I528" s="34">
        <f ca="1">IF(Pay_Num&lt;&gt;"",Beg_Bal*(Interest_Rate/VLOOKUP(Interval,LoanLookup[],5,FALSE)),"")</f>
        <v>0</v>
      </c>
      <c r="J528" s="34">
        <f ca="1">IF(scheduled_no_payments=1,"",IF(AND(Pay_Num&lt;&gt;"",Sched_Pay+Extra_Pay&lt;Beg_Bal),Beg_Bal-Princ,IF(Pay_Num&lt;&gt;"",0,"")))</f>
        <v>0</v>
      </c>
      <c r="K528" s="34">
        <f ca="1">IF(scheduled_no_payments=1,"",SUM($I$13:$I528))</f>
        <v>87584.066117996466</v>
      </c>
      <c r="L528" s="38"/>
    </row>
    <row r="529" spans="2:12" ht="16.5" customHeight="1" x14ac:dyDescent="0.25">
      <c r="B529" s="32">
        <f ca="1">IF(AND(Values_Entered,scheduled_no_payments&lt;&gt;1),B528+1,"")</f>
        <v>517</v>
      </c>
      <c r="C529" s="33">
        <f ca="1">IF(Pay_Num&lt;&gt;"",DATE(YEAR(C528)+VLOOKUP(Interval,LoanLookup[],4,FALSE),MONTH(C528)+VLOOKUP(Interval,LoanLookup[],2,FALSE),DAY(C528)+VLOOKUP(Interval,LoanLookup[],3,FALSE)),"")</f>
        <v>60574</v>
      </c>
      <c r="D529" s="34">
        <f t="shared" ca="1" si="26"/>
        <v>0</v>
      </c>
      <c r="E529" s="35">
        <f t="shared" ca="1" si="28"/>
        <v>989.93360882498609</v>
      </c>
      <c r="F529" s="36">
        <f ca="1">IF(scheduled_no_payments=1,"",IF(Sched_Pay+Scheduled_Extra_Payments&lt;Beg_Bal,Scheduled_Extra_Payments,IF(AND(Pay_Num&lt;&gt;"",Beg_Bal-Sched_Pay&gt;0),Beg_Bal-Sched_Pay,IF(Pay_Num&lt;&gt;"",0,""))))</f>
        <v>0</v>
      </c>
      <c r="G529" s="34">
        <f ca="1">IF(scheduled_no_payments=1,"",IF(Sched_Pay+Extra_Pay&lt;Beg_Bal,Sched_Pay+Extra_Pay,IF(Pay_Num&lt;&gt;"",Beg_Bal,"")))</f>
        <v>0</v>
      </c>
      <c r="H529" s="34">
        <f t="shared" ca="1" si="27"/>
        <v>0</v>
      </c>
      <c r="I529" s="34">
        <f ca="1">IF(Pay_Num&lt;&gt;"",Beg_Bal*(Interest_Rate/VLOOKUP(Interval,LoanLookup[],5,FALSE)),"")</f>
        <v>0</v>
      </c>
      <c r="J529" s="34">
        <f ca="1">IF(scheduled_no_payments=1,"",IF(AND(Pay_Num&lt;&gt;"",Sched_Pay+Extra_Pay&lt;Beg_Bal),Beg_Bal-Princ,IF(Pay_Num&lt;&gt;"",0,"")))</f>
        <v>0</v>
      </c>
      <c r="K529" s="34">
        <f ca="1">IF(scheduled_no_payments=1,"",SUM($I$13:$I529))</f>
        <v>87584.066117996466</v>
      </c>
      <c r="L529" s="38"/>
    </row>
    <row r="530" spans="2:12" ht="16.5" customHeight="1" x14ac:dyDescent="0.25">
      <c r="B530" s="32">
        <f ca="1">IF(AND(Values_Entered,scheduled_no_payments&lt;&gt;1),B529+1,"")</f>
        <v>518</v>
      </c>
      <c r="C530" s="33">
        <f ca="1">IF(Pay_Num&lt;&gt;"",DATE(YEAR(C529)+VLOOKUP(Interval,LoanLookup[],4,FALSE),MONTH(C529)+VLOOKUP(Interval,LoanLookup[],2,FALSE),DAY(C529)+VLOOKUP(Interval,LoanLookup[],3,FALSE)),"")</f>
        <v>60604</v>
      </c>
      <c r="D530" s="34">
        <f t="shared" ca="1" si="26"/>
        <v>0</v>
      </c>
      <c r="E530" s="35">
        <f t="shared" ca="1" si="28"/>
        <v>989.93360882498609</v>
      </c>
      <c r="F530" s="36">
        <f ca="1">IF(scheduled_no_payments=1,"",IF(Sched_Pay+Scheduled_Extra_Payments&lt;Beg_Bal,Scheduled_Extra_Payments,IF(AND(Pay_Num&lt;&gt;"",Beg_Bal-Sched_Pay&gt;0),Beg_Bal-Sched_Pay,IF(Pay_Num&lt;&gt;"",0,""))))</f>
        <v>0</v>
      </c>
      <c r="G530" s="34">
        <f ca="1">IF(scheduled_no_payments=1,"",IF(Sched_Pay+Extra_Pay&lt;Beg_Bal,Sched_Pay+Extra_Pay,IF(Pay_Num&lt;&gt;"",Beg_Bal,"")))</f>
        <v>0</v>
      </c>
      <c r="H530" s="34">
        <f t="shared" ca="1" si="27"/>
        <v>0</v>
      </c>
      <c r="I530" s="34">
        <f ca="1">IF(Pay_Num&lt;&gt;"",Beg_Bal*(Interest_Rate/VLOOKUP(Interval,LoanLookup[],5,FALSE)),"")</f>
        <v>0</v>
      </c>
      <c r="J530" s="34">
        <f ca="1">IF(scheduled_no_payments=1,"",IF(AND(Pay_Num&lt;&gt;"",Sched_Pay+Extra_Pay&lt;Beg_Bal),Beg_Bal-Princ,IF(Pay_Num&lt;&gt;"",0,"")))</f>
        <v>0</v>
      </c>
      <c r="K530" s="34">
        <f ca="1">IF(scheduled_no_payments=1,"",SUM($I$13:$I530))</f>
        <v>87584.066117996466</v>
      </c>
      <c r="L530" s="38"/>
    </row>
    <row r="531" spans="2:12" ht="16.5" customHeight="1" x14ac:dyDescent="0.25">
      <c r="B531" s="32">
        <f ca="1">IF(AND(Values_Entered,scheduled_no_payments&lt;&gt;1),B530+1,"")</f>
        <v>519</v>
      </c>
      <c r="C531" s="33">
        <f ca="1">IF(Pay_Num&lt;&gt;"",DATE(YEAR(C530)+VLOOKUP(Interval,LoanLookup[],4,FALSE),MONTH(C530)+VLOOKUP(Interval,LoanLookup[],2,FALSE),DAY(C530)+VLOOKUP(Interval,LoanLookup[],3,FALSE)),"")</f>
        <v>60635</v>
      </c>
      <c r="D531" s="34">
        <f t="shared" ca="1" si="26"/>
        <v>0</v>
      </c>
      <c r="E531" s="35">
        <f t="shared" ca="1" si="28"/>
        <v>989.93360882498609</v>
      </c>
      <c r="F531" s="36">
        <f ca="1">IF(scheduled_no_payments=1,"",IF(Sched_Pay+Scheduled_Extra_Payments&lt;Beg_Bal,Scheduled_Extra_Payments,IF(AND(Pay_Num&lt;&gt;"",Beg_Bal-Sched_Pay&gt;0),Beg_Bal-Sched_Pay,IF(Pay_Num&lt;&gt;"",0,""))))</f>
        <v>0</v>
      </c>
      <c r="G531" s="34">
        <f ca="1">IF(scheduled_no_payments=1,"",IF(Sched_Pay+Extra_Pay&lt;Beg_Bal,Sched_Pay+Extra_Pay,IF(Pay_Num&lt;&gt;"",Beg_Bal,"")))</f>
        <v>0</v>
      </c>
      <c r="H531" s="34">
        <f t="shared" ca="1" si="27"/>
        <v>0</v>
      </c>
      <c r="I531" s="34">
        <f ca="1">IF(Pay_Num&lt;&gt;"",Beg_Bal*(Interest_Rate/VLOOKUP(Interval,LoanLookup[],5,FALSE)),"")</f>
        <v>0</v>
      </c>
      <c r="J531" s="34">
        <f ca="1">IF(scheduled_no_payments=1,"",IF(AND(Pay_Num&lt;&gt;"",Sched_Pay+Extra_Pay&lt;Beg_Bal),Beg_Bal-Princ,IF(Pay_Num&lt;&gt;"",0,"")))</f>
        <v>0</v>
      </c>
      <c r="K531" s="34">
        <f ca="1">IF(scheduled_no_payments=1,"",SUM($I$13:$I531))</f>
        <v>87584.066117996466</v>
      </c>
      <c r="L531" s="38"/>
    </row>
    <row r="532" spans="2:12" ht="16.5" customHeight="1" x14ac:dyDescent="0.25">
      <c r="B532" s="32">
        <f ca="1">IF(AND(Values_Entered,scheduled_no_payments&lt;&gt;1),B531+1,"")</f>
        <v>520</v>
      </c>
      <c r="C532" s="33">
        <f ca="1">IF(Pay_Num&lt;&gt;"",DATE(YEAR(C531)+VLOOKUP(Interval,LoanLookup[],4,FALSE),MONTH(C531)+VLOOKUP(Interval,LoanLookup[],2,FALSE),DAY(C531)+VLOOKUP(Interval,LoanLookup[],3,FALSE)),"")</f>
        <v>60666</v>
      </c>
      <c r="D532" s="34">
        <f t="shared" ca="1" si="26"/>
        <v>0</v>
      </c>
      <c r="E532" s="35">
        <f t="shared" ca="1" si="28"/>
        <v>989.93360882498609</v>
      </c>
      <c r="F532" s="36">
        <f ca="1">IF(scheduled_no_payments=1,"",IF(Sched_Pay+Scheduled_Extra_Payments&lt;Beg_Bal,Scheduled_Extra_Payments,IF(AND(Pay_Num&lt;&gt;"",Beg_Bal-Sched_Pay&gt;0),Beg_Bal-Sched_Pay,IF(Pay_Num&lt;&gt;"",0,""))))</f>
        <v>0</v>
      </c>
      <c r="G532" s="34">
        <f ca="1">IF(scheduled_no_payments=1,"",IF(Sched_Pay+Extra_Pay&lt;Beg_Bal,Sched_Pay+Extra_Pay,IF(Pay_Num&lt;&gt;"",Beg_Bal,"")))</f>
        <v>0</v>
      </c>
      <c r="H532" s="34">
        <f t="shared" ca="1" si="27"/>
        <v>0</v>
      </c>
      <c r="I532" s="34">
        <f ca="1">IF(Pay_Num&lt;&gt;"",Beg_Bal*(Interest_Rate/VLOOKUP(Interval,LoanLookup[],5,FALSE)),"")</f>
        <v>0</v>
      </c>
      <c r="J532" s="34">
        <f ca="1">IF(scheduled_no_payments=1,"",IF(AND(Pay_Num&lt;&gt;"",Sched_Pay+Extra_Pay&lt;Beg_Bal),Beg_Bal-Princ,IF(Pay_Num&lt;&gt;"",0,"")))</f>
        <v>0</v>
      </c>
      <c r="K532" s="34">
        <f ca="1">IF(scheduled_no_payments=1,"",SUM($I$13:$I532))</f>
        <v>87584.066117996466</v>
      </c>
      <c r="L532" s="38"/>
    </row>
    <row r="533" spans="2:12" ht="16.5" customHeight="1" x14ac:dyDescent="0.25">
      <c r="B533" s="32">
        <f ca="1">IF(AND(Values_Entered,scheduled_no_payments&lt;&gt;1),B532+1,"")</f>
        <v>521</v>
      </c>
      <c r="C533" s="33">
        <f ca="1">IF(Pay_Num&lt;&gt;"",DATE(YEAR(C532)+VLOOKUP(Interval,LoanLookup[],4,FALSE),MONTH(C532)+VLOOKUP(Interval,LoanLookup[],2,FALSE),DAY(C532)+VLOOKUP(Interval,LoanLookup[],3,FALSE)),"")</f>
        <v>60694</v>
      </c>
      <c r="D533" s="34">
        <f t="shared" ca="1" si="26"/>
        <v>0</v>
      </c>
      <c r="E533" s="35">
        <f t="shared" ca="1" si="28"/>
        <v>989.93360882498609</v>
      </c>
      <c r="F533" s="36">
        <f ca="1">IF(scheduled_no_payments=1,"",IF(Sched_Pay+Scheduled_Extra_Payments&lt;Beg_Bal,Scheduled_Extra_Payments,IF(AND(Pay_Num&lt;&gt;"",Beg_Bal-Sched_Pay&gt;0),Beg_Bal-Sched_Pay,IF(Pay_Num&lt;&gt;"",0,""))))</f>
        <v>0</v>
      </c>
      <c r="G533" s="34">
        <f ca="1">IF(scheduled_no_payments=1,"",IF(Sched_Pay+Extra_Pay&lt;Beg_Bal,Sched_Pay+Extra_Pay,IF(Pay_Num&lt;&gt;"",Beg_Bal,"")))</f>
        <v>0</v>
      </c>
      <c r="H533" s="34">
        <f t="shared" ca="1" si="27"/>
        <v>0</v>
      </c>
      <c r="I533" s="34">
        <f ca="1">IF(Pay_Num&lt;&gt;"",Beg_Bal*(Interest_Rate/VLOOKUP(Interval,LoanLookup[],5,FALSE)),"")</f>
        <v>0</v>
      </c>
      <c r="J533" s="34">
        <f ca="1">IF(scheduled_no_payments=1,"",IF(AND(Pay_Num&lt;&gt;"",Sched_Pay+Extra_Pay&lt;Beg_Bal),Beg_Bal-Princ,IF(Pay_Num&lt;&gt;"",0,"")))</f>
        <v>0</v>
      </c>
      <c r="K533" s="34">
        <f ca="1">IF(scheduled_no_payments=1,"",SUM($I$13:$I533))</f>
        <v>87584.066117996466</v>
      </c>
      <c r="L533" s="38"/>
    </row>
    <row r="534" spans="2:12" ht="16.5" customHeight="1" x14ac:dyDescent="0.25">
      <c r="B534" s="32">
        <f ca="1">IF(AND(Values_Entered,scheduled_no_payments&lt;&gt;1),B533+1,"")</f>
        <v>522</v>
      </c>
      <c r="C534" s="33">
        <f ca="1">IF(Pay_Num&lt;&gt;"",DATE(YEAR(C533)+VLOOKUP(Interval,LoanLookup[],4,FALSE),MONTH(C533)+VLOOKUP(Interval,LoanLookup[],2,FALSE),DAY(C533)+VLOOKUP(Interval,LoanLookup[],3,FALSE)),"")</f>
        <v>60725</v>
      </c>
      <c r="D534" s="34">
        <f t="shared" ca="1" si="26"/>
        <v>0</v>
      </c>
      <c r="E534" s="35">
        <f t="shared" ca="1" si="28"/>
        <v>989.93360882498609</v>
      </c>
      <c r="F534" s="36">
        <f ca="1">IF(scheduled_no_payments=1,"",IF(Sched_Pay+Scheduled_Extra_Payments&lt;Beg_Bal,Scheduled_Extra_Payments,IF(AND(Pay_Num&lt;&gt;"",Beg_Bal-Sched_Pay&gt;0),Beg_Bal-Sched_Pay,IF(Pay_Num&lt;&gt;"",0,""))))</f>
        <v>0</v>
      </c>
      <c r="G534" s="34">
        <f ca="1">IF(scheduled_no_payments=1,"",IF(Sched_Pay+Extra_Pay&lt;Beg_Bal,Sched_Pay+Extra_Pay,IF(Pay_Num&lt;&gt;"",Beg_Bal,"")))</f>
        <v>0</v>
      </c>
      <c r="H534" s="34">
        <f t="shared" ca="1" si="27"/>
        <v>0</v>
      </c>
      <c r="I534" s="34">
        <f ca="1">IF(Pay_Num&lt;&gt;"",Beg_Bal*(Interest_Rate/VLOOKUP(Interval,LoanLookup[],5,FALSE)),"")</f>
        <v>0</v>
      </c>
      <c r="J534" s="34">
        <f ca="1">IF(scheduled_no_payments=1,"",IF(AND(Pay_Num&lt;&gt;"",Sched_Pay+Extra_Pay&lt;Beg_Bal),Beg_Bal-Princ,IF(Pay_Num&lt;&gt;"",0,"")))</f>
        <v>0</v>
      </c>
      <c r="K534" s="34">
        <f ca="1">IF(scheduled_no_payments=1,"",SUM($I$13:$I534))</f>
        <v>87584.066117996466</v>
      </c>
      <c r="L534" s="38"/>
    </row>
    <row r="535" spans="2:12" ht="16.5" customHeight="1" x14ac:dyDescent="0.25">
      <c r="B535" s="32">
        <f ca="1">IF(AND(Values_Entered,scheduled_no_payments&lt;&gt;1),B534+1,"")</f>
        <v>523</v>
      </c>
      <c r="C535" s="33">
        <f ca="1">IF(Pay_Num&lt;&gt;"",DATE(YEAR(C534)+VLOOKUP(Interval,LoanLookup[],4,FALSE),MONTH(C534)+VLOOKUP(Interval,LoanLookup[],2,FALSE),DAY(C534)+VLOOKUP(Interval,LoanLookup[],3,FALSE)),"")</f>
        <v>60755</v>
      </c>
      <c r="D535" s="34">
        <f t="shared" ca="1" si="26"/>
        <v>0</v>
      </c>
      <c r="E535" s="35">
        <f t="shared" ca="1" si="28"/>
        <v>989.93360882498609</v>
      </c>
      <c r="F535" s="36">
        <f ca="1">IF(scheduled_no_payments=1,"",IF(Sched_Pay+Scheduled_Extra_Payments&lt;Beg_Bal,Scheduled_Extra_Payments,IF(AND(Pay_Num&lt;&gt;"",Beg_Bal-Sched_Pay&gt;0),Beg_Bal-Sched_Pay,IF(Pay_Num&lt;&gt;"",0,""))))</f>
        <v>0</v>
      </c>
      <c r="G535" s="34">
        <f ca="1">IF(scheduled_no_payments=1,"",IF(Sched_Pay+Extra_Pay&lt;Beg_Bal,Sched_Pay+Extra_Pay,IF(Pay_Num&lt;&gt;"",Beg_Bal,"")))</f>
        <v>0</v>
      </c>
      <c r="H535" s="34">
        <f t="shared" ca="1" si="27"/>
        <v>0</v>
      </c>
      <c r="I535" s="34">
        <f ca="1">IF(Pay_Num&lt;&gt;"",Beg_Bal*(Interest_Rate/VLOOKUP(Interval,LoanLookup[],5,FALSE)),"")</f>
        <v>0</v>
      </c>
      <c r="J535" s="34">
        <f ca="1">IF(scheduled_no_payments=1,"",IF(AND(Pay_Num&lt;&gt;"",Sched_Pay+Extra_Pay&lt;Beg_Bal),Beg_Bal-Princ,IF(Pay_Num&lt;&gt;"",0,"")))</f>
        <v>0</v>
      </c>
      <c r="K535" s="34">
        <f ca="1">IF(scheduled_no_payments=1,"",SUM($I$13:$I535))</f>
        <v>87584.066117996466</v>
      </c>
      <c r="L535" s="38"/>
    </row>
    <row r="536" spans="2:12" ht="16.5" customHeight="1" x14ac:dyDescent="0.25">
      <c r="B536" s="32">
        <f ca="1">IF(AND(Values_Entered,scheduled_no_payments&lt;&gt;1),B535+1,"")</f>
        <v>524</v>
      </c>
      <c r="C536" s="33">
        <f ca="1">IF(Pay_Num&lt;&gt;"",DATE(YEAR(C535)+VLOOKUP(Interval,LoanLookup[],4,FALSE),MONTH(C535)+VLOOKUP(Interval,LoanLookup[],2,FALSE),DAY(C535)+VLOOKUP(Interval,LoanLookup[],3,FALSE)),"")</f>
        <v>60786</v>
      </c>
      <c r="D536" s="34">
        <f t="shared" ca="1" si="26"/>
        <v>0</v>
      </c>
      <c r="E536" s="35">
        <f t="shared" ca="1" si="28"/>
        <v>989.93360882498609</v>
      </c>
      <c r="F536" s="36">
        <f ca="1">IF(scheduled_no_payments=1,"",IF(Sched_Pay+Scheduled_Extra_Payments&lt;Beg_Bal,Scheduled_Extra_Payments,IF(AND(Pay_Num&lt;&gt;"",Beg_Bal-Sched_Pay&gt;0),Beg_Bal-Sched_Pay,IF(Pay_Num&lt;&gt;"",0,""))))</f>
        <v>0</v>
      </c>
      <c r="G536" s="34">
        <f ca="1">IF(scheduled_no_payments=1,"",IF(Sched_Pay+Extra_Pay&lt;Beg_Bal,Sched_Pay+Extra_Pay,IF(Pay_Num&lt;&gt;"",Beg_Bal,"")))</f>
        <v>0</v>
      </c>
      <c r="H536" s="34">
        <f t="shared" ca="1" si="27"/>
        <v>0</v>
      </c>
      <c r="I536" s="34">
        <f ca="1">IF(Pay_Num&lt;&gt;"",Beg_Bal*(Interest_Rate/VLOOKUP(Interval,LoanLookup[],5,FALSE)),"")</f>
        <v>0</v>
      </c>
      <c r="J536" s="34">
        <f ca="1">IF(scheduled_no_payments=1,"",IF(AND(Pay_Num&lt;&gt;"",Sched_Pay+Extra_Pay&lt;Beg_Bal),Beg_Bal-Princ,IF(Pay_Num&lt;&gt;"",0,"")))</f>
        <v>0</v>
      </c>
      <c r="K536" s="34">
        <f ca="1">IF(scheduled_no_payments=1,"",SUM($I$13:$I536))</f>
        <v>87584.066117996466</v>
      </c>
      <c r="L536" s="38"/>
    </row>
    <row r="537" spans="2:12" ht="16.5" customHeight="1" x14ac:dyDescent="0.25">
      <c r="B537" s="32">
        <f ca="1">IF(AND(Values_Entered,scheduled_no_payments&lt;&gt;1),B536+1,"")</f>
        <v>525</v>
      </c>
      <c r="C537" s="33">
        <f ca="1">IF(Pay_Num&lt;&gt;"",DATE(YEAR(C536)+VLOOKUP(Interval,LoanLookup[],4,FALSE),MONTH(C536)+VLOOKUP(Interval,LoanLookup[],2,FALSE),DAY(C536)+VLOOKUP(Interval,LoanLookup[],3,FALSE)),"")</f>
        <v>60816</v>
      </c>
      <c r="D537" s="34">
        <f t="shared" ca="1" si="26"/>
        <v>0</v>
      </c>
      <c r="E537" s="35">
        <f t="shared" ca="1" si="28"/>
        <v>989.93360882498609</v>
      </c>
      <c r="F537" s="36">
        <f ca="1">IF(scheduled_no_payments=1,"",IF(Sched_Pay+Scheduled_Extra_Payments&lt;Beg_Bal,Scheduled_Extra_Payments,IF(AND(Pay_Num&lt;&gt;"",Beg_Bal-Sched_Pay&gt;0),Beg_Bal-Sched_Pay,IF(Pay_Num&lt;&gt;"",0,""))))</f>
        <v>0</v>
      </c>
      <c r="G537" s="34">
        <f ca="1">IF(scheduled_no_payments=1,"",IF(Sched_Pay+Extra_Pay&lt;Beg_Bal,Sched_Pay+Extra_Pay,IF(Pay_Num&lt;&gt;"",Beg_Bal,"")))</f>
        <v>0</v>
      </c>
      <c r="H537" s="34">
        <f t="shared" ca="1" si="27"/>
        <v>0</v>
      </c>
      <c r="I537" s="34">
        <f ca="1">IF(Pay_Num&lt;&gt;"",Beg_Bal*(Interest_Rate/VLOOKUP(Interval,LoanLookup[],5,FALSE)),"")</f>
        <v>0</v>
      </c>
      <c r="J537" s="34">
        <f ca="1">IF(scheduled_no_payments=1,"",IF(AND(Pay_Num&lt;&gt;"",Sched_Pay+Extra_Pay&lt;Beg_Bal),Beg_Bal-Princ,IF(Pay_Num&lt;&gt;"",0,"")))</f>
        <v>0</v>
      </c>
      <c r="K537" s="34">
        <f ca="1">IF(scheduled_no_payments=1,"",SUM($I$13:$I537))</f>
        <v>87584.066117996466</v>
      </c>
      <c r="L537" s="38"/>
    </row>
    <row r="538" spans="2:12" ht="16.5" customHeight="1" x14ac:dyDescent="0.25">
      <c r="B538" s="32">
        <f ca="1">IF(AND(Values_Entered,scheduled_no_payments&lt;&gt;1),B537+1,"")</f>
        <v>526</v>
      </c>
      <c r="C538" s="33">
        <f ca="1">IF(Pay_Num&lt;&gt;"",DATE(YEAR(C537)+VLOOKUP(Interval,LoanLookup[],4,FALSE),MONTH(C537)+VLOOKUP(Interval,LoanLookup[],2,FALSE),DAY(C537)+VLOOKUP(Interval,LoanLookup[],3,FALSE)),"")</f>
        <v>60847</v>
      </c>
      <c r="D538" s="34">
        <f t="shared" ca="1" si="26"/>
        <v>0</v>
      </c>
      <c r="E538" s="35">
        <f t="shared" ca="1" si="28"/>
        <v>989.93360882498609</v>
      </c>
      <c r="F538" s="36">
        <f ca="1">IF(scheduled_no_payments=1,"",IF(Sched_Pay+Scheduled_Extra_Payments&lt;Beg_Bal,Scheduled_Extra_Payments,IF(AND(Pay_Num&lt;&gt;"",Beg_Bal-Sched_Pay&gt;0),Beg_Bal-Sched_Pay,IF(Pay_Num&lt;&gt;"",0,""))))</f>
        <v>0</v>
      </c>
      <c r="G538" s="34">
        <f ca="1">IF(scheduled_no_payments=1,"",IF(Sched_Pay+Extra_Pay&lt;Beg_Bal,Sched_Pay+Extra_Pay,IF(Pay_Num&lt;&gt;"",Beg_Bal,"")))</f>
        <v>0</v>
      </c>
      <c r="H538" s="34">
        <f t="shared" ca="1" si="27"/>
        <v>0</v>
      </c>
      <c r="I538" s="34">
        <f ca="1">IF(Pay_Num&lt;&gt;"",Beg_Bal*(Interest_Rate/VLOOKUP(Interval,LoanLookup[],5,FALSE)),"")</f>
        <v>0</v>
      </c>
      <c r="J538" s="34">
        <f ca="1">IF(scheduled_no_payments=1,"",IF(AND(Pay_Num&lt;&gt;"",Sched_Pay+Extra_Pay&lt;Beg_Bal),Beg_Bal-Princ,IF(Pay_Num&lt;&gt;"",0,"")))</f>
        <v>0</v>
      </c>
      <c r="K538" s="34">
        <f ca="1">IF(scheduled_no_payments=1,"",SUM($I$13:$I538))</f>
        <v>87584.066117996466</v>
      </c>
      <c r="L538" s="38"/>
    </row>
    <row r="539" spans="2:12" ht="16.5" customHeight="1" x14ac:dyDescent="0.25">
      <c r="B539" s="32">
        <f ca="1">IF(AND(Values_Entered,scheduled_no_payments&lt;&gt;1),B538+1,"")</f>
        <v>527</v>
      </c>
      <c r="C539" s="33">
        <f ca="1">IF(Pay_Num&lt;&gt;"",DATE(YEAR(C538)+VLOOKUP(Interval,LoanLookup[],4,FALSE),MONTH(C538)+VLOOKUP(Interval,LoanLookup[],2,FALSE),DAY(C538)+VLOOKUP(Interval,LoanLookup[],3,FALSE)),"")</f>
        <v>60878</v>
      </c>
      <c r="D539" s="34">
        <f t="shared" ca="1" si="26"/>
        <v>0</v>
      </c>
      <c r="E539" s="35">
        <f t="shared" ca="1" si="28"/>
        <v>989.93360882498609</v>
      </c>
      <c r="F539" s="36">
        <f ca="1">IF(scheduled_no_payments=1,"",IF(Sched_Pay+Scheduled_Extra_Payments&lt;Beg_Bal,Scheduled_Extra_Payments,IF(AND(Pay_Num&lt;&gt;"",Beg_Bal-Sched_Pay&gt;0),Beg_Bal-Sched_Pay,IF(Pay_Num&lt;&gt;"",0,""))))</f>
        <v>0</v>
      </c>
      <c r="G539" s="34">
        <f ca="1">IF(scheduled_no_payments=1,"",IF(Sched_Pay+Extra_Pay&lt;Beg_Bal,Sched_Pay+Extra_Pay,IF(Pay_Num&lt;&gt;"",Beg_Bal,"")))</f>
        <v>0</v>
      </c>
      <c r="H539" s="34">
        <f t="shared" ca="1" si="27"/>
        <v>0</v>
      </c>
      <c r="I539" s="34">
        <f ca="1">IF(Pay_Num&lt;&gt;"",Beg_Bal*(Interest_Rate/VLOOKUP(Interval,LoanLookup[],5,FALSE)),"")</f>
        <v>0</v>
      </c>
      <c r="J539" s="34">
        <f ca="1">IF(scheduled_no_payments=1,"",IF(AND(Pay_Num&lt;&gt;"",Sched_Pay+Extra_Pay&lt;Beg_Bal),Beg_Bal-Princ,IF(Pay_Num&lt;&gt;"",0,"")))</f>
        <v>0</v>
      </c>
      <c r="K539" s="34">
        <f ca="1">IF(scheduled_no_payments=1,"",SUM($I$13:$I539))</f>
        <v>87584.066117996466</v>
      </c>
      <c r="L539" s="38"/>
    </row>
    <row r="540" spans="2:12" ht="16.5" customHeight="1" x14ac:dyDescent="0.25">
      <c r="B540" s="32">
        <f ca="1">IF(AND(Values_Entered,scheduled_no_payments&lt;&gt;1),B539+1,"")</f>
        <v>528</v>
      </c>
      <c r="C540" s="33">
        <f ca="1">IF(Pay_Num&lt;&gt;"",DATE(YEAR(C539)+VLOOKUP(Interval,LoanLookup[],4,FALSE),MONTH(C539)+VLOOKUP(Interval,LoanLookup[],2,FALSE),DAY(C539)+VLOOKUP(Interval,LoanLookup[],3,FALSE)),"")</f>
        <v>60908</v>
      </c>
      <c r="D540" s="34">
        <f t="shared" ca="1" si="26"/>
        <v>0</v>
      </c>
      <c r="E540" s="35">
        <f t="shared" ca="1" si="28"/>
        <v>989.93360882498609</v>
      </c>
      <c r="F540" s="36">
        <f ca="1">IF(scheduled_no_payments=1,"",IF(Sched_Pay+Scheduled_Extra_Payments&lt;Beg_Bal,Scheduled_Extra_Payments,IF(AND(Pay_Num&lt;&gt;"",Beg_Bal-Sched_Pay&gt;0),Beg_Bal-Sched_Pay,IF(Pay_Num&lt;&gt;"",0,""))))</f>
        <v>0</v>
      </c>
      <c r="G540" s="34">
        <f ca="1">IF(scheduled_no_payments=1,"",IF(Sched_Pay+Extra_Pay&lt;Beg_Bal,Sched_Pay+Extra_Pay,IF(Pay_Num&lt;&gt;"",Beg_Bal,"")))</f>
        <v>0</v>
      </c>
      <c r="H540" s="34">
        <f t="shared" ca="1" si="27"/>
        <v>0</v>
      </c>
      <c r="I540" s="34">
        <f ca="1">IF(Pay_Num&lt;&gt;"",Beg_Bal*(Interest_Rate/VLOOKUP(Interval,LoanLookup[],5,FALSE)),"")</f>
        <v>0</v>
      </c>
      <c r="J540" s="34">
        <f ca="1">IF(scheduled_no_payments=1,"",IF(AND(Pay_Num&lt;&gt;"",Sched_Pay+Extra_Pay&lt;Beg_Bal),Beg_Bal-Princ,IF(Pay_Num&lt;&gt;"",0,"")))</f>
        <v>0</v>
      </c>
      <c r="K540" s="34">
        <f ca="1">IF(scheduled_no_payments=1,"",SUM($I$13:$I540))</f>
        <v>87584.066117996466</v>
      </c>
      <c r="L540" s="38"/>
    </row>
    <row r="541" spans="2:12" ht="16.5" customHeight="1" x14ac:dyDescent="0.25">
      <c r="B541" s="32">
        <f ca="1">IF(AND(Values_Entered,scheduled_no_payments&lt;&gt;1),B540+1,"")</f>
        <v>529</v>
      </c>
      <c r="C541" s="33">
        <f ca="1">IF(Pay_Num&lt;&gt;"",DATE(YEAR(C540)+VLOOKUP(Interval,LoanLookup[],4,FALSE),MONTH(C540)+VLOOKUP(Interval,LoanLookup[],2,FALSE),DAY(C540)+VLOOKUP(Interval,LoanLookup[],3,FALSE)),"")</f>
        <v>60939</v>
      </c>
      <c r="D541" s="34">
        <f t="shared" ca="1" si="26"/>
        <v>0</v>
      </c>
      <c r="E541" s="35">
        <f t="shared" ca="1" si="28"/>
        <v>989.93360882498609</v>
      </c>
      <c r="F541" s="36">
        <f ca="1">IF(scheduled_no_payments=1,"",IF(Sched_Pay+Scheduled_Extra_Payments&lt;Beg_Bal,Scheduled_Extra_Payments,IF(AND(Pay_Num&lt;&gt;"",Beg_Bal-Sched_Pay&gt;0),Beg_Bal-Sched_Pay,IF(Pay_Num&lt;&gt;"",0,""))))</f>
        <v>0</v>
      </c>
      <c r="G541" s="34">
        <f ca="1">IF(scheduled_no_payments=1,"",IF(Sched_Pay+Extra_Pay&lt;Beg_Bal,Sched_Pay+Extra_Pay,IF(Pay_Num&lt;&gt;"",Beg_Bal,"")))</f>
        <v>0</v>
      </c>
      <c r="H541" s="34">
        <f t="shared" ca="1" si="27"/>
        <v>0</v>
      </c>
      <c r="I541" s="34">
        <f ca="1">IF(Pay_Num&lt;&gt;"",Beg_Bal*(Interest_Rate/VLOOKUP(Interval,LoanLookup[],5,FALSE)),"")</f>
        <v>0</v>
      </c>
      <c r="J541" s="34">
        <f ca="1">IF(scheduled_no_payments=1,"",IF(AND(Pay_Num&lt;&gt;"",Sched_Pay+Extra_Pay&lt;Beg_Bal),Beg_Bal-Princ,IF(Pay_Num&lt;&gt;"",0,"")))</f>
        <v>0</v>
      </c>
      <c r="K541" s="34">
        <f ca="1">IF(scheduled_no_payments=1,"",SUM($I$13:$I541))</f>
        <v>87584.066117996466</v>
      </c>
      <c r="L541" s="38"/>
    </row>
    <row r="542" spans="2:12" ht="16.5" customHeight="1" x14ac:dyDescent="0.25">
      <c r="B542" s="32">
        <f ca="1">IF(AND(Values_Entered,scheduled_no_payments&lt;&gt;1),B541+1,"")</f>
        <v>530</v>
      </c>
      <c r="C542" s="33">
        <f ca="1">IF(Pay_Num&lt;&gt;"",DATE(YEAR(C541)+VLOOKUP(Interval,LoanLookup[],4,FALSE),MONTH(C541)+VLOOKUP(Interval,LoanLookup[],2,FALSE),DAY(C541)+VLOOKUP(Interval,LoanLookup[],3,FALSE)),"")</f>
        <v>60969</v>
      </c>
      <c r="D542" s="34">
        <f t="shared" ca="1" si="26"/>
        <v>0</v>
      </c>
      <c r="E542" s="35">
        <f t="shared" ca="1" si="28"/>
        <v>989.93360882498609</v>
      </c>
      <c r="F542" s="36">
        <f ca="1">IF(scheduled_no_payments=1,"",IF(Sched_Pay+Scheduled_Extra_Payments&lt;Beg_Bal,Scheduled_Extra_Payments,IF(AND(Pay_Num&lt;&gt;"",Beg_Bal-Sched_Pay&gt;0),Beg_Bal-Sched_Pay,IF(Pay_Num&lt;&gt;"",0,""))))</f>
        <v>0</v>
      </c>
      <c r="G542" s="34">
        <f ca="1">IF(scheduled_no_payments=1,"",IF(Sched_Pay+Extra_Pay&lt;Beg_Bal,Sched_Pay+Extra_Pay,IF(Pay_Num&lt;&gt;"",Beg_Bal,"")))</f>
        <v>0</v>
      </c>
      <c r="H542" s="34">
        <f t="shared" ca="1" si="27"/>
        <v>0</v>
      </c>
      <c r="I542" s="34">
        <f ca="1">IF(Pay_Num&lt;&gt;"",Beg_Bal*(Interest_Rate/VLOOKUP(Interval,LoanLookup[],5,FALSE)),"")</f>
        <v>0</v>
      </c>
      <c r="J542" s="34">
        <f ca="1">IF(scheduled_no_payments=1,"",IF(AND(Pay_Num&lt;&gt;"",Sched_Pay+Extra_Pay&lt;Beg_Bal),Beg_Bal-Princ,IF(Pay_Num&lt;&gt;"",0,"")))</f>
        <v>0</v>
      </c>
      <c r="K542" s="34">
        <f ca="1">IF(scheduled_no_payments=1,"",SUM($I$13:$I542))</f>
        <v>87584.066117996466</v>
      </c>
      <c r="L542" s="38"/>
    </row>
    <row r="543" spans="2:12" ht="16.5" customHeight="1" x14ac:dyDescent="0.25">
      <c r="B543" s="32">
        <f ca="1">IF(AND(Values_Entered,scheduled_no_payments&lt;&gt;1),B542+1,"")</f>
        <v>531</v>
      </c>
      <c r="C543" s="33">
        <f ca="1">IF(Pay_Num&lt;&gt;"",DATE(YEAR(C542)+VLOOKUP(Interval,LoanLookup[],4,FALSE),MONTH(C542)+VLOOKUP(Interval,LoanLookup[],2,FALSE),DAY(C542)+VLOOKUP(Interval,LoanLookup[],3,FALSE)),"")</f>
        <v>61000</v>
      </c>
      <c r="D543" s="34">
        <f t="shared" ca="1" si="26"/>
        <v>0</v>
      </c>
      <c r="E543" s="35">
        <f t="shared" ca="1" si="28"/>
        <v>989.93360882498609</v>
      </c>
      <c r="F543" s="36">
        <f ca="1">IF(scheduled_no_payments=1,"",IF(Sched_Pay+Scheduled_Extra_Payments&lt;Beg_Bal,Scheduled_Extra_Payments,IF(AND(Pay_Num&lt;&gt;"",Beg_Bal-Sched_Pay&gt;0),Beg_Bal-Sched_Pay,IF(Pay_Num&lt;&gt;"",0,""))))</f>
        <v>0</v>
      </c>
      <c r="G543" s="34">
        <f ca="1">IF(scheduled_no_payments=1,"",IF(Sched_Pay+Extra_Pay&lt;Beg_Bal,Sched_Pay+Extra_Pay,IF(Pay_Num&lt;&gt;"",Beg_Bal,"")))</f>
        <v>0</v>
      </c>
      <c r="H543" s="34">
        <f t="shared" ca="1" si="27"/>
        <v>0</v>
      </c>
      <c r="I543" s="34">
        <f ca="1">IF(Pay_Num&lt;&gt;"",Beg_Bal*(Interest_Rate/VLOOKUP(Interval,LoanLookup[],5,FALSE)),"")</f>
        <v>0</v>
      </c>
      <c r="J543" s="34">
        <f ca="1">IF(scheduled_no_payments=1,"",IF(AND(Pay_Num&lt;&gt;"",Sched_Pay+Extra_Pay&lt;Beg_Bal),Beg_Bal-Princ,IF(Pay_Num&lt;&gt;"",0,"")))</f>
        <v>0</v>
      </c>
      <c r="K543" s="34">
        <f ca="1">IF(scheduled_no_payments=1,"",SUM($I$13:$I543))</f>
        <v>87584.066117996466</v>
      </c>
      <c r="L543" s="38"/>
    </row>
    <row r="544" spans="2:12" ht="16.5" customHeight="1" x14ac:dyDescent="0.25">
      <c r="B544" s="32">
        <f ca="1">IF(AND(Values_Entered,scheduled_no_payments&lt;&gt;1),B543+1,"")</f>
        <v>532</v>
      </c>
      <c r="C544" s="33">
        <f ca="1">IF(Pay_Num&lt;&gt;"",DATE(YEAR(C543)+VLOOKUP(Interval,LoanLookup[],4,FALSE),MONTH(C543)+VLOOKUP(Interval,LoanLookup[],2,FALSE),DAY(C543)+VLOOKUP(Interval,LoanLookup[],3,FALSE)),"")</f>
        <v>61031</v>
      </c>
      <c r="D544" s="34">
        <f t="shared" ca="1" si="26"/>
        <v>0</v>
      </c>
      <c r="E544" s="35">
        <f t="shared" ca="1" si="28"/>
        <v>989.93360882498609</v>
      </c>
      <c r="F544" s="36">
        <f ca="1">IF(scheduled_no_payments=1,"",IF(Sched_Pay+Scheduled_Extra_Payments&lt;Beg_Bal,Scheduled_Extra_Payments,IF(AND(Pay_Num&lt;&gt;"",Beg_Bal-Sched_Pay&gt;0),Beg_Bal-Sched_Pay,IF(Pay_Num&lt;&gt;"",0,""))))</f>
        <v>0</v>
      </c>
      <c r="G544" s="34">
        <f ca="1">IF(scheduled_no_payments=1,"",IF(Sched_Pay+Extra_Pay&lt;Beg_Bal,Sched_Pay+Extra_Pay,IF(Pay_Num&lt;&gt;"",Beg_Bal,"")))</f>
        <v>0</v>
      </c>
      <c r="H544" s="34">
        <f t="shared" ca="1" si="27"/>
        <v>0</v>
      </c>
      <c r="I544" s="34">
        <f ca="1">IF(Pay_Num&lt;&gt;"",Beg_Bal*(Interest_Rate/VLOOKUP(Interval,LoanLookup[],5,FALSE)),"")</f>
        <v>0</v>
      </c>
      <c r="J544" s="34">
        <f ca="1">IF(scheduled_no_payments=1,"",IF(AND(Pay_Num&lt;&gt;"",Sched_Pay+Extra_Pay&lt;Beg_Bal),Beg_Bal-Princ,IF(Pay_Num&lt;&gt;"",0,"")))</f>
        <v>0</v>
      </c>
      <c r="K544" s="34">
        <f ca="1">IF(scheduled_no_payments=1,"",SUM($I$13:$I544))</f>
        <v>87584.066117996466</v>
      </c>
      <c r="L544" s="38"/>
    </row>
    <row r="545" spans="2:12" ht="16.5" customHeight="1" x14ac:dyDescent="0.25">
      <c r="B545" s="32">
        <f ca="1">IF(AND(Values_Entered,scheduled_no_payments&lt;&gt;1),B544+1,"")</f>
        <v>533</v>
      </c>
      <c r="C545" s="33">
        <f ca="1">IF(Pay_Num&lt;&gt;"",DATE(YEAR(C544)+VLOOKUP(Interval,LoanLookup[],4,FALSE),MONTH(C544)+VLOOKUP(Interval,LoanLookup[],2,FALSE),DAY(C544)+VLOOKUP(Interval,LoanLookup[],3,FALSE)),"")</f>
        <v>61059</v>
      </c>
      <c r="D545" s="34">
        <f t="shared" ca="1" si="26"/>
        <v>0</v>
      </c>
      <c r="E545" s="35">
        <f t="shared" ca="1" si="28"/>
        <v>989.93360882498609</v>
      </c>
      <c r="F545" s="36">
        <f ca="1">IF(scheduled_no_payments=1,"",IF(Sched_Pay+Scheduled_Extra_Payments&lt;Beg_Bal,Scheduled_Extra_Payments,IF(AND(Pay_Num&lt;&gt;"",Beg_Bal-Sched_Pay&gt;0),Beg_Bal-Sched_Pay,IF(Pay_Num&lt;&gt;"",0,""))))</f>
        <v>0</v>
      </c>
      <c r="G545" s="34">
        <f ca="1">IF(scheduled_no_payments=1,"",IF(Sched_Pay+Extra_Pay&lt;Beg_Bal,Sched_Pay+Extra_Pay,IF(Pay_Num&lt;&gt;"",Beg_Bal,"")))</f>
        <v>0</v>
      </c>
      <c r="H545" s="34">
        <f t="shared" ca="1" si="27"/>
        <v>0</v>
      </c>
      <c r="I545" s="34">
        <f ca="1">IF(Pay_Num&lt;&gt;"",Beg_Bal*(Interest_Rate/VLOOKUP(Interval,LoanLookup[],5,FALSE)),"")</f>
        <v>0</v>
      </c>
      <c r="J545" s="34">
        <f ca="1">IF(scheduled_no_payments=1,"",IF(AND(Pay_Num&lt;&gt;"",Sched_Pay+Extra_Pay&lt;Beg_Bal),Beg_Bal-Princ,IF(Pay_Num&lt;&gt;"",0,"")))</f>
        <v>0</v>
      </c>
      <c r="K545" s="34">
        <f ca="1">IF(scheduled_no_payments=1,"",SUM($I$13:$I545))</f>
        <v>87584.066117996466</v>
      </c>
      <c r="L545" s="38"/>
    </row>
    <row r="546" spans="2:12" ht="16.5" customHeight="1" x14ac:dyDescent="0.25">
      <c r="B546" s="32">
        <f ca="1">IF(AND(Values_Entered,scheduled_no_payments&lt;&gt;1),B545+1,"")</f>
        <v>534</v>
      </c>
      <c r="C546" s="33">
        <f ca="1">IF(Pay_Num&lt;&gt;"",DATE(YEAR(C545)+VLOOKUP(Interval,LoanLookup[],4,FALSE),MONTH(C545)+VLOOKUP(Interval,LoanLookup[],2,FALSE),DAY(C545)+VLOOKUP(Interval,LoanLookup[],3,FALSE)),"")</f>
        <v>61090</v>
      </c>
      <c r="D546" s="34">
        <f t="shared" ca="1" si="26"/>
        <v>0</v>
      </c>
      <c r="E546" s="35">
        <f t="shared" ca="1" si="28"/>
        <v>989.93360882498609</v>
      </c>
      <c r="F546" s="36">
        <f ca="1">IF(scheduled_no_payments=1,"",IF(Sched_Pay+Scheduled_Extra_Payments&lt;Beg_Bal,Scheduled_Extra_Payments,IF(AND(Pay_Num&lt;&gt;"",Beg_Bal-Sched_Pay&gt;0),Beg_Bal-Sched_Pay,IF(Pay_Num&lt;&gt;"",0,""))))</f>
        <v>0</v>
      </c>
      <c r="G546" s="34">
        <f ca="1">IF(scheduled_no_payments=1,"",IF(Sched_Pay+Extra_Pay&lt;Beg_Bal,Sched_Pay+Extra_Pay,IF(Pay_Num&lt;&gt;"",Beg_Bal,"")))</f>
        <v>0</v>
      </c>
      <c r="H546" s="34">
        <f t="shared" ca="1" si="27"/>
        <v>0</v>
      </c>
      <c r="I546" s="34">
        <f ca="1">IF(Pay_Num&lt;&gt;"",Beg_Bal*(Interest_Rate/VLOOKUP(Interval,LoanLookup[],5,FALSE)),"")</f>
        <v>0</v>
      </c>
      <c r="J546" s="34">
        <f ca="1">IF(scheduled_no_payments=1,"",IF(AND(Pay_Num&lt;&gt;"",Sched_Pay+Extra_Pay&lt;Beg_Bal),Beg_Bal-Princ,IF(Pay_Num&lt;&gt;"",0,"")))</f>
        <v>0</v>
      </c>
      <c r="K546" s="34">
        <f ca="1">IF(scheduled_no_payments=1,"",SUM($I$13:$I546))</f>
        <v>87584.066117996466</v>
      </c>
      <c r="L546" s="38"/>
    </row>
    <row r="547" spans="2:12" ht="16.5" customHeight="1" x14ac:dyDescent="0.25">
      <c r="B547" s="32">
        <f ca="1">IF(AND(Values_Entered,scheduled_no_payments&lt;&gt;1),B546+1,"")</f>
        <v>535</v>
      </c>
      <c r="C547" s="33">
        <f ca="1">IF(Pay_Num&lt;&gt;"",DATE(YEAR(C546)+VLOOKUP(Interval,LoanLookup[],4,FALSE),MONTH(C546)+VLOOKUP(Interval,LoanLookup[],2,FALSE),DAY(C546)+VLOOKUP(Interval,LoanLookup[],3,FALSE)),"")</f>
        <v>61120</v>
      </c>
      <c r="D547" s="34">
        <f t="shared" ca="1" si="26"/>
        <v>0</v>
      </c>
      <c r="E547" s="35">
        <f t="shared" ca="1" si="28"/>
        <v>989.93360882498609</v>
      </c>
      <c r="F547" s="36">
        <f ca="1">IF(scheduled_no_payments=1,"",IF(Sched_Pay+Scheduled_Extra_Payments&lt;Beg_Bal,Scheduled_Extra_Payments,IF(AND(Pay_Num&lt;&gt;"",Beg_Bal-Sched_Pay&gt;0),Beg_Bal-Sched_Pay,IF(Pay_Num&lt;&gt;"",0,""))))</f>
        <v>0</v>
      </c>
      <c r="G547" s="34">
        <f ca="1">IF(scheduled_no_payments=1,"",IF(Sched_Pay+Extra_Pay&lt;Beg_Bal,Sched_Pay+Extra_Pay,IF(Pay_Num&lt;&gt;"",Beg_Bal,"")))</f>
        <v>0</v>
      </c>
      <c r="H547" s="34">
        <f t="shared" ca="1" si="27"/>
        <v>0</v>
      </c>
      <c r="I547" s="34">
        <f ca="1">IF(Pay_Num&lt;&gt;"",Beg_Bal*(Interest_Rate/VLOOKUP(Interval,LoanLookup[],5,FALSE)),"")</f>
        <v>0</v>
      </c>
      <c r="J547" s="34">
        <f ca="1">IF(scheduled_no_payments=1,"",IF(AND(Pay_Num&lt;&gt;"",Sched_Pay+Extra_Pay&lt;Beg_Bal),Beg_Bal-Princ,IF(Pay_Num&lt;&gt;"",0,"")))</f>
        <v>0</v>
      </c>
      <c r="K547" s="34">
        <f ca="1">IF(scheduled_no_payments=1,"",SUM($I$13:$I547))</f>
        <v>87584.066117996466</v>
      </c>
      <c r="L547" s="38"/>
    </row>
    <row r="548" spans="2:12" ht="16.5" customHeight="1" x14ac:dyDescent="0.25">
      <c r="B548" s="32">
        <f ca="1">IF(AND(Values_Entered,scheduled_no_payments&lt;&gt;1),B547+1,"")</f>
        <v>536</v>
      </c>
      <c r="C548" s="33">
        <f ca="1">IF(Pay_Num&lt;&gt;"",DATE(YEAR(C547)+VLOOKUP(Interval,LoanLookup[],4,FALSE),MONTH(C547)+VLOOKUP(Interval,LoanLookup[],2,FALSE),DAY(C547)+VLOOKUP(Interval,LoanLookup[],3,FALSE)),"")</f>
        <v>61151</v>
      </c>
      <c r="D548" s="34">
        <f t="shared" ca="1" si="26"/>
        <v>0</v>
      </c>
      <c r="E548" s="35">
        <f t="shared" ca="1" si="28"/>
        <v>989.93360882498609</v>
      </c>
      <c r="F548" s="36">
        <f ca="1">IF(scheduled_no_payments=1,"",IF(Sched_Pay+Scheduled_Extra_Payments&lt;Beg_Bal,Scheduled_Extra_Payments,IF(AND(Pay_Num&lt;&gt;"",Beg_Bal-Sched_Pay&gt;0),Beg_Bal-Sched_Pay,IF(Pay_Num&lt;&gt;"",0,""))))</f>
        <v>0</v>
      </c>
      <c r="G548" s="34">
        <f ca="1">IF(scheduled_no_payments=1,"",IF(Sched_Pay+Extra_Pay&lt;Beg_Bal,Sched_Pay+Extra_Pay,IF(Pay_Num&lt;&gt;"",Beg_Bal,"")))</f>
        <v>0</v>
      </c>
      <c r="H548" s="34">
        <f t="shared" ca="1" si="27"/>
        <v>0</v>
      </c>
      <c r="I548" s="34">
        <f ca="1">IF(Pay_Num&lt;&gt;"",Beg_Bal*(Interest_Rate/VLOOKUP(Interval,LoanLookup[],5,FALSE)),"")</f>
        <v>0</v>
      </c>
      <c r="J548" s="34">
        <f ca="1">IF(scheduled_no_payments=1,"",IF(AND(Pay_Num&lt;&gt;"",Sched_Pay+Extra_Pay&lt;Beg_Bal),Beg_Bal-Princ,IF(Pay_Num&lt;&gt;"",0,"")))</f>
        <v>0</v>
      </c>
      <c r="K548" s="34">
        <f ca="1">IF(scheduled_no_payments=1,"",SUM($I$13:$I548))</f>
        <v>87584.066117996466</v>
      </c>
      <c r="L548" s="38"/>
    </row>
    <row r="549" spans="2:12" ht="16.5" customHeight="1" x14ac:dyDescent="0.25">
      <c r="B549" s="32">
        <f ca="1">IF(AND(Values_Entered,scheduled_no_payments&lt;&gt;1),B548+1,"")</f>
        <v>537</v>
      </c>
      <c r="C549" s="33">
        <f ca="1">IF(Pay_Num&lt;&gt;"",DATE(YEAR(C548)+VLOOKUP(Interval,LoanLookup[],4,FALSE),MONTH(C548)+VLOOKUP(Interval,LoanLookup[],2,FALSE),DAY(C548)+VLOOKUP(Interval,LoanLookup[],3,FALSE)),"")</f>
        <v>61181</v>
      </c>
      <c r="D549" s="34">
        <f t="shared" ca="1" si="26"/>
        <v>0</v>
      </c>
      <c r="E549" s="35">
        <f t="shared" ca="1" si="28"/>
        <v>989.93360882498609</v>
      </c>
      <c r="F549" s="36">
        <f ca="1">IF(scheduled_no_payments=1,"",IF(Sched_Pay+Scheduled_Extra_Payments&lt;Beg_Bal,Scheduled_Extra_Payments,IF(AND(Pay_Num&lt;&gt;"",Beg_Bal-Sched_Pay&gt;0),Beg_Bal-Sched_Pay,IF(Pay_Num&lt;&gt;"",0,""))))</f>
        <v>0</v>
      </c>
      <c r="G549" s="34">
        <f ca="1">IF(scheduled_no_payments=1,"",IF(Sched_Pay+Extra_Pay&lt;Beg_Bal,Sched_Pay+Extra_Pay,IF(Pay_Num&lt;&gt;"",Beg_Bal,"")))</f>
        <v>0</v>
      </c>
      <c r="H549" s="34">
        <f t="shared" ca="1" si="27"/>
        <v>0</v>
      </c>
      <c r="I549" s="34">
        <f ca="1">IF(Pay_Num&lt;&gt;"",Beg_Bal*(Interest_Rate/VLOOKUP(Interval,LoanLookup[],5,FALSE)),"")</f>
        <v>0</v>
      </c>
      <c r="J549" s="34">
        <f ca="1">IF(scheduled_no_payments=1,"",IF(AND(Pay_Num&lt;&gt;"",Sched_Pay+Extra_Pay&lt;Beg_Bal),Beg_Bal-Princ,IF(Pay_Num&lt;&gt;"",0,"")))</f>
        <v>0</v>
      </c>
      <c r="K549" s="34">
        <f ca="1">IF(scheduled_no_payments=1,"",SUM($I$13:$I549))</f>
        <v>87584.066117996466</v>
      </c>
      <c r="L549" s="38"/>
    </row>
    <row r="550" spans="2:12" ht="16.5" customHeight="1" x14ac:dyDescent="0.25">
      <c r="B550" s="32">
        <f ca="1">IF(AND(Values_Entered,scheduled_no_payments&lt;&gt;1),B549+1,"")</f>
        <v>538</v>
      </c>
      <c r="C550" s="33">
        <f ca="1">IF(Pay_Num&lt;&gt;"",DATE(YEAR(C549)+VLOOKUP(Interval,LoanLookup[],4,FALSE),MONTH(C549)+VLOOKUP(Interval,LoanLookup[],2,FALSE),DAY(C549)+VLOOKUP(Interval,LoanLookup[],3,FALSE)),"")</f>
        <v>61212</v>
      </c>
      <c r="D550" s="34">
        <f t="shared" ca="1" si="26"/>
        <v>0</v>
      </c>
      <c r="E550" s="35">
        <f t="shared" ca="1" si="28"/>
        <v>989.93360882498609</v>
      </c>
      <c r="F550" s="36">
        <f ca="1">IF(scheduled_no_payments=1,"",IF(Sched_Pay+Scheduled_Extra_Payments&lt;Beg_Bal,Scheduled_Extra_Payments,IF(AND(Pay_Num&lt;&gt;"",Beg_Bal-Sched_Pay&gt;0),Beg_Bal-Sched_Pay,IF(Pay_Num&lt;&gt;"",0,""))))</f>
        <v>0</v>
      </c>
      <c r="G550" s="34">
        <f ca="1">IF(scheduled_no_payments=1,"",IF(Sched_Pay+Extra_Pay&lt;Beg_Bal,Sched_Pay+Extra_Pay,IF(Pay_Num&lt;&gt;"",Beg_Bal,"")))</f>
        <v>0</v>
      </c>
      <c r="H550" s="34">
        <f t="shared" ca="1" si="27"/>
        <v>0</v>
      </c>
      <c r="I550" s="34">
        <f ca="1">IF(Pay_Num&lt;&gt;"",Beg_Bal*(Interest_Rate/VLOOKUP(Interval,LoanLookup[],5,FALSE)),"")</f>
        <v>0</v>
      </c>
      <c r="J550" s="34">
        <f ca="1">IF(scheduled_no_payments=1,"",IF(AND(Pay_Num&lt;&gt;"",Sched_Pay+Extra_Pay&lt;Beg_Bal),Beg_Bal-Princ,IF(Pay_Num&lt;&gt;"",0,"")))</f>
        <v>0</v>
      </c>
      <c r="K550" s="34">
        <f ca="1">IF(scheduled_no_payments=1,"",SUM($I$13:$I550))</f>
        <v>87584.066117996466</v>
      </c>
      <c r="L550" s="38"/>
    </row>
    <row r="551" spans="2:12" ht="16.5" customHeight="1" x14ac:dyDescent="0.25">
      <c r="B551" s="32">
        <f ca="1">IF(AND(Values_Entered,scheduled_no_payments&lt;&gt;1),B550+1,"")</f>
        <v>539</v>
      </c>
      <c r="C551" s="33">
        <f ca="1">IF(Pay_Num&lt;&gt;"",DATE(YEAR(C550)+VLOOKUP(Interval,LoanLookup[],4,FALSE),MONTH(C550)+VLOOKUP(Interval,LoanLookup[],2,FALSE),DAY(C550)+VLOOKUP(Interval,LoanLookup[],3,FALSE)),"")</f>
        <v>61243</v>
      </c>
      <c r="D551" s="34">
        <f t="shared" ca="1" si="26"/>
        <v>0</v>
      </c>
      <c r="E551" s="35">
        <f t="shared" ca="1" si="28"/>
        <v>989.93360882498609</v>
      </c>
      <c r="F551" s="36">
        <f ca="1">IF(scheduled_no_payments=1,"",IF(Sched_Pay+Scheduled_Extra_Payments&lt;Beg_Bal,Scheduled_Extra_Payments,IF(AND(Pay_Num&lt;&gt;"",Beg_Bal-Sched_Pay&gt;0),Beg_Bal-Sched_Pay,IF(Pay_Num&lt;&gt;"",0,""))))</f>
        <v>0</v>
      </c>
      <c r="G551" s="34">
        <f ca="1">IF(scheduled_no_payments=1,"",IF(Sched_Pay+Extra_Pay&lt;Beg_Bal,Sched_Pay+Extra_Pay,IF(Pay_Num&lt;&gt;"",Beg_Bal,"")))</f>
        <v>0</v>
      </c>
      <c r="H551" s="34">
        <f t="shared" ca="1" si="27"/>
        <v>0</v>
      </c>
      <c r="I551" s="34">
        <f ca="1">IF(Pay_Num&lt;&gt;"",Beg_Bal*(Interest_Rate/VLOOKUP(Interval,LoanLookup[],5,FALSE)),"")</f>
        <v>0</v>
      </c>
      <c r="J551" s="34">
        <f ca="1">IF(scheduled_no_payments=1,"",IF(AND(Pay_Num&lt;&gt;"",Sched_Pay+Extra_Pay&lt;Beg_Bal),Beg_Bal-Princ,IF(Pay_Num&lt;&gt;"",0,"")))</f>
        <v>0</v>
      </c>
      <c r="K551" s="34">
        <f ca="1">IF(scheduled_no_payments=1,"",SUM($I$13:$I551))</f>
        <v>87584.066117996466</v>
      </c>
      <c r="L551" s="38"/>
    </row>
    <row r="552" spans="2:12" ht="16.5" customHeight="1" x14ac:dyDescent="0.25">
      <c r="B552" s="32">
        <f ca="1">IF(AND(Values_Entered,scheduled_no_payments&lt;&gt;1),B551+1,"")</f>
        <v>540</v>
      </c>
      <c r="C552" s="33">
        <f ca="1">IF(Pay_Num&lt;&gt;"",DATE(YEAR(C551)+VLOOKUP(Interval,LoanLookup[],4,FALSE),MONTH(C551)+VLOOKUP(Interval,LoanLookup[],2,FALSE),DAY(C551)+VLOOKUP(Interval,LoanLookup[],3,FALSE)),"")</f>
        <v>61273</v>
      </c>
      <c r="D552" s="34">
        <f t="shared" ca="1" si="26"/>
        <v>0</v>
      </c>
      <c r="E552" s="35">
        <f t="shared" ca="1" si="28"/>
        <v>989.93360882498609</v>
      </c>
      <c r="F552" s="36">
        <f ca="1">IF(scheduled_no_payments=1,"",IF(Sched_Pay+Scheduled_Extra_Payments&lt;Beg_Bal,Scheduled_Extra_Payments,IF(AND(Pay_Num&lt;&gt;"",Beg_Bal-Sched_Pay&gt;0),Beg_Bal-Sched_Pay,IF(Pay_Num&lt;&gt;"",0,""))))</f>
        <v>0</v>
      </c>
      <c r="G552" s="34">
        <f ca="1">IF(scheduled_no_payments=1,"",IF(Sched_Pay+Extra_Pay&lt;Beg_Bal,Sched_Pay+Extra_Pay,IF(Pay_Num&lt;&gt;"",Beg_Bal,"")))</f>
        <v>0</v>
      </c>
      <c r="H552" s="34">
        <f t="shared" ca="1" si="27"/>
        <v>0</v>
      </c>
      <c r="I552" s="34">
        <f ca="1">IF(Pay_Num&lt;&gt;"",Beg_Bal*(Interest_Rate/VLOOKUP(Interval,LoanLookup[],5,FALSE)),"")</f>
        <v>0</v>
      </c>
      <c r="J552" s="34">
        <f ca="1">IF(scheduled_no_payments=1,"",IF(AND(Pay_Num&lt;&gt;"",Sched_Pay+Extra_Pay&lt;Beg_Bal),Beg_Bal-Princ,IF(Pay_Num&lt;&gt;"",0,"")))</f>
        <v>0</v>
      </c>
      <c r="K552" s="34">
        <f ca="1">IF(scheduled_no_payments=1,"",SUM($I$13:$I552))</f>
        <v>87584.066117996466</v>
      </c>
      <c r="L552" s="38"/>
    </row>
    <row r="553" spans="2:12" ht="16.5" customHeight="1" x14ac:dyDescent="0.25">
      <c r="B553" s="32">
        <f ca="1">IF(AND(Values_Entered,scheduled_no_payments&lt;&gt;1),B552+1,"")</f>
        <v>541</v>
      </c>
      <c r="C553" s="33">
        <f ca="1">IF(Pay_Num&lt;&gt;"",DATE(YEAR(C552)+VLOOKUP(Interval,LoanLookup[],4,FALSE),MONTH(C552)+VLOOKUP(Interval,LoanLookup[],2,FALSE),DAY(C552)+VLOOKUP(Interval,LoanLookup[],3,FALSE)),"")</f>
        <v>61304</v>
      </c>
      <c r="D553" s="34">
        <f t="shared" ca="1" si="26"/>
        <v>0</v>
      </c>
      <c r="E553" s="35">
        <f t="shared" ca="1" si="28"/>
        <v>989.93360882498609</v>
      </c>
      <c r="F553" s="36">
        <f ca="1">IF(scheduled_no_payments=1,"",IF(Sched_Pay+Scheduled_Extra_Payments&lt;Beg_Bal,Scheduled_Extra_Payments,IF(AND(Pay_Num&lt;&gt;"",Beg_Bal-Sched_Pay&gt;0),Beg_Bal-Sched_Pay,IF(Pay_Num&lt;&gt;"",0,""))))</f>
        <v>0</v>
      </c>
      <c r="G553" s="34">
        <f ca="1">IF(scheduled_no_payments=1,"",IF(Sched_Pay+Extra_Pay&lt;Beg_Bal,Sched_Pay+Extra_Pay,IF(Pay_Num&lt;&gt;"",Beg_Bal,"")))</f>
        <v>0</v>
      </c>
      <c r="H553" s="34">
        <f t="shared" ca="1" si="27"/>
        <v>0</v>
      </c>
      <c r="I553" s="34">
        <f ca="1">IF(Pay_Num&lt;&gt;"",Beg_Bal*(Interest_Rate/VLOOKUP(Interval,LoanLookup[],5,FALSE)),"")</f>
        <v>0</v>
      </c>
      <c r="J553" s="34">
        <f ca="1">IF(scheduled_no_payments=1,"",IF(AND(Pay_Num&lt;&gt;"",Sched_Pay+Extra_Pay&lt;Beg_Bal),Beg_Bal-Princ,IF(Pay_Num&lt;&gt;"",0,"")))</f>
        <v>0</v>
      </c>
      <c r="K553" s="34">
        <f ca="1">IF(scheduled_no_payments=1,"",SUM($I$13:$I553))</f>
        <v>87584.066117996466</v>
      </c>
      <c r="L553" s="38"/>
    </row>
    <row r="554" spans="2:12" ht="16.5" customHeight="1" x14ac:dyDescent="0.25">
      <c r="B554" s="32">
        <f ca="1">IF(AND(Values_Entered,scheduled_no_payments&lt;&gt;1),B553+1,"")</f>
        <v>542</v>
      </c>
      <c r="C554" s="33">
        <f ca="1">IF(Pay_Num&lt;&gt;"",DATE(YEAR(C553)+VLOOKUP(Interval,LoanLookup[],4,FALSE),MONTH(C553)+VLOOKUP(Interval,LoanLookup[],2,FALSE),DAY(C553)+VLOOKUP(Interval,LoanLookup[],3,FALSE)),"")</f>
        <v>61334</v>
      </c>
      <c r="D554" s="34">
        <f t="shared" ca="1" si="26"/>
        <v>0</v>
      </c>
      <c r="E554" s="35">
        <f t="shared" ca="1" si="28"/>
        <v>989.93360882498609</v>
      </c>
      <c r="F554" s="36">
        <f ca="1">IF(scheduled_no_payments=1,"",IF(Sched_Pay+Scheduled_Extra_Payments&lt;Beg_Bal,Scheduled_Extra_Payments,IF(AND(Pay_Num&lt;&gt;"",Beg_Bal-Sched_Pay&gt;0),Beg_Bal-Sched_Pay,IF(Pay_Num&lt;&gt;"",0,""))))</f>
        <v>0</v>
      </c>
      <c r="G554" s="34">
        <f ca="1">IF(scheduled_no_payments=1,"",IF(Sched_Pay+Extra_Pay&lt;Beg_Bal,Sched_Pay+Extra_Pay,IF(Pay_Num&lt;&gt;"",Beg_Bal,"")))</f>
        <v>0</v>
      </c>
      <c r="H554" s="34">
        <f t="shared" ca="1" si="27"/>
        <v>0</v>
      </c>
      <c r="I554" s="34">
        <f ca="1">IF(Pay_Num&lt;&gt;"",Beg_Bal*(Interest_Rate/VLOOKUP(Interval,LoanLookup[],5,FALSE)),"")</f>
        <v>0</v>
      </c>
      <c r="J554" s="34">
        <f ca="1">IF(scheduled_no_payments=1,"",IF(AND(Pay_Num&lt;&gt;"",Sched_Pay+Extra_Pay&lt;Beg_Bal),Beg_Bal-Princ,IF(Pay_Num&lt;&gt;"",0,"")))</f>
        <v>0</v>
      </c>
      <c r="K554" s="34">
        <f ca="1">IF(scheduled_no_payments=1,"",SUM($I$13:$I554))</f>
        <v>87584.066117996466</v>
      </c>
      <c r="L554" s="38"/>
    </row>
    <row r="555" spans="2:12" ht="16.5" customHeight="1" x14ac:dyDescent="0.25">
      <c r="B555" s="32">
        <f ca="1">IF(AND(Values_Entered,scheduled_no_payments&lt;&gt;1),B554+1,"")</f>
        <v>543</v>
      </c>
      <c r="C555" s="33">
        <f ca="1">IF(Pay_Num&lt;&gt;"",DATE(YEAR(C554)+VLOOKUP(Interval,LoanLookup[],4,FALSE),MONTH(C554)+VLOOKUP(Interval,LoanLookup[],2,FALSE),DAY(C554)+VLOOKUP(Interval,LoanLookup[],3,FALSE)),"")</f>
        <v>61365</v>
      </c>
      <c r="D555" s="34">
        <f t="shared" ca="1" si="26"/>
        <v>0</v>
      </c>
      <c r="E555" s="35">
        <f t="shared" ca="1" si="28"/>
        <v>989.93360882498609</v>
      </c>
      <c r="F555" s="36">
        <f ca="1">IF(scheduled_no_payments=1,"",IF(Sched_Pay+Scheduled_Extra_Payments&lt;Beg_Bal,Scheduled_Extra_Payments,IF(AND(Pay_Num&lt;&gt;"",Beg_Bal-Sched_Pay&gt;0),Beg_Bal-Sched_Pay,IF(Pay_Num&lt;&gt;"",0,""))))</f>
        <v>0</v>
      </c>
      <c r="G555" s="34">
        <f ca="1">IF(scheduled_no_payments=1,"",IF(Sched_Pay+Extra_Pay&lt;Beg_Bal,Sched_Pay+Extra_Pay,IF(Pay_Num&lt;&gt;"",Beg_Bal,"")))</f>
        <v>0</v>
      </c>
      <c r="H555" s="34">
        <f t="shared" ca="1" si="27"/>
        <v>0</v>
      </c>
      <c r="I555" s="34">
        <f ca="1">IF(Pay_Num&lt;&gt;"",Beg_Bal*(Interest_Rate/VLOOKUP(Interval,LoanLookup[],5,FALSE)),"")</f>
        <v>0</v>
      </c>
      <c r="J555" s="34">
        <f ca="1">IF(scheduled_no_payments=1,"",IF(AND(Pay_Num&lt;&gt;"",Sched_Pay+Extra_Pay&lt;Beg_Bal),Beg_Bal-Princ,IF(Pay_Num&lt;&gt;"",0,"")))</f>
        <v>0</v>
      </c>
      <c r="K555" s="34">
        <f ca="1">IF(scheduled_no_payments=1,"",SUM($I$13:$I555))</f>
        <v>87584.066117996466</v>
      </c>
      <c r="L555" s="38"/>
    </row>
    <row r="556" spans="2:12" ht="16.5" customHeight="1" x14ac:dyDescent="0.25">
      <c r="B556" s="32">
        <f ca="1">IF(AND(Values_Entered,scheduled_no_payments&lt;&gt;1),B555+1,"")</f>
        <v>544</v>
      </c>
      <c r="C556" s="33">
        <f ca="1">IF(Pay_Num&lt;&gt;"",DATE(YEAR(C555)+VLOOKUP(Interval,LoanLookup[],4,FALSE),MONTH(C555)+VLOOKUP(Interval,LoanLookup[],2,FALSE),DAY(C555)+VLOOKUP(Interval,LoanLookup[],3,FALSE)),"")</f>
        <v>61396</v>
      </c>
      <c r="D556" s="34">
        <f t="shared" ca="1" si="26"/>
        <v>0</v>
      </c>
      <c r="E556" s="35">
        <f t="shared" ca="1" si="28"/>
        <v>989.93360882498609</v>
      </c>
      <c r="F556" s="36">
        <f ca="1">IF(scheduled_no_payments=1,"",IF(Sched_Pay+Scheduled_Extra_Payments&lt;Beg_Bal,Scheduled_Extra_Payments,IF(AND(Pay_Num&lt;&gt;"",Beg_Bal-Sched_Pay&gt;0),Beg_Bal-Sched_Pay,IF(Pay_Num&lt;&gt;"",0,""))))</f>
        <v>0</v>
      </c>
      <c r="G556" s="34">
        <f ca="1">IF(scheduled_no_payments=1,"",IF(Sched_Pay+Extra_Pay&lt;Beg_Bal,Sched_Pay+Extra_Pay,IF(Pay_Num&lt;&gt;"",Beg_Bal,"")))</f>
        <v>0</v>
      </c>
      <c r="H556" s="34">
        <f t="shared" ca="1" si="27"/>
        <v>0</v>
      </c>
      <c r="I556" s="34">
        <f ca="1">IF(Pay_Num&lt;&gt;"",Beg_Bal*(Interest_Rate/VLOOKUP(Interval,LoanLookup[],5,FALSE)),"")</f>
        <v>0</v>
      </c>
      <c r="J556" s="34">
        <f ca="1">IF(scheduled_no_payments=1,"",IF(AND(Pay_Num&lt;&gt;"",Sched_Pay+Extra_Pay&lt;Beg_Bal),Beg_Bal-Princ,IF(Pay_Num&lt;&gt;"",0,"")))</f>
        <v>0</v>
      </c>
      <c r="K556" s="34">
        <f ca="1">IF(scheduled_no_payments=1,"",SUM($I$13:$I556))</f>
        <v>87584.066117996466</v>
      </c>
      <c r="L556" s="38"/>
    </row>
    <row r="557" spans="2:12" ht="16.5" customHeight="1" x14ac:dyDescent="0.25">
      <c r="B557" s="32">
        <f ca="1">IF(AND(Values_Entered,scheduled_no_payments&lt;&gt;1),B556+1,"")</f>
        <v>545</v>
      </c>
      <c r="C557" s="33">
        <f ca="1">IF(Pay_Num&lt;&gt;"",DATE(YEAR(C556)+VLOOKUP(Interval,LoanLookup[],4,FALSE),MONTH(C556)+VLOOKUP(Interval,LoanLookup[],2,FALSE),DAY(C556)+VLOOKUP(Interval,LoanLookup[],3,FALSE)),"")</f>
        <v>61425</v>
      </c>
      <c r="D557" s="34">
        <f t="shared" ca="1" si="26"/>
        <v>0</v>
      </c>
      <c r="E557" s="35">
        <f t="shared" ca="1" si="28"/>
        <v>989.93360882498609</v>
      </c>
      <c r="F557" s="36">
        <f ca="1">IF(scheduled_no_payments=1,"",IF(Sched_Pay+Scheduled_Extra_Payments&lt;Beg_Bal,Scheduled_Extra_Payments,IF(AND(Pay_Num&lt;&gt;"",Beg_Bal-Sched_Pay&gt;0),Beg_Bal-Sched_Pay,IF(Pay_Num&lt;&gt;"",0,""))))</f>
        <v>0</v>
      </c>
      <c r="G557" s="34">
        <f ca="1">IF(scheduled_no_payments=1,"",IF(Sched_Pay+Extra_Pay&lt;Beg_Bal,Sched_Pay+Extra_Pay,IF(Pay_Num&lt;&gt;"",Beg_Bal,"")))</f>
        <v>0</v>
      </c>
      <c r="H557" s="34">
        <f t="shared" ca="1" si="27"/>
        <v>0</v>
      </c>
      <c r="I557" s="34">
        <f ca="1">IF(Pay_Num&lt;&gt;"",Beg_Bal*(Interest_Rate/VLOOKUP(Interval,LoanLookup[],5,FALSE)),"")</f>
        <v>0</v>
      </c>
      <c r="J557" s="34">
        <f ca="1">IF(scheduled_no_payments=1,"",IF(AND(Pay_Num&lt;&gt;"",Sched_Pay+Extra_Pay&lt;Beg_Bal),Beg_Bal-Princ,IF(Pay_Num&lt;&gt;"",0,"")))</f>
        <v>0</v>
      </c>
      <c r="K557" s="34">
        <f ca="1">IF(scheduled_no_payments=1,"",SUM($I$13:$I557))</f>
        <v>87584.066117996466</v>
      </c>
      <c r="L557" s="38"/>
    </row>
    <row r="558" spans="2:12" ht="16.5" customHeight="1" x14ac:dyDescent="0.25">
      <c r="B558" s="32">
        <f ca="1">IF(AND(Values_Entered,scheduled_no_payments&lt;&gt;1),B557+1,"")</f>
        <v>546</v>
      </c>
      <c r="C558" s="33">
        <f ca="1">IF(Pay_Num&lt;&gt;"",DATE(YEAR(C557)+VLOOKUP(Interval,LoanLookup[],4,FALSE),MONTH(C557)+VLOOKUP(Interval,LoanLookup[],2,FALSE),DAY(C557)+VLOOKUP(Interval,LoanLookup[],3,FALSE)),"")</f>
        <v>61456</v>
      </c>
      <c r="D558" s="34">
        <f t="shared" ca="1" si="26"/>
        <v>0</v>
      </c>
      <c r="E558" s="35">
        <f t="shared" ca="1" si="28"/>
        <v>989.93360882498609</v>
      </c>
      <c r="F558" s="36">
        <f ca="1">IF(scheduled_no_payments=1,"",IF(Sched_Pay+Scheduled_Extra_Payments&lt;Beg_Bal,Scheduled_Extra_Payments,IF(AND(Pay_Num&lt;&gt;"",Beg_Bal-Sched_Pay&gt;0),Beg_Bal-Sched_Pay,IF(Pay_Num&lt;&gt;"",0,""))))</f>
        <v>0</v>
      </c>
      <c r="G558" s="34">
        <f ca="1">IF(scheduled_no_payments=1,"",IF(Sched_Pay+Extra_Pay&lt;Beg_Bal,Sched_Pay+Extra_Pay,IF(Pay_Num&lt;&gt;"",Beg_Bal,"")))</f>
        <v>0</v>
      </c>
      <c r="H558" s="34">
        <f t="shared" ca="1" si="27"/>
        <v>0</v>
      </c>
      <c r="I558" s="34">
        <f ca="1">IF(Pay_Num&lt;&gt;"",Beg_Bal*(Interest_Rate/VLOOKUP(Interval,LoanLookup[],5,FALSE)),"")</f>
        <v>0</v>
      </c>
      <c r="J558" s="34">
        <f ca="1">IF(scheduled_no_payments=1,"",IF(AND(Pay_Num&lt;&gt;"",Sched_Pay+Extra_Pay&lt;Beg_Bal),Beg_Bal-Princ,IF(Pay_Num&lt;&gt;"",0,"")))</f>
        <v>0</v>
      </c>
      <c r="K558" s="34">
        <f ca="1">IF(scheduled_no_payments=1,"",SUM($I$13:$I558))</f>
        <v>87584.066117996466</v>
      </c>
      <c r="L558" s="38"/>
    </row>
    <row r="559" spans="2:12" ht="16.5" customHeight="1" x14ac:dyDescent="0.25">
      <c r="B559" s="32">
        <f ca="1">IF(AND(Values_Entered,scheduled_no_payments&lt;&gt;1),B558+1,"")</f>
        <v>547</v>
      </c>
      <c r="C559" s="33">
        <f ca="1">IF(Pay_Num&lt;&gt;"",DATE(YEAR(C558)+VLOOKUP(Interval,LoanLookup[],4,FALSE),MONTH(C558)+VLOOKUP(Interval,LoanLookup[],2,FALSE),DAY(C558)+VLOOKUP(Interval,LoanLookup[],3,FALSE)),"")</f>
        <v>61486</v>
      </c>
      <c r="D559" s="34">
        <f t="shared" ca="1" si="26"/>
        <v>0</v>
      </c>
      <c r="E559" s="35">
        <f t="shared" ca="1" si="28"/>
        <v>989.93360882498609</v>
      </c>
      <c r="F559" s="36">
        <f ca="1">IF(scheduled_no_payments=1,"",IF(Sched_Pay+Scheduled_Extra_Payments&lt;Beg_Bal,Scheduled_Extra_Payments,IF(AND(Pay_Num&lt;&gt;"",Beg_Bal-Sched_Pay&gt;0),Beg_Bal-Sched_Pay,IF(Pay_Num&lt;&gt;"",0,""))))</f>
        <v>0</v>
      </c>
      <c r="G559" s="34">
        <f ca="1">IF(scheduled_no_payments=1,"",IF(Sched_Pay+Extra_Pay&lt;Beg_Bal,Sched_Pay+Extra_Pay,IF(Pay_Num&lt;&gt;"",Beg_Bal,"")))</f>
        <v>0</v>
      </c>
      <c r="H559" s="34">
        <f t="shared" ca="1" si="27"/>
        <v>0</v>
      </c>
      <c r="I559" s="34">
        <f ca="1">IF(Pay_Num&lt;&gt;"",Beg_Bal*(Interest_Rate/VLOOKUP(Interval,LoanLookup[],5,FALSE)),"")</f>
        <v>0</v>
      </c>
      <c r="J559" s="34">
        <f ca="1">IF(scheduled_no_payments=1,"",IF(AND(Pay_Num&lt;&gt;"",Sched_Pay+Extra_Pay&lt;Beg_Bal),Beg_Bal-Princ,IF(Pay_Num&lt;&gt;"",0,"")))</f>
        <v>0</v>
      </c>
      <c r="K559" s="34">
        <f ca="1">IF(scheduled_no_payments=1,"",SUM($I$13:$I559))</f>
        <v>87584.066117996466</v>
      </c>
      <c r="L559" s="38"/>
    </row>
    <row r="560" spans="2:12" ht="16.5" customHeight="1" x14ac:dyDescent="0.25">
      <c r="B560" s="32">
        <f ca="1">IF(AND(Values_Entered,scheduled_no_payments&lt;&gt;1),B559+1,"")</f>
        <v>548</v>
      </c>
      <c r="C560" s="33">
        <f ca="1">IF(Pay_Num&lt;&gt;"",DATE(YEAR(C559)+VLOOKUP(Interval,LoanLookup[],4,FALSE),MONTH(C559)+VLOOKUP(Interval,LoanLookup[],2,FALSE),DAY(C559)+VLOOKUP(Interval,LoanLookup[],3,FALSE)),"")</f>
        <v>61517</v>
      </c>
      <c r="D560" s="34">
        <f t="shared" ca="1" si="26"/>
        <v>0</v>
      </c>
      <c r="E560" s="35">
        <f t="shared" ca="1" si="28"/>
        <v>989.93360882498609</v>
      </c>
      <c r="F560" s="36">
        <f ca="1">IF(scheduled_no_payments=1,"",IF(Sched_Pay+Scheduled_Extra_Payments&lt;Beg_Bal,Scheduled_Extra_Payments,IF(AND(Pay_Num&lt;&gt;"",Beg_Bal-Sched_Pay&gt;0),Beg_Bal-Sched_Pay,IF(Pay_Num&lt;&gt;"",0,""))))</f>
        <v>0</v>
      </c>
      <c r="G560" s="34">
        <f ca="1">IF(scheduled_no_payments=1,"",IF(Sched_Pay+Extra_Pay&lt;Beg_Bal,Sched_Pay+Extra_Pay,IF(Pay_Num&lt;&gt;"",Beg_Bal,"")))</f>
        <v>0</v>
      </c>
      <c r="H560" s="34">
        <f t="shared" ca="1" si="27"/>
        <v>0</v>
      </c>
      <c r="I560" s="34">
        <f ca="1">IF(Pay_Num&lt;&gt;"",Beg_Bal*(Interest_Rate/VLOOKUP(Interval,LoanLookup[],5,FALSE)),"")</f>
        <v>0</v>
      </c>
      <c r="J560" s="34">
        <f ca="1">IF(scheduled_no_payments=1,"",IF(AND(Pay_Num&lt;&gt;"",Sched_Pay+Extra_Pay&lt;Beg_Bal),Beg_Bal-Princ,IF(Pay_Num&lt;&gt;"",0,"")))</f>
        <v>0</v>
      </c>
      <c r="K560" s="34">
        <f ca="1">IF(scheduled_no_payments=1,"",SUM($I$13:$I560))</f>
        <v>87584.066117996466</v>
      </c>
      <c r="L560" s="38"/>
    </row>
    <row r="561" spans="2:12" ht="16.5" customHeight="1" x14ac:dyDescent="0.25">
      <c r="B561" s="32">
        <f ca="1">IF(AND(Values_Entered,scheduled_no_payments&lt;&gt;1),B560+1,"")</f>
        <v>549</v>
      </c>
      <c r="C561" s="33">
        <f ca="1">IF(Pay_Num&lt;&gt;"",DATE(YEAR(C560)+VLOOKUP(Interval,LoanLookup[],4,FALSE),MONTH(C560)+VLOOKUP(Interval,LoanLookup[],2,FALSE),DAY(C560)+VLOOKUP(Interval,LoanLookup[],3,FALSE)),"")</f>
        <v>61547</v>
      </c>
      <c r="D561" s="34">
        <f t="shared" ca="1" si="26"/>
        <v>0</v>
      </c>
      <c r="E561" s="35">
        <f t="shared" ca="1" si="28"/>
        <v>989.93360882498609</v>
      </c>
      <c r="F561" s="36">
        <f ca="1">IF(scheduled_no_payments=1,"",IF(Sched_Pay+Scheduled_Extra_Payments&lt;Beg_Bal,Scheduled_Extra_Payments,IF(AND(Pay_Num&lt;&gt;"",Beg_Bal-Sched_Pay&gt;0),Beg_Bal-Sched_Pay,IF(Pay_Num&lt;&gt;"",0,""))))</f>
        <v>0</v>
      </c>
      <c r="G561" s="34">
        <f ca="1">IF(scheduled_no_payments=1,"",IF(Sched_Pay+Extra_Pay&lt;Beg_Bal,Sched_Pay+Extra_Pay,IF(Pay_Num&lt;&gt;"",Beg_Bal,"")))</f>
        <v>0</v>
      </c>
      <c r="H561" s="34">
        <f t="shared" ca="1" si="27"/>
        <v>0</v>
      </c>
      <c r="I561" s="34">
        <f ca="1">IF(Pay_Num&lt;&gt;"",Beg_Bal*(Interest_Rate/VLOOKUP(Interval,LoanLookup[],5,FALSE)),"")</f>
        <v>0</v>
      </c>
      <c r="J561" s="34">
        <f ca="1">IF(scheduled_no_payments=1,"",IF(AND(Pay_Num&lt;&gt;"",Sched_Pay+Extra_Pay&lt;Beg_Bal),Beg_Bal-Princ,IF(Pay_Num&lt;&gt;"",0,"")))</f>
        <v>0</v>
      </c>
      <c r="K561" s="34">
        <f ca="1">IF(scheduled_no_payments=1,"",SUM($I$13:$I561))</f>
        <v>87584.066117996466</v>
      </c>
      <c r="L561" s="38"/>
    </row>
    <row r="562" spans="2:12" ht="16.5" customHeight="1" x14ac:dyDescent="0.25">
      <c r="B562" s="32">
        <f ca="1">IF(AND(Values_Entered,scheduled_no_payments&lt;&gt;1),B561+1,"")</f>
        <v>550</v>
      </c>
      <c r="C562" s="33">
        <f ca="1">IF(Pay_Num&lt;&gt;"",DATE(YEAR(C561)+VLOOKUP(Interval,LoanLookup[],4,FALSE),MONTH(C561)+VLOOKUP(Interval,LoanLookup[],2,FALSE),DAY(C561)+VLOOKUP(Interval,LoanLookup[],3,FALSE)),"")</f>
        <v>61578</v>
      </c>
      <c r="D562" s="34">
        <f t="shared" ca="1" si="26"/>
        <v>0</v>
      </c>
      <c r="E562" s="35">
        <f t="shared" ca="1" si="28"/>
        <v>989.93360882498609</v>
      </c>
      <c r="F562" s="36">
        <f ca="1">IF(scheduled_no_payments=1,"",IF(Sched_Pay+Scheduled_Extra_Payments&lt;Beg_Bal,Scheduled_Extra_Payments,IF(AND(Pay_Num&lt;&gt;"",Beg_Bal-Sched_Pay&gt;0),Beg_Bal-Sched_Pay,IF(Pay_Num&lt;&gt;"",0,""))))</f>
        <v>0</v>
      </c>
      <c r="G562" s="34">
        <f ca="1">IF(scheduled_no_payments=1,"",IF(Sched_Pay+Extra_Pay&lt;Beg_Bal,Sched_Pay+Extra_Pay,IF(Pay_Num&lt;&gt;"",Beg_Bal,"")))</f>
        <v>0</v>
      </c>
      <c r="H562" s="34">
        <f t="shared" ca="1" si="27"/>
        <v>0</v>
      </c>
      <c r="I562" s="34">
        <f ca="1">IF(Pay_Num&lt;&gt;"",Beg_Bal*(Interest_Rate/VLOOKUP(Interval,LoanLookup[],5,FALSE)),"")</f>
        <v>0</v>
      </c>
      <c r="J562" s="34">
        <f ca="1">IF(scheduled_no_payments=1,"",IF(AND(Pay_Num&lt;&gt;"",Sched_Pay+Extra_Pay&lt;Beg_Bal),Beg_Bal-Princ,IF(Pay_Num&lt;&gt;"",0,"")))</f>
        <v>0</v>
      </c>
      <c r="K562" s="34">
        <f ca="1">IF(scheduled_no_payments=1,"",SUM($I$13:$I562))</f>
        <v>87584.066117996466</v>
      </c>
      <c r="L562" s="38"/>
    </row>
    <row r="563" spans="2:12" ht="16.5" customHeight="1" x14ac:dyDescent="0.25">
      <c r="B563" s="32">
        <f ca="1">IF(AND(Values_Entered,scheduled_no_payments&lt;&gt;1),B562+1,"")</f>
        <v>551</v>
      </c>
      <c r="C563" s="33">
        <f ca="1">IF(Pay_Num&lt;&gt;"",DATE(YEAR(C562)+VLOOKUP(Interval,LoanLookup[],4,FALSE),MONTH(C562)+VLOOKUP(Interval,LoanLookup[],2,FALSE),DAY(C562)+VLOOKUP(Interval,LoanLookup[],3,FALSE)),"")</f>
        <v>61609</v>
      </c>
      <c r="D563" s="34">
        <f t="shared" ca="1" si="26"/>
        <v>0</v>
      </c>
      <c r="E563" s="35">
        <f t="shared" ca="1" si="28"/>
        <v>989.93360882498609</v>
      </c>
      <c r="F563" s="36">
        <f ca="1">IF(scheduled_no_payments=1,"",IF(Sched_Pay+Scheduled_Extra_Payments&lt;Beg_Bal,Scheduled_Extra_Payments,IF(AND(Pay_Num&lt;&gt;"",Beg_Bal-Sched_Pay&gt;0),Beg_Bal-Sched_Pay,IF(Pay_Num&lt;&gt;"",0,""))))</f>
        <v>0</v>
      </c>
      <c r="G563" s="34">
        <f ca="1">IF(scheduled_no_payments=1,"",IF(Sched_Pay+Extra_Pay&lt;Beg_Bal,Sched_Pay+Extra_Pay,IF(Pay_Num&lt;&gt;"",Beg_Bal,"")))</f>
        <v>0</v>
      </c>
      <c r="H563" s="34">
        <f t="shared" ca="1" si="27"/>
        <v>0</v>
      </c>
      <c r="I563" s="34">
        <f ca="1">IF(Pay_Num&lt;&gt;"",Beg_Bal*(Interest_Rate/VLOOKUP(Interval,LoanLookup[],5,FALSE)),"")</f>
        <v>0</v>
      </c>
      <c r="J563" s="34">
        <f ca="1">IF(scheduled_no_payments=1,"",IF(AND(Pay_Num&lt;&gt;"",Sched_Pay+Extra_Pay&lt;Beg_Bal),Beg_Bal-Princ,IF(Pay_Num&lt;&gt;"",0,"")))</f>
        <v>0</v>
      </c>
      <c r="K563" s="34">
        <f ca="1">IF(scheduled_no_payments=1,"",SUM($I$13:$I563))</f>
        <v>87584.066117996466</v>
      </c>
      <c r="L563" s="38"/>
    </row>
    <row r="564" spans="2:12" ht="16.5" customHeight="1" x14ac:dyDescent="0.25">
      <c r="B564" s="32">
        <f ca="1">IF(AND(Values_Entered,scheduled_no_payments&lt;&gt;1),B563+1,"")</f>
        <v>552</v>
      </c>
      <c r="C564" s="33">
        <f ca="1">IF(Pay_Num&lt;&gt;"",DATE(YEAR(C563)+VLOOKUP(Interval,LoanLookup[],4,FALSE),MONTH(C563)+VLOOKUP(Interval,LoanLookup[],2,FALSE),DAY(C563)+VLOOKUP(Interval,LoanLookup[],3,FALSE)),"")</f>
        <v>61639</v>
      </c>
      <c r="D564" s="34">
        <f t="shared" ca="1" si="26"/>
        <v>0</v>
      </c>
      <c r="E564" s="35">
        <f t="shared" ca="1" si="28"/>
        <v>989.93360882498609</v>
      </c>
      <c r="F564" s="36">
        <f ca="1">IF(scheduled_no_payments=1,"",IF(Sched_Pay+Scheduled_Extra_Payments&lt;Beg_Bal,Scheduled_Extra_Payments,IF(AND(Pay_Num&lt;&gt;"",Beg_Bal-Sched_Pay&gt;0),Beg_Bal-Sched_Pay,IF(Pay_Num&lt;&gt;"",0,""))))</f>
        <v>0</v>
      </c>
      <c r="G564" s="34">
        <f ca="1">IF(scheduled_no_payments=1,"",IF(Sched_Pay+Extra_Pay&lt;Beg_Bal,Sched_Pay+Extra_Pay,IF(Pay_Num&lt;&gt;"",Beg_Bal,"")))</f>
        <v>0</v>
      </c>
      <c r="H564" s="34">
        <f t="shared" ca="1" si="27"/>
        <v>0</v>
      </c>
      <c r="I564" s="34">
        <f ca="1">IF(Pay_Num&lt;&gt;"",Beg_Bal*(Interest_Rate/VLOOKUP(Interval,LoanLookup[],5,FALSE)),"")</f>
        <v>0</v>
      </c>
      <c r="J564" s="34">
        <f ca="1">IF(scheduled_no_payments=1,"",IF(AND(Pay_Num&lt;&gt;"",Sched_Pay+Extra_Pay&lt;Beg_Bal),Beg_Bal-Princ,IF(Pay_Num&lt;&gt;"",0,"")))</f>
        <v>0</v>
      </c>
      <c r="K564" s="34">
        <f ca="1">IF(scheduled_no_payments=1,"",SUM($I$13:$I564))</f>
        <v>87584.066117996466</v>
      </c>
      <c r="L564" s="38"/>
    </row>
    <row r="565" spans="2:12" ht="16.5" customHeight="1" x14ac:dyDescent="0.25">
      <c r="B565" s="32">
        <f ca="1">IF(AND(Values_Entered,scheduled_no_payments&lt;&gt;1),B564+1,"")</f>
        <v>553</v>
      </c>
      <c r="C565" s="33">
        <f ca="1">IF(Pay_Num&lt;&gt;"",DATE(YEAR(C564)+VLOOKUP(Interval,LoanLookup[],4,FALSE),MONTH(C564)+VLOOKUP(Interval,LoanLookup[],2,FALSE),DAY(C564)+VLOOKUP(Interval,LoanLookup[],3,FALSE)),"")</f>
        <v>61670</v>
      </c>
      <c r="D565" s="34">
        <f t="shared" ca="1" si="26"/>
        <v>0</v>
      </c>
      <c r="E565" s="35">
        <f t="shared" ca="1" si="28"/>
        <v>989.93360882498609</v>
      </c>
      <c r="F565" s="36">
        <f ca="1">IF(scheduled_no_payments=1,"",IF(Sched_Pay+Scheduled_Extra_Payments&lt;Beg_Bal,Scheduled_Extra_Payments,IF(AND(Pay_Num&lt;&gt;"",Beg_Bal-Sched_Pay&gt;0),Beg_Bal-Sched_Pay,IF(Pay_Num&lt;&gt;"",0,""))))</f>
        <v>0</v>
      </c>
      <c r="G565" s="34">
        <f ca="1">IF(scheduled_no_payments=1,"",IF(Sched_Pay+Extra_Pay&lt;Beg_Bal,Sched_Pay+Extra_Pay,IF(Pay_Num&lt;&gt;"",Beg_Bal,"")))</f>
        <v>0</v>
      </c>
      <c r="H565" s="34">
        <f t="shared" ca="1" si="27"/>
        <v>0</v>
      </c>
      <c r="I565" s="34">
        <f ca="1">IF(Pay_Num&lt;&gt;"",Beg_Bal*(Interest_Rate/VLOOKUP(Interval,LoanLookup[],5,FALSE)),"")</f>
        <v>0</v>
      </c>
      <c r="J565" s="34">
        <f ca="1">IF(scheduled_no_payments=1,"",IF(AND(Pay_Num&lt;&gt;"",Sched_Pay+Extra_Pay&lt;Beg_Bal),Beg_Bal-Princ,IF(Pay_Num&lt;&gt;"",0,"")))</f>
        <v>0</v>
      </c>
      <c r="K565" s="34">
        <f ca="1">IF(scheduled_no_payments=1,"",SUM($I$13:$I565))</f>
        <v>87584.066117996466</v>
      </c>
      <c r="L565" s="38"/>
    </row>
    <row r="566" spans="2:12" ht="16.5" customHeight="1" x14ac:dyDescent="0.25">
      <c r="B566" s="32">
        <f ca="1">IF(AND(Values_Entered,scheduled_no_payments&lt;&gt;1),B565+1,"")</f>
        <v>554</v>
      </c>
      <c r="C566" s="33">
        <f ca="1">IF(Pay_Num&lt;&gt;"",DATE(YEAR(C565)+VLOOKUP(Interval,LoanLookup[],4,FALSE),MONTH(C565)+VLOOKUP(Interval,LoanLookup[],2,FALSE),DAY(C565)+VLOOKUP(Interval,LoanLookup[],3,FALSE)),"")</f>
        <v>61700</v>
      </c>
      <c r="D566" s="34">
        <f t="shared" ref="D566:D629" ca="1" si="29">IF(Pay_Num&lt;&gt;"",J565,"")</f>
        <v>0</v>
      </c>
      <c r="E566" s="35">
        <f t="shared" ca="1" si="28"/>
        <v>989.93360882498609</v>
      </c>
      <c r="F566" s="36">
        <f ca="1">IF(scheduled_no_payments=1,"",IF(Sched_Pay+Scheduled_Extra_Payments&lt;Beg_Bal,Scheduled_Extra_Payments,IF(AND(Pay_Num&lt;&gt;"",Beg_Bal-Sched_Pay&gt;0),Beg_Bal-Sched_Pay,IF(Pay_Num&lt;&gt;"",0,""))))</f>
        <v>0</v>
      </c>
      <c r="G566" s="34">
        <f ca="1">IF(scheduled_no_payments=1,"",IF(Sched_Pay+Extra_Pay&lt;Beg_Bal,Sched_Pay+Extra_Pay,IF(Pay_Num&lt;&gt;"",Beg_Bal,"")))</f>
        <v>0</v>
      </c>
      <c r="H566" s="34">
        <f t="shared" ca="1" si="27"/>
        <v>0</v>
      </c>
      <c r="I566" s="34">
        <f ca="1">IF(Pay_Num&lt;&gt;"",Beg_Bal*(Interest_Rate/VLOOKUP(Interval,LoanLookup[],5,FALSE)),"")</f>
        <v>0</v>
      </c>
      <c r="J566" s="34">
        <f ca="1">IF(scheduled_no_payments=1,"",IF(AND(Pay_Num&lt;&gt;"",Sched_Pay+Extra_Pay&lt;Beg_Bal),Beg_Bal-Princ,IF(Pay_Num&lt;&gt;"",0,"")))</f>
        <v>0</v>
      </c>
      <c r="K566" s="34">
        <f ca="1">IF(scheduled_no_payments=1,"",SUM($I$13:$I566))</f>
        <v>87584.066117996466</v>
      </c>
      <c r="L566" s="38"/>
    </row>
    <row r="567" spans="2:12" ht="16.5" customHeight="1" x14ac:dyDescent="0.25">
      <c r="B567" s="32">
        <f ca="1">IF(AND(Values_Entered,scheduled_no_payments&lt;&gt;1),B566+1,"")</f>
        <v>555</v>
      </c>
      <c r="C567" s="33">
        <f ca="1">IF(Pay_Num&lt;&gt;"",DATE(YEAR(C566)+VLOOKUP(Interval,LoanLookup[],4,FALSE),MONTH(C566)+VLOOKUP(Interval,LoanLookup[],2,FALSE),DAY(C566)+VLOOKUP(Interval,LoanLookup[],3,FALSE)),"")</f>
        <v>61731</v>
      </c>
      <c r="D567" s="34">
        <f t="shared" ca="1" si="29"/>
        <v>0</v>
      </c>
      <c r="E567" s="35">
        <f t="shared" ca="1" si="28"/>
        <v>989.93360882498609</v>
      </c>
      <c r="F567" s="36">
        <f ca="1">IF(scheduled_no_payments=1,"",IF(Sched_Pay+Scheduled_Extra_Payments&lt;Beg_Bal,Scheduled_Extra_Payments,IF(AND(Pay_Num&lt;&gt;"",Beg_Bal-Sched_Pay&gt;0),Beg_Bal-Sched_Pay,IF(Pay_Num&lt;&gt;"",0,""))))</f>
        <v>0</v>
      </c>
      <c r="G567" s="34">
        <f ca="1">IF(scheduled_no_payments=1,"",IF(Sched_Pay+Extra_Pay&lt;Beg_Bal,Sched_Pay+Extra_Pay,IF(Pay_Num&lt;&gt;"",Beg_Bal,"")))</f>
        <v>0</v>
      </c>
      <c r="H567" s="34">
        <f t="shared" ca="1" si="27"/>
        <v>0</v>
      </c>
      <c r="I567" s="34">
        <f ca="1">IF(Pay_Num&lt;&gt;"",Beg_Bal*(Interest_Rate/VLOOKUP(Interval,LoanLookup[],5,FALSE)),"")</f>
        <v>0</v>
      </c>
      <c r="J567" s="34">
        <f ca="1">IF(scheduled_no_payments=1,"",IF(AND(Pay_Num&lt;&gt;"",Sched_Pay+Extra_Pay&lt;Beg_Bal),Beg_Bal-Princ,IF(Pay_Num&lt;&gt;"",0,"")))</f>
        <v>0</v>
      </c>
      <c r="K567" s="34">
        <f ca="1">IF(scheduled_no_payments=1,"",SUM($I$13:$I567))</f>
        <v>87584.066117996466</v>
      </c>
      <c r="L567" s="38"/>
    </row>
    <row r="568" spans="2:12" ht="16.5" customHeight="1" x14ac:dyDescent="0.25">
      <c r="B568" s="32">
        <f ca="1">IF(AND(Values_Entered,scheduled_no_payments&lt;&gt;1),B567+1,"")</f>
        <v>556</v>
      </c>
      <c r="C568" s="33">
        <f ca="1">IF(Pay_Num&lt;&gt;"",DATE(YEAR(C567)+VLOOKUP(Interval,LoanLookup[],4,FALSE),MONTH(C567)+VLOOKUP(Interval,LoanLookup[],2,FALSE),DAY(C567)+VLOOKUP(Interval,LoanLookup[],3,FALSE)),"")</f>
        <v>61762</v>
      </c>
      <c r="D568" s="34">
        <f t="shared" ca="1" si="29"/>
        <v>0</v>
      </c>
      <c r="E568" s="35">
        <f t="shared" ca="1" si="28"/>
        <v>989.93360882498609</v>
      </c>
      <c r="F568" s="36">
        <f ca="1">IF(scheduled_no_payments=1,"",IF(Sched_Pay+Scheduled_Extra_Payments&lt;Beg_Bal,Scheduled_Extra_Payments,IF(AND(Pay_Num&lt;&gt;"",Beg_Bal-Sched_Pay&gt;0),Beg_Bal-Sched_Pay,IF(Pay_Num&lt;&gt;"",0,""))))</f>
        <v>0</v>
      </c>
      <c r="G568" s="34">
        <f ca="1">IF(scheduled_no_payments=1,"",IF(Sched_Pay+Extra_Pay&lt;Beg_Bal,Sched_Pay+Extra_Pay,IF(Pay_Num&lt;&gt;"",Beg_Bal,"")))</f>
        <v>0</v>
      </c>
      <c r="H568" s="34">
        <f t="shared" ca="1" si="27"/>
        <v>0</v>
      </c>
      <c r="I568" s="34">
        <f ca="1">IF(Pay_Num&lt;&gt;"",Beg_Bal*(Interest_Rate/VLOOKUP(Interval,LoanLookup[],5,FALSE)),"")</f>
        <v>0</v>
      </c>
      <c r="J568" s="34">
        <f ca="1">IF(scheduled_no_payments=1,"",IF(AND(Pay_Num&lt;&gt;"",Sched_Pay+Extra_Pay&lt;Beg_Bal),Beg_Bal-Princ,IF(Pay_Num&lt;&gt;"",0,"")))</f>
        <v>0</v>
      </c>
      <c r="K568" s="34">
        <f ca="1">IF(scheduled_no_payments=1,"",SUM($I$13:$I568))</f>
        <v>87584.066117996466</v>
      </c>
      <c r="L568" s="38"/>
    </row>
    <row r="569" spans="2:12" ht="16.5" customHeight="1" x14ac:dyDescent="0.25">
      <c r="B569" s="32">
        <f ca="1">IF(AND(Values_Entered,scheduled_no_payments&lt;&gt;1),B568+1,"")</f>
        <v>557</v>
      </c>
      <c r="C569" s="33">
        <f ca="1">IF(Pay_Num&lt;&gt;"",DATE(YEAR(C568)+VLOOKUP(Interval,LoanLookup[],4,FALSE),MONTH(C568)+VLOOKUP(Interval,LoanLookup[],2,FALSE),DAY(C568)+VLOOKUP(Interval,LoanLookup[],3,FALSE)),"")</f>
        <v>61790</v>
      </c>
      <c r="D569" s="34">
        <f t="shared" ca="1" si="29"/>
        <v>0</v>
      </c>
      <c r="E569" s="35">
        <f t="shared" ca="1" si="28"/>
        <v>989.93360882498609</v>
      </c>
      <c r="F569" s="36">
        <f ca="1">IF(scheduled_no_payments=1,"",IF(Sched_Pay+Scheduled_Extra_Payments&lt;Beg_Bal,Scheduled_Extra_Payments,IF(AND(Pay_Num&lt;&gt;"",Beg_Bal-Sched_Pay&gt;0),Beg_Bal-Sched_Pay,IF(Pay_Num&lt;&gt;"",0,""))))</f>
        <v>0</v>
      </c>
      <c r="G569" s="34">
        <f ca="1">IF(scheduled_no_payments=1,"",IF(Sched_Pay+Extra_Pay&lt;Beg_Bal,Sched_Pay+Extra_Pay,IF(Pay_Num&lt;&gt;"",Beg_Bal,"")))</f>
        <v>0</v>
      </c>
      <c r="H569" s="34">
        <f t="shared" ca="1" si="27"/>
        <v>0</v>
      </c>
      <c r="I569" s="34">
        <f ca="1">IF(Pay_Num&lt;&gt;"",Beg_Bal*(Interest_Rate/VLOOKUP(Interval,LoanLookup[],5,FALSE)),"")</f>
        <v>0</v>
      </c>
      <c r="J569" s="34">
        <f ca="1">IF(scheduled_no_payments=1,"",IF(AND(Pay_Num&lt;&gt;"",Sched_Pay+Extra_Pay&lt;Beg_Bal),Beg_Bal-Princ,IF(Pay_Num&lt;&gt;"",0,"")))</f>
        <v>0</v>
      </c>
      <c r="K569" s="34">
        <f ca="1">IF(scheduled_no_payments=1,"",SUM($I$13:$I569))</f>
        <v>87584.066117996466</v>
      </c>
      <c r="L569" s="38"/>
    </row>
    <row r="570" spans="2:12" ht="16.5" customHeight="1" x14ac:dyDescent="0.25">
      <c r="B570" s="32">
        <f ca="1">IF(AND(Values_Entered,scheduled_no_payments&lt;&gt;1),B569+1,"")</f>
        <v>558</v>
      </c>
      <c r="C570" s="33">
        <f ca="1">IF(Pay_Num&lt;&gt;"",DATE(YEAR(C569)+VLOOKUP(Interval,LoanLookup[],4,FALSE),MONTH(C569)+VLOOKUP(Interval,LoanLookup[],2,FALSE),DAY(C569)+VLOOKUP(Interval,LoanLookup[],3,FALSE)),"")</f>
        <v>61821</v>
      </c>
      <c r="D570" s="34">
        <f t="shared" ca="1" si="29"/>
        <v>0</v>
      </c>
      <c r="E570" s="35">
        <f t="shared" ca="1" si="28"/>
        <v>989.93360882498609</v>
      </c>
      <c r="F570" s="36">
        <f ca="1">IF(scheduled_no_payments=1,"",IF(Sched_Pay+Scheduled_Extra_Payments&lt;Beg_Bal,Scheduled_Extra_Payments,IF(AND(Pay_Num&lt;&gt;"",Beg_Bal-Sched_Pay&gt;0),Beg_Bal-Sched_Pay,IF(Pay_Num&lt;&gt;"",0,""))))</f>
        <v>0</v>
      </c>
      <c r="G570" s="34">
        <f ca="1">IF(scheduled_no_payments=1,"",IF(Sched_Pay+Extra_Pay&lt;Beg_Bal,Sched_Pay+Extra_Pay,IF(Pay_Num&lt;&gt;"",Beg_Bal,"")))</f>
        <v>0</v>
      </c>
      <c r="H570" s="34">
        <f t="shared" ca="1" si="27"/>
        <v>0</v>
      </c>
      <c r="I570" s="34">
        <f ca="1">IF(Pay_Num&lt;&gt;"",Beg_Bal*(Interest_Rate/VLOOKUP(Interval,LoanLookup[],5,FALSE)),"")</f>
        <v>0</v>
      </c>
      <c r="J570" s="34">
        <f ca="1">IF(scheduled_no_payments=1,"",IF(AND(Pay_Num&lt;&gt;"",Sched_Pay+Extra_Pay&lt;Beg_Bal),Beg_Bal-Princ,IF(Pay_Num&lt;&gt;"",0,"")))</f>
        <v>0</v>
      </c>
      <c r="K570" s="34">
        <f ca="1">IF(scheduled_no_payments=1,"",SUM($I$13:$I570))</f>
        <v>87584.066117996466</v>
      </c>
      <c r="L570" s="38"/>
    </row>
    <row r="571" spans="2:12" ht="16.5" customHeight="1" x14ac:dyDescent="0.25">
      <c r="B571" s="32">
        <f ca="1">IF(AND(Values_Entered,scheduled_no_payments&lt;&gt;1),B570+1,"")</f>
        <v>559</v>
      </c>
      <c r="C571" s="33">
        <f ca="1">IF(Pay_Num&lt;&gt;"",DATE(YEAR(C570)+VLOOKUP(Interval,LoanLookup[],4,FALSE),MONTH(C570)+VLOOKUP(Interval,LoanLookup[],2,FALSE),DAY(C570)+VLOOKUP(Interval,LoanLookup[],3,FALSE)),"")</f>
        <v>61851</v>
      </c>
      <c r="D571" s="34">
        <f t="shared" ca="1" si="29"/>
        <v>0</v>
      </c>
      <c r="E571" s="35">
        <f t="shared" ca="1" si="28"/>
        <v>989.93360882498609</v>
      </c>
      <c r="F571" s="36">
        <f ca="1">IF(scheduled_no_payments=1,"",IF(Sched_Pay+Scheduled_Extra_Payments&lt;Beg_Bal,Scheduled_Extra_Payments,IF(AND(Pay_Num&lt;&gt;"",Beg_Bal-Sched_Pay&gt;0),Beg_Bal-Sched_Pay,IF(Pay_Num&lt;&gt;"",0,""))))</f>
        <v>0</v>
      </c>
      <c r="G571" s="34">
        <f ca="1">IF(scheduled_no_payments=1,"",IF(Sched_Pay+Extra_Pay&lt;Beg_Bal,Sched_Pay+Extra_Pay,IF(Pay_Num&lt;&gt;"",Beg_Bal,"")))</f>
        <v>0</v>
      </c>
      <c r="H571" s="34">
        <f t="shared" ca="1" si="27"/>
        <v>0</v>
      </c>
      <c r="I571" s="34">
        <f ca="1">IF(Pay_Num&lt;&gt;"",Beg_Bal*(Interest_Rate/VLOOKUP(Interval,LoanLookup[],5,FALSE)),"")</f>
        <v>0</v>
      </c>
      <c r="J571" s="34">
        <f ca="1">IF(scheduled_no_payments=1,"",IF(AND(Pay_Num&lt;&gt;"",Sched_Pay+Extra_Pay&lt;Beg_Bal),Beg_Bal-Princ,IF(Pay_Num&lt;&gt;"",0,"")))</f>
        <v>0</v>
      </c>
      <c r="K571" s="34">
        <f ca="1">IF(scheduled_no_payments=1,"",SUM($I$13:$I571))</f>
        <v>87584.066117996466</v>
      </c>
      <c r="L571" s="38"/>
    </row>
    <row r="572" spans="2:12" ht="16.5" customHeight="1" x14ac:dyDescent="0.25">
      <c r="B572" s="32">
        <f ca="1">IF(AND(Values_Entered,scheduled_no_payments&lt;&gt;1),B571+1,"")</f>
        <v>560</v>
      </c>
      <c r="C572" s="33">
        <f ca="1">IF(Pay_Num&lt;&gt;"",DATE(YEAR(C571)+VLOOKUP(Interval,LoanLookup[],4,FALSE),MONTH(C571)+VLOOKUP(Interval,LoanLookup[],2,FALSE),DAY(C571)+VLOOKUP(Interval,LoanLookup[],3,FALSE)),"")</f>
        <v>61882</v>
      </c>
      <c r="D572" s="34">
        <f t="shared" ca="1" si="29"/>
        <v>0</v>
      </c>
      <c r="E572" s="35">
        <f t="shared" ca="1" si="28"/>
        <v>989.93360882498609</v>
      </c>
      <c r="F572" s="36">
        <f ca="1">IF(scheduled_no_payments=1,"",IF(Sched_Pay+Scheduled_Extra_Payments&lt;Beg_Bal,Scheduled_Extra_Payments,IF(AND(Pay_Num&lt;&gt;"",Beg_Bal-Sched_Pay&gt;0),Beg_Bal-Sched_Pay,IF(Pay_Num&lt;&gt;"",0,""))))</f>
        <v>0</v>
      </c>
      <c r="G572" s="34">
        <f ca="1">IF(scheduled_no_payments=1,"",IF(Sched_Pay+Extra_Pay&lt;Beg_Bal,Sched_Pay+Extra_Pay,IF(Pay_Num&lt;&gt;"",Beg_Bal,"")))</f>
        <v>0</v>
      </c>
      <c r="H572" s="34">
        <f t="shared" ca="1" si="27"/>
        <v>0</v>
      </c>
      <c r="I572" s="34">
        <f ca="1">IF(Pay_Num&lt;&gt;"",Beg_Bal*(Interest_Rate/VLOOKUP(Interval,LoanLookup[],5,FALSE)),"")</f>
        <v>0</v>
      </c>
      <c r="J572" s="34">
        <f ca="1">IF(scheduled_no_payments=1,"",IF(AND(Pay_Num&lt;&gt;"",Sched_Pay+Extra_Pay&lt;Beg_Bal),Beg_Bal-Princ,IF(Pay_Num&lt;&gt;"",0,"")))</f>
        <v>0</v>
      </c>
      <c r="K572" s="34">
        <f ca="1">IF(scheduled_no_payments=1,"",SUM($I$13:$I572))</f>
        <v>87584.066117996466</v>
      </c>
      <c r="L572" s="38"/>
    </row>
    <row r="573" spans="2:12" ht="16.5" customHeight="1" x14ac:dyDescent="0.25">
      <c r="B573" s="32">
        <f ca="1">IF(AND(Values_Entered,scheduled_no_payments&lt;&gt;1),B572+1,"")</f>
        <v>561</v>
      </c>
      <c r="C573" s="33">
        <f ca="1">IF(Pay_Num&lt;&gt;"",DATE(YEAR(C572)+VLOOKUP(Interval,LoanLookup[],4,FALSE),MONTH(C572)+VLOOKUP(Interval,LoanLookup[],2,FALSE),DAY(C572)+VLOOKUP(Interval,LoanLookup[],3,FALSE)),"")</f>
        <v>61912</v>
      </c>
      <c r="D573" s="34">
        <f t="shared" ca="1" si="29"/>
        <v>0</v>
      </c>
      <c r="E573" s="35">
        <f t="shared" ca="1" si="28"/>
        <v>989.93360882498609</v>
      </c>
      <c r="F573" s="36">
        <f ca="1">IF(scheduled_no_payments=1,"",IF(Sched_Pay+Scheduled_Extra_Payments&lt;Beg_Bal,Scheduled_Extra_Payments,IF(AND(Pay_Num&lt;&gt;"",Beg_Bal-Sched_Pay&gt;0),Beg_Bal-Sched_Pay,IF(Pay_Num&lt;&gt;"",0,""))))</f>
        <v>0</v>
      </c>
      <c r="G573" s="34">
        <f ca="1">IF(scheduled_no_payments=1,"",IF(Sched_Pay+Extra_Pay&lt;Beg_Bal,Sched_Pay+Extra_Pay,IF(Pay_Num&lt;&gt;"",Beg_Bal,"")))</f>
        <v>0</v>
      </c>
      <c r="H573" s="34">
        <f t="shared" ca="1" si="27"/>
        <v>0</v>
      </c>
      <c r="I573" s="34">
        <f ca="1">IF(Pay_Num&lt;&gt;"",Beg_Bal*(Interest_Rate/VLOOKUP(Interval,LoanLookup[],5,FALSE)),"")</f>
        <v>0</v>
      </c>
      <c r="J573" s="34">
        <f ca="1">IF(scheduled_no_payments=1,"",IF(AND(Pay_Num&lt;&gt;"",Sched_Pay+Extra_Pay&lt;Beg_Bal),Beg_Bal-Princ,IF(Pay_Num&lt;&gt;"",0,"")))</f>
        <v>0</v>
      </c>
      <c r="K573" s="34">
        <f ca="1">IF(scheduled_no_payments=1,"",SUM($I$13:$I573))</f>
        <v>87584.066117996466</v>
      </c>
      <c r="L573" s="38"/>
    </row>
    <row r="574" spans="2:12" ht="16.5" customHeight="1" x14ac:dyDescent="0.25">
      <c r="B574" s="32">
        <f ca="1">IF(AND(Values_Entered,scheduled_no_payments&lt;&gt;1),B573+1,"")</f>
        <v>562</v>
      </c>
      <c r="C574" s="33">
        <f ca="1">IF(Pay_Num&lt;&gt;"",DATE(YEAR(C573)+VLOOKUP(Interval,LoanLookup[],4,FALSE),MONTH(C573)+VLOOKUP(Interval,LoanLookup[],2,FALSE),DAY(C573)+VLOOKUP(Interval,LoanLookup[],3,FALSE)),"")</f>
        <v>61943</v>
      </c>
      <c r="D574" s="34">
        <f t="shared" ca="1" si="29"/>
        <v>0</v>
      </c>
      <c r="E574" s="35">
        <f t="shared" ca="1" si="28"/>
        <v>989.93360882498609</v>
      </c>
      <c r="F574" s="36">
        <f ca="1">IF(scheduled_no_payments=1,"",IF(Sched_Pay+Scheduled_Extra_Payments&lt;Beg_Bal,Scheduled_Extra_Payments,IF(AND(Pay_Num&lt;&gt;"",Beg_Bal-Sched_Pay&gt;0),Beg_Bal-Sched_Pay,IF(Pay_Num&lt;&gt;"",0,""))))</f>
        <v>0</v>
      </c>
      <c r="G574" s="34">
        <f ca="1">IF(scheduled_no_payments=1,"",IF(Sched_Pay+Extra_Pay&lt;Beg_Bal,Sched_Pay+Extra_Pay,IF(Pay_Num&lt;&gt;"",Beg_Bal,"")))</f>
        <v>0</v>
      </c>
      <c r="H574" s="34">
        <f t="shared" ca="1" si="27"/>
        <v>0</v>
      </c>
      <c r="I574" s="34">
        <f ca="1">IF(Pay_Num&lt;&gt;"",Beg_Bal*(Interest_Rate/VLOOKUP(Interval,LoanLookup[],5,FALSE)),"")</f>
        <v>0</v>
      </c>
      <c r="J574" s="34">
        <f ca="1">IF(scheduled_no_payments=1,"",IF(AND(Pay_Num&lt;&gt;"",Sched_Pay+Extra_Pay&lt;Beg_Bal),Beg_Bal-Princ,IF(Pay_Num&lt;&gt;"",0,"")))</f>
        <v>0</v>
      </c>
      <c r="K574" s="34">
        <f ca="1">IF(scheduled_no_payments=1,"",SUM($I$13:$I574))</f>
        <v>87584.066117996466</v>
      </c>
      <c r="L574" s="38"/>
    </row>
    <row r="575" spans="2:12" ht="16.5" customHeight="1" x14ac:dyDescent="0.25">
      <c r="B575" s="32">
        <f ca="1">IF(AND(Values_Entered,scheduled_no_payments&lt;&gt;1),B574+1,"")</f>
        <v>563</v>
      </c>
      <c r="C575" s="33">
        <f ca="1">IF(Pay_Num&lt;&gt;"",DATE(YEAR(C574)+VLOOKUP(Interval,LoanLookup[],4,FALSE),MONTH(C574)+VLOOKUP(Interval,LoanLookup[],2,FALSE),DAY(C574)+VLOOKUP(Interval,LoanLookup[],3,FALSE)),"")</f>
        <v>61974</v>
      </c>
      <c r="D575" s="34">
        <f t="shared" ca="1" si="29"/>
        <v>0</v>
      </c>
      <c r="E575" s="35">
        <f t="shared" ca="1" si="28"/>
        <v>989.93360882498609</v>
      </c>
      <c r="F575" s="36">
        <f ca="1">IF(scheduled_no_payments=1,"",IF(Sched_Pay+Scheduled_Extra_Payments&lt;Beg_Bal,Scheduled_Extra_Payments,IF(AND(Pay_Num&lt;&gt;"",Beg_Bal-Sched_Pay&gt;0),Beg_Bal-Sched_Pay,IF(Pay_Num&lt;&gt;"",0,""))))</f>
        <v>0</v>
      </c>
      <c r="G575" s="34">
        <f ca="1">IF(scheduled_no_payments=1,"",IF(Sched_Pay+Extra_Pay&lt;Beg_Bal,Sched_Pay+Extra_Pay,IF(Pay_Num&lt;&gt;"",Beg_Bal,"")))</f>
        <v>0</v>
      </c>
      <c r="H575" s="34">
        <f t="shared" ca="1" si="27"/>
        <v>0</v>
      </c>
      <c r="I575" s="34">
        <f ca="1">IF(Pay_Num&lt;&gt;"",Beg_Bal*(Interest_Rate/VLOOKUP(Interval,LoanLookup[],5,FALSE)),"")</f>
        <v>0</v>
      </c>
      <c r="J575" s="34">
        <f ca="1">IF(scheduled_no_payments=1,"",IF(AND(Pay_Num&lt;&gt;"",Sched_Pay+Extra_Pay&lt;Beg_Bal),Beg_Bal-Princ,IF(Pay_Num&lt;&gt;"",0,"")))</f>
        <v>0</v>
      </c>
      <c r="K575" s="34">
        <f ca="1">IF(scheduled_no_payments=1,"",SUM($I$13:$I575))</f>
        <v>87584.066117996466</v>
      </c>
      <c r="L575" s="38"/>
    </row>
    <row r="576" spans="2:12" ht="16.5" customHeight="1" x14ac:dyDescent="0.25">
      <c r="B576" s="32">
        <f ca="1">IF(AND(Values_Entered,scheduled_no_payments&lt;&gt;1),B575+1,"")</f>
        <v>564</v>
      </c>
      <c r="C576" s="33">
        <f ca="1">IF(Pay_Num&lt;&gt;"",DATE(YEAR(C575)+VLOOKUP(Interval,LoanLookup[],4,FALSE),MONTH(C575)+VLOOKUP(Interval,LoanLookup[],2,FALSE),DAY(C575)+VLOOKUP(Interval,LoanLookup[],3,FALSE)),"")</f>
        <v>62004</v>
      </c>
      <c r="D576" s="34">
        <f t="shared" ca="1" si="29"/>
        <v>0</v>
      </c>
      <c r="E576" s="35">
        <f t="shared" ca="1" si="28"/>
        <v>989.93360882498609</v>
      </c>
      <c r="F576" s="36">
        <f ca="1">IF(scheduled_no_payments=1,"",IF(Sched_Pay+Scheduled_Extra_Payments&lt;Beg_Bal,Scheduled_Extra_Payments,IF(AND(Pay_Num&lt;&gt;"",Beg_Bal-Sched_Pay&gt;0),Beg_Bal-Sched_Pay,IF(Pay_Num&lt;&gt;"",0,""))))</f>
        <v>0</v>
      </c>
      <c r="G576" s="34">
        <f ca="1">IF(scheduled_no_payments=1,"",IF(Sched_Pay+Extra_Pay&lt;Beg_Bal,Sched_Pay+Extra_Pay,IF(Pay_Num&lt;&gt;"",Beg_Bal,"")))</f>
        <v>0</v>
      </c>
      <c r="H576" s="34">
        <f t="shared" ca="1" si="27"/>
        <v>0</v>
      </c>
      <c r="I576" s="34">
        <f ca="1">IF(Pay_Num&lt;&gt;"",Beg_Bal*(Interest_Rate/VLOOKUP(Interval,LoanLookup[],5,FALSE)),"")</f>
        <v>0</v>
      </c>
      <c r="J576" s="34">
        <f ca="1">IF(scheduled_no_payments=1,"",IF(AND(Pay_Num&lt;&gt;"",Sched_Pay+Extra_Pay&lt;Beg_Bal),Beg_Bal-Princ,IF(Pay_Num&lt;&gt;"",0,"")))</f>
        <v>0</v>
      </c>
      <c r="K576" s="34">
        <f ca="1">IF(scheduled_no_payments=1,"",SUM($I$13:$I576))</f>
        <v>87584.066117996466</v>
      </c>
      <c r="L576" s="38"/>
    </row>
    <row r="577" spans="2:12" ht="16.5" customHeight="1" x14ac:dyDescent="0.25">
      <c r="B577" s="32">
        <f ca="1">IF(AND(Values_Entered,scheduled_no_payments&lt;&gt;1),B576+1,"")</f>
        <v>565</v>
      </c>
      <c r="C577" s="33">
        <f ca="1">IF(Pay_Num&lt;&gt;"",DATE(YEAR(C576)+VLOOKUP(Interval,LoanLookup[],4,FALSE),MONTH(C576)+VLOOKUP(Interval,LoanLookup[],2,FALSE),DAY(C576)+VLOOKUP(Interval,LoanLookup[],3,FALSE)),"")</f>
        <v>62035</v>
      </c>
      <c r="D577" s="34">
        <f t="shared" ca="1" si="29"/>
        <v>0</v>
      </c>
      <c r="E577" s="35">
        <f t="shared" ca="1" si="28"/>
        <v>989.93360882498609</v>
      </c>
      <c r="F577" s="36">
        <f ca="1">IF(scheduled_no_payments=1,"",IF(Sched_Pay+Scheduled_Extra_Payments&lt;Beg_Bal,Scheduled_Extra_Payments,IF(AND(Pay_Num&lt;&gt;"",Beg_Bal-Sched_Pay&gt;0),Beg_Bal-Sched_Pay,IF(Pay_Num&lt;&gt;"",0,""))))</f>
        <v>0</v>
      </c>
      <c r="G577" s="34">
        <f ca="1">IF(scheduled_no_payments=1,"",IF(Sched_Pay+Extra_Pay&lt;Beg_Bal,Sched_Pay+Extra_Pay,IF(Pay_Num&lt;&gt;"",Beg_Bal,"")))</f>
        <v>0</v>
      </c>
      <c r="H577" s="34">
        <f t="shared" ca="1" si="27"/>
        <v>0</v>
      </c>
      <c r="I577" s="34">
        <f ca="1">IF(Pay_Num&lt;&gt;"",Beg_Bal*(Interest_Rate/VLOOKUP(Interval,LoanLookup[],5,FALSE)),"")</f>
        <v>0</v>
      </c>
      <c r="J577" s="34">
        <f ca="1">IF(scheduled_no_payments=1,"",IF(AND(Pay_Num&lt;&gt;"",Sched_Pay+Extra_Pay&lt;Beg_Bal),Beg_Bal-Princ,IF(Pay_Num&lt;&gt;"",0,"")))</f>
        <v>0</v>
      </c>
      <c r="K577" s="34">
        <f ca="1">IF(scheduled_no_payments=1,"",SUM($I$13:$I577))</f>
        <v>87584.066117996466</v>
      </c>
      <c r="L577" s="38"/>
    </row>
    <row r="578" spans="2:12" ht="16.5" customHeight="1" x14ac:dyDescent="0.25">
      <c r="B578" s="32">
        <f ca="1">IF(AND(Values_Entered,scheduled_no_payments&lt;&gt;1),B577+1,"")</f>
        <v>566</v>
      </c>
      <c r="C578" s="33">
        <f ca="1">IF(Pay_Num&lt;&gt;"",DATE(YEAR(C577)+VLOOKUP(Interval,LoanLookup[],4,FALSE),MONTH(C577)+VLOOKUP(Interval,LoanLookup[],2,FALSE),DAY(C577)+VLOOKUP(Interval,LoanLookup[],3,FALSE)),"")</f>
        <v>62065</v>
      </c>
      <c r="D578" s="34">
        <f t="shared" ca="1" si="29"/>
        <v>0</v>
      </c>
      <c r="E578" s="35">
        <f t="shared" ca="1" si="28"/>
        <v>989.93360882498609</v>
      </c>
      <c r="F578" s="36">
        <f ca="1">IF(scheduled_no_payments=1,"",IF(Sched_Pay+Scheduled_Extra_Payments&lt;Beg_Bal,Scheduled_Extra_Payments,IF(AND(Pay_Num&lt;&gt;"",Beg_Bal-Sched_Pay&gt;0),Beg_Bal-Sched_Pay,IF(Pay_Num&lt;&gt;"",0,""))))</f>
        <v>0</v>
      </c>
      <c r="G578" s="34">
        <f ca="1">IF(scheduled_no_payments=1,"",IF(Sched_Pay+Extra_Pay&lt;Beg_Bal,Sched_Pay+Extra_Pay,IF(Pay_Num&lt;&gt;"",Beg_Bal,"")))</f>
        <v>0</v>
      </c>
      <c r="H578" s="34">
        <f t="shared" ca="1" si="27"/>
        <v>0</v>
      </c>
      <c r="I578" s="34">
        <f ca="1">IF(Pay_Num&lt;&gt;"",Beg_Bal*(Interest_Rate/VLOOKUP(Interval,LoanLookup[],5,FALSE)),"")</f>
        <v>0</v>
      </c>
      <c r="J578" s="34">
        <f ca="1">IF(scheduled_no_payments=1,"",IF(AND(Pay_Num&lt;&gt;"",Sched_Pay+Extra_Pay&lt;Beg_Bal),Beg_Bal-Princ,IF(Pay_Num&lt;&gt;"",0,"")))</f>
        <v>0</v>
      </c>
      <c r="K578" s="34">
        <f ca="1">IF(scheduled_no_payments=1,"",SUM($I$13:$I578))</f>
        <v>87584.066117996466</v>
      </c>
      <c r="L578" s="38"/>
    </row>
    <row r="579" spans="2:12" ht="16.5" customHeight="1" x14ac:dyDescent="0.25">
      <c r="B579" s="32">
        <f ca="1">IF(AND(Values_Entered,scheduled_no_payments&lt;&gt;1),B578+1,"")</f>
        <v>567</v>
      </c>
      <c r="C579" s="33">
        <f ca="1">IF(Pay_Num&lt;&gt;"",DATE(YEAR(C578)+VLOOKUP(Interval,LoanLookup[],4,FALSE),MONTH(C578)+VLOOKUP(Interval,LoanLookup[],2,FALSE),DAY(C578)+VLOOKUP(Interval,LoanLookup[],3,FALSE)),"")</f>
        <v>62096</v>
      </c>
      <c r="D579" s="34">
        <f t="shared" ca="1" si="29"/>
        <v>0</v>
      </c>
      <c r="E579" s="35">
        <f t="shared" ca="1" si="28"/>
        <v>989.93360882498609</v>
      </c>
      <c r="F579" s="36">
        <f ca="1">IF(scheduled_no_payments=1,"",IF(Sched_Pay+Scheduled_Extra_Payments&lt;Beg_Bal,Scheduled_Extra_Payments,IF(AND(Pay_Num&lt;&gt;"",Beg_Bal-Sched_Pay&gt;0),Beg_Bal-Sched_Pay,IF(Pay_Num&lt;&gt;"",0,""))))</f>
        <v>0</v>
      </c>
      <c r="G579" s="34">
        <f ca="1">IF(scheduled_no_payments=1,"",IF(Sched_Pay+Extra_Pay&lt;Beg_Bal,Sched_Pay+Extra_Pay,IF(Pay_Num&lt;&gt;"",Beg_Bal,"")))</f>
        <v>0</v>
      </c>
      <c r="H579" s="34">
        <f t="shared" ca="1" si="27"/>
        <v>0</v>
      </c>
      <c r="I579" s="34">
        <f ca="1">IF(Pay_Num&lt;&gt;"",Beg_Bal*(Interest_Rate/VLOOKUP(Interval,LoanLookup[],5,FALSE)),"")</f>
        <v>0</v>
      </c>
      <c r="J579" s="34">
        <f ca="1">IF(scheduled_no_payments=1,"",IF(AND(Pay_Num&lt;&gt;"",Sched_Pay+Extra_Pay&lt;Beg_Bal),Beg_Bal-Princ,IF(Pay_Num&lt;&gt;"",0,"")))</f>
        <v>0</v>
      </c>
      <c r="K579" s="34">
        <f ca="1">IF(scheduled_no_payments=1,"",SUM($I$13:$I579))</f>
        <v>87584.066117996466</v>
      </c>
      <c r="L579" s="38"/>
    </row>
    <row r="580" spans="2:12" ht="16.5" customHeight="1" x14ac:dyDescent="0.25">
      <c r="B580" s="32">
        <f ca="1">IF(AND(Values_Entered,scheduled_no_payments&lt;&gt;1),B579+1,"")</f>
        <v>568</v>
      </c>
      <c r="C580" s="33">
        <f ca="1">IF(Pay_Num&lt;&gt;"",DATE(YEAR(C579)+VLOOKUP(Interval,LoanLookup[],4,FALSE),MONTH(C579)+VLOOKUP(Interval,LoanLookup[],2,FALSE),DAY(C579)+VLOOKUP(Interval,LoanLookup[],3,FALSE)),"")</f>
        <v>62127</v>
      </c>
      <c r="D580" s="34">
        <f t="shared" ca="1" si="29"/>
        <v>0</v>
      </c>
      <c r="E580" s="35">
        <f t="shared" ca="1" si="28"/>
        <v>989.93360882498609</v>
      </c>
      <c r="F580" s="36">
        <f ca="1">IF(scheduled_no_payments=1,"",IF(Sched_Pay+Scheduled_Extra_Payments&lt;Beg_Bal,Scheduled_Extra_Payments,IF(AND(Pay_Num&lt;&gt;"",Beg_Bal-Sched_Pay&gt;0),Beg_Bal-Sched_Pay,IF(Pay_Num&lt;&gt;"",0,""))))</f>
        <v>0</v>
      </c>
      <c r="G580" s="34">
        <f ca="1">IF(scheduled_no_payments=1,"",IF(Sched_Pay+Extra_Pay&lt;Beg_Bal,Sched_Pay+Extra_Pay,IF(Pay_Num&lt;&gt;"",Beg_Bal,"")))</f>
        <v>0</v>
      </c>
      <c r="H580" s="34">
        <f t="shared" ca="1" si="27"/>
        <v>0</v>
      </c>
      <c r="I580" s="34">
        <f ca="1">IF(Pay_Num&lt;&gt;"",Beg_Bal*(Interest_Rate/VLOOKUP(Interval,LoanLookup[],5,FALSE)),"")</f>
        <v>0</v>
      </c>
      <c r="J580" s="34">
        <f ca="1">IF(scheduled_no_payments=1,"",IF(AND(Pay_Num&lt;&gt;"",Sched_Pay+Extra_Pay&lt;Beg_Bal),Beg_Bal-Princ,IF(Pay_Num&lt;&gt;"",0,"")))</f>
        <v>0</v>
      </c>
      <c r="K580" s="34">
        <f ca="1">IF(scheduled_no_payments=1,"",SUM($I$13:$I580))</f>
        <v>87584.066117996466</v>
      </c>
      <c r="L580" s="38"/>
    </row>
    <row r="581" spans="2:12" ht="16.5" customHeight="1" x14ac:dyDescent="0.25">
      <c r="B581" s="32">
        <f ca="1">IF(AND(Values_Entered,scheduled_no_payments&lt;&gt;1),B580+1,"")</f>
        <v>569</v>
      </c>
      <c r="C581" s="33">
        <f ca="1">IF(Pay_Num&lt;&gt;"",DATE(YEAR(C580)+VLOOKUP(Interval,LoanLookup[],4,FALSE),MONTH(C580)+VLOOKUP(Interval,LoanLookup[],2,FALSE),DAY(C580)+VLOOKUP(Interval,LoanLookup[],3,FALSE)),"")</f>
        <v>62155</v>
      </c>
      <c r="D581" s="34">
        <f t="shared" ca="1" si="29"/>
        <v>0</v>
      </c>
      <c r="E581" s="35">
        <f t="shared" ca="1" si="28"/>
        <v>989.93360882498609</v>
      </c>
      <c r="F581" s="36">
        <f ca="1">IF(scheduled_no_payments=1,"",IF(Sched_Pay+Scheduled_Extra_Payments&lt;Beg_Bal,Scheduled_Extra_Payments,IF(AND(Pay_Num&lt;&gt;"",Beg_Bal-Sched_Pay&gt;0),Beg_Bal-Sched_Pay,IF(Pay_Num&lt;&gt;"",0,""))))</f>
        <v>0</v>
      </c>
      <c r="G581" s="34">
        <f ca="1">IF(scheduled_no_payments=1,"",IF(Sched_Pay+Extra_Pay&lt;Beg_Bal,Sched_Pay+Extra_Pay,IF(Pay_Num&lt;&gt;"",Beg_Bal,"")))</f>
        <v>0</v>
      </c>
      <c r="H581" s="34">
        <f t="shared" ca="1" si="27"/>
        <v>0</v>
      </c>
      <c r="I581" s="34">
        <f ca="1">IF(Pay_Num&lt;&gt;"",Beg_Bal*(Interest_Rate/VLOOKUP(Interval,LoanLookup[],5,FALSE)),"")</f>
        <v>0</v>
      </c>
      <c r="J581" s="34">
        <f ca="1">IF(scheduled_no_payments=1,"",IF(AND(Pay_Num&lt;&gt;"",Sched_Pay+Extra_Pay&lt;Beg_Bal),Beg_Bal-Princ,IF(Pay_Num&lt;&gt;"",0,"")))</f>
        <v>0</v>
      </c>
      <c r="K581" s="34">
        <f ca="1">IF(scheduled_no_payments=1,"",SUM($I$13:$I581))</f>
        <v>87584.066117996466</v>
      </c>
      <c r="L581" s="38"/>
    </row>
    <row r="582" spans="2:12" ht="16.5" customHeight="1" x14ac:dyDescent="0.25">
      <c r="B582" s="32">
        <f ca="1">IF(AND(Values_Entered,scheduled_no_payments&lt;&gt;1),B581+1,"")</f>
        <v>570</v>
      </c>
      <c r="C582" s="33">
        <f ca="1">IF(Pay_Num&lt;&gt;"",DATE(YEAR(C581)+VLOOKUP(Interval,LoanLookup[],4,FALSE),MONTH(C581)+VLOOKUP(Interval,LoanLookup[],2,FALSE),DAY(C581)+VLOOKUP(Interval,LoanLookup[],3,FALSE)),"")</f>
        <v>62186</v>
      </c>
      <c r="D582" s="34">
        <f t="shared" ca="1" si="29"/>
        <v>0</v>
      </c>
      <c r="E582" s="35">
        <f t="shared" ca="1" si="28"/>
        <v>989.93360882498609</v>
      </c>
      <c r="F582" s="36">
        <f ca="1">IF(scheduled_no_payments=1,"",IF(Sched_Pay+Scheduled_Extra_Payments&lt;Beg_Bal,Scheduled_Extra_Payments,IF(AND(Pay_Num&lt;&gt;"",Beg_Bal-Sched_Pay&gt;0),Beg_Bal-Sched_Pay,IF(Pay_Num&lt;&gt;"",0,""))))</f>
        <v>0</v>
      </c>
      <c r="G582" s="34">
        <f ca="1">IF(scheduled_no_payments=1,"",IF(Sched_Pay+Extra_Pay&lt;Beg_Bal,Sched_Pay+Extra_Pay,IF(Pay_Num&lt;&gt;"",Beg_Bal,"")))</f>
        <v>0</v>
      </c>
      <c r="H582" s="34">
        <f t="shared" ca="1" si="27"/>
        <v>0</v>
      </c>
      <c r="I582" s="34">
        <f ca="1">IF(Pay_Num&lt;&gt;"",Beg_Bal*(Interest_Rate/VLOOKUP(Interval,LoanLookup[],5,FALSE)),"")</f>
        <v>0</v>
      </c>
      <c r="J582" s="34">
        <f ca="1">IF(scheduled_no_payments=1,"",IF(AND(Pay_Num&lt;&gt;"",Sched_Pay+Extra_Pay&lt;Beg_Bal),Beg_Bal-Princ,IF(Pay_Num&lt;&gt;"",0,"")))</f>
        <v>0</v>
      </c>
      <c r="K582" s="34">
        <f ca="1">IF(scheduled_no_payments=1,"",SUM($I$13:$I582))</f>
        <v>87584.066117996466</v>
      </c>
      <c r="L582" s="38"/>
    </row>
    <row r="583" spans="2:12" ht="16.5" customHeight="1" x14ac:dyDescent="0.25">
      <c r="B583" s="32">
        <f ca="1">IF(AND(Values_Entered,scheduled_no_payments&lt;&gt;1),B582+1,"")</f>
        <v>571</v>
      </c>
      <c r="C583" s="33">
        <f ca="1">IF(Pay_Num&lt;&gt;"",DATE(YEAR(C582)+VLOOKUP(Interval,LoanLookup[],4,FALSE),MONTH(C582)+VLOOKUP(Interval,LoanLookup[],2,FALSE),DAY(C582)+VLOOKUP(Interval,LoanLookup[],3,FALSE)),"")</f>
        <v>62216</v>
      </c>
      <c r="D583" s="34">
        <f t="shared" ca="1" si="29"/>
        <v>0</v>
      </c>
      <c r="E583" s="35">
        <f t="shared" ca="1" si="28"/>
        <v>989.93360882498609</v>
      </c>
      <c r="F583" s="36">
        <f ca="1">IF(scheduled_no_payments=1,"",IF(Sched_Pay+Scheduled_Extra_Payments&lt;Beg_Bal,Scheduled_Extra_Payments,IF(AND(Pay_Num&lt;&gt;"",Beg_Bal-Sched_Pay&gt;0),Beg_Bal-Sched_Pay,IF(Pay_Num&lt;&gt;"",0,""))))</f>
        <v>0</v>
      </c>
      <c r="G583" s="34">
        <f ca="1">IF(scheduled_no_payments=1,"",IF(Sched_Pay+Extra_Pay&lt;Beg_Bal,Sched_Pay+Extra_Pay,IF(Pay_Num&lt;&gt;"",Beg_Bal,"")))</f>
        <v>0</v>
      </c>
      <c r="H583" s="34">
        <f t="shared" ca="1" si="27"/>
        <v>0</v>
      </c>
      <c r="I583" s="34">
        <f ca="1">IF(Pay_Num&lt;&gt;"",Beg_Bal*(Interest_Rate/VLOOKUP(Interval,LoanLookup[],5,FALSE)),"")</f>
        <v>0</v>
      </c>
      <c r="J583" s="34">
        <f ca="1">IF(scheduled_no_payments=1,"",IF(AND(Pay_Num&lt;&gt;"",Sched_Pay+Extra_Pay&lt;Beg_Bal),Beg_Bal-Princ,IF(Pay_Num&lt;&gt;"",0,"")))</f>
        <v>0</v>
      </c>
      <c r="K583" s="34">
        <f ca="1">IF(scheduled_no_payments=1,"",SUM($I$13:$I583))</f>
        <v>87584.066117996466</v>
      </c>
      <c r="L583" s="38"/>
    </row>
    <row r="584" spans="2:12" ht="16.5" customHeight="1" x14ac:dyDescent="0.25">
      <c r="B584" s="32">
        <f ca="1">IF(AND(Values_Entered,scheduled_no_payments&lt;&gt;1),B583+1,"")</f>
        <v>572</v>
      </c>
      <c r="C584" s="33">
        <f ca="1">IF(Pay_Num&lt;&gt;"",DATE(YEAR(C583)+VLOOKUP(Interval,LoanLookup[],4,FALSE),MONTH(C583)+VLOOKUP(Interval,LoanLookup[],2,FALSE),DAY(C583)+VLOOKUP(Interval,LoanLookup[],3,FALSE)),"")</f>
        <v>62247</v>
      </c>
      <c r="D584" s="34">
        <f t="shared" ca="1" si="29"/>
        <v>0</v>
      </c>
      <c r="E584" s="35">
        <f t="shared" ca="1" si="28"/>
        <v>989.93360882498609</v>
      </c>
      <c r="F584" s="36">
        <f ca="1">IF(scheduled_no_payments=1,"",IF(Sched_Pay+Scheduled_Extra_Payments&lt;Beg_Bal,Scheduled_Extra_Payments,IF(AND(Pay_Num&lt;&gt;"",Beg_Bal-Sched_Pay&gt;0),Beg_Bal-Sched_Pay,IF(Pay_Num&lt;&gt;"",0,""))))</f>
        <v>0</v>
      </c>
      <c r="G584" s="34">
        <f ca="1">IF(scheduled_no_payments=1,"",IF(Sched_Pay+Extra_Pay&lt;Beg_Bal,Sched_Pay+Extra_Pay,IF(Pay_Num&lt;&gt;"",Beg_Bal,"")))</f>
        <v>0</v>
      </c>
      <c r="H584" s="34">
        <f t="shared" ca="1" si="27"/>
        <v>0</v>
      </c>
      <c r="I584" s="34">
        <f ca="1">IF(Pay_Num&lt;&gt;"",Beg_Bal*(Interest_Rate/VLOOKUP(Interval,LoanLookup[],5,FALSE)),"")</f>
        <v>0</v>
      </c>
      <c r="J584" s="34">
        <f ca="1">IF(scheduled_no_payments=1,"",IF(AND(Pay_Num&lt;&gt;"",Sched_Pay+Extra_Pay&lt;Beg_Bal),Beg_Bal-Princ,IF(Pay_Num&lt;&gt;"",0,"")))</f>
        <v>0</v>
      </c>
      <c r="K584" s="34">
        <f ca="1">IF(scheduled_no_payments=1,"",SUM($I$13:$I584))</f>
        <v>87584.066117996466</v>
      </c>
      <c r="L584" s="38"/>
    </row>
    <row r="585" spans="2:12" ht="16.5" customHeight="1" x14ac:dyDescent="0.25">
      <c r="B585" s="32">
        <f ca="1">IF(AND(Values_Entered,scheduled_no_payments&lt;&gt;1),B584+1,"")</f>
        <v>573</v>
      </c>
      <c r="C585" s="33">
        <f ca="1">IF(Pay_Num&lt;&gt;"",DATE(YEAR(C584)+VLOOKUP(Interval,LoanLookup[],4,FALSE),MONTH(C584)+VLOOKUP(Interval,LoanLookup[],2,FALSE),DAY(C584)+VLOOKUP(Interval,LoanLookup[],3,FALSE)),"")</f>
        <v>62277</v>
      </c>
      <c r="D585" s="34">
        <f t="shared" ca="1" si="29"/>
        <v>0</v>
      </c>
      <c r="E585" s="35">
        <f t="shared" ca="1" si="28"/>
        <v>989.93360882498609</v>
      </c>
      <c r="F585" s="36">
        <f ca="1">IF(scheduled_no_payments=1,"",IF(Sched_Pay+Scheduled_Extra_Payments&lt;Beg_Bal,Scheduled_Extra_Payments,IF(AND(Pay_Num&lt;&gt;"",Beg_Bal-Sched_Pay&gt;0),Beg_Bal-Sched_Pay,IF(Pay_Num&lt;&gt;"",0,""))))</f>
        <v>0</v>
      </c>
      <c r="G585" s="34">
        <f ca="1">IF(scheduled_no_payments=1,"",IF(Sched_Pay+Extra_Pay&lt;Beg_Bal,Sched_Pay+Extra_Pay,IF(Pay_Num&lt;&gt;"",Beg_Bal,"")))</f>
        <v>0</v>
      </c>
      <c r="H585" s="34">
        <f t="shared" ca="1" si="27"/>
        <v>0</v>
      </c>
      <c r="I585" s="34">
        <f ca="1">IF(Pay_Num&lt;&gt;"",Beg_Bal*(Interest_Rate/VLOOKUP(Interval,LoanLookup[],5,FALSE)),"")</f>
        <v>0</v>
      </c>
      <c r="J585" s="34">
        <f ca="1">IF(scheduled_no_payments=1,"",IF(AND(Pay_Num&lt;&gt;"",Sched_Pay+Extra_Pay&lt;Beg_Bal),Beg_Bal-Princ,IF(Pay_Num&lt;&gt;"",0,"")))</f>
        <v>0</v>
      </c>
      <c r="K585" s="34">
        <f ca="1">IF(scheduled_no_payments=1,"",SUM($I$13:$I585))</f>
        <v>87584.066117996466</v>
      </c>
      <c r="L585" s="38"/>
    </row>
    <row r="586" spans="2:12" ht="16.5" customHeight="1" x14ac:dyDescent="0.25">
      <c r="B586" s="32">
        <f ca="1">IF(AND(Values_Entered,scheduled_no_payments&lt;&gt;1),B585+1,"")</f>
        <v>574</v>
      </c>
      <c r="C586" s="33">
        <f ca="1">IF(Pay_Num&lt;&gt;"",DATE(YEAR(C585)+VLOOKUP(Interval,LoanLookup[],4,FALSE),MONTH(C585)+VLOOKUP(Interval,LoanLookup[],2,FALSE),DAY(C585)+VLOOKUP(Interval,LoanLookup[],3,FALSE)),"")</f>
        <v>62308</v>
      </c>
      <c r="D586" s="34">
        <f t="shared" ca="1" si="29"/>
        <v>0</v>
      </c>
      <c r="E586" s="35">
        <f t="shared" ca="1" si="28"/>
        <v>989.93360882498609</v>
      </c>
      <c r="F586" s="36">
        <f ca="1">IF(scheduled_no_payments=1,"",IF(Sched_Pay+Scheduled_Extra_Payments&lt;Beg_Bal,Scheduled_Extra_Payments,IF(AND(Pay_Num&lt;&gt;"",Beg_Bal-Sched_Pay&gt;0),Beg_Bal-Sched_Pay,IF(Pay_Num&lt;&gt;"",0,""))))</f>
        <v>0</v>
      </c>
      <c r="G586" s="34">
        <f ca="1">IF(scheduled_no_payments=1,"",IF(Sched_Pay+Extra_Pay&lt;Beg_Bal,Sched_Pay+Extra_Pay,IF(Pay_Num&lt;&gt;"",Beg_Bal,"")))</f>
        <v>0</v>
      </c>
      <c r="H586" s="34">
        <f t="shared" ca="1" si="27"/>
        <v>0</v>
      </c>
      <c r="I586" s="34">
        <f ca="1">IF(Pay_Num&lt;&gt;"",Beg_Bal*(Interest_Rate/VLOOKUP(Interval,LoanLookup[],5,FALSE)),"")</f>
        <v>0</v>
      </c>
      <c r="J586" s="34">
        <f ca="1">IF(scheduled_no_payments=1,"",IF(AND(Pay_Num&lt;&gt;"",Sched_Pay+Extra_Pay&lt;Beg_Bal),Beg_Bal-Princ,IF(Pay_Num&lt;&gt;"",0,"")))</f>
        <v>0</v>
      </c>
      <c r="K586" s="34">
        <f ca="1">IF(scheduled_no_payments=1,"",SUM($I$13:$I586))</f>
        <v>87584.066117996466</v>
      </c>
      <c r="L586" s="38"/>
    </row>
    <row r="587" spans="2:12" ht="16.5" customHeight="1" x14ac:dyDescent="0.25">
      <c r="B587" s="32">
        <f ca="1">IF(AND(Values_Entered,scheduled_no_payments&lt;&gt;1),B586+1,"")</f>
        <v>575</v>
      </c>
      <c r="C587" s="33">
        <f ca="1">IF(Pay_Num&lt;&gt;"",DATE(YEAR(C586)+VLOOKUP(Interval,LoanLookup[],4,FALSE),MONTH(C586)+VLOOKUP(Interval,LoanLookup[],2,FALSE),DAY(C586)+VLOOKUP(Interval,LoanLookup[],3,FALSE)),"")</f>
        <v>62339</v>
      </c>
      <c r="D587" s="34">
        <f t="shared" ca="1" si="29"/>
        <v>0</v>
      </c>
      <c r="E587" s="35">
        <f t="shared" ca="1" si="28"/>
        <v>989.93360882498609</v>
      </c>
      <c r="F587" s="36">
        <f ca="1">IF(scheduled_no_payments=1,"",IF(Sched_Pay+Scheduled_Extra_Payments&lt;Beg_Bal,Scheduled_Extra_Payments,IF(AND(Pay_Num&lt;&gt;"",Beg_Bal-Sched_Pay&gt;0),Beg_Bal-Sched_Pay,IF(Pay_Num&lt;&gt;"",0,""))))</f>
        <v>0</v>
      </c>
      <c r="G587" s="34">
        <f ca="1">IF(scheduled_no_payments=1,"",IF(Sched_Pay+Extra_Pay&lt;Beg_Bal,Sched_Pay+Extra_Pay,IF(Pay_Num&lt;&gt;"",Beg_Bal,"")))</f>
        <v>0</v>
      </c>
      <c r="H587" s="34">
        <f t="shared" ca="1" si="27"/>
        <v>0</v>
      </c>
      <c r="I587" s="34">
        <f ca="1">IF(Pay_Num&lt;&gt;"",Beg_Bal*(Interest_Rate/VLOOKUP(Interval,LoanLookup[],5,FALSE)),"")</f>
        <v>0</v>
      </c>
      <c r="J587" s="34">
        <f ca="1">IF(scheduled_no_payments=1,"",IF(AND(Pay_Num&lt;&gt;"",Sched_Pay+Extra_Pay&lt;Beg_Bal),Beg_Bal-Princ,IF(Pay_Num&lt;&gt;"",0,"")))</f>
        <v>0</v>
      </c>
      <c r="K587" s="34">
        <f ca="1">IF(scheduled_no_payments=1,"",SUM($I$13:$I587))</f>
        <v>87584.066117996466</v>
      </c>
      <c r="L587" s="38"/>
    </row>
    <row r="588" spans="2:12" ht="16.5" customHeight="1" x14ac:dyDescent="0.25">
      <c r="B588" s="32">
        <f ca="1">IF(AND(Values_Entered,scheduled_no_payments&lt;&gt;1),B587+1,"")</f>
        <v>576</v>
      </c>
      <c r="C588" s="33">
        <f ca="1">IF(Pay_Num&lt;&gt;"",DATE(YEAR(C587)+VLOOKUP(Interval,LoanLookup[],4,FALSE),MONTH(C587)+VLOOKUP(Interval,LoanLookup[],2,FALSE),DAY(C587)+VLOOKUP(Interval,LoanLookup[],3,FALSE)),"")</f>
        <v>62369</v>
      </c>
      <c r="D588" s="34">
        <f t="shared" ca="1" si="29"/>
        <v>0</v>
      </c>
      <c r="E588" s="35">
        <f t="shared" ca="1" si="28"/>
        <v>989.93360882498609</v>
      </c>
      <c r="F588" s="36">
        <f ca="1">IF(scheduled_no_payments=1,"",IF(Sched_Pay+Scheduled_Extra_Payments&lt;Beg_Bal,Scheduled_Extra_Payments,IF(AND(Pay_Num&lt;&gt;"",Beg_Bal-Sched_Pay&gt;0),Beg_Bal-Sched_Pay,IF(Pay_Num&lt;&gt;"",0,""))))</f>
        <v>0</v>
      </c>
      <c r="G588" s="34">
        <f ca="1">IF(scheduled_no_payments=1,"",IF(Sched_Pay+Extra_Pay&lt;Beg_Bal,Sched_Pay+Extra_Pay,IF(Pay_Num&lt;&gt;"",Beg_Bal,"")))</f>
        <v>0</v>
      </c>
      <c r="H588" s="34">
        <f t="shared" ca="1" si="27"/>
        <v>0</v>
      </c>
      <c r="I588" s="34">
        <f ca="1">IF(Pay_Num&lt;&gt;"",Beg_Bal*(Interest_Rate/VLOOKUP(Interval,LoanLookup[],5,FALSE)),"")</f>
        <v>0</v>
      </c>
      <c r="J588" s="34">
        <f ca="1">IF(scheduled_no_payments=1,"",IF(AND(Pay_Num&lt;&gt;"",Sched_Pay+Extra_Pay&lt;Beg_Bal),Beg_Bal-Princ,IF(Pay_Num&lt;&gt;"",0,"")))</f>
        <v>0</v>
      </c>
      <c r="K588" s="34">
        <f ca="1">IF(scheduled_no_payments=1,"",SUM($I$13:$I588))</f>
        <v>87584.066117996466</v>
      </c>
      <c r="L588" s="38"/>
    </row>
    <row r="589" spans="2:12" ht="16.5" customHeight="1" x14ac:dyDescent="0.25">
      <c r="B589" s="32">
        <f ca="1">IF(AND(Values_Entered,scheduled_no_payments&lt;&gt;1),B588+1,"")</f>
        <v>577</v>
      </c>
      <c r="C589" s="33">
        <f ca="1">IF(Pay_Num&lt;&gt;"",DATE(YEAR(C588)+VLOOKUP(Interval,LoanLookup[],4,FALSE),MONTH(C588)+VLOOKUP(Interval,LoanLookup[],2,FALSE),DAY(C588)+VLOOKUP(Interval,LoanLookup[],3,FALSE)),"")</f>
        <v>62400</v>
      </c>
      <c r="D589" s="34">
        <f t="shared" ca="1" si="29"/>
        <v>0</v>
      </c>
      <c r="E589" s="35">
        <f t="shared" ca="1" si="28"/>
        <v>989.93360882498609</v>
      </c>
      <c r="F589" s="36">
        <f ca="1">IF(scheduled_no_payments=1,"",IF(Sched_Pay+Scheduled_Extra_Payments&lt;Beg_Bal,Scheduled_Extra_Payments,IF(AND(Pay_Num&lt;&gt;"",Beg_Bal-Sched_Pay&gt;0),Beg_Bal-Sched_Pay,IF(Pay_Num&lt;&gt;"",0,""))))</f>
        <v>0</v>
      </c>
      <c r="G589" s="34">
        <f ca="1">IF(scheduled_no_payments=1,"",IF(Sched_Pay+Extra_Pay&lt;Beg_Bal,Sched_Pay+Extra_Pay,IF(Pay_Num&lt;&gt;"",Beg_Bal,"")))</f>
        <v>0</v>
      </c>
      <c r="H589" s="34">
        <f t="shared" ca="1" si="27"/>
        <v>0</v>
      </c>
      <c r="I589" s="34">
        <f ca="1">IF(Pay_Num&lt;&gt;"",Beg_Bal*(Interest_Rate/VLOOKUP(Interval,LoanLookup[],5,FALSE)),"")</f>
        <v>0</v>
      </c>
      <c r="J589" s="34">
        <f ca="1">IF(scheduled_no_payments=1,"",IF(AND(Pay_Num&lt;&gt;"",Sched_Pay+Extra_Pay&lt;Beg_Bal),Beg_Bal-Princ,IF(Pay_Num&lt;&gt;"",0,"")))</f>
        <v>0</v>
      </c>
      <c r="K589" s="34">
        <f ca="1">IF(scheduled_no_payments=1,"",SUM($I$13:$I589))</f>
        <v>87584.066117996466</v>
      </c>
      <c r="L589" s="38"/>
    </row>
    <row r="590" spans="2:12" ht="16.5" customHeight="1" x14ac:dyDescent="0.25">
      <c r="B590" s="32">
        <f ca="1">IF(AND(Values_Entered,scheduled_no_payments&lt;&gt;1),B589+1,"")</f>
        <v>578</v>
      </c>
      <c r="C590" s="33">
        <f ca="1">IF(Pay_Num&lt;&gt;"",DATE(YEAR(C589)+VLOOKUP(Interval,LoanLookup[],4,FALSE),MONTH(C589)+VLOOKUP(Interval,LoanLookup[],2,FALSE),DAY(C589)+VLOOKUP(Interval,LoanLookup[],3,FALSE)),"")</f>
        <v>62430</v>
      </c>
      <c r="D590" s="34">
        <f t="shared" ca="1" si="29"/>
        <v>0</v>
      </c>
      <c r="E590" s="35">
        <f t="shared" ca="1" si="28"/>
        <v>989.93360882498609</v>
      </c>
      <c r="F590" s="36">
        <f ca="1">IF(scheduled_no_payments=1,"",IF(Sched_Pay+Scheduled_Extra_Payments&lt;Beg_Bal,Scheduled_Extra_Payments,IF(AND(Pay_Num&lt;&gt;"",Beg_Bal-Sched_Pay&gt;0),Beg_Bal-Sched_Pay,IF(Pay_Num&lt;&gt;"",0,""))))</f>
        <v>0</v>
      </c>
      <c r="G590" s="34">
        <f ca="1">IF(scheduled_no_payments=1,"",IF(Sched_Pay+Extra_Pay&lt;Beg_Bal,Sched_Pay+Extra_Pay,IF(Pay_Num&lt;&gt;"",Beg_Bal,"")))</f>
        <v>0</v>
      </c>
      <c r="H590" s="34">
        <f t="shared" ref="H590:H653" ca="1" si="30">IF(Pay_Num&lt;&gt;"",Total_Pay-Int,"")</f>
        <v>0</v>
      </c>
      <c r="I590" s="34">
        <f ca="1">IF(Pay_Num&lt;&gt;"",Beg_Bal*(Interest_Rate/VLOOKUP(Interval,LoanLookup[],5,FALSE)),"")</f>
        <v>0</v>
      </c>
      <c r="J590" s="34">
        <f ca="1">IF(scheduled_no_payments=1,"",IF(AND(Pay_Num&lt;&gt;"",Sched_Pay+Extra_Pay&lt;Beg_Bal),Beg_Bal-Princ,IF(Pay_Num&lt;&gt;"",0,"")))</f>
        <v>0</v>
      </c>
      <c r="K590" s="34">
        <f ca="1">IF(scheduled_no_payments=1,"",SUM($I$13:$I590))</f>
        <v>87584.066117996466</v>
      </c>
      <c r="L590" s="38"/>
    </row>
    <row r="591" spans="2:12" ht="16.5" customHeight="1" x14ac:dyDescent="0.25">
      <c r="B591" s="32">
        <f ca="1">IF(AND(Values_Entered,scheduled_no_payments&lt;&gt;1),B590+1,"")</f>
        <v>579</v>
      </c>
      <c r="C591" s="33">
        <f ca="1">IF(Pay_Num&lt;&gt;"",DATE(YEAR(C590)+VLOOKUP(Interval,LoanLookup[],4,FALSE),MONTH(C590)+VLOOKUP(Interval,LoanLookup[],2,FALSE),DAY(C590)+VLOOKUP(Interval,LoanLookup[],3,FALSE)),"")</f>
        <v>62461</v>
      </c>
      <c r="D591" s="34">
        <f t="shared" ca="1" si="29"/>
        <v>0</v>
      </c>
      <c r="E591" s="35">
        <f t="shared" ref="E591:E654" ca="1" si="31">IF(Pay_Num&lt;&gt;"",Scheduled_Monthly_Payment,"")</f>
        <v>989.93360882498609</v>
      </c>
      <c r="F591" s="36">
        <f ca="1">IF(scheduled_no_payments=1,"",IF(Sched_Pay+Scheduled_Extra_Payments&lt;Beg_Bal,Scheduled_Extra_Payments,IF(AND(Pay_Num&lt;&gt;"",Beg_Bal-Sched_Pay&gt;0),Beg_Bal-Sched_Pay,IF(Pay_Num&lt;&gt;"",0,""))))</f>
        <v>0</v>
      </c>
      <c r="G591" s="34">
        <f ca="1">IF(scheduled_no_payments=1,"",IF(Sched_Pay+Extra_Pay&lt;Beg_Bal,Sched_Pay+Extra_Pay,IF(Pay_Num&lt;&gt;"",Beg_Bal,"")))</f>
        <v>0</v>
      </c>
      <c r="H591" s="34">
        <f t="shared" ca="1" si="30"/>
        <v>0</v>
      </c>
      <c r="I591" s="34">
        <f ca="1">IF(Pay_Num&lt;&gt;"",Beg_Bal*(Interest_Rate/VLOOKUP(Interval,LoanLookup[],5,FALSE)),"")</f>
        <v>0</v>
      </c>
      <c r="J591" s="34">
        <f ca="1">IF(scheduled_no_payments=1,"",IF(AND(Pay_Num&lt;&gt;"",Sched_Pay+Extra_Pay&lt;Beg_Bal),Beg_Bal-Princ,IF(Pay_Num&lt;&gt;"",0,"")))</f>
        <v>0</v>
      </c>
      <c r="K591" s="34">
        <f ca="1">IF(scheduled_no_payments=1,"",SUM($I$13:$I591))</f>
        <v>87584.066117996466</v>
      </c>
      <c r="L591" s="38"/>
    </row>
    <row r="592" spans="2:12" ht="16.5" customHeight="1" x14ac:dyDescent="0.25">
      <c r="B592" s="32">
        <f ca="1">IF(AND(Values_Entered,scheduled_no_payments&lt;&gt;1),B591+1,"")</f>
        <v>580</v>
      </c>
      <c r="C592" s="33">
        <f ca="1">IF(Pay_Num&lt;&gt;"",DATE(YEAR(C591)+VLOOKUP(Interval,LoanLookup[],4,FALSE),MONTH(C591)+VLOOKUP(Interval,LoanLookup[],2,FALSE),DAY(C591)+VLOOKUP(Interval,LoanLookup[],3,FALSE)),"")</f>
        <v>62492</v>
      </c>
      <c r="D592" s="34">
        <f t="shared" ca="1" si="29"/>
        <v>0</v>
      </c>
      <c r="E592" s="35">
        <f t="shared" ca="1" si="31"/>
        <v>989.93360882498609</v>
      </c>
      <c r="F592" s="36">
        <f ca="1">IF(scheduled_no_payments=1,"",IF(Sched_Pay+Scheduled_Extra_Payments&lt;Beg_Bal,Scheduled_Extra_Payments,IF(AND(Pay_Num&lt;&gt;"",Beg_Bal-Sched_Pay&gt;0),Beg_Bal-Sched_Pay,IF(Pay_Num&lt;&gt;"",0,""))))</f>
        <v>0</v>
      </c>
      <c r="G592" s="34">
        <f ca="1">IF(scheduled_no_payments=1,"",IF(Sched_Pay+Extra_Pay&lt;Beg_Bal,Sched_Pay+Extra_Pay,IF(Pay_Num&lt;&gt;"",Beg_Bal,"")))</f>
        <v>0</v>
      </c>
      <c r="H592" s="34">
        <f t="shared" ca="1" si="30"/>
        <v>0</v>
      </c>
      <c r="I592" s="34">
        <f ca="1">IF(Pay_Num&lt;&gt;"",Beg_Bal*(Interest_Rate/VLOOKUP(Interval,LoanLookup[],5,FALSE)),"")</f>
        <v>0</v>
      </c>
      <c r="J592" s="34">
        <f ca="1">IF(scheduled_no_payments=1,"",IF(AND(Pay_Num&lt;&gt;"",Sched_Pay+Extra_Pay&lt;Beg_Bal),Beg_Bal-Princ,IF(Pay_Num&lt;&gt;"",0,"")))</f>
        <v>0</v>
      </c>
      <c r="K592" s="34">
        <f ca="1">IF(scheduled_no_payments=1,"",SUM($I$13:$I592))</f>
        <v>87584.066117996466</v>
      </c>
      <c r="L592" s="38"/>
    </row>
    <row r="593" spans="2:12" ht="16.5" customHeight="1" x14ac:dyDescent="0.25">
      <c r="B593" s="32">
        <f ca="1">IF(AND(Values_Entered,scheduled_no_payments&lt;&gt;1),B592+1,"")</f>
        <v>581</v>
      </c>
      <c r="C593" s="33">
        <f ca="1">IF(Pay_Num&lt;&gt;"",DATE(YEAR(C592)+VLOOKUP(Interval,LoanLookup[],4,FALSE),MONTH(C592)+VLOOKUP(Interval,LoanLookup[],2,FALSE),DAY(C592)+VLOOKUP(Interval,LoanLookup[],3,FALSE)),"")</f>
        <v>62520</v>
      </c>
      <c r="D593" s="34">
        <f t="shared" ca="1" si="29"/>
        <v>0</v>
      </c>
      <c r="E593" s="35">
        <f t="shared" ca="1" si="31"/>
        <v>989.93360882498609</v>
      </c>
      <c r="F593" s="36">
        <f ca="1">IF(scheduled_no_payments=1,"",IF(Sched_Pay+Scheduled_Extra_Payments&lt;Beg_Bal,Scheduled_Extra_Payments,IF(AND(Pay_Num&lt;&gt;"",Beg_Bal-Sched_Pay&gt;0),Beg_Bal-Sched_Pay,IF(Pay_Num&lt;&gt;"",0,""))))</f>
        <v>0</v>
      </c>
      <c r="G593" s="34">
        <f ca="1">IF(scheduled_no_payments=1,"",IF(Sched_Pay+Extra_Pay&lt;Beg_Bal,Sched_Pay+Extra_Pay,IF(Pay_Num&lt;&gt;"",Beg_Bal,"")))</f>
        <v>0</v>
      </c>
      <c r="H593" s="34">
        <f t="shared" ca="1" si="30"/>
        <v>0</v>
      </c>
      <c r="I593" s="34">
        <f ca="1">IF(Pay_Num&lt;&gt;"",Beg_Bal*(Interest_Rate/VLOOKUP(Interval,LoanLookup[],5,FALSE)),"")</f>
        <v>0</v>
      </c>
      <c r="J593" s="34">
        <f ca="1">IF(scheduled_no_payments=1,"",IF(AND(Pay_Num&lt;&gt;"",Sched_Pay+Extra_Pay&lt;Beg_Bal),Beg_Bal-Princ,IF(Pay_Num&lt;&gt;"",0,"")))</f>
        <v>0</v>
      </c>
      <c r="K593" s="34">
        <f ca="1">IF(scheduled_no_payments=1,"",SUM($I$13:$I593))</f>
        <v>87584.066117996466</v>
      </c>
      <c r="L593" s="38"/>
    </row>
    <row r="594" spans="2:12" ht="16.5" customHeight="1" x14ac:dyDescent="0.25">
      <c r="B594" s="32">
        <f ca="1">IF(AND(Values_Entered,scheduled_no_payments&lt;&gt;1),B593+1,"")</f>
        <v>582</v>
      </c>
      <c r="C594" s="33">
        <f ca="1">IF(Pay_Num&lt;&gt;"",DATE(YEAR(C593)+VLOOKUP(Interval,LoanLookup[],4,FALSE),MONTH(C593)+VLOOKUP(Interval,LoanLookup[],2,FALSE),DAY(C593)+VLOOKUP(Interval,LoanLookup[],3,FALSE)),"")</f>
        <v>62551</v>
      </c>
      <c r="D594" s="34">
        <f t="shared" ca="1" si="29"/>
        <v>0</v>
      </c>
      <c r="E594" s="35">
        <f t="shared" ca="1" si="31"/>
        <v>989.93360882498609</v>
      </c>
      <c r="F594" s="36">
        <f ca="1">IF(scheduled_no_payments=1,"",IF(Sched_Pay+Scheduled_Extra_Payments&lt;Beg_Bal,Scheduled_Extra_Payments,IF(AND(Pay_Num&lt;&gt;"",Beg_Bal-Sched_Pay&gt;0),Beg_Bal-Sched_Pay,IF(Pay_Num&lt;&gt;"",0,""))))</f>
        <v>0</v>
      </c>
      <c r="G594" s="34">
        <f ca="1">IF(scheduled_no_payments=1,"",IF(Sched_Pay+Extra_Pay&lt;Beg_Bal,Sched_Pay+Extra_Pay,IF(Pay_Num&lt;&gt;"",Beg_Bal,"")))</f>
        <v>0</v>
      </c>
      <c r="H594" s="34">
        <f t="shared" ca="1" si="30"/>
        <v>0</v>
      </c>
      <c r="I594" s="34">
        <f ca="1">IF(Pay_Num&lt;&gt;"",Beg_Bal*(Interest_Rate/VLOOKUP(Interval,LoanLookup[],5,FALSE)),"")</f>
        <v>0</v>
      </c>
      <c r="J594" s="34">
        <f ca="1">IF(scheduled_no_payments=1,"",IF(AND(Pay_Num&lt;&gt;"",Sched_Pay+Extra_Pay&lt;Beg_Bal),Beg_Bal-Princ,IF(Pay_Num&lt;&gt;"",0,"")))</f>
        <v>0</v>
      </c>
      <c r="K594" s="34">
        <f ca="1">IF(scheduled_no_payments=1,"",SUM($I$13:$I594))</f>
        <v>87584.066117996466</v>
      </c>
      <c r="L594" s="38"/>
    </row>
    <row r="595" spans="2:12" ht="16.5" customHeight="1" x14ac:dyDescent="0.25">
      <c r="B595" s="32">
        <f ca="1">IF(AND(Values_Entered,scheduled_no_payments&lt;&gt;1),B594+1,"")</f>
        <v>583</v>
      </c>
      <c r="C595" s="33">
        <f ca="1">IF(Pay_Num&lt;&gt;"",DATE(YEAR(C594)+VLOOKUP(Interval,LoanLookup[],4,FALSE),MONTH(C594)+VLOOKUP(Interval,LoanLookup[],2,FALSE),DAY(C594)+VLOOKUP(Interval,LoanLookup[],3,FALSE)),"")</f>
        <v>62581</v>
      </c>
      <c r="D595" s="34">
        <f t="shared" ca="1" si="29"/>
        <v>0</v>
      </c>
      <c r="E595" s="35">
        <f t="shared" ca="1" si="31"/>
        <v>989.93360882498609</v>
      </c>
      <c r="F595" s="36">
        <f ca="1">IF(scheduled_no_payments=1,"",IF(Sched_Pay+Scheduled_Extra_Payments&lt;Beg_Bal,Scheduled_Extra_Payments,IF(AND(Pay_Num&lt;&gt;"",Beg_Bal-Sched_Pay&gt;0),Beg_Bal-Sched_Pay,IF(Pay_Num&lt;&gt;"",0,""))))</f>
        <v>0</v>
      </c>
      <c r="G595" s="34">
        <f ca="1">IF(scheduled_no_payments=1,"",IF(Sched_Pay+Extra_Pay&lt;Beg_Bal,Sched_Pay+Extra_Pay,IF(Pay_Num&lt;&gt;"",Beg_Bal,"")))</f>
        <v>0</v>
      </c>
      <c r="H595" s="34">
        <f t="shared" ca="1" si="30"/>
        <v>0</v>
      </c>
      <c r="I595" s="34">
        <f ca="1">IF(Pay_Num&lt;&gt;"",Beg_Bal*(Interest_Rate/VLOOKUP(Interval,LoanLookup[],5,FALSE)),"")</f>
        <v>0</v>
      </c>
      <c r="J595" s="34">
        <f ca="1">IF(scheduled_no_payments=1,"",IF(AND(Pay_Num&lt;&gt;"",Sched_Pay+Extra_Pay&lt;Beg_Bal),Beg_Bal-Princ,IF(Pay_Num&lt;&gt;"",0,"")))</f>
        <v>0</v>
      </c>
      <c r="K595" s="34">
        <f ca="1">IF(scheduled_no_payments=1,"",SUM($I$13:$I595))</f>
        <v>87584.066117996466</v>
      </c>
      <c r="L595" s="38"/>
    </row>
    <row r="596" spans="2:12" ht="16.5" customHeight="1" x14ac:dyDescent="0.25">
      <c r="B596" s="32">
        <f ca="1">IF(AND(Values_Entered,scheduled_no_payments&lt;&gt;1),B595+1,"")</f>
        <v>584</v>
      </c>
      <c r="C596" s="33">
        <f ca="1">IF(Pay_Num&lt;&gt;"",DATE(YEAR(C595)+VLOOKUP(Interval,LoanLookup[],4,FALSE),MONTH(C595)+VLOOKUP(Interval,LoanLookup[],2,FALSE),DAY(C595)+VLOOKUP(Interval,LoanLookup[],3,FALSE)),"")</f>
        <v>62612</v>
      </c>
      <c r="D596" s="34">
        <f t="shared" ca="1" si="29"/>
        <v>0</v>
      </c>
      <c r="E596" s="35">
        <f t="shared" ca="1" si="31"/>
        <v>989.93360882498609</v>
      </c>
      <c r="F596" s="36">
        <f ca="1">IF(scheduled_no_payments=1,"",IF(Sched_Pay+Scheduled_Extra_Payments&lt;Beg_Bal,Scheduled_Extra_Payments,IF(AND(Pay_Num&lt;&gt;"",Beg_Bal-Sched_Pay&gt;0),Beg_Bal-Sched_Pay,IF(Pay_Num&lt;&gt;"",0,""))))</f>
        <v>0</v>
      </c>
      <c r="G596" s="34">
        <f ca="1">IF(scheduled_no_payments=1,"",IF(Sched_Pay+Extra_Pay&lt;Beg_Bal,Sched_Pay+Extra_Pay,IF(Pay_Num&lt;&gt;"",Beg_Bal,"")))</f>
        <v>0</v>
      </c>
      <c r="H596" s="34">
        <f t="shared" ca="1" si="30"/>
        <v>0</v>
      </c>
      <c r="I596" s="34">
        <f ca="1">IF(Pay_Num&lt;&gt;"",Beg_Bal*(Interest_Rate/VLOOKUP(Interval,LoanLookup[],5,FALSE)),"")</f>
        <v>0</v>
      </c>
      <c r="J596" s="34">
        <f ca="1">IF(scheduled_no_payments=1,"",IF(AND(Pay_Num&lt;&gt;"",Sched_Pay+Extra_Pay&lt;Beg_Bal),Beg_Bal-Princ,IF(Pay_Num&lt;&gt;"",0,"")))</f>
        <v>0</v>
      </c>
      <c r="K596" s="34">
        <f ca="1">IF(scheduled_no_payments=1,"",SUM($I$13:$I596))</f>
        <v>87584.066117996466</v>
      </c>
      <c r="L596" s="38"/>
    </row>
    <row r="597" spans="2:12" ht="16.5" customHeight="1" x14ac:dyDescent="0.25">
      <c r="B597" s="32">
        <f ca="1">IF(AND(Values_Entered,scheduled_no_payments&lt;&gt;1),B596+1,"")</f>
        <v>585</v>
      </c>
      <c r="C597" s="33">
        <f ca="1">IF(Pay_Num&lt;&gt;"",DATE(YEAR(C596)+VLOOKUP(Interval,LoanLookup[],4,FALSE),MONTH(C596)+VLOOKUP(Interval,LoanLookup[],2,FALSE),DAY(C596)+VLOOKUP(Interval,LoanLookup[],3,FALSE)),"")</f>
        <v>62642</v>
      </c>
      <c r="D597" s="34">
        <f t="shared" ca="1" si="29"/>
        <v>0</v>
      </c>
      <c r="E597" s="35">
        <f t="shared" ca="1" si="31"/>
        <v>989.93360882498609</v>
      </c>
      <c r="F597" s="36">
        <f ca="1">IF(scheduled_no_payments=1,"",IF(Sched_Pay+Scheduled_Extra_Payments&lt;Beg_Bal,Scheduled_Extra_Payments,IF(AND(Pay_Num&lt;&gt;"",Beg_Bal-Sched_Pay&gt;0),Beg_Bal-Sched_Pay,IF(Pay_Num&lt;&gt;"",0,""))))</f>
        <v>0</v>
      </c>
      <c r="G597" s="34">
        <f ca="1">IF(scheduled_no_payments=1,"",IF(Sched_Pay+Extra_Pay&lt;Beg_Bal,Sched_Pay+Extra_Pay,IF(Pay_Num&lt;&gt;"",Beg_Bal,"")))</f>
        <v>0</v>
      </c>
      <c r="H597" s="34">
        <f t="shared" ca="1" si="30"/>
        <v>0</v>
      </c>
      <c r="I597" s="34">
        <f ca="1">IF(Pay_Num&lt;&gt;"",Beg_Bal*(Interest_Rate/VLOOKUP(Interval,LoanLookup[],5,FALSE)),"")</f>
        <v>0</v>
      </c>
      <c r="J597" s="34">
        <f ca="1">IF(scheduled_no_payments=1,"",IF(AND(Pay_Num&lt;&gt;"",Sched_Pay+Extra_Pay&lt;Beg_Bal),Beg_Bal-Princ,IF(Pay_Num&lt;&gt;"",0,"")))</f>
        <v>0</v>
      </c>
      <c r="K597" s="34">
        <f ca="1">IF(scheduled_no_payments=1,"",SUM($I$13:$I597))</f>
        <v>87584.066117996466</v>
      </c>
      <c r="L597" s="38"/>
    </row>
    <row r="598" spans="2:12" ht="16.5" customHeight="1" x14ac:dyDescent="0.25">
      <c r="B598" s="32">
        <f ca="1">IF(AND(Values_Entered,scheduled_no_payments&lt;&gt;1),B597+1,"")</f>
        <v>586</v>
      </c>
      <c r="C598" s="33">
        <f ca="1">IF(Pay_Num&lt;&gt;"",DATE(YEAR(C597)+VLOOKUP(Interval,LoanLookup[],4,FALSE),MONTH(C597)+VLOOKUP(Interval,LoanLookup[],2,FALSE),DAY(C597)+VLOOKUP(Interval,LoanLookup[],3,FALSE)),"")</f>
        <v>62673</v>
      </c>
      <c r="D598" s="34">
        <f t="shared" ca="1" si="29"/>
        <v>0</v>
      </c>
      <c r="E598" s="35">
        <f t="shared" ca="1" si="31"/>
        <v>989.93360882498609</v>
      </c>
      <c r="F598" s="36">
        <f ca="1">IF(scheduled_no_payments=1,"",IF(Sched_Pay+Scheduled_Extra_Payments&lt;Beg_Bal,Scheduled_Extra_Payments,IF(AND(Pay_Num&lt;&gt;"",Beg_Bal-Sched_Pay&gt;0),Beg_Bal-Sched_Pay,IF(Pay_Num&lt;&gt;"",0,""))))</f>
        <v>0</v>
      </c>
      <c r="G598" s="34">
        <f ca="1">IF(scheduled_no_payments=1,"",IF(Sched_Pay+Extra_Pay&lt;Beg_Bal,Sched_Pay+Extra_Pay,IF(Pay_Num&lt;&gt;"",Beg_Bal,"")))</f>
        <v>0</v>
      </c>
      <c r="H598" s="34">
        <f t="shared" ca="1" si="30"/>
        <v>0</v>
      </c>
      <c r="I598" s="34">
        <f ca="1">IF(Pay_Num&lt;&gt;"",Beg_Bal*(Interest_Rate/VLOOKUP(Interval,LoanLookup[],5,FALSE)),"")</f>
        <v>0</v>
      </c>
      <c r="J598" s="34">
        <f ca="1">IF(scheduled_no_payments=1,"",IF(AND(Pay_Num&lt;&gt;"",Sched_Pay+Extra_Pay&lt;Beg_Bal),Beg_Bal-Princ,IF(Pay_Num&lt;&gt;"",0,"")))</f>
        <v>0</v>
      </c>
      <c r="K598" s="34">
        <f ca="1">IF(scheduled_no_payments=1,"",SUM($I$13:$I598))</f>
        <v>87584.066117996466</v>
      </c>
      <c r="L598" s="38"/>
    </row>
    <row r="599" spans="2:12" ht="16.5" customHeight="1" x14ac:dyDescent="0.25">
      <c r="B599" s="32">
        <f ca="1">IF(AND(Values_Entered,scheduled_no_payments&lt;&gt;1),B598+1,"")</f>
        <v>587</v>
      </c>
      <c r="C599" s="33">
        <f ca="1">IF(Pay_Num&lt;&gt;"",DATE(YEAR(C598)+VLOOKUP(Interval,LoanLookup[],4,FALSE),MONTH(C598)+VLOOKUP(Interval,LoanLookup[],2,FALSE),DAY(C598)+VLOOKUP(Interval,LoanLookup[],3,FALSE)),"")</f>
        <v>62704</v>
      </c>
      <c r="D599" s="34">
        <f t="shared" ca="1" si="29"/>
        <v>0</v>
      </c>
      <c r="E599" s="35">
        <f t="shared" ca="1" si="31"/>
        <v>989.93360882498609</v>
      </c>
      <c r="F599" s="36">
        <f ca="1">IF(scheduled_no_payments=1,"",IF(Sched_Pay+Scheduled_Extra_Payments&lt;Beg_Bal,Scheduled_Extra_Payments,IF(AND(Pay_Num&lt;&gt;"",Beg_Bal-Sched_Pay&gt;0),Beg_Bal-Sched_Pay,IF(Pay_Num&lt;&gt;"",0,""))))</f>
        <v>0</v>
      </c>
      <c r="G599" s="34">
        <f ca="1">IF(scheduled_no_payments=1,"",IF(Sched_Pay+Extra_Pay&lt;Beg_Bal,Sched_Pay+Extra_Pay,IF(Pay_Num&lt;&gt;"",Beg_Bal,"")))</f>
        <v>0</v>
      </c>
      <c r="H599" s="34">
        <f t="shared" ca="1" si="30"/>
        <v>0</v>
      </c>
      <c r="I599" s="34">
        <f ca="1">IF(Pay_Num&lt;&gt;"",Beg_Bal*(Interest_Rate/VLOOKUP(Interval,LoanLookup[],5,FALSE)),"")</f>
        <v>0</v>
      </c>
      <c r="J599" s="34">
        <f ca="1">IF(scheduled_no_payments=1,"",IF(AND(Pay_Num&lt;&gt;"",Sched_Pay+Extra_Pay&lt;Beg_Bal),Beg_Bal-Princ,IF(Pay_Num&lt;&gt;"",0,"")))</f>
        <v>0</v>
      </c>
      <c r="K599" s="34">
        <f ca="1">IF(scheduled_no_payments=1,"",SUM($I$13:$I599))</f>
        <v>87584.066117996466</v>
      </c>
      <c r="L599" s="38"/>
    </row>
    <row r="600" spans="2:12" ht="16.5" customHeight="1" x14ac:dyDescent="0.25">
      <c r="B600" s="32">
        <f ca="1">IF(AND(Values_Entered,scheduled_no_payments&lt;&gt;1),B599+1,"")</f>
        <v>588</v>
      </c>
      <c r="C600" s="33">
        <f ca="1">IF(Pay_Num&lt;&gt;"",DATE(YEAR(C599)+VLOOKUP(Interval,LoanLookup[],4,FALSE),MONTH(C599)+VLOOKUP(Interval,LoanLookup[],2,FALSE),DAY(C599)+VLOOKUP(Interval,LoanLookup[],3,FALSE)),"")</f>
        <v>62734</v>
      </c>
      <c r="D600" s="34">
        <f t="shared" ca="1" si="29"/>
        <v>0</v>
      </c>
      <c r="E600" s="35">
        <f t="shared" ca="1" si="31"/>
        <v>989.93360882498609</v>
      </c>
      <c r="F600" s="36">
        <f ca="1">IF(scheduled_no_payments=1,"",IF(Sched_Pay+Scheduled_Extra_Payments&lt;Beg_Bal,Scheduled_Extra_Payments,IF(AND(Pay_Num&lt;&gt;"",Beg_Bal-Sched_Pay&gt;0),Beg_Bal-Sched_Pay,IF(Pay_Num&lt;&gt;"",0,""))))</f>
        <v>0</v>
      </c>
      <c r="G600" s="34">
        <f ca="1">IF(scheduled_no_payments=1,"",IF(Sched_Pay+Extra_Pay&lt;Beg_Bal,Sched_Pay+Extra_Pay,IF(Pay_Num&lt;&gt;"",Beg_Bal,"")))</f>
        <v>0</v>
      </c>
      <c r="H600" s="34">
        <f t="shared" ca="1" si="30"/>
        <v>0</v>
      </c>
      <c r="I600" s="34">
        <f ca="1">IF(Pay_Num&lt;&gt;"",Beg_Bal*(Interest_Rate/VLOOKUP(Interval,LoanLookup[],5,FALSE)),"")</f>
        <v>0</v>
      </c>
      <c r="J600" s="34">
        <f ca="1">IF(scheduled_no_payments=1,"",IF(AND(Pay_Num&lt;&gt;"",Sched_Pay+Extra_Pay&lt;Beg_Bal),Beg_Bal-Princ,IF(Pay_Num&lt;&gt;"",0,"")))</f>
        <v>0</v>
      </c>
      <c r="K600" s="34">
        <f ca="1">IF(scheduled_no_payments=1,"",SUM($I$13:$I600))</f>
        <v>87584.066117996466</v>
      </c>
      <c r="L600" s="38"/>
    </row>
    <row r="601" spans="2:12" ht="16.5" customHeight="1" x14ac:dyDescent="0.25">
      <c r="B601" s="32">
        <f ca="1">IF(AND(Values_Entered,scheduled_no_payments&lt;&gt;1),B600+1,"")</f>
        <v>589</v>
      </c>
      <c r="C601" s="33">
        <f ca="1">IF(Pay_Num&lt;&gt;"",DATE(YEAR(C600)+VLOOKUP(Interval,LoanLookup[],4,FALSE),MONTH(C600)+VLOOKUP(Interval,LoanLookup[],2,FALSE),DAY(C600)+VLOOKUP(Interval,LoanLookup[],3,FALSE)),"")</f>
        <v>62765</v>
      </c>
      <c r="D601" s="34">
        <f t="shared" ca="1" si="29"/>
        <v>0</v>
      </c>
      <c r="E601" s="35">
        <f t="shared" ca="1" si="31"/>
        <v>989.93360882498609</v>
      </c>
      <c r="F601" s="36">
        <f ca="1">IF(scheduled_no_payments=1,"",IF(Sched_Pay+Scheduled_Extra_Payments&lt;Beg_Bal,Scheduled_Extra_Payments,IF(AND(Pay_Num&lt;&gt;"",Beg_Bal-Sched_Pay&gt;0),Beg_Bal-Sched_Pay,IF(Pay_Num&lt;&gt;"",0,""))))</f>
        <v>0</v>
      </c>
      <c r="G601" s="34">
        <f ca="1">IF(scheduled_no_payments=1,"",IF(Sched_Pay+Extra_Pay&lt;Beg_Bal,Sched_Pay+Extra_Pay,IF(Pay_Num&lt;&gt;"",Beg_Bal,"")))</f>
        <v>0</v>
      </c>
      <c r="H601" s="34">
        <f t="shared" ca="1" si="30"/>
        <v>0</v>
      </c>
      <c r="I601" s="34">
        <f ca="1">IF(Pay_Num&lt;&gt;"",Beg_Bal*(Interest_Rate/VLOOKUP(Interval,LoanLookup[],5,FALSE)),"")</f>
        <v>0</v>
      </c>
      <c r="J601" s="34">
        <f ca="1">IF(scheduled_no_payments=1,"",IF(AND(Pay_Num&lt;&gt;"",Sched_Pay+Extra_Pay&lt;Beg_Bal),Beg_Bal-Princ,IF(Pay_Num&lt;&gt;"",0,"")))</f>
        <v>0</v>
      </c>
      <c r="K601" s="34">
        <f ca="1">IF(scheduled_no_payments=1,"",SUM($I$13:$I601))</f>
        <v>87584.066117996466</v>
      </c>
      <c r="L601" s="38"/>
    </row>
    <row r="602" spans="2:12" ht="16.5" customHeight="1" x14ac:dyDescent="0.25">
      <c r="B602" s="32">
        <f ca="1">IF(AND(Values_Entered,scheduled_no_payments&lt;&gt;1),B601+1,"")</f>
        <v>590</v>
      </c>
      <c r="C602" s="33">
        <f ca="1">IF(Pay_Num&lt;&gt;"",DATE(YEAR(C601)+VLOOKUP(Interval,LoanLookup[],4,FALSE),MONTH(C601)+VLOOKUP(Interval,LoanLookup[],2,FALSE),DAY(C601)+VLOOKUP(Interval,LoanLookup[],3,FALSE)),"")</f>
        <v>62795</v>
      </c>
      <c r="D602" s="34">
        <f t="shared" ca="1" si="29"/>
        <v>0</v>
      </c>
      <c r="E602" s="35">
        <f t="shared" ca="1" si="31"/>
        <v>989.93360882498609</v>
      </c>
      <c r="F602" s="36">
        <f ca="1">IF(scheduled_no_payments=1,"",IF(Sched_Pay+Scheduled_Extra_Payments&lt;Beg_Bal,Scheduled_Extra_Payments,IF(AND(Pay_Num&lt;&gt;"",Beg_Bal-Sched_Pay&gt;0),Beg_Bal-Sched_Pay,IF(Pay_Num&lt;&gt;"",0,""))))</f>
        <v>0</v>
      </c>
      <c r="G602" s="34">
        <f ca="1">IF(scheduled_no_payments=1,"",IF(Sched_Pay+Extra_Pay&lt;Beg_Bal,Sched_Pay+Extra_Pay,IF(Pay_Num&lt;&gt;"",Beg_Bal,"")))</f>
        <v>0</v>
      </c>
      <c r="H602" s="34">
        <f t="shared" ca="1" si="30"/>
        <v>0</v>
      </c>
      <c r="I602" s="34">
        <f ca="1">IF(Pay_Num&lt;&gt;"",Beg_Bal*(Interest_Rate/VLOOKUP(Interval,LoanLookup[],5,FALSE)),"")</f>
        <v>0</v>
      </c>
      <c r="J602" s="34">
        <f ca="1">IF(scheduled_no_payments=1,"",IF(AND(Pay_Num&lt;&gt;"",Sched_Pay+Extra_Pay&lt;Beg_Bal),Beg_Bal-Princ,IF(Pay_Num&lt;&gt;"",0,"")))</f>
        <v>0</v>
      </c>
      <c r="K602" s="34">
        <f ca="1">IF(scheduled_no_payments=1,"",SUM($I$13:$I602))</f>
        <v>87584.066117996466</v>
      </c>
      <c r="L602" s="38"/>
    </row>
    <row r="603" spans="2:12" ht="16.5" customHeight="1" x14ac:dyDescent="0.25">
      <c r="B603" s="32">
        <f ca="1">IF(AND(Values_Entered,scheduled_no_payments&lt;&gt;1),B602+1,"")</f>
        <v>591</v>
      </c>
      <c r="C603" s="33">
        <f ca="1">IF(Pay_Num&lt;&gt;"",DATE(YEAR(C602)+VLOOKUP(Interval,LoanLookup[],4,FALSE),MONTH(C602)+VLOOKUP(Interval,LoanLookup[],2,FALSE),DAY(C602)+VLOOKUP(Interval,LoanLookup[],3,FALSE)),"")</f>
        <v>62826</v>
      </c>
      <c r="D603" s="34">
        <f t="shared" ca="1" si="29"/>
        <v>0</v>
      </c>
      <c r="E603" s="35">
        <f t="shared" ca="1" si="31"/>
        <v>989.93360882498609</v>
      </c>
      <c r="F603" s="36">
        <f ca="1">IF(scheduled_no_payments=1,"",IF(Sched_Pay+Scheduled_Extra_Payments&lt;Beg_Bal,Scheduled_Extra_Payments,IF(AND(Pay_Num&lt;&gt;"",Beg_Bal-Sched_Pay&gt;0),Beg_Bal-Sched_Pay,IF(Pay_Num&lt;&gt;"",0,""))))</f>
        <v>0</v>
      </c>
      <c r="G603" s="34">
        <f ca="1">IF(scheduled_no_payments=1,"",IF(Sched_Pay+Extra_Pay&lt;Beg_Bal,Sched_Pay+Extra_Pay,IF(Pay_Num&lt;&gt;"",Beg_Bal,"")))</f>
        <v>0</v>
      </c>
      <c r="H603" s="34">
        <f t="shared" ca="1" si="30"/>
        <v>0</v>
      </c>
      <c r="I603" s="34">
        <f ca="1">IF(Pay_Num&lt;&gt;"",Beg_Bal*(Interest_Rate/VLOOKUP(Interval,LoanLookup[],5,FALSE)),"")</f>
        <v>0</v>
      </c>
      <c r="J603" s="34">
        <f ca="1">IF(scheduled_no_payments=1,"",IF(AND(Pay_Num&lt;&gt;"",Sched_Pay+Extra_Pay&lt;Beg_Bal),Beg_Bal-Princ,IF(Pay_Num&lt;&gt;"",0,"")))</f>
        <v>0</v>
      </c>
      <c r="K603" s="34">
        <f ca="1">IF(scheduled_no_payments=1,"",SUM($I$13:$I603))</f>
        <v>87584.066117996466</v>
      </c>
      <c r="L603" s="38"/>
    </row>
    <row r="604" spans="2:12" ht="16.5" customHeight="1" x14ac:dyDescent="0.25">
      <c r="B604" s="32">
        <f ca="1">IF(AND(Values_Entered,scheduled_no_payments&lt;&gt;1),B603+1,"")</f>
        <v>592</v>
      </c>
      <c r="C604" s="33">
        <f ca="1">IF(Pay_Num&lt;&gt;"",DATE(YEAR(C603)+VLOOKUP(Interval,LoanLookup[],4,FALSE),MONTH(C603)+VLOOKUP(Interval,LoanLookup[],2,FALSE),DAY(C603)+VLOOKUP(Interval,LoanLookup[],3,FALSE)),"")</f>
        <v>62857</v>
      </c>
      <c r="D604" s="34">
        <f t="shared" ca="1" si="29"/>
        <v>0</v>
      </c>
      <c r="E604" s="35">
        <f t="shared" ca="1" si="31"/>
        <v>989.93360882498609</v>
      </c>
      <c r="F604" s="36">
        <f ca="1">IF(scheduled_no_payments=1,"",IF(Sched_Pay+Scheduled_Extra_Payments&lt;Beg_Bal,Scheduled_Extra_Payments,IF(AND(Pay_Num&lt;&gt;"",Beg_Bal-Sched_Pay&gt;0),Beg_Bal-Sched_Pay,IF(Pay_Num&lt;&gt;"",0,""))))</f>
        <v>0</v>
      </c>
      <c r="G604" s="34">
        <f ca="1">IF(scheduled_no_payments=1,"",IF(Sched_Pay+Extra_Pay&lt;Beg_Bal,Sched_Pay+Extra_Pay,IF(Pay_Num&lt;&gt;"",Beg_Bal,"")))</f>
        <v>0</v>
      </c>
      <c r="H604" s="34">
        <f t="shared" ca="1" si="30"/>
        <v>0</v>
      </c>
      <c r="I604" s="34">
        <f ca="1">IF(Pay_Num&lt;&gt;"",Beg_Bal*(Interest_Rate/VLOOKUP(Interval,LoanLookup[],5,FALSE)),"")</f>
        <v>0</v>
      </c>
      <c r="J604" s="34">
        <f ca="1">IF(scheduled_no_payments=1,"",IF(AND(Pay_Num&lt;&gt;"",Sched_Pay+Extra_Pay&lt;Beg_Bal),Beg_Bal-Princ,IF(Pay_Num&lt;&gt;"",0,"")))</f>
        <v>0</v>
      </c>
      <c r="K604" s="34">
        <f ca="1">IF(scheduled_no_payments=1,"",SUM($I$13:$I604))</f>
        <v>87584.066117996466</v>
      </c>
      <c r="L604" s="38"/>
    </row>
    <row r="605" spans="2:12" ht="16.5" customHeight="1" x14ac:dyDescent="0.25">
      <c r="B605" s="32">
        <f ca="1">IF(AND(Values_Entered,scheduled_no_payments&lt;&gt;1),B604+1,"")</f>
        <v>593</v>
      </c>
      <c r="C605" s="33">
        <f ca="1">IF(Pay_Num&lt;&gt;"",DATE(YEAR(C604)+VLOOKUP(Interval,LoanLookup[],4,FALSE),MONTH(C604)+VLOOKUP(Interval,LoanLookup[],2,FALSE),DAY(C604)+VLOOKUP(Interval,LoanLookup[],3,FALSE)),"")</f>
        <v>62886</v>
      </c>
      <c r="D605" s="34">
        <f t="shared" ca="1" si="29"/>
        <v>0</v>
      </c>
      <c r="E605" s="35">
        <f t="shared" ca="1" si="31"/>
        <v>989.93360882498609</v>
      </c>
      <c r="F605" s="36">
        <f ca="1">IF(scheduled_no_payments=1,"",IF(Sched_Pay+Scheduled_Extra_Payments&lt;Beg_Bal,Scheduled_Extra_Payments,IF(AND(Pay_Num&lt;&gt;"",Beg_Bal-Sched_Pay&gt;0),Beg_Bal-Sched_Pay,IF(Pay_Num&lt;&gt;"",0,""))))</f>
        <v>0</v>
      </c>
      <c r="G605" s="34">
        <f ca="1">IF(scheduled_no_payments=1,"",IF(Sched_Pay+Extra_Pay&lt;Beg_Bal,Sched_Pay+Extra_Pay,IF(Pay_Num&lt;&gt;"",Beg_Bal,"")))</f>
        <v>0</v>
      </c>
      <c r="H605" s="34">
        <f t="shared" ca="1" si="30"/>
        <v>0</v>
      </c>
      <c r="I605" s="34">
        <f ca="1">IF(Pay_Num&lt;&gt;"",Beg_Bal*(Interest_Rate/VLOOKUP(Interval,LoanLookup[],5,FALSE)),"")</f>
        <v>0</v>
      </c>
      <c r="J605" s="34">
        <f ca="1">IF(scheduled_no_payments=1,"",IF(AND(Pay_Num&lt;&gt;"",Sched_Pay+Extra_Pay&lt;Beg_Bal),Beg_Bal-Princ,IF(Pay_Num&lt;&gt;"",0,"")))</f>
        <v>0</v>
      </c>
      <c r="K605" s="34">
        <f ca="1">IF(scheduled_no_payments=1,"",SUM($I$13:$I605))</f>
        <v>87584.066117996466</v>
      </c>
      <c r="L605" s="38"/>
    </row>
    <row r="606" spans="2:12" ht="16.5" customHeight="1" x14ac:dyDescent="0.25">
      <c r="B606" s="32">
        <f ca="1">IF(AND(Values_Entered,scheduled_no_payments&lt;&gt;1),B605+1,"")</f>
        <v>594</v>
      </c>
      <c r="C606" s="33">
        <f ca="1">IF(Pay_Num&lt;&gt;"",DATE(YEAR(C605)+VLOOKUP(Interval,LoanLookup[],4,FALSE),MONTH(C605)+VLOOKUP(Interval,LoanLookup[],2,FALSE),DAY(C605)+VLOOKUP(Interval,LoanLookup[],3,FALSE)),"")</f>
        <v>62917</v>
      </c>
      <c r="D606" s="34">
        <f t="shared" ca="1" si="29"/>
        <v>0</v>
      </c>
      <c r="E606" s="35">
        <f t="shared" ca="1" si="31"/>
        <v>989.93360882498609</v>
      </c>
      <c r="F606" s="36">
        <f ca="1">IF(scheduled_no_payments=1,"",IF(Sched_Pay+Scheduled_Extra_Payments&lt;Beg_Bal,Scheduled_Extra_Payments,IF(AND(Pay_Num&lt;&gt;"",Beg_Bal-Sched_Pay&gt;0),Beg_Bal-Sched_Pay,IF(Pay_Num&lt;&gt;"",0,""))))</f>
        <v>0</v>
      </c>
      <c r="G606" s="34">
        <f ca="1">IF(scheduled_no_payments=1,"",IF(Sched_Pay+Extra_Pay&lt;Beg_Bal,Sched_Pay+Extra_Pay,IF(Pay_Num&lt;&gt;"",Beg_Bal,"")))</f>
        <v>0</v>
      </c>
      <c r="H606" s="34">
        <f t="shared" ca="1" si="30"/>
        <v>0</v>
      </c>
      <c r="I606" s="34">
        <f ca="1">IF(Pay_Num&lt;&gt;"",Beg_Bal*(Interest_Rate/VLOOKUP(Interval,LoanLookup[],5,FALSE)),"")</f>
        <v>0</v>
      </c>
      <c r="J606" s="34">
        <f ca="1">IF(scheduled_no_payments=1,"",IF(AND(Pay_Num&lt;&gt;"",Sched_Pay+Extra_Pay&lt;Beg_Bal),Beg_Bal-Princ,IF(Pay_Num&lt;&gt;"",0,"")))</f>
        <v>0</v>
      </c>
      <c r="K606" s="34">
        <f ca="1">IF(scheduled_no_payments=1,"",SUM($I$13:$I606))</f>
        <v>87584.066117996466</v>
      </c>
      <c r="L606" s="38"/>
    </row>
    <row r="607" spans="2:12" ht="16.5" customHeight="1" x14ac:dyDescent="0.25">
      <c r="B607" s="32">
        <f ca="1">IF(AND(Values_Entered,scheduled_no_payments&lt;&gt;1),B606+1,"")</f>
        <v>595</v>
      </c>
      <c r="C607" s="33">
        <f ca="1">IF(Pay_Num&lt;&gt;"",DATE(YEAR(C606)+VLOOKUP(Interval,LoanLookup[],4,FALSE),MONTH(C606)+VLOOKUP(Interval,LoanLookup[],2,FALSE),DAY(C606)+VLOOKUP(Interval,LoanLookup[],3,FALSE)),"")</f>
        <v>62947</v>
      </c>
      <c r="D607" s="34">
        <f t="shared" ca="1" si="29"/>
        <v>0</v>
      </c>
      <c r="E607" s="35">
        <f t="shared" ca="1" si="31"/>
        <v>989.93360882498609</v>
      </c>
      <c r="F607" s="36">
        <f ca="1">IF(scheduled_no_payments=1,"",IF(Sched_Pay+Scheduled_Extra_Payments&lt;Beg_Bal,Scheduled_Extra_Payments,IF(AND(Pay_Num&lt;&gt;"",Beg_Bal-Sched_Pay&gt;0),Beg_Bal-Sched_Pay,IF(Pay_Num&lt;&gt;"",0,""))))</f>
        <v>0</v>
      </c>
      <c r="G607" s="34">
        <f ca="1">IF(scheduled_no_payments=1,"",IF(Sched_Pay+Extra_Pay&lt;Beg_Bal,Sched_Pay+Extra_Pay,IF(Pay_Num&lt;&gt;"",Beg_Bal,"")))</f>
        <v>0</v>
      </c>
      <c r="H607" s="34">
        <f t="shared" ca="1" si="30"/>
        <v>0</v>
      </c>
      <c r="I607" s="34">
        <f ca="1">IF(Pay_Num&lt;&gt;"",Beg_Bal*(Interest_Rate/VLOOKUP(Interval,LoanLookup[],5,FALSE)),"")</f>
        <v>0</v>
      </c>
      <c r="J607" s="34">
        <f ca="1">IF(scheduled_no_payments=1,"",IF(AND(Pay_Num&lt;&gt;"",Sched_Pay+Extra_Pay&lt;Beg_Bal),Beg_Bal-Princ,IF(Pay_Num&lt;&gt;"",0,"")))</f>
        <v>0</v>
      </c>
      <c r="K607" s="34">
        <f ca="1">IF(scheduled_no_payments=1,"",SUM($I$13:$I607))</f>
        <v>87584.066117996466</v>
      </c>
      <c r="L607" s="38"/>
    </row>
    <row r="608" spans="2:12" ht="16.5" customHeight="1" x14ac:dyDescent="0.25">
      <c r="B608" s="32">
        <f ca="1">IF(AND(Values_Entered,scheduled_no_payments&lt;&gt;1),B607+1,"")</f>
        <v>596</v>
      </c>
      <c r="C608" s="33">
        <f ca="1">IF(Pay_Num&lt;&gt;"",DATE(YEAR(C607)+VLOOKUP(Interval,LoanLookup[],4,FALSE),MONTH(C607)+VLOOKUP(Interval,LoanLookup[],2,FALSE),DAY(C607)+VLOOKUP(Interval,LoanLookup[],3,FALSE)),"")</f>
        <v>62978</v>
      </c>
      <c r="D608" s="34">
        <f t="shared" ca="1" si="29"/>
        <v>0</v>
      </c>
      <c r="E608" s="35">
        <f t="shared" ca="1" si="31"/>
        <v>989.93360882498609</v>
      </c>
      <c r="F608" s="36">
        <f ca="1">IF(scheduled_no_payments=1,"",IF(Sched_Pay+Scheduled_Extra_Payments&lt;Beg_Bal,Scheduled_Extra_Payments,IF(AND(Pay_Num&lt;&gt;"",Beg_Bal-Sched_Pay&gt;0),Beg_Bal-Sched_Pay,IF(Pay_Num&lt;&gt;"",0,""))))</f>
        <v>0</v>
      </c>
      <c r="G608" s="34">
        <f ca="1">IF(scheduled_no_payments=1,"",IF(Sched_Pay+Extra_Pay&lt;Beg_Bal,Sched_Pay+Extra_Pay,IF(Pay_Num&lt;&gt;"",Beg_Bal,"")))</f>
        <v>0</v>
      </c>
      <c r="H608" s="34">
        <f t="shared" ca="1" si="30"/>
        <v>0</v>
      </c>
      <c r="I608" s="34">
        <f ca="1">IF(Pay_Num&lt;&gt;"",Beg_Bal*(Interest_Rate/VLOOKUP(Interval,LoanLookup[],5,FALSE)),"")</f>
        <v>0</v>
      </c>
      <c r="J608" s="34">
        <f ca="1">IF(scheduled_no_payments=1,"",IF(AND(Pay_Num&lt;&gt;"",Sched_Pay+Extra_Pay&lt;Beg_Bal),Beg_Bal-Princ,IF(Pay_Num&lt;&gt;"",0,"")))</f>
        <v>0</v>
      </c>
      <c r="K608" s="34">
        <f ca="1">IF(scheduled_no_payments=1,"",SUM($I$13:$I608))</f>
        <v>87584.066117996466</v>
      </c>
      <c r="L608" s="38"/>
    </row>
    <row r="609" spans="2:12" ht="16.5" customHeight="1" x14ac:dyDescent="0.25">
      <c r="B609" s="32">
        <f ca="1">IF(AND(Values_Entered,scheduled_no_payments&lt;&gt;1),B608+1,"")</f>
        <v>597</v>
      </c>
      <c r="C609" s="33">
        <f ca="1">IF(Pay_Num&lt;&gt;"",DATE(YEAR(C608)+VLOOKUP(Interval,LoanLookup[],4,FALSE),MONTH(C608)+VLOOKUP(Interval,LoanLookup[],2,FALSE),DAY(C608)+VLOOKUP(Interval,LoanLookup[],3,FALSE)),"")</f>
        <v>63008</v>
      </c>
      <c r="D609" s="34">
        <f t="shared" ca="1" si="29"/>
        <v>0</v>
      </c>
      <c r="E609" s="35">
        <f t="shared" ca="1" si="31"/>
        <v>989.93360882498609</v>
      </c>
      <c r="F609" s="36">
        <f ca="1">IF(scheduled_no_payments=1,"",IF(Sched_Pay+Scheduled_Extra_Payments&lt;Beg_Bal,Scheduled_Extra_Payments,IF(AND(Pay_Num&lt;&gt;"",Beg_Bal-Sched_Pay&gt;0),Beg_Bal-Sched_Pay,IF(Pay_Num&lt;&gt;"",0,""))))</f>
        <v>0</v>
      </c>
      <c r="G609" s="34">
        <f ca="1">IF(scheduled_no_payments=1,"",IF(Sched_Pay+Extra_Pay&lt;Beg_Bal,Sched_Pay+Extra_Pay,IF(Pay_Num&lt;&gt;"",Beg_Bal,"")))</f>
        <v>0</v>
      </c>
      <c r="H609" s="34">
        <f t="shared" ca="1" si="30"/>
        <v>0</v>
      </c>
      <c r="I609" s="34">
        <f ca="1">IF(Pay_Num&lt;&gt;"",Beg_Bal*(Interest_Rate/VLOOKUP(Interval,LoanLookup[],5,FALSE)),"")</f>
        <v>0</v>
      </c>
      <c r="J609" s="34">
        <f ca="1">IF(scheduled_no_payments=1,"",IF(AND(Pay_Num&lt;&gt;"",Sched_Pay+Extra_Pay&lt;Beg_Bal),Beg_Bal-Princ,IF(Pay_Num&lt;&gt;"",0,"")))</f>
        <v>0</v>
      </c>
      <c r="K609" s="34">
        <f ca="1">IF(scheduled_no_payments=1,"",SUM($I$13:$I609))</f>
        <v>87584.066117996466</v>
      </c>
      <c r="L609" s="38"/>
    </row>
    <row r="610" spans="2:12" ht="16.5" customHeight="1" x14ac:dyDescent="0.25">
      <c r="B610" s="32">
        <f ca="1">IF(AND(Values_Entered,scheduled_no_payments&lt;&gt;1),B609+1,"")</f>
        <v>598</v>
      </c>
      <c r="C610" s="33">
        <f ca="1">IF(Pay_Num&lt;&gt;"",DATE(YEAR(C609)+VLOOKUP(Interval,LoanLookup[],4,FALSE),MONTH(C609)+VLOOKUP(Interval,LoanLookup[],2,FALSE),DAY(C609)+VLOOKUP(Interval,LoanLookup[],3,FALSE)),"")</f>
        <v>63039</v>
      </c>
      <c r="D610" s="34">
        <f t="shared" ca="1" si="29"/>
        <v>0</v>
      </c>
      <c r="E610" s="35">
        <f t="shared" ca="1" si="31"/>
        <v>989.93360882498609</v>
      </c>
      <c r="F610" s="36">
        <f ca="1">IF(scheduled_no_payments=1,"",IF(Sched_Pay+Scheduled_Extra_Payments&lt;Beg_Bal,Scheduled_Extra_Payments,IF(AND(Pay_Num&lt;&gt;"",Beg_Bal-Sched_Pay&gt;0),Beg_Bal-Sched_Pay,IF(Pay_Num&lt;&gt;"",0,""))))</f>
        <v>0</v>
      </c>
      <c r="G610" s="34">
        <f ca="1">IF(scheduled_no_payments=1,"",IF(Sched_Pay+Extra_Pay&lt;Beg_Bal,Sched_Pay+Extra_Pay,IF(Pay_Num&lt;&gt;"",Beg_Bal,"")))</f>
        <v>0</v>
      </c>
      <c r="H610" s="34">
        <f t="shared" ca="1" si="30"/>
        <v>0</v>
      </c>
      <c r="I610" s="34">
        <f ca="1">IF(Pay_Num&lt;&gt;"",Beg_Bal*(Interest_Rate/VLOOKUP(Interval,LoanLookup[],5,FALSE)),"")</f>
        <v>0</v>
      </c>
      <c r="J610" s="34">
        <f ca="1">IF(scheduled_no_payments=1,"",IF(AND(Pay_Num&lt;&gt;"",Sched_Pay+Extra_Pay&lt;Beg_Bal),Beg_Bal-Princ,IF(Pay_Num&lt;&gt;"",0,"")))</f>
        <v>0</v>
      </c>
      <c r="K610" s="34">
        <f ca="1">IF(scheduled_no_payments=1,"",SUM($I$13:$I610))</f>
        <v>87584.066117996466</v>
      </c>
      <c r="L610" s="38"/>
    </row>
    <row r="611" spans="2:12" ht="16.5" customHeight="1" x14ac:dyDescent="0.25">
      <c r="B611" s="32">
        <f ca="1">IF(AND(Values_Entered,scheduled_no_payments&lt;&gt;1),B610+1,"")</f>
        <v>599</v>
      </c>
      <c r="C611" s="33">
        <f ca="1">IF(Pay_Num&lt;&gt;"",DATE(YEAR(C610)+VLOOKUP(Interval,LoanLookup[],4,FALSE),MONTH(C610)+VLOOKUP(Interval,LoanLookup[],2,FALSE),DAY(C610)+VLOOKUP(Interval,LoanLookup[],3,FALSE)),"")</f>
        <v>63070</v>
      </c>
      <c r="D611" s="34">
        <f t="shared" ca="1" si="29"/>
        <v>0</v>
      </c>
      <c r="E611" s="35">
        <f t="shared" ca="1" si="31"/>
        <v>989.93360882498609</v>
      </c>
      <c r="F611" s="36">
        <f ca="1">IF(scheduled_no_payments=1,"",IF(Sched_Pay+Scheduled_Extra_Payments&lt;Beg_Bal,Scheduled_Extra_Payments,IF(AND(Pay_Num&lt;&gt;"",Beg_Bal-Sched_Pay&gt;0),Beg_Bal-Sched_Pay,IF(Pay_Num&lt;&gt;"",0,""))))</f>
        <v>0</v>
      </c>
      <c r="G611" s="34">
        <f ca="1">IF(scheduled_no_payments=1,"",IF(Sched_Pay+Extra_Pay&lt;Beg_Bal,Sched_Pay+Extra_Pay,IF(Pay_Num&lt;&gt;"",Beg_Bal,"")))</f>
        <v>0</v>
      </c>
      <c r="H611" s="34">
        <f t="shared" ca="1" si="30"/>
        <v>0</v>
      </c>
      <c r="I611" s="34">
        <f ca="1">IF(Pay_Num&lt;&gt;"",Beg_Bal*(Interest_Rate/VLOOKUP(Interval,LoanLookup[],5,FALSE)),"")</f>
        <v>0</v>
      </c>
      <c r="J611" s="34">
        <f ca="1">IF(scheduled_no_payments=1,"",IF(AND(Pay_Num&lt;&gt;"",Sched_Pay+Extra_Pay&lt;Beg_Bal),Beg_Bal-Princ,IF(Pay_Num&lt;&gt;"",0,"")))</f>
        <v>0</v>
      </c>
      <c r="K611" s="34">
        <f ca="1">IF(scheduled_no_payments=1,"",SUM($I$13:$I611))</f>
        <v>87584.066117996466</v>
      </c>
      <c r="L611" s="38"/>
    </row>
    <row r="612" spans="2:12" ht="16.5" customHeight="1" x14ac:dyDescent="0.25">
      <c r="B612" s="32">
        <f ca="1">IF(AND(Values_Entered,scheduled_no_payments&lt;&gt;1),B611+1,"")</f>
        <v>600</v>
      </c>
      <c r="C612" s="33">
        <f ca="1">IF(Pay_Num&lt;&gt;"",DATE(YEAR(C611)+VLOOKUP(Interval,LoanLookup[],4,FALSE),MONTH(C611)+VLOOKUP(Interval,LoanLookup[],2,FALSE),DAY(C611)+VLOOKUP(Interval,LoanLookup[],3,FALSE)),"")</f>
        <v>63100</v>
      </c>
      <c r="D612" s="34">
        <f t="shared" ca="1" si="29"/>
        <v>0</v>
      </c>
      <c r="E612" s="35">
        <f t="shared" ca="1" si="31"/>
        <v>989.93360882498609</v>
      </c>
      <c r="F612" s="36">
        <f ca="1">IF(scheduled_no_payments=1,"",IF(Sched_Pay+Scheduled_Extra_Payments&lt;Beg_Bal,Scheduled_Extra_Payments,IF(AND(Pay_Num&lt;&gt;"",Beg_Bal-Sched_Pay&gt;0),Beg_Bal-Sched_Pay,IF(Pay_Num&lt;&gt;"",0,""))))</f>
        <v>0</v>
      </c>
      <c r="G612" s="34">
        <f ca="1">IF(scheduled_no_payments=1,"",IF(Sched_Pay+Extra_Pay&lt;Beg_Bal,Sched_Pay+Extra_Pay,IF(Pay_Num&lt;&gt;"",Beg_Bal,"")))</f>
        <v>0</v>
      </c>
      <c r="H612" s="34">
        <f t="shared" ca="1" si="30"/>
        <v>0</v>
      </c>
      <c r="I612" s="34">
        <f ca="1">IF(Pay_Num&lt;&gt;"",Beg_Bal*(Interest_Rate/VLOOKUP(Interval,LoanLookup[],5,FALSE)),"")</f>
        <v>0</v>
      </c>
      <c r="J612" s="34">
        <f ca="1">IF(scheduled_no_payments=1,"",IF(AND(Pay_Num&lt;&gt;"",Sched_Pay+Extra_Pay&lt;Beg_Bal),Beg_Bal-Princ,IF(Pay_Num&lt;&gt;"",0,"")))</f>
        <v>0</v>
      </c>
      <c r="K612" s="34">
        <f ca="1">IF(scheduled_no_payments=1,"",SUM($I$13:$I612))</f>
        <v>87584.066117996466</v>
      </c>
      <c r="L612" s="38"/>
    </row>
    <row r="613" spans="2:12" ht="16.5" customHeight="1" x14ac:dyDescent="0.25">
      <c r="B613" s="32">
        <f ca="1">IF(AND(Values_Entered,scheduled_no_payments&lt;&gt;1),B612+1,"")</f>
        <v>601</v>
      </c>
      <c r="C613" s="33">
        <f ca="1">IF(Pay_Num&lt;&gt;"",DATE(YEAR(C612)+VLOOKUP(Interval,LoanLookup[],4,FALSE),MONTH(C612)+VLOOKUP(Interval,LoanLookup[],2,FALSE),DAY(C612)+VLOOKUP(Interval,LoanLookup[],3,FALSE)),"")</f>
        <v>63131</v>
      </c>
      <c r="D613" s="34">
        <f t="shared" ca="1" si="29"/>
        <v>0</v>
      </c>
      <c r="E613" s="35">
        <f t="shared" ca="1" si="31"/>
        <v>989.93360882498609</v>
      </c>
      <c r="F613" s="36">
        <f ca="1">IF(scheduled_no_payments=1,"",IF(Sched_Pay+Scheduled_Extra_Payments&lt;Beg_Bal,Scheduled_Extra_Payments,IF(AND(Pay_Num&lt;&gt;"",Beg_Bal-Sched_Pay&gt;0),Beg_Bal-Sched_Pay,IF(Pay_Num&lt;&gt;"",0,""))))</f>
        <v>0</v>
      </c>
      <c r="G613" s="34">
        <f ca="1">IF(scheduled_no_payments=1,"",IF(Sched_Pay+Extra_Pay&lt;Beg_Bal,Sched_Pay+Extra_Pay,IF(Pay_Num&lt;&gt;"",Beg_Bal,"")))</f>
        <v>0</v>
      </c>
      <c r="H613" s="34">
        <f t="shared" ca="1" si="30"/>
        <v>0</v>
      </c>
      <c r="I613" s="34">
        <f ca="1">IF(Pay_Num&lt;&gt;"",Beg_Bal*(Interest_Rate/VLOOKUP(Interval,LoanLookup[],5,FALSE)),"")</f>
        <v>0</v>
      </c>
      <c r="J613" s="34">
        <f ca="1">IF(scheduled_no_payments=1,"",IF(AND(Pay_Num&lt;&gt;"",Sched_Pay+Extra_Pay&lt;Beg_Bal),Beg_Bal-Princ,IF(Pay_Num&lt;&gt;"",0,"")))</f>
        <v>0</v>
      </c>
      <c r="K613" s="34">
        <f ca="1">IF(scheduled_no_payments=1,"",SUM($I$13:$I613))</f>
        <v>87584.066117996466</v>
      </c>
      <c r="L613" s="38"/>
    </row>
    <row r="614" spans="2:12" ht="16.5" customHeight="1" x14ac:dyDescent="0.25">
      <c r="B614" s="32">
        <f ca="1">IF(AND(Values_Entered,scheduled_no_payments&lt;&gt;1),B613+1,"")</f>
        <v>602</v>
      </c>
      <c r="C614" s="33">
        <f ca="1">IF(Pay_Num&lt;&gt;"",DATE(YEAR(C613)+VLOOKUP(Interval,LoanLookup[],4,FALSE),MONTH(C613)+VLOOKUP(Interval,LoanLookup[],2,FALSE),DAY(C613)+VLOOKUP(Interval,LoanLookup[],3,FALSE)),"")</f>
        <v>63161</v>
      </c>
      <c r="D614" s="34">
        <f t="shared" ca="1" si="29"/>
        <v>0</v>
      </c>
      <c r="E614" s="35">
        <f t="shared" ca="1" si="31"/>
        <v>989.93360882498609</v>
      </c>
      <c r="F614" s="36">
        <f ca="1">IF(scheduled_no_payments=1,"",IF(Sched_Pay+Scheduled_Extra_Payments&lt;Beg_Bal,Scheduled_Extra_Payments,IF(AND(Pay_Num&lt;&gt;"",Beg_Bal-Sched_Pay&gt;0),Beg_Bal-Sched_Pay,IF(Pay_Num&lt;&gt;"",0,""))))</f>
        <v>0</v>
      </c>
      <c r="G614" s="34">
        <f ca="1">IF(scheduled_no_payments=1,"",IF(Sched_Pay+Extra_Pay&lt;Beg_Bal,Sched_Pay+Extra_Pay,IF(Pay_Num&lt;&gt;"",Beg_Bal,"")))</f>
        <v>0</v>
      </c>
      <c r="H614" s="34">
        <f t="shared" ca="1" si="30"/>
        <v>0</v>
      </c>
      <c r="I614" s="34">
        <f ca="1">IF(Pay_Num&lt;&gt;"",Beg_Bal*(Interest_Rate/VLOOKUP(Interval,LoanLookup[],5,FALSE)),"")</f>
        <v>0</v>
      </c>
      <c r="J614" s="34">
        <f ca="1">IF(scheduled_no_payments=1,"",IF(AND(Pay_Num&lt;&gt;"",Sched_Pay+Extra_Pay&lt;Beg_Bal),Beg_Bal-Princ,IF(Pay_Num&lt;&gt;"",0,"")))</f>
        <v>0</v>
      </c>
      <c r="K614" s="34">
        <f ca="1">IF(scheduled_no_payments=1,"",SUM($I$13:$I614))</f>
        <v>87584.066117996466</v>
      </c>
      <c r="L614" s="38"/>
    </row>
    <row r="615" spans="2:12" ht="16.5" customHeight="1" x14ac:dyDescent="0.25">
      <c r="B615" s="32">
        <f ca="1">IF(AND(Values_Entered,scheduled_no_payments&lt;&gt;1),B614+1,"")</f>
        <v>603</v>
      </c>
      <c r="C615" s="33">
        <f ca="1">IF(Pay_Num&lt;&gt;"",DATE(YEAR(C614)+VLOOKUP(Interval,LoanLookup[],4,FALSE),MONTH(C614)+VLOOKUP(Interval,LoanLookup[],2,FALSE),DAY(C614)+VLOOKUP(Interval,LoanLookup[],3,FALSE)),"")</f>
        <v>63192</v>
      </c>
      <c r="D615" s="34">
        <f t="shared" ca="1" si="29"/>
        <v>0</v>
      </c>
      <c r="E615" s="35">
        <f t="shared" ca="1" si="31"/>
        <v>989.93360882498609</v>
      </c>
      <c r="F615" s="36">
        <f ca="1">IF(scheduled_no_payments=1,"",IF(Sched_Pay+Scheduled_Extra_Payments&lt;Beg_Bal,Scheduled_Extra_Payments,IF(AND(Pay_Num&lt;&gt;"",Beg_Bal-Sched_Pay&gt;0),Beg_Bal-Sched_Pay,IF(Pay_Num&lt;&gt;"",0,""))))</f>
        <v>0</v>
      </c>
      <c r="G615" s="34">
        <f ca="1">IF(scheduled_no_payments=1,"",IF(Sched_Pay+Extra_Pay&lt;Beg_Bal,Sched_Pay+Extra_Pay,IF(Pay_Num&lt;&gt;"",Beg_Bal,"")))</f>
        <v>0</v>
      </c>
      <c r="H615" s="34">
        <f t="shared" ca="1" si="30"/>
        <v>0</v>
      </c>
      <c r="I615" s="34">
        <f ca="1">IF(Pay_Num&lt;&gt;"",Beg_Bal*(Interest_Rate/VLOOKUP(Interval,LoanLookup[],5,FALSE)),"")</f>
        <v>0</v>
      </c>
      <c r="J615" s="34">
        <f ca="1">IF(scheduled_no_payments=1,"",IF(AND(Pay_Num&lt;&gt;"",Sched_Pay+Extra_Pay&lt;Beg_Bal),Beg_Bal-Princ,IF(Pay_Num&lt;&gt;"",0,"")))</f>
        <v>0</v>
      </c>
      <c r="K615" s="34">
        <f ca="1">IF(scheduled_no_payments=1,"",SUM($I$13:$I615))</f>
        <v>87584.066117996466</v>
      </c>
      <c r="L615" s="38"/>
    </row>
    <row r="616" spans="2:12" ht="16.5" customHeight="1" x14ac:dyDescent="0.25">
      <c r="B616" s="32">
        <f ca="1">IF(AND(Values_Entered,scheduled_no_payments&lt;&gt;1),B615+1,"")</f>
        <v>604</v>
      </c>
      <c r="C616" s="33">
        <f ca="1">IF(Pay_Num&lt;&gt;"",DATE(YEAR(C615)+VLOOKUP(Interval,LoanLookup[],4,FALSE),MONTH(C615)+VLOOKUP(Interval,LoanLookup[],2,FALSE),DAY(C615)+VLOOKUP(Interval,LoanLookup[],3,FALSE)),"")</f>
        <v>63223</v>
      </c>
      <c r="D616" s="34">
        <f t="shared" ca="1" si="29"/>
        <v>0</v>
      </c>
      <c r="E616" s="35">
        <f t="shared" ca="1" si="31"/>
        <v>989.93360882498609</v>
      </c>
      <c r="F616" s="36">
        <f ca="1">IF(scheduled_no_payments=1,"",IF(Sched_Pay+Scheduled_Extra_Payments&lt;Beg_Bal,Scheduled_Extra_Payments,IF(AND(Pay_Num&lt;&gt;"",Beg_Bal-Sched_Pay&gt;0),Beg_Bal-Sched_Pay,IF(Pay_Num&lt;&gt;"",0,""))))</f>
        <v>0</v>
      </c>
      <c r="G616" s="34">
        <f ca="1">IF(scheduled_no_payments=1,"",IF(Sched_Pay+Extra_Pay&lt;Beg_Bal,Sched_Pay+Extra_Pay,IF(Pay_Num&lt;&gt;"",Beg_Bal,"")))</f>
        <v>0</v>
      </c>
      <c r="H616" s="34">
        <f t="shared" ca="1" si="30"/>
        <v>0</v>
      </c>
      <c r="I616" s="34">
        <f ca="1">IF(Pay_Num&lt;&gt;"",Beg_Bal*(Interest_Rate/VLOOKUP(Interval,LoanLookup[],5,FALSE)),"")</f>
        <v>0</v>
      </c>
      <c r="J616" s="34">
        <f ca="1">IF(scheduled_no_payments=1,"",IF(AND(Pay_Num&lt;&gt;"",Sched_Pay+Extra_Pay&lt;Beg_Bal),Beg_Bal-Princ,IF(Pay_Num&lt;&gt;"",0,"")))</f>
        <v>0</v>
      </c>
      <c r="K616" s="34">
        <f ca="1">IF(scheduled_no_payments=1,"",SUM($I$13:$I616))</f>
        <v>87584.066117996466</v>
      </c>
      <c r="L616" s="38"/>
    </row>
    <row r="617" spans="2:12" ht="16.5" customHeight="1" x14ac:dyDescent="0.25">
      <c r="B617" s="32">
        <f ca="1">IF(AND(Values_Entered,scheduled_no_payments&lt;&gt;1),B616+1,"")</f>
        <v>605</v>
      </c>
      <c r="C617" s="33">
        <f ca="1">IF(Pay_Num&lt;&gt;"",DATE(YEAR(C616)+VLOOKUP(Interval,LoanLookup[],4,FALSE),MONTH(C616)+VLOOKUP(Interval,LoanLookup[],2,FALSE),DAY(C616)+VLOOKUP(Interval,LoanLookup[],3,FALSE)),"")</f>
        <v>63251</v>
      </c>
      <c r="D617" s="34">
        <f t="shared" ca="1" si="29"/>
        <v>0</v>
      </c>
      <c r="E617" s="35">
        <f t="shared" ca="1" si="31"/>
        <v>989.93360882498609</v>
      </c>
      <c r="F617" s="36">
        <f ca="1">IF(scheduled_no_payments=1,"",IF(Sched_Pay+Scheduled_Extra_Payments&lt;Beg_Bal,Scheduled_Extra_Payments,IF(AND(Pay_Num&lt;&gt;"",Beg_Bal-Sched_Pay&gt;0),Beg_Bal-Sched_Pay,IF(Pay_Num&lt;&gt;"",0,""))))</f>
        <v>0</v>
      </c>
      <c r="G617" s="34">
        <f ca="1">IF(scheduled_no_payments=1,"",IF(Sched_Pay+Extra_Pay&lt;Beg_Bal,Sched_Pay+Extra_Pay,IF(Pay_Num&lt;&gt;"",Beg_Bal,"")))</f>
        <v>0</v>
      </c>
      <c r="H617" s="34">
        <f t="shared" ca="1" si="30"/>
        <v>0</v>
      </c>
      <c r="I617" s="34">
        <f ca="1">IF(Pay_Num&lt;&gt;"",Beg_Bal*(Interest_Rate/VLOOKUP(Interval,LoanLookup[],5,FALSE)),"")</f>
        <v>0</v>
      </c>
      <c r="J617" s="34">
        <f ca="1">IF(scheduled_no_payments=1,"",IF(AND(Pay_Num&lt;&gt;"",Sched_Pay+Extra_Pay&lt;Beg_Bal),Beg_Bal-Princ,IF(Pay_Num&lt;&gt;"",0,"")))</f>
        <v>0</v>
      </c>
      <c r="K617" s="34">
        <f ca="1">IF(scheduled_no_payments=1,"",SUM($I$13:$I617))</f>
        <v>87584.066117996466</v>
      </c>
      <c r="L617" s="38"/>
    </row>
    <row r="618" spans="2:12" ht="16.5" customHeight="1" x14ac:dyDescent="0.25">
      <c r="B618" s="32">
        <f ca="1">IF(AND(Values_Entered,scheduled_no_payments&lt;&gt;1),B617+1,"")</f>
        <v>606</v>
      </c>
      <c r="C618" s="33">
        <f ca="1">IF(Pay_Num&lt;&gt;"",DATE(YEAR(C617)+VLOOKUP(Interval,LoanLookup[],4,FALSE),MONTH(C617)+VLOOKUP(Interval,LoanLookup[],2,FALSE),DAY(C617)+VLOOKUP(Interval,LoanLookup[],3,FALSE)),"")</f>
        <v>63282</v>
      </c>
      <c r="D618" s="34">
        <f t="shared" ca="1" si="29"/>
        <v>0</v>
      </c>
      <c r="E618" s="35">
        <f t="shared" ca="1" si="31"/>
        <v>989.93360882498609</v>
      </c>
      <c r="F618" s="36">
        <f ca="1">IF(scheduled_no_payments=1,"",IF(Sched_Pay+Scheduled_Extra_Payments&lt;Beg_Bal,Scheduled_Extra_Payments,IF(AND(Pay_Num&lt;&gt;"",Beg_Bal-Sched_Pay&gt;0),Beg_Bal-Sched_Pay,IF(Pay_Num&lt;&gt;"",0,""))))</f>
        <v>0</v>
      </c>
      <c r="G618" s="34">
        <f ca="1">IF(scheduled_no_payments=1,"",IF(Sched_Pay+Extra_Pay&lt;Beg_Bal,Sched_Pay+Extra_Pay,IF(Pay_Num&lt;&gt;"",Beg_Bal,"")))</f>
        <v>0</v>
      </c>
      <c r="H618" s="34">
        <f t="shared" ca="1" si="30"/>
        <v>0</v>
      </c>
      <c r="I618" s="34">
        <f ca="1">IF(Pay_Num&lt;&gt;"",Beg_Bal*(Interest_Rate/VLOOKUP(Interval,LoanLookup[],5,FALSE)),"")</f>
        <v>0</v>
      </c>
      <c r="J618" s="34">
        <f ca="1">IF(scheduled_no_payments=1,"",IF(AND(Pay_Num&lt;&gt;"",Sched_Pay+Extra_Pay&lt;Beg_Bal),Beg_Bal-Princ,IF(Pay_Num&lt;&gt;"",0,"")))</f>
        <v>0</v>
      </c>
      <c r="K618" s="34">
        <f ca="1">IF(scheduled_no_payments=1,"",SUM($I$13:$I618))</f>
        <v>87584.066117996466</v>
      </c>
      <c r="L618" s="38"/>
    </row>
    <row r="619" spans="2:12" ht="16.5" customHeight="1" x14ac:dyDescent="0.25">
      <c r="B619" s="32">
        <f ca="1">IF(AND(Values_Entered,scheduled_no_payments&lt;&gt;1),B618+1,"")</f>
        <v>607</v>
      </c>
      <c r="C619" s="33">
        <f ca="1">IF(Pay_Num&lt;&gt;"",DATE(YEAR(C618)+VLOOKUP(Interval,LoanLookup[],4,FALSE),MONTH(C618)+VLOOKUP(Interval,LoanLookup[],2,FALSE),DAY(C618)+VLOOKUP(Interval,LoanLookup[],3,FALSE)),"")</f>
        <v>63312</v>
      </c>
      <c r="D619" s="34">
        <f t="shared" ca="1" si="29"/>
        <v>0</v>
      </c>
      <c r="E619" s="35">
        <f t="shared" ca="1" si="31"/>
        <v>989.93360882498609</v>
      </c>
      <c r="F619" s="36">
        <f ca="1">IF(scheduled_no_payments=1,"",IF(Sched_Pay+Scheduled_Extra_Payments&lt;Beg_Bal,Scheduled_Extra_Payments,IF(AND(Pay_Num&lt;&gt;"",Beg_Bal-Sched_Pay&gt;0),Beg_Bal-Sched_Pay,IF(Pay_Num&lt;&gt;"",0,""))))</f>
        <v>0</v>
      </c>
      <c r="G619" s="34">
        <f ca="1">IF(scheduled_no_payments=1,"",IF(Sched_Pay+Extra_Pay&lt;Beg_Bal,Sched_Pay+Extra_Pay,IF(Pay_Num&lt;&gt;"",Beg_Bal,"")))</f>
        <v>0</v>
      </c>
      <c r="H619" s="34">
        <f t="shared" ca="1" si="30"/>
        <v>0</v>
      </c>
      <c r="I619" s="34">
        <f ca="1">IF(Pay_Num&lt;&gt;"",Beg_Bal*(Interest_Rate/VLOOKUP(Interval,LoanLookup[],5,FALSE)),"")</f>
        <v>0</v>
      </c>
      <c r="J619" s="34">
        <f ca="1">IF(scheduled_no_payments=1,"",IF(AND(Pay_Num&lt;&gt;"",Sched_Pay+Extra_Pay&lt;Beg_Bal),Beg_Bal-Princ,IF(Pay_Num&lt;&gt;"",0,"")))</f>
        <v>0</v>
      </c>
      <c r="K619" s="34">
        <f ca="1">IF(scheduled_no_payments=1,"",SUM($I$13:$I619))</f>
        <v>87584.066117996466</v>
      </c>
      <c r="L619" s="38"/>
    </row>
    <row r="620" spans="2:12" ht="16.5" customHeight="1" x14ac:dyDescent="0.25">
      <c r="B620" s="32">
        <f ca="1">IF(AND(Values_Entered,scheduled_no_payments&lt;&gt;1),B619+1,"")</f>
        <v>608</v>
      </c>
      <c r="C620" s="33">
        <f ca="1">IF(Pay_Num&lt;&gt;"",DATE(YEAR(C619)+VLOOKUP(Interval,LoanLookup[],4,FALSE),MONTH(C619)+VLOOKUP(Interval,LoanLookup[],2,FALSE),DAY(C619)+VLOOKUP(Interval,LoanLookup[],3,FALSE)),"")</f>
        <v>63343</v>
      </c>
      <c r="D620" s="34">
        <f t="shared" ca="1" si="29"/>
        <v>0</v>
      </c>
      <c r="E620" s="35">
        <f t="shared" ca="1" si="31"/>
        <v>989.93360882498609</v>
      </c>
      <c r="F620" s="36">
        <f ca="1">IF(scheduled_no_payments=1,"",IF(Sched_Pay+Scheduled_Extra_Payments&lt;Beg_Bal,Scheduled_Extra_Payments,IF(AND(Pay_Num&lt;&gt;"",Beg_Bal-Sched_Pay&gt;0),Beg_Bal-Sched_Pay,IF(Pay_Num&lt;&gt;"",0,""))))</f>
        <v>0</v>
      </c>
      <c r="G620" s="34">
        <f ca="1">IF(scheduled_no_payments=1,"",IF(Sched_Pay+Extra_Pay&lt;Beg_Bal,Sched_Pay+Extra_Pay,IF(Pay_Num&lt;&gt;"",Beg_Bal,"")))</f>
        <v>0</v>
      </c>
      <c r="H620" s="34">
        <f t="shared" ca="1" si="30"/>
        <v>0</v>
      </c>
      <c r="I620" s="34">
        <f ca="1">IF(Pay_Num&lt;&gt;"",Beg_Bal*(Interest_Rate/VLOOKUP(Interval,LoanLookup[],5,FALSE)),"")</f>
        <v>0</v>
      </c>
      <c r="J620" s="34">
        <f ca="1">IF(scheduled_no_payments=1,"",IF(AND(Pay_Num&lt;&gt;"",Sched_Pay+Extra_Pay&lt;Beg_Bal),Beg_Bal-Princ,IF(Pay_Num&lt;&gt;"",0,"")))</f>
        <v>0</v>
      </c>
      <c r="K620" s="34">
        <f ca="1">IF(scheduled_no_payments=1,"",SUM($I$13:$I620))</f>
        <v>87584.066117996466</v>
      </c>
      <c r="L620" s="38"/>
    </row>
    <row r="621" spans="2:12" ht="16.5" customHeight="1" x14ac:dyDescent="0.25">
      <c r="B621" s="32">
        <f ca="1">IF(AND(Values_Entered,scheduled_no_payments&lt;&gt;1),B620+1,"")</f>
        <v>609</v>
      </c>
      <c r="C621" s="33">
        <f ca="1">IF(Pay_Num&lt;&gt;"",DATE(YEAR(C620)+VLOOKUP(Interval,LoanLookup[],4,FALSE),MONTH(C620)+VLOOKUP(Interval,LoanLookup[],2,FALSE),DAY(C620)+VLOOKUP(Interval,LoanLookup[],3,FALSE)),"")</f>
        <v>63373</v>
      </c>
      <c r="D621" s="34">
        <f t="shared" ca="1" si="29"/>
        <v>0</v>
      </c>
      <c r="E621" s="35">
        <f t="shared" ca="1" si="31"/>
        <v>989.93360882498609</v>
      </c>
      <c r="F621" s="36">
        <f ca="1">IF(scheduled_no_payments=1,"",IF(Sched_Pay+Scheduled_Extra_Payments&lt;Beg_Bal,Scheduled_Extra_Payments,IF(AND(Pay_Num&lt;&gt;"",Beg_Bal-Sched_Pay&gt;0),Beg_Bal-Sched_Pay,IF(Pay_Num&lt;&gt;"",0,""))))</f>
        <v>0</v>
      </c>
      <c r="G621" s="34">
        <f ca="1">IF(scheduled_no_payments=1,"",IF(Sched_Pay+Extra_Pay&lt;Beg_Bal,Sched_Pay+Extra_Pay,IF(Pay_Num&lt;&gt;"",Beg_Bal,"")))</f>
        <v>0</v>
      </c>
      <c r="H621" s="34">
        <f t="shared" ca="1" si="30"/>
        <v>0</v>
      </c>
      <c r="I621" s="34">
        <f ca="1">IF(Pay_Num&lt;&gt;"",Beg_Bal*(Interest_Rate/VLOOKUP(Interval,LoanLookup[],5,FALSE)),"")</f>
        <v>0</v>
      </c>
      <c r="J621" s="34">
        <f ca="1">IF(scheduled_no_payments=1,"",IF(AND(Pay_Num&lt;&gt;"",Sched_Pay+Extra_Pay&lt;Beg_Bal),Beg_Bal-Princ,IF(Pay_Num&lt;&gt;"",0,"")))</f>
        <v>0</v>
      </c>
      <c r="K621" s="34">
        <f ca="1">IF(scheduled_no_payments=1,"",SUM($I$13:$I621))</f>
        <v>87584.066117996466</v>
      </c>
      <c r="L621" s="38"/>
    </row>
    <row r="622" spans="2:12" ht="16.5" customHeight="1" x14ac:dyDescent="0.25">
      <c r="B622" s="32">
        <f ca="1">IF(AND(Values_Entered,scheduled_no_payments&lt;&gt;1),B621+1,"")</f>
        <v>610</v>
      </c>
      <c r="C622" s="33">
        <f ca="1">IF(Pay_Num&lt;&gt;"",DATE(YEAR(C621)+VLOOKUP(Interval,LoanLookup[],4,FALSE),MONTH(C621)+VLOOKUP(Interval,LoanLookup[],2,FALSE),DAY(C621)+VLOOKUP(Interval,LoanLookup[],3,FALSE)),"")</f>
        <v>63404</v>
      </c>
      <c r="D622" s="34">
        <f t="shared" ca="1" si="29"/>
        <v>0</v>
      </c>
      <c r="E622" s="35">
        <f t="shared" ca="1" si="31"/>
        <v>989.93360882498609</v>
      </c>
      <c r="F622" s="36">
        <f ca="1">IF(scheduled_no_payments=1,"",IF(Sched_Pay+Scheduled_Extra_Payments&lt;Beg_Bal,Scheduled_Extra_Payments,IF(AND(Pay_Num&lt;&gt;"",Beg_Bal-Sched_Pay&gt;0),Beg_Bal-Sched_Pay,IF(Pay_Num&lt;&gt;"",0,""))))</f>
        <v>0</v>
      </c>
      <c r="G622" s="34">
        <f ca="1">IF(scheduled_no_payments=1,"",IF(Sched_Pay+Extra_Pay&lt;Beg_Bal,Sched_Pay+Extra_Pay,IF(Pay_Num&lt;&gt;"",Beg_Bal,"")))</f>
        <v>0</v>
      </c>
      <c r="H622" s="34">
        <f t="shared" ca="1" si="30"/>
        <v>0</v>
      </c>
      <c r="I622" s="34">
        <f ca="1">IF(Pay_Num&lt;&gt;"",Beg_Bal*(Interest_Rate/VLOOKUP(Interval,LoanLookup[],5,FALSE)),"")</f>
        <v>0</v>
      </c>
      <c r="J622" s="34">
        <f ca="1">IF(scheduled_no_payments=1,"",IF(AND(Pay_Num&lt;&gt;"",Sched_Pay+Extra_Pay&lt;Beg_Bal),Beg_Bal-Princ,IF(Pay_Num&lt;&gt;"",0,"")))</f>
        <v>0</v>
      </c>
      <c r="K622" s="34">
        <f ca="1">IF(scheduled_no_payments=1,"",SUM($I$13:$I622))</f>
        <v>87584.066117996466</v>
      </c>
      <c r="L622" s="38"/>
    </row>
    <row r="623" spans="2:12" ht="16.5" customHeight="1" x14ac:dyDescent="0.25">
      <c r="B623" s="32">
        <f ca="1">IF(AND(Values_Entered,scheduled_no_payments&lt;&gt;1),B622+1,"")</f>
        <v>611</v>
      </c>
      <c r="C623" s="33">
        <f ca="1">IF(Pay_Num&lt;&gt;"",DATE(YEAR(C622)+VLOOKUP(Interval,LoanLookup[],4,FALSE),MONTH(C622)+VLOOKUP(Interval,LoanLookup[],2,FALSE),DAY(C622)+VLOOKUP(Interval,LoanLookup[],3,FALSE)),"")</f>
        <v>63435</v>
      </c>
      <c r="D623" s="34">
        <f t="shared" ca="1" si="29"/>
        <v>0</v>
      </c>
      <c r="E623" s="35">
        <f t="shared" ca="1" si="31"/>
        <v>989.93360882498609</v>
      </c>
      <c r="F623" s="36">
        <f ca="1">IF(scheduled_no_payments=1,"",IF(Sched_Pay+Scheduled_Extra_Payments&lt;Beg_Bal,Scheduled_Extra_Payments,IF(AND(Pay_Num&lt;&gt;"",Beg_Bal-Sched_Pay&gt;0),Beg_Bal-Sched_Pay,IF(Pay_Num&lt;&gt;"",0,""))))</f>
        <v>0</v>
      </c>
      <c r="G623" s="34">
        <f ca="1">IF(scheduled_no_payments=1,"",IF(Sched_Pay+Extra_Pay&lt;Beg_Bal,Sched_Pay+Extra_Pay,IF(Pay_Num&lt;&gt;"",Beg_Bal,"")))</f>
        <v>0</v>
      </c>
      <c r="H623" s="34">
        <f t="shared" ca="1" si="30"/>
        <v>0</v>
      </c>
      <c r="I623" s="34">
        <f ca="1">IF(Pay_Num&lt;&gt;"",Beg_Bal*(Interest_Rate/VLOOKUP(Interval,LoanLookup[],5,FALSE)),"")</f>
        <v>0</v>
      </c>
      <c r="J623" s="34">
        <f ca="1">IF(scheduled_no_payments=1,"",IF(AND(Pay_Num&lt;&gt;"",Sched_Pay+Extra_Pay&lt;Beg_Bal),Beg_Bal-Princ,IF(Pay_Num&lt;&gt;"",0,"")))</f>
        <v>0</v>
      </c>
      <c r="K623" s="34">
        <f ca="1">IF(scheduled_no_payments=1,"",SUM($I$13:$I623))</f>
        <v>87584.066117996466</v>
      </c>
      <c r="L623" s="38"/>
    </row>
    <row r="624" spans="2:12" ht="16.5" customHeight="1" x14ac:dyDescent="0.25">
      <c r="B624" s="32">
        <f ca="1">IF(AND(Values_Entered,scheduled_no_payments&lt;&gt;1),B623+1,"")</f>
        <v>612</v>
      </c>
      <c r="C624" s="33">
        <f ca="1">IF(Pay_Num&lt;&gt;"",DATE(YEAR(C623)+VLOOKUP(Interval,LoanLookup[],4,FALSE),MONTH(C623)+VLOOKUP(Interval,LoanLookup[],2,FALSE),DAY(C623)+VLOOKUP(Interval,LoanLookup[],3,FALSE)),"")</f>
        <v>63465</v>
      </c>
      <c r="D624" s="34">
        <f t="shared" ca="1" si="29"/>
        <v>0</v>
      </c>
      <c r="E624" s="35">
        <f t="shared" ca="1" si="31"/>
        <v>989.93360882498609</v>
      </c>
      <c r="F624" s="36">
        <f ca="1">IF(scheduled_no_payments=1,"",IF(Sched_Pay+Scheduled_Extra_Payments&lt;Beg_Bal,Scheduled_Extra_Payments,IF(AND(Pay_Num&lt;&gt;"",Beg_Bal-Sched_Pay&gt;0),Beg_Bal-Sched_Pay,IF(Pay_Num&lt;&gt;"",0,""))))</f>
        <v>0</v>
      </c>
      <c r="G624" s="34">
        <f ca="1">IF(scheduled_no_payments=1,"",IF(Sched_Pay+Extra_Pay&lt;Beg_Bal,Sched_Pay+Extra_Pay,IF(Pay_Num&lt;&gt;"",Beg_Bal,"")))</f>
        <v>0</v>
      </c>
      <c r="H624" s="34">
        <f t="shared" ca="1" si="30"/>
        <v>0</v>
      </c>
      <c r="I624" s="34">
        <f ca="1">IF(Pay_Num&lt;&gt;"",Beg_Bal*(Interest_Rate/VLOOKUP(Interval,LoanLookup[],5,FALSE)),"")</f>
        <v>0</v>
      </c>
      <c r="J624" s="34">
        <f ca="1">IF(scheduled_no_payments=1,"",IF(AND(Pay_Num&lt;&gt;"",Sched_Pay+Extra_Pay&lt;Beg_Bal),Beg_Bal-Princ,IF(Pay_Num&lt;&gt;"",0,"")))</f>
        <v>0</v>
      </c>
      <c r="K624" s="34">
        <f ca="1">IF(scheduled_no_payments=1,"",SUM($I$13:$I624))</f>
        <v>87584.066117996466</v>
      </c>
      <c r="L624" s="38"/>
    </row>
    <row r="625" spans="2:12" ht="16.5" customHeight="1" x14ac:dyDescent="0.25">
      <c r="B625" s="32">
        <f ca="1">IF(AND(Values_Entered,scheduled_no_payments&lt;&gt;1),B624+1,"")</f>
        <v>613</v>
      </c>
      <c r="C625" s="33">
        <f ca="1">IF(Pay_Num&lt;&gt;"",DATE(YEAR(C624)+VLOOKUP(Interval,LoanLookup[],4,FALSE),MONTH(C624)+VLOOKUP(Interval,LoanLookup[],2,FALSE),DAY(C624)+VLOOKUP(Interval,LoanLookup[],3,FALSE)),"")</f>
        <v>63496</v>
      </c>
      <c r="D625" s="34">
        <f t="shared" ca="1" si="29"/>
        <v>0</v>
      </c>
      <c r="E625" s="35">
        <f t="shared" ca="1" si="31"/>
        <v>989.93360882498609</v>
      </c>
      <c r="F625" s="36">
        <f ca="1">IF(scheduled_no_payments=1,"",IF(Sched_Pay+Scheduled_Extra_Payments&lt;Beg_Bal,Scheduled_Extra_Payments,IF(AND(Pay_Num&lt;&gt;"",Beg_Bal-Sched_Pay&gt;0),Beg_Bal-Sched_Pay,IF(Pay_Num&lt;&gt;"",0,""))))</f>
        <v>0</v>
      </c>
      <c r="G625" s="34">
        <f ca="1">IF(scheduled_no_payments=1,"",IF(Sched_Pay+Extra_Pay&lt;Beg_Bal,Sched_Pay+Extra_Pay,IF(Pay_Num&lt;&gt;"",Beg_Bal,"")))</f>
        <v>0</v>
      </c>
      <c r="H625" s="34">
        <f t="shared" ca="1" si="30"/>
        <v>0</v>
      </c>
      <c r="I625" s="34">
        <f ca="1">IF(Pay_Num&lt;&gt;"",Beg_Bal*(Interest_Rate/VLOOKUP(Interval,LoanLookup[],5,FALSE)),"")</f>
        <v>0</v>
      </c>
      <c r="J625" s="34">
        <f ca="1">IF(scheduled_no_payments=1,"",IF(AND(Pay_Num&lt;&gt;"",Sched_Pay+Extra_Pay&lt;Beg_Bal),Beg_Bal-Princ,IF(Pay_Num&lt;&gt;"",0,"")))</f>
        <v>0</v>
      </c>
      <c r="K625" s="34">
        <f ca="1">IF(scheduled_no_payments=1,"",SUM($I$13:$I625))</f>
        <v>87584.066117996466</v>
      </c>
      <c r="L625" s="38"/>
    </row>
    <row r="626" spans="2:12" ht="16.5" customHeight="1" x14ac:dyDescent="0.25">
      <c r="B626" s="32">
        <f ca="1">IF(AND(Values_Entered,scheduled_no_payments&lt;&gt;1),B625+1,"")</f>
        <v>614</v>
      </c>
      <c r="C626" s="33">
        <f ca="1">IF(Pay_Num&lt;&gt;"",DATE(YEAR(C625)+VLOOKUP(Interval,LoanLookup[],4,FALSE),MONTH(C625)+VLOOKUP(Interval,LoanLookup[],2,FALSE),DAY(C625)+VLOOKUP(Interval,LoanLookup[],3,FALSE)),"")</f>
        <v>63526</v>
      </c>
      <c r="D626" s="34">
        <f t="shared" ca="1" si="29"/>
        <v>0</v>
      </c>
      <c r="E626" s="35">
        <f t="shared" ca="1" si="31"/>
        <v>989.93360882498609</v>
      </c>
      <c r="F626" s="36">
        <f ca="1">IF(scheduled_no_payments=1,"",IF(Sched_Pay+Scheduled_Extra_Payments&lt;Beg_Bal,Scheduled_Extra_Payments,IF(AND(Pay_Num&lt;&gt;"",Beg_Bal-Sched_Pay&gt;0),Beg_Bal-Sched_Pay,IF(Pay_Num&lt;&gt;"",0,""))))</f>
        <v>0</v>
      </c>
      <c r="G626" s="34">
        <f ca="1">IF(scheduled_no_payments=1,"",IF(Sched_Pay+Extra_Pay&lt;Beg_Bal,Sched_Pay+Extra_Pay,IF(Pay_Num&lt;&gt;"",Beg_Bal,"")))</f>
        <v>0</v>
      </c>
      <c r="H626" s="34">
        <f t="shared" ca="1" si="30"/>
        <v>0</v>
      </c>
      <c r="I626" s="34">
        <f ca="1">IF(Pay_Num&lt;&gt;"",Beg_Bal*(Interest_Rate/VLOOKUP(Interval,LoanLookup[],5,FALSE)),"")</f>
        <v>0</v>
      </c>
      <c r="J626" s="34">
        <f ca="1">IF(scheduled_no_payments=1,"",IF(AND(Pay_Num&lt;&gt;"",Sched_Pay+Extra_Pay&lt;Beg_Bal),Beg_Bal-Princ,IF(Pay_Num&lt;&gt;"",0,"")))</f>
        <v>0</v>
      </c>
      <c r="K626" s="34">
        <f ca="1">IF(scheduled_no_payments=1,"",SUM($I$13:$I626))</f>
        <v>87584.066117996466</v>
      </c>
      <c r="L626" s="38"/>
    </row>
    <row r="627" spans="2:12" ht="16.5" customHeight="1" x14ac:dyDescent="0.25">
      <c r="B627" s="32">
        <f ca="1">IF(AND(Values_Entered,scheduled_no_payments&lt;&gt;1),B626+1,"")</f>
        <v>615</v>
      </c>
      <c r="C627" s="33">
        <f ca="1">IF(Pay_Num&lt;&gt;"",DATE(YEAR(C626)+VLOOKUP(Interval,LoanLookup[],4,FALSE),MONTH(C626)+VLOOKUP(Interval,LoanLookup[],2,FALSE),DAY(C626)+VLOOKUP(Interval,LoanLookup[],3,FALSE)),"")</f>
        <v>63557</v>
      </c>
      <c r="D627" s="34">
        <f t="shared" ca="1" si="29"/>
        <v>0</v>
      </c>
      <c r="E627" s="35">
        <f t="shared" ca="1" si="31"/>
        <v>989.93360882498609</v>
      </c>
      <c r="F627" s="36">
        <f ca="1">IF(scheduled_no_payments=1,"",IF(Sched_Pay+Scheduled_Extra_Payments&lt;Beg_Bal,Scheduled_Extra_Payments,IF(AND(Pay_Num&lt;&gt;"",Beg_Bal-Sched_Pay&gt;0),Beg_Bal-Sched_Pay,IF(Pay_Num&lt;&gt;"",0,""))))</f>
        <v>0</v>
      </c>
      <c r="G627" s="34">
        <f ca="1">IF(scheduled_no_payments=1,"",IF(Sched_Pay+Extra_Pay&lt;Beg_Bal,Sched_Pay+Extra_Pay,IF(Pay_Num&lt;&gt;"",Beg_Bal,"")))</f>
        <v>0</v>
      </c>
      <c r="H627" s="34">
        <f t="shared" ca="1" si="30"/>
        <v>0</v>
      </c>
      <c r="I627" s="34">
        <f ca="1">IF(Pay_Num&lt;&gt;"",Beg_Bal*(Interest_Rate/VLOOKUP(Interval,LoanLookup[],5,FALSE)),"")</f>
        <v>0</v>
      </c>
      <c r="J627" s="34">
        <f ca="1">IF(scheduled_no_payments=1,"",IF(AND(Pay_Num&lt;&gt;"",Sched_Pay+Extra_Pay&lt;Beg_Bal),Beg_Bal-Princ,IF(Pay_Num&lt;&gt;"",0,"")))</f>
        <v>0</v>
      </c>
      <c r="K627" s="34">
        <f ca="1">IF(scheduled_no_payments=1,"",SUM($I$13:$I627))</f>
        <v>87584.066117996466</v>
      </c>
      <c r="L627" s="38"/>
    </row>
    <row r="628" spans="2:12" ht="16.5" customHeight="1" x14ac:dyDescent="0.25">
      <c r="B628" s="32">
        <f ca="1">IF(AND(Values_Entered,scheduled_no_payments&lt;&gt;1),B627+1,"")</f>
        <v>616</v>
      </c>
      <c r="C628" s="33">
        <f ca="1">IF(Pay_Num&lt;&gt;"",DATE(YEAR(C627)+VLOOKUP(Interval,LoanLookup[],4,FALSE),MONTH(C627)+VLOOKUP(Interval,LoanLookup[],2,FALSE),DAY(C627)+VLOOKUP(Interval,LoanLookup[],3,FALSE)),"")</f>
        <v>63588</v>
      </c>
      <c r="D628" s="34">
        <f t="shared" ca="1" si="29"/>
        <v>0</v>
      </c>
      <c r="E628" s="35">
        <f t="shared" ca="1" si="31"/>
        <v>989.93360882498609</v>
      </c>
      <c r="F628" s="36">
        <f ca="1">IF(scheduled_no_payments=1,"",IF(Sched_Pay+Scheduled_Extra_Payments&lt;Beg_Bal,Scheduled_Extra_Payments,IF(AND(Pay_Num&lt;&gt;"",Beg_Bal-Sched_Pay&gt;0),Beg_Bal-Sched_Pay,IF(Pay_Num&lt;&gt;"",0,""))))</f>
        <v>0</v>
      </c>
      <c r="G628" s="34">
        <f ca="1">IF(scheduled_no_payments=1,"",IF(Sched_Pay+Extra_Pay&lt;Beg_Bal,Sched_Pay+Extra_Pay,IF(Pay_Num&lt;&gt;"",Beg_Bal,"")))</f>
        <v>0</v>
      </c>
      <c r="H628" s="34">
        <f t="shared" ca="1" si="30"/>
        <v>0</v>
      </c>
      <c r="I628" s="34">
        <f ca="1">IF(Pay_Num&lt;&gt;"",Beg_Bal*(Interest_Rate/VLOOKUP(Interval,LoanLookup[],5,FALSE)),"")</f>
        <v>0</v>
      </c>
      <c r="J628" s="34">
        <f ca="1">IF(scheduled_no_payments=1,"",IF(AND(Pay_Num&lt;&gt;"",Sched_Pay+Extra_Pay&lt;Beg_Bal),Beg_Bal-Princ,IF(Pay_Num&lt;&gt;"",0,"")))</f>
        <v>0</v>
      </c>
      <c r="K628" s="34">
        <f ca="1">IF(scheduled_no_payments=1,"",SUM($I$13:$I628))</f>
        <v>87584.066117996466</v>
      </c>
      <c r="L628" s="38"/>
    </row>
    <row r="629" spans="2:12" ht="16.5" customHeight="1" x14ac:dyDescent="0.25">
      <c r="B629" s="32">
        <f ca="1">IF(AND(Values_Entered,scheduled_no_payments&lt;&gt;1),B628+1,"")</f>
        <v>617</v>
      </c>
      <c r="C629" s="33">
        <f ca="1">IF(Pay_Num&lt;&gt;"",DATE(YEAR(C628)+VLOOKUP(Interval,LoanLookup[],4,FALSE),MONTH(C628)+VLOOKUP(Interval,LoanLookup[],2,FALSE),DAY(C628)+VLOOKUP(Interval,LoanLookup[],3,FALSE)),"")</f>
        <v>63616</v>
      </c>
      <c r="D629" s="34">
        <f t="shared" ca="1" si="29"/>
        <v>0</v>
      </c>
      <c r="E629" s="35">
        <f t="shared" ca="1" si="31"/>
        <v>989.93360882498609</v>
      </c>
      <c r="F629" s="36">
        <f ca="1">IF(scheduled_no_payments=1,"",IF(Sched_Pay+Scheduled_Extra_Payments&lt;Beg_Bal,Scheduled_Extra_Payments,IF(AND(Pay_Num&lt;&gt;"",Beg_Bal-Sched_Pay&gt;0),Beg_Bal-Sched_Pay,IF(Pay_Num&lt;&gt;"",0,""))))</f>
        <v>0</v>
      </c>
      <c r="G629" s="34">
        <f ca="1">IF(scheduled_no_payments=1,"",IF(Sched_Pay+Extra_Pay&lt;Beg_Bal,Sched_Pay+Extra_Pay,IF(Pay_Num&lt;&gt;"",Beg_Bal,"")))</f>
        <v>0</v>
      </c>
      <c r="H629" s="34">
        <f t="shared" ca="1" si="30"/>
        <v>0</v>
      </c>
      <c r="I629" s="34">
        <f ca="1">IF(Pay_Num&lt;&gt;"",Beg_Bal*(Interest_Rate/VLOOKUP(Interval,LoanLookup[],5,FALSE)),"")</f>
        <v>0</v>
      </c>
      <c r="J629" s="34">
        <f ca="1">IF(scheduled_no_payments=1,"",IF(AND(Pay_Num&lt;&gt;"",Sched_Pay+Extra_Pay&lt;Beg_Bal),Beg_Bal-Princ,IF(Pay_Num&lt;&gt;"",0,"")))</f>
        <v>0</v>
      </c>
      <c r="K629" s="34">
        <f ca="1">IF(scheduled_no_payments=1,"",SUM($I$13:$I629))</f>
        <v>87584.066117996466</v>
      </c>
      <c r="L629" s="38"/>
    </row>
    <row r="630" spans="2:12" ht="16.5" customHeight="1" x14ac:dyDescent="0.25">
      <c r="B630" s="32">
        <f ca="1">IF(AND(Values_Entered,scheduled_no_payments&lt;&gt;1),B629+1,"")</f>
        <v>618</v>
      </c>
      <c r="C630" s="33">
        <f ca="1">IF(Pay_Num&lt;&gt;"",DATE(YEAR(C629)+VLOOKUP(Interval,LoanLookup[],4,FALSE),MONTH(C629)+VLOOKUP(Interval,LoanLookup[],2,FALSE),DAY(C629)+VLOOKUP(Interval,LoanLookup[],3,FALSE)),"")</f>
        <v>63647</v>
      </c>
      <c r="D630" s="34">
        <f t="shared" ref="D630:D693" ca="1" si="32">IF(Pay_Num&lt;&gt;"",J629,"")</f>
        <v>0</v>
      </c>
      <c r="E630" s="35">
        <f t="shared" ca="1" si="31"/>
        <v>989.93360882498609</v>
      </c>
      <c r="F630" s="36">
        <f ca="1">IF(scheduled_no_payments=1,"",IF(Sched_Pay+Scheduled_Extra_Payments&lt;Beg_Bal,Scheduled_Extra_Payments,IF(AND(Pay_Num&lt;&gt;"",Beg_Bal-Sched_Pay&gt;0),Beg_Bal-Sched_Pay,IF(Pay_Num&lt;&gt;"",0,""))))</f>
        <v>0</v>
      </c>
      <c r="G630" s="34">
        <f ca="1">IF(scheduled_no_payments=1,"",IF(Sched_Pay+Extra_Pay&lt;Beg_Bal,Sched_Pay+Extra_Pay,IF(Pay_Num&lt;&gt;"",Beg_Bal,"")))</f>
        <v>0</v>
      </c>
      <c r="H630" s="34">
        <f t="shared" ca="1" si="30"/>
        <v>0</v>
      </c>
      <c r="I630" s="34">
        <f ca="1">IF(Pay_Num&lt;&gt;"",Beg_Bal*(Interest_Rate/VLOOKUP(Interval,LoanLookup[],5,FALSE)),"")</f>
        <v>0</v>
      </c>
      <c r="J630" s="34">
        <f ca="1">IF(scheduled_no_payments=1,"",IF(AND(Pay_Num&lt;&gt;"",Sched_Pay+Extra_Pay&lt;Beg_Bal),Beg_Bal-Princ,IF(Pay_Num&lt;&gt;"",0,"")))</f>
        <v>0</v>
      </c>
      <c r="K630" s="34">
        <f ca="1">IF(scheduled_no_payments=1,"",SUM($I$13:$I630))</f>
        <v>87584.066117996466</v>
      </c>
      <c r="L630" s="38"/>
    </row>
    <row r="631" spans="2:12" ht="16.5" customHeight="1" x14ac:dyDescent="0.25">
      <c r="B631" s="32">
        <f ca="1">IF(AND(Values_Entered,scheduled_no_payments&lt;&gt;1),B630+1,"")</f>
        <v>619</v>
      </c>
      <c r="C631" s="33">
        <f ca="1">IF(Pay_Num&lt;&gt;"",DATE(YEAR(C630)+VLOOKUP(Interval,LoanLookup[],4,FALSE),MONTH(C630)+VLOOKUP(Interval,LoanLookup[],2,FALSE),DAY(C630)+VLOOKUP(Interval,LoanLookup[],3,FALSE)),"")</f>
        <v>63677</v>
      </c>
      <c r="D631" s="34">
        <f t="shared" ca="1" si="32"/>
        <v>0</v>
      </c>
      <c r="E631" s="35">
        <f t="shared" ca="1" si="31"/>
        <v>989.93360882498609</v>
      </c>
      <c r="F631" s="36">
        <f ca="1">IF(scheduled_no_payments=1,"",IF(Sched_Pay+Scheduled_Extra_Payments&lt;Beg_Bal,Scheduled_Extra_Payments,IF(AND(Pay_Num&lt;&gt;"",Beg_Bal-Sched_Pay&gt;0),Beg_Bal-Sched_Pay,IF(Pay_Num&lt;&gt;"",0,""))))</f>
        <v>0</v>
      </c>
      <c r="G631" s="34">
        <f ca="1">IF(scheduled_no_payments=1,"",IF(Sched_Pay+Extra_Pay&lt;Beg_Bal,Sched_Pay+Extra_Pay,IF(Pay_Num&lt;&gt;"",Beg_Bal,"")))</f>
        <v>0</v>
      </c>
      <c r="H631" s="34">
        <f t="shared" ca="1" si="30"/>
        <v>0</v>
      </c>
      <c r="I631" s="34">
        <f ca="1">IF(Pay_Num&lt;&gt;"",Beg_Bal*(Interest_Rate/VLOOKUP(Interval,LoanLookup[],5,FALSE)),"")</f>
        <v>0</v>
      </c>
      <c r="J631" s="34">
        <f ca="1">IF(scheduled_no_payments=1,"",IF(AND(Pay_Num&lt;&gt;"",Sched_Pay+Extra_Pay&lt;Beg_Bal),Beg_Bal-Princ,IF(Pay_Num&lt;&gt;"",0,"")))</f>
        <v>0</v>
      </c>
      <c r="K631" s="34">
        <f ca="1">IF(scheduled_no_payments=1,"",SUM($I$13:$I631))</f>
        <v>87584.066117996466</v>
      </c>
      <c r="L631" s="38"/>
    </row>
    <row r="632" spans="2:12" ht="16.5" customHeight="1" x14ac:dyDescent="0.25">
      <c r="B632" s="32">
        <f ca="1">IF(AND(Values_Entered,scheduled_no_payments&lt;&gt;1),B631+1,"")</f>
        <v>620</v>
      </c>
      <c r="C632" s="33">
        <f ca="1">IF(Pay_Num&lt;&gt;"",DATE(YEAR(C631)+VLOOKUP(Interval,LoanLookup[],4,FALSE),MONTH(C631)+VLOOKUP(Interval,LoanLookup[],2,FALSE),DAY(C631)+VLOOKUP(Interval,LoanLookup[],3,FALSE)),"")</f>
        <v>63708</v>
      </c>
      <c r="D632" s="34">
        <f t="shared" ca="1" si="32"/>
        <v>0</v>
      </c>
      <c r="E632" s="35">
        <f t="shared" ca="1" si="31"/>
        <v>989.93360882498609</v>
      </c>
      <c r="F632" s="36">
        <f ca="1">IF(scheduled_no_payments=1,"",IF(Sched_Pay+Scheduled_Extra_Payments&lt;Beg_Bal,Scheduled_Extra_Payments,IF(AND(Pay_Num&lt;&gt;"",Beg_Bal-Sched_Pay&gt;0),Beg_Bal-Sched_Pay,IF(Pay_Num&lt;&gt;"",0,""))))</f>
        <v>0</v>
      </c>
      <c r="G632" s="34">
        <f ca="1">IF(scheduled_no_payments=1,"",IF(Sched_Pay+Extra_Pay&lt;Beg_Bal,Sched_Pay+Extra_Pay,IF(Pay_Num&lt;&gt;"",Beg_Bal,"")))</f>
        <v>0</v>
      </c>
      <c r="H632" s="34">
        <f t="shared" ca="1" si="30"/>
        <v>0</v>
      </c>
      <c r="I632" s="34">
        <f ca="1">IF(Pay_Num&lt;&gt;"",Beg_Bal*(Interest_Rate/VLOOKUP(Interval,LoanLookup[],5,FALSE)),"")</f>
        <v>0</v>
      </c>
      <c r="J632" s="34">
        <f ca="1">IF(scheduled_no_payments=1,"",IF(AND(Pay_Num&lt;&gt;"",Sched_Pay+Extra_Pay&lt;Beg_Bal),Beg_Bal-Princ,IF(Pay_Num&lt;&gt;"",0,"")))</f>
        <v>0</v>
      </c>
      <c r="K632" s="34">
        <f ca="1">IF(scheduled_no_payments=1,"",SUM($I$13:$I632))</f>
        <v>87584.066117996466</v>
      </c>
      <c r="L632" s="38"/>
    </row>
    <row r="633" spans="2:12" ht="16.5" customHeight="1" x14ac:dyDescent="0.25">
      <c r="B633" s="32">
        <f ca="1">IF(AND(Values_Entered,scheduled_no_payments&lt;&gt;1),B632+1,"")</f>
        <v>621</v>
      </c>
      <c r="C633" s="33">
        <f ca="1">IF(Pay_Num&lt;&gt;"",DATE(YEAR(C632)+VLOOKUP(Interval,LoanLookup[],4,FALSE),MONTH(C632)+VLOOKUP(Interval,LoanLookup[],2,FALSE),DAY(C632)+VLOOKUP(Interval,LoanLookup[],3,FALSE)),"")</f>
        <v>63738</v>
      </c>
      <c r="D633" s="34">
        <f t="shared" ca="1" si="32"/>
        <v>0</v>
      </c>
      <c r="E633" s="35">
        <f t="shared" ca="1" si="31"/>
        <v>989.93360882498609</v>
      </c>
      <c r="F633" s="36">
        <f ca="1">IF(scheduled_no_payments=1,"",IF(Sched_Pay+Scheduled_Extra_Payments&lt;Beg_Bal,Scheduled_Extra_Payments,IF(AND(Pay_Num&lt;&gt;"",Beg_Bal-Sched_Pay&gt;0),Beg_Bal-Sched_Pay,IF(Pay_Num&lt;&gt;"",0,""))))</f>
        <v>0</v>
      </c>
      <c r="G633" s="34">
        <f ca="1">IF(scheduled_no_payments=1,"",IF(Sched_Pay+Extra_Pay&lt;Beg_Bal,Sched_Pay+Extra_Pay,IF(Pay_Num&lt;&gt;"",Beg_Bal,"")))</f>
        <v>0</v>
      </c>
      <c r="H633" s="34">
        <f t="shared" ca="1" si="30"/>
        <v>0</v>
      </c>
      <c r="I633" s="34">
        <f ca="1">IF(Pay_Num&lt;&gt;"",Beg_Bal*(Interest_Rate/VLOOKUP(Interval,LoanLookup[],5,FALSE)),"")</f>
        <v>0</v>
      </c>
      <c r="J633" s="34">
        <f ca="1">IF(scheduled_no_payments=1,"",IF(AND(Pay_Num&lt;&gt;"",Sched_Pay+Extra_Pay&lt;Beg_Bal),Beg_Bal-Princ,IF(Pay_Num&lt;&gt;"",0,"")))</f>
        <v>0</v>
      </c>
      <c r="K633" s="34">
        <f ca="1">IF(scheduled_no_payments=1,"",SUM($I$13:$I633))</f>
        <v>87584.066117996466</v>
      </c>
      <c r="L633" s="38"/>
    </row>
    <row r="634" spans="2:12" ht="16.5" customHeight="1" x14ac:dyDescent="0.25">
      <c r="B634" s="32">
        <f ca="1">IF(AND(Values_Entered,scheduled_no_payments&lt;&gt;1),B633+1,"")</f>
        <v>622</v>
      </c>
      <c r="C634" s="33">
        <f ca="1">IF(Pay_Num&lt;&gt;"",DATE(YEAR(C633)+VLOOKUP(Interval,LoanLookup[],4,FALSE),MONTH(C633)+VLOOKUP(Interval,LoanLookup[],2,FALSE),DAY(C633)+VLOOKUP(Interval,LoanLookup[],3,FALSE)),"")</f>
        <v>63769</v>
      </c>
      <c r="D634" s="34">
        <f t="shared" ca="1" si="32"/>
        <v>0</v>
      </c>
      <c r="E634" s="35">
        <f t="shared" ca="1" si="31"/>
        <v>989.93360882498609</v>
      </c>
      <c r="F634" s="36">
        <f ca="1">IF(scheduled_no_payments=1,"",IF(Sched_Pay+Scheduled_Extra_Payments&lt;Beg_Bal,Scheduled_Extra_Payments,IF(AND(Pay_Num&lt;&gt;"",Beg_Bal-Sched_Pay&gt;0),Beg_Bal-Sched_Pay,IF(Pay_Num&lt;&gt;"",0,""))))</f>
        <v>0</v>
      </c>
      <c r="G634" s="34">
        <f ca="1">IF(scheduled_no_payments=1,"",IF(Sched_Pay+Extra_Pay&lt;Beg_Bal,Sched_Pay+Extra_Pay,IF(Pay_Num&lt;&gt;"",Beg_Bal,"")))</f>
        <v>0</v>
      </c>
      <c r="H634" s="34">
        <f t="shared" ca="1" si="30"/>
        <v>0</v>
      </c>
      <c r="I634" s="34">
        <f ca="1">IF(Pay_Num&lt;&gt;"",Beg_Bal*(Interest_Rate/VLOOKUP(Interval,LoanLookup[],5,FALSE)),"")</f>
        <v>0</v>
      </c>
      <c r="J634" s="34">
        <f ca="1">IF(scheduled_no_payments=1,"",IF(AND(Pay_Num&lt;&gt;"",Sched_Pay+Extra_Pay&lt;Beg_Bal),Beg_Bal-Princ,IF(Pay_Num&lt;&gt;"",0,"")))</f>
        <v>0</v>
      </c>
      <c r="K634" s="34">
        <f ca="1">IF(scheduled_no_payments=1,"",SUM($I$13:$I634))</f>
        <v>87584.066117996466</v>
      </c>
      <c r="L634" s="38"/>
    </row>
    <row r="635" spans="2:12" ht="16.5" customHeight="1" x14ac:dyDescent="0.25">
      <c r="B635" s="32">
        <f ca="1">IF(AND(Values_Entered,scheduled_no_payments&lt;&gt;1),B634+1,"")</f>
        <v>623</v>
      </c>
      <c r="C635" s="33">
        <f ca="1">IF(Pay_Num&lt;&gt;"",DATE(YEAR(C634)+VLOOKUP(Interval,LoanLookup[],4,FALSE),MONTH(C634)+VLOOKUP(Interval,LoanLookup[],2,FALSE),DAY(C634)+VLOOKUP(Interval,LoanLookup[],3,FALSE)),"")</f>
        <v>63800</v>
      </c>
      <c r="D635" s="34">
        <f t="shared" ca="1" si="32"/>
        <v>0</v>
      </c>
      <c r="E635" s="35">
        <f t="shared" ca="1" si="31"/>
        <v>989.93360882498609</v>
      </c>
      <c r="F635" s="36">
        <f ca="1">IF(scheduled_no_payments=1,"",IF(Sched_Pay+Scheduled_Extra_Payments&lt;Beg_Bal,Scheduled_Extra_Payments,IF(AND(Pay_Num&lt;&gt;"",Beg_Bal-Sched_Pay&gt;0),Beg_Bal-Sched_Pay,IF(Pay_Num&lt;&gt;"",0,""))))</f>
        <v>0</v>
      </c>
      <c r="G635" s="34">
        <f ca="1">IF(scheduled_no_payments=1,"",IF(Sched_Pay+Extra_Pay&lt;Beg_Bal,Sched_Pay+Extra_Pay,IF(Pay_Num&lt;&gt;"",Beg_Bal,"")))</f>
        <v>0</v>
      </c>
      <c r="H635" s="34">
        <f t="shared" ca="1" si="30"/>
        <v>0</v>
      </c>
      <c r="I635" s="34">
        <f ca="1">IF(Pay_Num&lt;&gt;"",Beg_Bal*(Interest_Rate/VLOOKUP(Interval,LoanLookup[],5,FALSE)),"")</f>
        <v>0</v>
      </c>
      <c r="J635" s="34">
        <f ca="1">IF(scheduled_no_payments=1,"",IF(AND(Pay_Num&lt;&gt;"",Sched_Pay+Extra_Pay&lt;Beg_Bal),Beg_Bal-Princ,IF(Pay_Num&lt;&gt;"",0,"")))</f>
        <v>0</v>
      </c>
      <c r="K635" s="34">
        <f ca="1">IF(scheduled_no_payments=1,"",SUM($I$13:$I635))</f>
        <v>87584.066117996466</v>
      </c>
      <c r="L635" s="38"/>
    </row>
    <row r="636" spans="2:12" ht="16.5" customHeight="1" x14ac:dyDescent="0.25">
      <c r="B636" s="32">
        <f ca="1">IF(AND(Values_Entered,scheduled_no_payments&lt;&gt;1),B635+1,"")</f>
        <v>624</v>
      </c>
      <c r="C636" s="33">
        <f ca="1">IF(Pay_Num&lt;&gt;"",DATE(YEAR(C635)+VLOOKUP(Interval,LoanLookup[],4,FALSE),MONTH(C635)+VLOOKUP(Interval,LoanLookup[],2,FALSE),DAY(C635)+VLOOKUP(Interval,LoanLookup[],3,FALSE)),"")</f>
        <v>63830</v>
      </c>
      <c r="D636" s="34">
        <f t="shared" ca="1" si="32"/>
        <v>0</v>
      </c>
      <c r="E636" s="35">
        <f t="shared" ca="1" si="31"/>
        <v>989.93360882498609</v>
      </c>
      <c r="F636" s="36">
        <f ca="1">IF(scheduled_no_payments=1,"",IF(Sched_Pay+Scheduled_Extra_Payments&lt;Beg_Bal,Scheduled_Extra_Payments,IF(AND(Pay_Num&lt;&gt;"",Beg_Bal-Sched_Pay&gt;0),Beg_Bal-Sched_Pay,IF(Pay_Num&lt;&gt;"",0,""))))</f>
        <v>0</v>
      </c>
      <c r="G636" s="34">
        <f ca="1">IF(scheduled_no_payments=1,"",IF(Sched_Pay+Extra_Pay&lt;Beg_Bal,Sched_Pay+Extra_Pay,IF(Pay_Num&lt;&gt;"",Beg_Bal,"")))</f>
        <v>0</v>
      </c>
      <c r="H636" s="34">
        <f t="shared" ca="1" si="30"/>
        <v>0</v>
      </c>
      <c r="I636" s="34">
        <f ca="1">IF(Pay_Num&lt;&gt;"",Beg_Bal*(Interest_Rate/VLOOKUP(Interval,LoanLookup[],5,FALSE)),"")</f>
        <v>0</v>
      </c>
      <c r="J636" s="34">
        <f ca="1">IF(scheduled_no_payments=1,"",IF(AND(Pay_Num&lt;&gt;"",Sched_Pay+Extra_Pay&lt;Beg_Bal),Beg_Bal-Princ,IF(Pay_Num&lt;&gt;"",0,"")))</f>
        <v>0</v>
      </c>
      <c r="K636" s="34">
        <f ca="1">IF(scheduled_no_payments=1,"",SUM($I$13:$I636))</f>
        <v>87584.066117996466</v>
      </c>
      <c r="L636" s="38"/>
    </row>
    <row r="637" spans="2:12" ht="16.5" customHeight="1" x14ac:dyDescent="0.25">
      <c r="B637" s="32">
        <f ca="1">IF(AND(Values_Entered,scheduled_no_payments&lt;&gt;1),B636+1,"")</f>
        <v>625</v>
      </c>
      <c r="C637" s="33">
        <f ca="1">IF(Pay_Num&lt;&gt;"",DATE(YEAR(C636)+VLOOKUP(Interval,LoanLookup[],4,FALSE),MONTH(C636)+VLOOKUP(Interval,LoanLookup[],2,FALSE),DAY(C636)+VLOOKUP(Interval,LoanLookup[],3,FALSE)),"")</f>
        <v>63861</v>
      </c>
      <c r="D637" s="34">
        <f t="shared" ca="1" si="32"/>
        <v>0</v>
      </c>
      <c r="E637" s="35">
        <f t="shared" ca="1" si="31"/>
        <v>989.93360882498609</v>
      </c>
      <c r="F637" s="36">
        <f ca="1">IF(scheduled_no_payments=1,"",IF(Sched_Pay+Scheduled_Extra_Payments&lt;Beg_Bal,Scheduled_Extra_Payments,IF(AND(Pay_Num&lt;&gt;"",Beg_Bal-Sched_Pay&gt;0),Beg_Bal-Sched_Pay,IF(Pay_Num&lt;&gt;"",0,""))))</f>
        <v>0</v>
      </c>
      <c r="G637" s="34">
        <f ca="1">IF(scheduled_no_payments=1,"",IF(Sched_Pay+Extra_Pay&lt;Beg_Bal,Sched_Pay+Extra_Pay,IF(Pay_Num&lt;&gt;"",Beg_Bal,"")))</f>
        <v>0</v>
      </c>
      <c r="H637" s="34">
        <f t="shared" ca="1" si="30"/>
        <v>0</v>
      </c>
      <c r="I637" s="34">
        <f ca="1">IF(Pay_Num&lt;&gt;"",Beg_Bal*(Interest_Rate/VLOOKUP(Interval,LoanLookup[],5,FALSE)),"")</f>
        <v>0</v>
      </c>
      <c r="J637" s="34">
        <f ca="1">IF(scheduled_no_payments=1,"",IF(AND(Pay_Num&lt;&gt;"",Sched_Pay+Extra_Pay&lt;Beg_Bal),Beg_Bal-Princ,IF(Pay_Num&lt;&gt;"",0,"")))</f>
        <v>0</v>
      </c>
      <c r="K637" s="34">
        <f ca="1">IF(scheduled_no_payments=1,"",SUM($I$13:$I637))</f>
        <v>87584.066117996466</v>
      </c>
      <c r="L637" s="38"/>
    </row>
    <row r="638" spans="2:12" ht="16.5" customHeight="1" x14ac:dyDescent="0.25">
      <c r="B638" s="32">
        <f ca="1">IF(AND(Values_Entered,scheduled_no_payments&lt;&gt;1),B637+1,"")</f>
        <v>626</v>
      </c>
      <c r="C638" s="33">
        <f ca="1">IF(Pay_Num&lt;&gt;"",DATE(YEAR(C637)+VLOOKUP(Interval,LoanLookup[],4,FALSE),MONTH(C637)+VLOOKUP(Interval,LoanLookup[],2,FALSE),DAY(C637)+VLOOKUP(Interval,LoanLookup[],3,FALSE)),"")</f>
        <v>63891</v>
      </c>
      <c r="D638" s="34">
        <f t="shared" ca="1" si="32"/>
        <v>0</v>
      </c>
      <c r="E638" s="35">
        <f t="shared" ca="1" si="31"/>
        <v>989.93360882498609</v>
      </c>
      <c r="F638" s="36">
        <f ca="1">IF(scheduled_no_payments=1,"",IF(Sched_Pay+Scheduled_Extra_Payments&lt;Beg_Bal,Scheduled_Extra_Payments,IF(AND(Pay_Num&lt;&gt;"",Beg_Bal-Sched_Pay&gt;0),Beg_Bal-Sched_Pay,IF(Pay_Num&lt;&gt;"",0,""))))</f>
        <v>0</v>
      </c>
      <c r="G638" s="34">
        <f ca="1">IF(scheduled_no_payments=1,"",IF(Sched_Pay+Extra_Pay&lt;Beg_Bal,Sched_Pay+Extra_Pay,IF(Pay_Num&lt;&gt;"",Beg_Bal,"")))</f>
        <v>0</v>
      </c>
      <c r="H638" s="34">
        <f t="shared" ca="1" si="30"/>
        <v>0</v>
      </c>
      <c r="I638" s="34">
        <f ca="1">IF(Pay_Num&lt;&gt;"",Beg_Bal*(Interest_Rate/VLOOKUP(Interval,LoanLookup[],5,FALSE)),"")</f>
        <v>0</v>
      </c>
      <c r="J638" s="34">
        <f ca="1">IF(scheduled_no_payments=1,"",IF(AND(Pay_Num&lt;&gt;"",Sched_Pay+Extra_Pay&lt;Beg_Bal),Beg_Bal-Princ,IF(Pay_Num&lt;&gt;"",0,"")))</f>
        <v>0</v>
      </c>
      <c r="K638" s="34">
        <f ca="1">IF(scheduled_no_payments=1,"",SUM($I$13:$I638))</f>
        <v>87584.066117996466</v>
      </c>
      <c r="L638" s="38"/>
    </row>
    <row r="639" spans="2:12" ht="16.5" customHeight="1" x14ac:dyDescent="0.25">
      <c r="B639" s="32">
        <f ca="1">IF(AND(Values_Entered,scheduled_no_payments&lt;&gt;1),B638+1,"")</f>
        <v>627</v>
      </c>
      <c r="C639" s="33">
        <f ca="1">IF(Pay_Num&lt;&gt;"",DATE(YEAR(C638)+VLOOKUP(Interval,LoanLookup[],4,FALSE),MONTH(C638)+VLOOKUP(Interval,LoanLookup[],2,FALSE),DAY(C638)+VLOOKUP(Interval,LoanLookup[],3,FALSE)),"")</f>
        <v>63922</v>
      </c>
      <c r="D639" s="34">
        <f t="shared" ca="1" si="32"/>
        <v>0</v>
      </c>
      <c r="E639" s="35">
        <f t="shared" ca="1" si="31"/>
        <v>989.93360882498609</v>
      </c>
      <c r="F639" s="36">
        <f ca="1">IF(scheduled_no_payments=1,"",IF(Sched_Pay+Scheduled_Extra_Payments&lt;Beg_Bal,Scheduled_Extra_Payments,IF(AND(Pay_Num&lt;&gt;"",Beg_Bal-Sched_Pay&gt;0),Beg_Bal-Sched_Pay,IF(Pay_Num&lt;&gt;"",0,""))))</f>
        <v>0</v>
      </c>
      <c r="G639" s="34">
        <f ca="1">IF(scheduled_no_payments=1,"",IF(Sched_Pay+Extra_Pay&lt;Beg_Bal,Sched_Pay+Extra_Pay,IF(Pay_Num&lt;&gt;"",Beg_Bal,"")))</f>
        <v>0</v>
      </c>
      <c r="H639" s="34">
        <f t="shared" ca="1" si="30"/>
        <v>0</v>
      </c>
      <c r="I639" s="34">
        <f ca="1">IF(Pay_Num&lt;&gt;"",Beg_Bal*(Interest_Rate/VLOOKUP(Interval,LoanLookup[],5,FALSE)),"")</f>
        <v>0</v>
      </c>
      <c r="J639" s="34">
        <f ca="1">IF(scheduled_no_payments=1,"",IF(AND(Pay_Num&lt;&gt;"",Sched_Pay+Extra_Pay&lt;Beg_Bal),Beg_Bal-Princ,IF(Pay_Num&lt;&gt;"",0,"")))</f>
        <v>0</v>
      </c>
      <c r="K639" s="34">
        <f ca="1">IF(scheduled_no_payments=1,"",SUM($I$13:$I639))</f>
        <v>87584.066117996466</v>
      </c>
      <c r="L639" s="38"/>
    </row>
    <row r="640" spans="2:12" ht="16.5" customHeight="1" x14ac:dyDescent="0.25">
      <c r="B640" s="32">
        <f ca="1">IF(AND(Values_Entered,scheduled_no_payments&lt;&gt;1),B639+1,"")</f>
        <v>628</v>
      </c>
      <c r="C640" s="33">
        <f ca="1">IF(Pay_Num&lt;&gt;"",DATE(YEAR(C639)+VLOOKUP(Interval,LoanLookup[],4,FALSE),MONTH(C639)+VLOOKUP(Interval,LoanLookup[],2,FALSE),DAY(C639)+VLOOKUP(Interval,LoanLookup[],3,FALSE)),"")</f>
        <v>63953</v>
      </c>
      <c r="D640" s="34">
        <f t="shared" ca="1" si="32"/>
        <v>0</v>
      </c>
      <c r="E640" s="35">
        <f t="shared" ca="1" si="31"/>
        <v>989.93360882498609</v>
      </c>
      <c r="F640" s="36">
        <f ca="1">IF(scheduled_no_payments=1,"",IF(Sched_Pay+Scheduled_Extra_Payments&lt;Beg_Bal,Scheduled_Extra_Payments,IF(AND(Pay_Num&lt;&gt;"",Beg_Bal-Sched_Pay&gt;0),Beg_Bal-Sched_Pay,IF(Pay_Num&lt;&gt;"",0,""))))</f>
        <v>0</v>
      </c>
      <c r="G640" s="34">
        <f ca="1">IF(scheduled_no_payments=1,"",IF(Sched_Pay+Extra_Pay&lt;Beg_Bal,Sched_Pay+Extra_Pay,IF(Pay_Num&lt;&gt;"",Beg_Bal,"")))</f>
        <v>0</v>
      </c>
      <c r="H640" s="34">
        <f t="shared" ca="1" si="30"/>
        <v>0</v>
      </c>
      <c r="I640" s="34">
        <f ca="1">IF(Pay_Num&lt;&gt;"",Beg_Bal*(Interest_Rate/VLOOKUP(Interval,LoanLookup[],5,FALSE)),"")</f>
        <v>0</v>
      </c>
      <c r="J640" s="34">
        <f ca="1">IF(scheduled_no_payments=1,"",IF(AND(Pay_Num&lt;&gt;"",Sched_Pay+Extra_Pay&lt;Beg_Bal),Beg_Bal-Princ,IF(Pay_Num&lt;&gt;"",0,"")))</f>
        <v>0</v>
      </c>
      <c r="K640" s="34">
        <f ca="1">IF(scheduled_no_payments=1,"",SUM($I$13:$I640))</f>
        <v>87584.066117996466</v>
      </c>
      <c r="L640" s="38"/>
    </row>
    <row r="641" spans="2:12" ht="16.5" customHeight="1" x14ac:dyDescent="0.25">
      <c r="B641" s="32">
        <f ca="1">IF(AND(Values_Entered,scheduled_no_payments&lt;&gt;1),B640+1,"")</f>
        <v>629</v>
      </c>
      <c r="C641" s="33">
        <f ca="1">IF(Pay_Num&lt;&gt;"",DATE(YEAR(C640)+VLOOKUP(Interval,LoanLookup[],4,FALSE),MONTH(C640)+VLOOKUP(Interval,LoanLookup[],2,FALSE),DAY(C640)+VLOOKUP(Interval,LoanLookup[],3,FALSE)),"")</f>
        <v>63981</v>
      </c>
      <c r="D641" s="34">
        <f t="shared" ca="1" si="32"/>
        <v>0</v>
      </c>
      <c r="E641" s="35">
        <f t="shared" ca="1" si="31"/>
        <v>989.93360882498609</v>
      </c>
      <c r="F641" s="36">
        <f ca="1">IF(scheduled_no_payments=1,"",IF(Sched_Pay+Scheduled_Extra_Payments&lt;Beg_Bal,Scheduled_Extra_Payments,IF(AND(Pay_Num&lt;&gt;"",Beg_Bal-Sched_Pay&gt;0),Beg_Bal-Sched_Pay,IF(Pay_Num&lt;&gt;"",0,""))))</f>
        <v>0</v>
      </c>
      <c r="G641" s="34">
        <f ca="1">IF(scheduled_no_payments=1,"",IF(Sched_Pay+Extra_Pay&lt;Beg_Bal,Sched_Pay+Extra_Pay,IF(Pay_Num&lt;&gt;"",Beg_Bal,"")))</f>
        <v>0</v>
      </c>
      <c r="H641" s="34">
        <f t="shared" ca="1" si="30"/>
        <v>0</v>
      </c>
      <c r="I641" s="34">
        <f ca="1">IF(Pay_Num&lt;&gt;"",Beg_Bal*(Interest_Rate/VLOOKUP(Interval,LoanLookup[],5,FALSE)),"")</f>
        <v>0</v>
      </c>
      <c r="J641" s="34">
        <f ca="1">IF(scheduled_no_payments=1,"",IF(AND(Pay_Num&lt;&gt;"",Sched_Pay+Extra_Pay&lt;Beg_Bal),Beg_Bal-Princ,IF(Pay_Num&lt;&gt;"",0,"")))</f>
        <v>0</v>
      </c>
      <c r="K641" s="34">
        <f ca="1">IF(scheduled_no_payments=1,"",SUM($I$13:$I641))</f>
        <v>87584.066117996466</v>
      </c>
      <c r="L641" s="38"/>
    </row>
    <row r="642" spans="2:12" ht="16.5" customHeight="1" x14ac:dyDescent="0.25">
      <c r="B642" s="32">
        <f ca="1">IF(AND(Values_Entered,scheduled_no_payments&lt;&gt;1),B641+1,"")</f>
        <v>630</v>
      </c>
      <c r="C642" s="33">
        <f ca="1">IF(Pay_Num&lt;&gt;"",DATE(YEAR(C641)+VLOOKUP(Interval,LoanLookup[],4,FALSE),MONTH(C641)+VLOOKUP(Interval,LoanLookup[],2,FALSE),DAY(C641)+VLOOKUP(Interval,LoanLookup[],3,FALSE)),"")</f>
        <v>64012</v>
      </c>
      <c r="D642" s="34">
        <f t="shared" ca="1" si="32"/>
        <v>0</v>
      </c>
      <c r="E642" s="35">
        <f t="shared" ca="1" si="31"/>
        <v>989.93360882498609</v>
      </c>
      <c r="F642" s="36">
        <f ca="1">IF(scheduled_no_payments=1,"",IF(Sched_Pay+Scheduled_Extra_Payments&lt;Beg_Bal,Scheduled_Extra_Payments,IF(AND(Pay_Num&lt;&gt;"",Beg_Bal-Sched_Pay&gt;0),Beg_Bal-Sched_Pay,IF(Pay_Num&lt;&gt;"",0,""))))</f>
        <v>0</v>
      </c>
      <c r="G642" s="34">
        <f ca="1">IF(scheduled_no_payments=1,"",IF(Sched_Pay+Extra_Pay&lt;Beg_Bal,Sched_Pay+Extra_Pay,IF(Pay_Num&lt;&gt;"",Beg_Bal,"")))</f>
        <v>0</v>
      </c>
      <c r="H642" s="34">
        <f t="shared" ca="1" si="30"/>
        <v>0</v>
      </c>
      <c r="I642" s="34">
        <f ca="1">IF(Pay_Num&lt;&gt;"",Beg_Bal*(Interest_Rate/VLOOKUP(Interval,LoanLookup[],5,FALSE)),"")</f>
        <v>0</v>
      </c>
      <c r="J642" s="34">
        <f ca="1">IF(scheduled_no_payments=1,"",IF(AND(Pay_Num&lt;&gt;"",Sched_Pay+Extra_Pay&lt;Beg_Bal),Beg_Bal-Princ,IF(Pay_Num&lt;&gt;"",0,"")))</f>
        <v>0</v>
      </c>
      <c r="K642" s="34">
        <f ca="1">IF(scheduled_no_payments=1,"",SUM($I$13:$I642))</f>
        <v>87584.066117996466</v>
      </c>
      <c r="L642" s="38"/>
    </row>
    <row r="643" spans="2:12" ht="16.5" customHeight="1" x14ac:dyDescent="0.25">
      <c r="B643" s="32">
        <f ca="1">IF(AND(Values_Entered,scheduled_no_payments&lt;&gt;1),B642+1,"")</f>
        <v>631</v>
      </c>
      <c r="C643" s="33">
        <f ca="1">IF(Pay_Num&lt;&gt;"",DATE(YEAR(C642)+VLOOKUP(Interval,LoanLookup[],4,FALSE),MONTH(C642)+VLOOKUP(Interval,LoanLookup[],2,FALSE),DAY(C642)+VLOOKUP(Interval,LoanLookup[],3,FALSE)),"")</f>
        <v>64042</v>
      </c>
      <c r="D643" s="34">
        <f t="shared" ca="1" si="32"/>
        <v>0</v>
      </c>
      <c r="E643" s="35">
        <f t="shared" ca="1" si="31"/>
        <v>989.93360882498609</v>
      </c>
      <c r="F643" s="36">
        <f ca="1">IF(scheduled_no_payments=1,"",IF(Sched_Pay+Scheduled_Extra_Payments&lt;Beg_Bal,Scheduled_Extra_Payments,IF(AND(Pay_Num&lt;&gt;"",Beg_Bal-Sched_Pay&gt;0),Beg_Bal-Sched_Pay,IF(Pay_Num&lt;&gt;"",0,""))))</f>
        <v>0</v>
      </c>
      <c r="G643" s="34">
        <f ca="1">IF(scheduled_no_payments=1,"",IF(Sched_Pay+Extra_Pay&lt;Beg_Bal,Sched_Pay+Extra_Pay,IF(Pay_Num&lt;&gt;"",Beg_Bal,"")))</f>
        <v>0</v>
      </c>
      <c r="H643" s="34">
        <f t="shared" ca="1" si="30"/>
        <v>0</v>
      </c>
      <c r="I643" s="34">
        <f ca="1">IF(Pay_Num&lt;&gt;"",Beg_Bal*(Interest_Rate/VLOOKUP(Interval,LoanLookup[],5,FALSE)),"")</f>
        <v>0</v>
      </c>
      <c r="J643" s="34">
        <f ca="1">IF(scheduled_no_payments=1,"",IF(AND(Pay_Num&lt;&gt;"",Sched_Pay+Extra_Pay&lt;Beg_Bal),Beg_Bal-Princ,IF(Pay_Num&lt;&gt;"",0,"")))</f>
        <v>0</v>
      </c>
      <c r="K643" s="34">
        <f ca="1">IF(scheduled_no_payments=1,"",SUM($I$13:$I643))</f>
        <v>87584.066117996466</v>
      </c>
      <c r="L643" s="38"/>
    </row>
    <row r="644" spans="2:12" ht="16.5" customHeight="1" x14ac:dyDescent="0.25">
      <c r="B644" s="32">
        <f ca="1">IF(AND(Values_Entered,scheduled_no_payments&lt;&gt;1),B643+1,"")</f>
        <v>632</v>
      </c>
      <c r="C644" s="33">
        <f ca="1">IF(Pay_Num&lt;&gt;"",DATE(YEAR(C643)+VLOOKUP(Interval,LoanLookup[],4,FALSE),MONTH(C643)+VLOOKUP(Interval,LoanLookup[],2,FALSE),DAY(C643)+VLOOKUP(Interval,LoanLookup[],3,FALSE)),"")</f>
        <v>64073</v>
      </c>
      <c r="D644" s="34">
        <f t="shared" ca="1" si="32"/>
        <v>0</v>
      </c>
      <c r="E644" s="35">
        <f t="shared" ca="1" si="31"/>
        <v>989.93360882498609</v>
      </c>
      <c r="F644" s="36">
        <f ca="1">IF(scheduled_no_payments=1,"",IF(Sched_Pay+Scheduled_Extra_Payments&lt;Beg_Bal,Scheduled_Extra_Payments,IF(AND(Pay_Num&lt;&gt;"",Beg_Bal-Sched_Pay&gt;0),Beg_Bal-Sched_Pay,IF(Pay_Num&lt;&gt;"",0,""))))</f>
        <v>0</v>
      </c>
      <c r="G644" s="34">
        <f ca="1">IF(scheduled_no_payments=1,"",IF(Sched_Pay+Extra_Pay&lt;Beg_Bal,Sched_Pay+Extra_Pay,IF(Pay_Num&lt;&gt;"",Beg_Bal,"")))</f>
        <v>0</v>
      </c>
      <c r="H644" s="34">
        <f t="shared" ca="1" si="30"/>
        <v>0</v>
      </c>
      <c r="I644" s="34">
        <f ca="1">IF(Pay_Num&lt;&gt;"",Beg_Bal*(Interest_Rate/VLOOKUP(Interval,LoanLookup[],5,FALSE)),"")</f>
        <v>0</v>
      </c>
      <c r="J644" s="34">
        <f ca="1">IF(scheduled_no_payments=1,"",IF(AND(Pay_Num&lt;&gt;"",Sched_Pay+Extra_Pay&lt;Beg_Bal),Beg_Bal-Princ,IF(Pay_Num&lt;&gt;"",0,"")))</f>
        <v>0</v>
      </c>
      <c r="K644" s="34">
        <f ca="1">IF(scheduled_no_payments=1,"",SUM($I$13:$I644))</f>
        <v>87584.066117996466</v>
      </c>
      <c r="L644" s="38"/>
    </row>
    <row r="645" spans="2:12" ht="16.5" customHeight="1" x14ac:dyDescent="0.25">
      <c r="B645" s="32">
        <f ca="1">IF(AND(Values_Entered,scheduled_no_payments&lt;&gt;1),B644+1,"")</f>
        <v>633</v>
      </c>
      <c r="C645" s="33">
        <f ca="1">IF(Pay_Num&lt;&gt;"",DATE(YEAR(C644)+VLOOKUP(Interval,LoanLookup[],4,FALSE),MONTH(C644)+VLOOKUP(Interval,LoanLookup[],2,FALSE),DAY(C644)+VLOOKUP(Interval,LoanLookup[],3,FALSE)),"")</f>
        <v>64103</v>
      </c>
      <c r="D645" s="34">
        <f t="shared" ca="1" si="32"/>
        <v>0</v>
      </c>
      <c r="E645" s="35">
        <f t="shared" ca="1" si="31"/>
        <v>989.93360882498609</v>
      </c>
      <c r="F645" s="36">
        <f ca="1">IF(scheduled_no_payments=1,"",IF(Sched_Pay+Scheduled_Extra_Payments&lt;Beg_Bal,Scheduled_Extra_Payments,IF(AND(Pay_Num&lt;&gt;"",Beg_Bal-Sched_Pay&gt;0),Beg_Bal-Sched_Pay,IF(Pay_Num&lt;&gt;"",0,""))))</f>
        <v>0</v>
      </c>
      <c r="G645" s="34">
        <f ca="1">IF(scheduled_no_payments=1,"",IF(Sched_Pay+Extra_Pay&lt;Beg_Bal,Sched_Pay+Extra_Pay,IF(Pay_Num&lt;&gt;"",Beg_Bal,"")))</f>
        <v>0</v>
      </c>
      <c r="H645" s="34">
        <f t="shared" ca="1" si="30"/>
        <v>0</v>
      </c>
      <c r="I645" s="34">
        <f ca="1">IF(Pay_Num&lt;&gt;"",Beg_Bal*(Interest_Rate/VLOOKUP(Interval,LoanLookup[],5,FALSE)),"")</f>
        <v>0</v>
      </c>
      <c r="J645" s="34">
        <f ca="1">IF(scheduled_no_payments=1,"",IF(AND(Pay_Num&lt;&gt;"",Sched_Pay+Extra_Pay&lt;Beg_Bal),Beg_Bal-Princ,IF(Pay_Num&lt;&gt;"",0,"")))</f>
        <v>0</v>
      </c>
      <c r="K645" s="34">
        <f ca="1">IF(scheduled_no_payments=1,"",SUM($I$13:$I645))</f>
        <v>87584.066117996466</v>
      </c>
      <c r="L645" s="38"/>
    </row>
    <row r="646" spans="2:12" ht="16.5" customHeight="1" x14ac:dyDescent="0.25">
      <c r="B646" s="32">
        <f ca="1">IF(AND(Values_Entered,scheduled_no_payments&lt;&gt;1),B645+1,"")</f>
        <v>634</v>
      </c>
      <c r="C646" s="33">
        <f ca="1">IF(Pay_Num&lt;&gt;"",DATE(YEAR(C645)+VLOOKUP(Interval,LoanLookup[],4,FALSE),MONTH(C645)+VLOOKUP(Interval,LoanLookup[],2,FALSE),DAY(C645)+VLOOKUP(Interval,LoanLookup[],3,FALSE)),"")</f>
        <v>64134</v>
      </c>
      <c r="D646" s="34">
        <f t="shared" ca="1" si="32"/>
        <v>0</v>
      </c>
      <c r="E646" s="35">
        <f t="shared" ca="1" si="31"/>
        <v>989.93360882498609</v>
      </c>
      <c r="F646" s="36">
        <f ca="1">IF(scheduled_no_payments=1,"",IF(Sched_Pay+Scheduled_Extra_Payments&lt;Beg_Bal,Scheduled_Extra_Payments,IF(AND(Pay_Num&lt;&gt;"",Beg_Bal-Sched_Pay&gt;0),Beg_Bal-Sched_Pay,IF(Pay_Num&lt;&gt;"",0,""))))</f>
        <v>0</v>
      </c>
      <c r="G646" s="34">
        <f ca="1">IF(scheduled_no_payments=1,"",IF(Sched_Pay+Extra_Pay&lt;Beg_Bal,Sched_Pay+Extra_Pay,IF(Pay_Num&lt;&gt;"",Beg_Bal,"")))</f>
        <v>0</v>
      </c>
      <c r="H646" s="34">
        <f t="shared" ca="1" si="30"/>
        <v>0</v>
      </c>
      <c r="I646" s="34">
        <f ca="1">IF(Pay_Num&lt;&gt;"",Beg_Bal*(Interest_Rate/VLOOKUP(Interval,LoanLookup[],5,FALSE)),"")</f>
        <v>0</v>
      </c>
      <c r="J646" s="34">
        <f ca="1">IF(scheduled_no_payments=1,"",IF(AND(Pay_Num&lt;&gt;"",Sched_Pay+Extra_Pay&lt;Beg_Bal),Beg_Bal-Princ,IF(Pay_Num&lt;&gt;"",0,"")))</f>
        <v>0</v>
      </c>
      <c r="K646" s="34">
        <f ca="1">IF(scheduled_no_payments=1,"",SUM($I$13:$I646))</f>
        <v>87584.066117996466</v>
      </c>
      <c r="L646" s="38"/>
    </row>
    <row r="647" spans="2:12" ht="16.5" customHeight="1" x14ac:dyDescent="0.25">
      <c r="B647" s="32">
        <f ca="1">IF(AND(Values_Entered,scheduled_no_payments&lt;&gt;1),B646+1,"")</f>
        <v>635</v>
      </c>
      <c r="C647" s="33">
        <f ca="1">IF(Pay_Num&lt;&gt;"",DATE(YEAR(C646)+VLOOKUP(Interval,LoanLookup[],4,FALSE),MONTH(C646)+VLOOKUP(Interval,LoanLookup[],2,FALSE),DAY(C646)+VLOOKUP(Interval,LoanLookup[],3,FALSE)),"")</f>
        <v>64165</v>
      </c>
      <c r="D647" s="34">
        <f t="shared" ca="1" si="32"/>
        <v>0</v>
      </c>
      <c r="E647" s="35">
        <f t="shared" ca="1" si="31"/>
        <v>989.93360882498609</v>
      </c>
      <c r="F647" s="36">
        <f ca="1">IF(scheduled_no_payments=1,"",IF(Sched_Pay+Scheduled_Extra_Payments&lt;Beg_Bal,Scheduled_Extra_Payments,IF(AND(Pay_Num&lt;&gt;"",Beg_Bal-Sched_Pay&gt;0),Beg_Bal-Sched_Pay,IF(Pay_Num&lt;&gt;"",0,""))))</f>
        <v>0</v>
      </c>
      <c r="G647" s="34">
        <f ca="1">IF(scheduled_no_payments=1,"",IF(Sched_Pay+Extra_Pay&lt;Beg_Bal,Sched_Pay+Extra_Pay,IF(Pay_Num&lt;&gt;"",Beg_Bal,"")))</f>
        <v>0</v>
      </c>
      <c r="H647" s="34">
        <f t="shared" ca="1" si="30"/>
        <v>0</v>
      </c>
      <c r="I647" s="34">
        <f ca="1">IF(Pay_Num&lt;&gt;"",Beg_Bal*(Interest_Rate/VLOOKUP(Interval,LoanLookup[],5,FALSE)),"")</f>
        <v>0</v>
      </c>
      <c r="J647" s="34">
        <f ca="1">IF(scheduled_no_payments=1,"",IF(AND(Pay_Num&lt;&gt;"",Sched_Pay+Extra_Pay&lt;Beg_Bal),Beg_Bal-Princ,IF(Pay_Num&lt;&gt;"",0,"")))</f>
        <v>0</v>
      </c>
      <c r="K647" s="34">
        <f ca="1">IF(scheduled_no_payments=1,"",SUM($I$13:$I647))</f>
        <v>87584.066117996466</v>
      </c>
      <c r="L647" s="38"/>
    </row>
    <row r="648" spans="2:12" ht="16.5" customHeight="1" x14ac:dyDescent="0.25">
      <c r="B648" s="32">
        <f ca="1">IF(AND(Values_Entered,scheduled_no_payments&lt;&gt;1),B647+1,"")</f>
        <v>636</v>
      </c>
      <c r="C648" s="33">
        <f ca="1">IF(Pay_Num&lt;&gt;"",DATE(YEAR(C647)+VLOOKUP(Interval,LoanLookup[],4,FALSE),MONTH(C647)+VLOOKUP(Interval,LoanLookup[],2,FALSE),DAY(C647)+VLOOKUP(Interval,LoanLookup[],3,FALSE)),"")</f>
        <v>64195</v>
      </c>
      <c r="D648" s="34">
        <f t="shared" ca="1" si="32"/>
        <v>0</v>
      </c>
      <c r="E648" s="35">
        <f t="shared" ca="1" si="31"/>
        <v>989.93360882498609</v>
      </c>
      <c r="F648" s="36">
        <f ca="1">IF(scheduled_no_payments=1,"",IF(Sched_Pay+Scheduled_Extra_Payments&lt;Beg_Bal,Scheduled_Extra_Payments,IF(AND(Pay_Num&lt;&gt;"",Beg_Bal-Sched_Pay&gt;0),Beg_Bal-Sched_Pay,IF(Pay_Num&lt;&gt;"",0,""))))</f>
        <v>0</v>
      </c>
      <c r="G648" s="34">
        <f ca="1">IF(scheduled_no_payments=1,"",IF(Sched_Pay+Extra_Pay&lt;Beg_Bal,Sched_Pay+Extra_Pay,IF(Pay_Num&lt;&gt;"",Beg_Bal,"")))</f>
        <v>0</v>
      </c>
      <c r="H648" s="34">
        <f t="shared" ca="1" si="30"/>
        <v>0</v>
      </c>
      <c r="I648" s="34">
        <f ca="1">IF(Pay_Num&lt;&gt;"",Beg_Bal*(Interest_Rate/VLOOKUP(Interval,LoanLookup[],5,FALSE)),"")</f>
        <v>0</v>
      </c>
      <c r="J648" s="34">
        <f ca="1">IF(scheduled_no_payments=1,"",IF(AND(Pay_Num&lt;&gt;"",Sched_Pay+Extra_Pay&lt;Beg_Bal),Beg_Bal-Princ,IF(Pay_Num&lt;&gt;"",0,"")))</f>
        <v>0</v>
      </c>
      <c r="K648" s="34">
        <f ca="1">IF(scheduled_no_payments=1,"",SUM($I$13:$I648))</f>
        <v>87584.066117996466</v>
      </c>
      <c r="L648" s="38"/>
    </row>
    <row r="649" spans="2:12" ht="16.5" customHeight="1" x14ac:dyDescent="0.25">
      <c r="B649" s="32">
        <f ca="1">IF(AND(Values_Entered,scheduled_no_payments&lt;&gt;1),B648+1,"")</f>
        <v>637</v>
      </c>
      <c r="C649" s="33">
        <f ca="1">IF(Pay_Num&lt;&gt;"",DATE(YEAR(C648)+VLOOKUP(Interval,LoanLookup[],4,FALSE),MONTH(C648)+VLOOKUP(Interval,LoanLookup[],2,FALSE),DAY(C648)+VLOOKUP(Interval,LoanLookup[],3,FALSE)),"")</f>
        <v>64226</v>
      </c>
      <c r="D649" s="34">
        <f t="shared" ca="1" si="32"/>
        <v>0</v>
      </c>
      <c r="E649" s="35">
        <f t="shared" ca="1" si="31"/>
        <v>989.93360882498609</v>
      </c>
      <c r="F649" s="36">
        <f ca="1">IF(scheduled_no_payments=1,"",IF(Sched_Pay+Scheduled_Extra_Payments&lt;Beg_Bal,Scheduled_Extra_Payments,IF(AND(Pay_Num&lt;&gt;"",Beg_Bal-Sched_Pay&gt;0),Beg_Bal-Sched_Pay,IF(Pay_Num&lt;&gt;"",0,""))))</f>
        <v>0</v>
      </c>
      <c r="G649" s="34">
        <f ca="1">IF(scheduled_no_payments=1,"",IF(Sched_Pay+Extra_Pay&lt;Beg_Bal,Sched_Pay+Extra_Pay,IF(Pay_Num&lt;&gt;"",Beg_Bal,"")))</f>
        <v>0</v>
      </c>
      <c r="H649" s="34">
        <f t="shared" ca="1" si="30"/>
        <v>0</v>
      </c>
      <c r="I649" s="34">
        <f ca="1">IF(Pay_Num&lt;&gt;"",Beg_Bal*(Interest_Rate/VLOOKUP(Interval,LoanLookup[],5,FALSE)),"")</f>
        <v>0</v>
      </c>
      <c r="J649" s="34">
        <f ca="1">IF(scheduled_no_payments=1,"",IF(AND(Pay_Num&lt;&gt;"",Sched_Pay+Extra_Pay&lt;Beg_Bal),Beg_Bal-Princ,IF(Pay_Num&lt;&gt;"",0,"")))</f>
        <v>0</v>
      </c>
      <c r="K649" s="34">
        <f ca="1">IF(scheduled_no_payments=1,"",SUM($I$13:$I649))</f>
        <v>87584.066117996466</v>
      </c>
      <c r="L649" s="38"/>
    </row>
    <row r="650" spans="2:12" ht="16.5" customHeight="1" x14ac:dyDescent="0.25">
      <c r="B650" s="32">
        <f ca="1">IF(AND(Values_Entered,scheduled_no_payments&lt;&gt;1),B649+1,"")</f>
        <v>638</v>
      </c>
      <c r="C650" s="33">
        <f ca="1">IF(Pay_Num&lt;&gt;"",DATE(YEAR(C649)+VLOOKUP(Interval,LoanLookup[],4,FALSE),MONTH(C649)+VLOOKUP(Interval,LoanLookup[],2,FALSE),DAY(C649)+VLOOKUP(Interval,LoanLookup[],3,FALSE)),"")</f>
        <v>64256</v>
      </c>
      <c r="D650" s="34">
        <f t="shared" ca="1" si="32"/>
        <v>0</v>
      </c>
      <c r="E650" s="35">
        <f t="shared" ca="1" si="31"/>
        <v>989.93360882498609</v>
      </c>
      <c r="F650" s="36">
        <f ca="1">IF(scheduled_no_payments=1,"",IF(Sched_Pay+Scheduled_Extra_Payments&lt;Beg_Bal,Scheduled_Extra_Payments,IF(AND(Pay_Num&lt;&gt;"",Beg_Bal-Sched_Pay&gt;0),Beg_Bal-Sched_Pay,IF(Pay_Num&lt;&gt;"",0,""))))</f>
        <v>0</v>
      </c>
      <c r="G650" s="34">
        <f ca="1">IF(scheduled_no_payments=1,"",IF(Sched_Pay+Extra_Pay&lt;Beg_Bal,Sched_Pay+Extra_Pay,IF(Pay_Num&lt;&gt;"",Beg_Bal,"")))</f>
        <v>0</v>
      </c>
      <c r="H650" s="34">
        <f t="shared" ca="1" si="30"/>
        <v>0</v>
      </c>
      <c r="I650" s="34">
        <f ca="1">IF(Pay_Num&lt;&gt;"",Beg_Bal*(Interest_Rate/VLOOKUP(Interval,LoanLookup[],5,FALSE)),"")</f>
        <v>0</v>
      </c>
      <c r="J650" s="34">
        <f ca="1">IF(scheduled_no_payments=1,"",IF(AND(Pay_Num&lt;&gt;"",Sched_Pay+Extra_Pay&lt;Beg_Bal),Beg_Bal-Princ,IF(Pay_Num&lt;&gt;"",0,"")))</f>
        <v>0</v>
      </c>
      <c r="K650" s="34">
        <f ca="1">IF(scheduled_no_payments=1,"",SUM($I$13:$I650))</f>
        <v>87584.066117996466</v>
      </c>
      <c r="L650" s="38"/>
    </row>
    <row r="651" spans="2:12" ht="16.5" customHeight="1" x14ac:dyDescent="0.25">
      <c r="B651" s="32">
        <f ca="1">IF(AND(Values_Entered,scheduled_no_payments&lt;&gt;1),B650+1,"")</f>
        <v>639</v>
      </c>
      <c r="C651" s="33">
        <f ca="1">IF(Pay_Num&lt;&gt;"",DATE(YEAR(C650)+VLOOKUP(Interval,LoanLookup[],4,FALSE),MONTH(C650)+VLOOKUP(Interval,LoanLookup[],2,FALSE),DAY(C650)+VLOOKUP(Interval,LoanLookup[],3,FALSE)),"")</f>
        <v>64287</v>
      </c>
      <c r="D651" s="34">
        <f t="shared" ca="1" si="32"/>
        <v>0</v>
      </c>
      <c r="E651" s="35">
        <f t="shared" ca="1" si="31"/>
        <v>989.93360882498609</v>
      </c>
      <c r="F651" s="36">
        <f ca="1">IF(scheduled_no_payments=1,"",IF(Sched_Pay+Scheduled_Extra_Payments&lt;Beg_Bal,Scheduled_Extra_Payments,IF(AND(Pay_Num&lt;&gt;"",Beg_Bal-Sched_Pay&gt;0),Beg_Bal-Sched_Pay,IF(Pay_Num&lt;&gt;"",0,""))))</f>
        <v>0</v>
      </c>
      <c r="G651" s="34">
        <f ca="1">IF(scheduled_no_payments=1,"",IF(Sched_Pay+Extra_Pay&lt;Beg_Bal,Sched_Pay+Extra_Pay,IF(Pay_Num&lt;&gt;"",Beg_Bal,"")))</f>
        <v>0</v>
      </c>
      <c r="H651" s="34">
        <f t="shared" ca="1" si="30"/>
        <v>0</v>
      </c>
      <c r="I651" s="34">
        <f ca="1">IF(Pay_Num&lt;&gt;"",Beg_Bal*(Interest_Rate/VLOOKUP(Interval,LoanLookup[],5,FALSE)),"")</f>
        <v>0</v>
      </c>
      <c r="J651" s="34">
        <f ca="1">IF(scheduled_no_payments=1,"",IF(AND(Pay_Num&lt;&gt;"",Sched_Pay+Extra_Pay&lt;Beg_Bal),Beg_Bal-Princ,IF(Pay_Num&lt;&gt;"",0,"")))</f>
        <v>0</v>
      </c>
      <c r="K651" s="34">
        <f ca="1">IF(scheduled_no_payments=1,"",SUM($I$13:$I651))</f>
        <v>87584.066117996466</v>
      </c>
      <c r="L651" s="38"/>
    </row>
    <row r="652" spans="2:12" ht="16.5" customHeight="1" x14ac:dyDescent="0.25">
      <c r="B652" s="32">
        <f ca="1">IF(AND(Values_Entered,scheduled_no_payments&lt;&gt;1),B651+1,"")</f>
        <v>640</v>
      </c>
      <c r="C652" s="33">
        <f ca="1">IF(Pay_Num&lt;&gt;"",DATE(YEAR(C651)+VLOOKUP(Interval,LoanLookup[],4,FALSE),MONTH(C651)+VLOOKUP(Interval,LoanLookup[],2,FALSE),DAY(C651)+VLOOKUP(Interval,LoanLookup[],3,FALSE)),"")</f>
        <v>64318</v>
      </c>
      <c r="D652" s="34">
        <f t="shared" ca="1" si="32"/>
        <v>0</v>
      </c>
      <c r="E652" s="35">
        <f t="shared" ca="1" si="31"/>
        <v>989.93360882498609</v>
      </c>
      <c r="F652" s="36">
        <f ca="1">IF(scheduled_no_payments=1,"",IF(Sched_Pay+Scheduled_Extra_Payments&lt;Beg_Bal,Scheduled_Extra_Payments,IF(AND(Pay_Num&lt;&gt;"",Beg_Bal-Sched_Pay&gt;0),Beg_Bal-Sched_Pay,IF(Pay_Num&lt;&gt;"",0,""))))</f>
        <v>0</v>
      </c>
      <c r="G652" s="34">
        <f ca="1">IF(scheduled_no_payments=1,"",IF(Sched_Pay+Extra_Pay&lt;Beg_Bal,Sched_Pay+Extra_Pay,IF(Pay_Num&lt;&gt;"",Beg_Bal,"")))</f>
        <v>0</v>
      </c>
      <c r="H652" s="34">
        <f t="shared" ca="1" si="30"/>
        <v>0</v>
      </c>
      <c r="I652" s="34">
        <f ca="1">IF(Pay_Num&lt;&gt;"",Beg_Bal*(Interest_Rate/VLOOKUP(Interval,LoanLookup[],5,FALSE)),"")</f>
        <v>0</v>
      </c>
      <c r="J652" s="34">
        <f ca="1">IF(scheduled_no_payments=1,"",IF(AND(Pay_Num&lt;&gt;"",Sched_Pay+Extra_Pay&lt;Beg_Bal),Beg_Bal-Princ,IF(Pay_Num&lt;&gt;"",0,"")))</f>
        <v>0</v>
      </c>
      <c r="K652" s="34">
        <f ca="1">IF(scheduled_no_payments=1,"",SUM($I$13:$I652))</f>
        <v>87584.066117996466</v>
      </c>
      <c r="L652" s="38"/>
    </row>
    <row r="653" spans="2:12" ht="16.5" customHeight="1" x14ac:dyDescent="0.25">
      <c r="B653" s="32">
        <f ca="1">IF(AND(Values_Entered,scheduled_no_payments&lt;&gt;1),B652+1,"")</f>
        <v>641</v>
      </c>
      <c r="C653" s="33">
        <f ca="1">IF(Pay_Num&lt;&gt;"",DATE(YEAR(C652)+VLOOKUP(Interval,LoanLookup[],4,FALSE),MONTH(C652)+VLOOKUP(Interval,LoanLookup[],2,FALSE),DAY(C652)+VLOOKUP(Interval,LoanLookup[],3,FALSE)),"")</f>
        <v>64347</v>
      </c>
      <c r="D653" s="34">
        <f t="shared" ca="1" si="32"/>
        <v>0</v>
      </c>
      <c r="E653" s="35">
        <f t="shared" ca="1" si="31"/>
        <v>989.93360882498609</v>
      </c>
      <c r="F653" s="36">
        <f ca="1">IF(scheduled_no_payments=1,"",IF(Sched_Pay+Scheduled_Extra_Payments&lt;Beg_Bal,Scheduled_Extra_Payments,IF(AND(Pay_Num&lt;&gt;"",Beg_Bal-Sched_Pay&gt;0),Beg_Bal-Sched_Pay,IF(Pay_Num&lt;&gt;"",0,""))))</f>
        <v>0</v>
      </c>
      <c r="G653" s="34">
        <f ca="1">IF(scheduled_no_payments=1,"",IF(Sched_Pay+Extra_Pay&lt;Beg_Bal,Sched_Pay+Extra_Pay,IF(Pay_Num&lt;&gt;"",Beg_Bal,"")))</f>
        <v>0</v>
      </c>
      <c r="H653" s="34">
        <f t="shared" ca="1" si="30"/>
        <v>0</v>
      </c>
      <c r="I653" s="34">
        <f ca="1">IF(Pay_Num&lt;&gt;"",Beg_Bal*(Interest_Rate/VLOOKUP(Interval,LoanLookup[],5,FALSE)),"")</f>
        <v>0</v>
      </c>
      <c r="J653" s="34">
        <f ca="1">IF(scheduled_no_payments=1,"",IF(AND(Pay_Num&lt;&gt;"",Sched_Pay+Extra_Pay&lt;Beg_Bal),Beg_Bal-Princ,IF(Pay_Num&lt;&gt;"",0,"")))</f>
        <v>0</v>
      </c>
      <c r="K653" s="34">
        <f ca="1">IF(scheduled_no_payments=1,"",SUM($I$13:$I653))</f>
        <v>87584.066117996466</v>
      </c>
      <c r="L653" s="38"/>
    </row>
    <row r="654" spans="2:12" ht="16.5" customHeight="1" x14ac:dyDescent="0.25">
      <c r="B654" s="32">
        <f ca="1">IF(AND(Values_Entered,scheduled_no_payments&lt;&gt;1),B653+1,"")</f>
        <v>642</v>
      </c>
      <c r="C654" s="33">
        <f ca="1">IF(Pay_Num&lt;&gt;"",DATE(YEAR(C653)+VLOOKUP(Interval,LoanLookup[],4,FALSE),MONTH(C653)+VLOOKUP(Interval,LoanLookup[],2,FALSE),DAY(C653)+VLOOKUP(Interval,LoanLookup[],3,FALSE)),"")</f>
        <v>64378</v>
      </c>
      <c r="D654" s="34">
        <f t="shared" ca="1" si="32"/>
        <v>0</v>
      </c>
      <c r="E654" s="35">
        <f t="shared" ca="1" si="31"/>
        <v>989.93360882498609</v>
      </c>
      <c r="F654" s="36">
        <f ca="1">IF(scheduled_no_payments=1,"",IF(Sched_Pay+Scheduled_Extra_Payments&lt;Beg_Bal,Scheduled_Extra_Payments,IF(AND(Pay_Num&lt;&gt;"",Beg_Bal-Sched_Pay&gt;0),Beg_Bal-Sched_Pay,IF(Pay_Num&lt;&gt;"",0,""))))</f>
        <v>0</v>
      </c>
      <c r="G654" s="34">
        <f ca="1">IF(scheduled_no_payments=1,"",IF(Sched_Pay+Extra_Pay&lt;Beg_Bal,Sched_Pay+Extra_Pay,IF(Pay_Num&lt;&gt;"",Beg_Bal,"")))</f>
        <v>0</v>
      </c>
      <c r="H654" s="34">
        <f t="shared" ref="H654:H717" ca="1" si="33">IF(Pay_Num&lt;&gt;"",Total_Pay-Int,"")</f>
        <v>0</v>
      </c>
      <c r="I654" s="34">
        <f ca="1">IF(Pay_Num&lt;&gt;"",Beg_Bal*(Interest_Rate/VLOOKUP(Interval,LoanLookup[],5,FALSE)),"")</f>
        <v>0</v>
      </c>
      <c r="J654" s="34">
        <f ca="1">IF(scheduled_no_payments=1,"",IF(AND(Pay_Num&lt;&gt;"",Sched_Pay+Extra_Pay&lt;Beg_Bal),Beg_Bal-Princ,IF(Pay_Num&lt;&gt;"",0,"")))</f>
        <v>0</v>
      </c>
      <c r="K654" s="34">
        <f ca="1">IF(scheduled_no_payments=1,"",SUM($I$13:$I654))</f>
        <v>87584.066117996466</v>
      </c>
      <c r="L654" s="38"/>
    </row>
    <row r="655" spans="2:12" ht="16.5" customHeight="1" x14ac:dyDescent="0.25">
      <c r="B655" s="32">
        <f ca="1">IF(AND(Values_Entered,scheduled_no_payments&lt;&gt;1),B654+1,"")</f>
        <v>643</v>
      </c>
      <c r="C655" s="33">
        <f ca="1">IF(Pay_Num&lt;&gt;"",DATE(YEAR(C654)+VLOOKUP(Interval,LoanLookup[],4,FALSE),MONTH(C654)+VLOOKUP(Interval,LoanLookup[],2,FALSE),DAY(C654)+VLOOKUP(Interval,LoanLookup[],3,FALSE)),"")</f>
        <v>64408</v>
      </c>
      <c r="D655" s="34">
        <f t="shared" ca="1" si="32"/>
        <v>0</v>
      </c>
      <c r="E655" s="35">
        <f t="shared" ref="E655:E718" ca="1" si="34">IF(Pay_Num&lt;&gt;"",Scheduled_Monthly_Payment,"")</f>
        <v>989.93360882498609</v>
      </c>
      <c r="F655" s="36">
        <f ca="1">IF(scheduled_no_payments=1,"",IF(Sched_Pay+Scheduled_Extra_Payments&lt;Beg_Bal,Scheduled_Extra_Payments,IF(AND(Pay_Num&lt;&gt;"",Beg_Bal-Sched_Pay&gt;0),Beg_Bal-Sched_Pay,IF(Pay_Num&lt;&gt;"",0,""))))</f>
        <v>0</v>
      </c>
      <c r="G655" s="34">
        <f ca="1">IF(scheduled_no_payments=1,"",IF(Sched_Pay+Extra_Pay&lt;Beg_Bal,Sched_Pay+Extra_Pay,IF(Pay_Num&lt;&gt;"",Beg_Bal,"")))</f>
        <v>0</v>
      </c>
      <c r="H655" s="34">
        <f t="shared" ca="1" si="33"/>
        <v>0</v>
      </c>
      <c r="I655" s="34">
        <f ca="1">IF(Pay_Num&lt;&gt;"",Beg_Bal*(Interest_Rate/VLOOKUP(Interval,LoanLookup[],5,FALSE)),"")</f>
        <v>0</v>
      </c>
      <c r="J655" s="34">
        <f ca="1">IF(scheduled_no_payments=1,"",IF(AND(Pay_Num&lt;&gt;"",Sched_Pay+Extra_Pay&lt;Beg_Bal),Beg_Bal-Princ,IF(Pay_Num&lt;&gt;"",0,"")))</f>
        <v>0</v>
      </c>
      <c r="K655" s="34">
        <f ca="1">IF(scheduled_no_payments=1,"",SUM($I$13:$I655))</f>
        <v>87584.066117996466</v>
      </c>
      <c r="L655" s="38"/>
    </row>
    <row r="656" spans="2:12" ht="16.5" customHeight="1" x14ac:dyDescent="0.25">
      <c r="B656" s="32">
        <f ca="1">IF(AND(Values_Entered,scheduled_no_payments&lt;&gt;1),B655+1,"")</f>
        <v>644</v>
      </c>
      <c r="C656" s="33">
        <f ca="1">IF(Pay_Num&lt;&gt;"",DATE(YEAR(C655)+VLOOKUP(Interval,LoanLookup[],4,FALSE),MONTH(C655)+VLOOKUP(Interval,LoanLookup[],2,FALSE),DAY(C655)+VLOOKUP(Interval,LoanLookup[],3,FALSE)),"")</f>
        <v>64439</v>
      </c>
      <c r="D656" s="34">
        <f t="shared" ca="1" si="32"/>
        <v>0</v>
      </c>
      <c r="E656" s="35">
        <f t="shared" ca="1" si="34"/>
        <v>989.93360882498609</v>
      </c>
      <c r="F656" s="36">
        <f ca="1">IF(scheduled_no_payments=1,"",IF(Sched_Pay+Scheduled_Extra_Payments&lt;Beg_Bal,Scheduled_Extra_Payments,IF(AND(Pay_Num&lt;&gt;"",Beg_Bal-Sched_Pay&gt;0),Beg_Bal-Sched_Pay,IF(Pay_Num&lt;&gt;"",0,""))))</f>
        <v>0</v>
      </c>
      <c r="G656" s="34">
        <f ca="1">IF(scheduled_no_payments=1,"",IF(Sched_Pay+Extra_Pay&lt;Beg_Bal,Sched_Pay+Extra_Pay,IF(Pay_Num&lt;&gt;"",Beg_Bal,"")))</f>
        <v>0</v>
      </c>
      <c r="H656" s="34">
        <f t="shared" ca="1" si="33"/>
        <v>0</v>
      </c>
      <c r="I656" s="34">
        <f ca="1">IF(Pay_Num&lt;&gt;"",Beg_Bal*(Interest_Rate/VLOOKUP(Interval,LoanLookup[],5,FALSE)),"")</f>
        <v>0</v>
      </c>
      <c r="J656" s="34">
        <f ca="1">IF(scheduled_no_payments=1,"",IF(AND(Pay_Num&lt;&gt;"",Sched_Pay+Extra_Pay&lt;Beg_Bal),Beg_Bal-Princ,IF(Pay_Num&lt;&gt;"",0,"")))</f>
        <v>0</v>
      </c>
      <c r="K656" s="34">
        <f ca="1">IF(scheduled_no_payments=1,"",SUM($I$13:$I656))</f>
        <v>87584.066117996466</v>
      </c>
      <c r="L656" s="38"/>
    </row>
    <row r="657" spans="2:12" ht="16.5" customHeight="1" x14ac:dyDescent="0.25">
      <c r="B657" s="32">
        <f ca="1">IF(AND(Values_Entered,scheduled_no_payments&lt;&gt;1),B656+1,"")</f>
        <v>645</v>
      </c>
      <c r="C657" s="33">
        <f ca="1">IF(Pay_Num&lt;&gt;"",DATE(YEAR(C656)+VLOOKUP(Interval,LoanLookup[],4,FALSE),MONTH(C656)+VLOOKUP(Interval,LoanLookup[],2,FALSE),DAY(C656)+VLOOKUP(Interval,LoanLookup[],3,FALSE)),"")</f>
        <v>64469</v>
      </c>
      <c r="D657" s="34">
        <f t="shared" ca="1" si="32"/>
        <v>0</v>
      </c>
      <c r="E657" s="35">
        <f t="shared" ca="1" si="34"/>
        <v>989.93360882498609</v>
      </c>
      <c r="F657" s="36">
        <f ca="1">IF(scheduled_no_payments=1,"",IF(Sched_Pay+Scheduled_Extra_Payments&lt;Beg_Bal,Scheduled_Extra_Payments,IF(AND(Pay_Num&lt;&gt;"",Beg_Bal-Sched_Pay&gt;0),Beg_Bal-Sched_Pay,IF(Pay_Num&lt;&gt;"",0,""))))</f>
        <v>0</v>
      </c>
      <c r="G657" s="34">
        <f ca="1">IF(scheduled_no_payments=1,"",IF(Sched_Pay+Extra_Pay&lt;Beg_Bal,Sched_Pay+Extra_Pay,IF(Pay_Num&lt;&gt;"",Beg_Bal,"")))</f>
        <v>0</v>
      </c>
      <c r="H657" s="34">
        <f t="shared" ca="1" si="33"/>
        <v>0</v>
      </c>
      <c r="I657" s="34">
        <f ca="1">IF(Pay_Num&lt;&gt;"",Beg_Bal*(Interest_Rate/VLOOKUP(Interval,LoanLookup[],5,FALSE)),"")</f>
        <v>0</v>
      </c>
      <c r="J657" s="34">
        <f ca="1">IF(scheduled_no_payments=1,"",IF(AND(Pay_Num&lt;&gt;"",Sched_Pay+Extra_Pay&lt;Beg_Bal),Beg_Bal-Princ,IF(Pay_Num&lt;&gt;"",0,"")))</f>
        <v>0</v>
      </c>
      <c r="K657" s="34">
        <f ca="1">IF(scheduled_no_payments=1,"",SUM($I$13:$I657))</f>
        <v>87584.066117996466</v>
      </c>
      <c r="L657" s="38"/>
    </row>
    <row r="658" spans="2:12" ht="16.5" customHeight="1" x14ac:dyDescent="0.25">
      <c r="B658" s="32">
        <f ca="1">IF(AND(Values_Entered,scheduled_no_payments&lt;&gt;1),B657+1,"")</f>
        <v>646</v>
      </c>
      <c r="C658" s="33">
        <f ca="1">IF(Pay_Num&lt;&gt;"",DATE(YEAR(C657)+VLOOKUP(Interval,LoanLookup[],4,FALSE),MONTH(C657)+VLOOKUP(Interval,LoanLookup[],2,FALSE),DAY(C657)+VLOOKUP(Interval,LoanLookup[],3,FALSE)),"")</f>
        <v>64500</v>
      </c>
      <c r="D658" s="34">
        <f t="shared" ca="1" si="32"/>
        <v>0</v>
      </c>
      <c r="E658" s="35">
        <f t="shared" ca="1" si="34"/>
        <v>989.93360882498609</v>
      </c>
      <c r="F658" s="36">
        <f ca="1">IF(scheduled_no_payments=1,"",IF(Sched_Pay+Scheduled_Extra_Payments&lt;Beg_Bal,Scheduled_Extra_Payments,IF(AND(Pay_Num&lt;&gt;"",Beg_Bal-Sched_Pay&gt;0),Beg_Bal-Sched_Pay,IF(Pay_Num&lt;&gt;"",0,""))))</f>
        <v>0</v>
      </c>
      <c r="G658" s="34">
        <f ca="1">IF(scheduled_no_payments=1,"",IF(Sched_Pay+Extra_Pay&lt;Beg_Bal,Sched_Pay+Extra_Pay,IF(Pay_Num&lt;&gt;"",Beg_Bal,"")))</f>
        <v>0</v>
      </c>
      <c r="H658" s="34">
        <f t="shared" ca="1" si="33"/>
        <v>0</v>
      </c>
      <c r="I658" s="34">
        <f ca="1">IF(Pay_Num&lt;&gt;"",Beg_Bal*(Interest_Rate/VLOOKUP(Interval,LoanLookup[],5,FALSE)),"")</f>
        <v>0</v>
      </c>
      <c r="J658" s="34">
        <f ca="1">IF(scheduled_no_payments=1,"",IF(AND(Pay_Num&lt;&gt;"",Sched_Pay+Extra_Pay&lt;Beg_Bal),Beg_Bal-Princ,IF(Pay_Num&lt;&gt;"",0,"")))</f>
        <v>0</v>
      </c>
      <c r="K658" s="34">
        <f ca="1">IF(scheduled_no_payments=1,"",SUM($I$13:$I658))</f>
        <v>87584.066117996466</v>
      </c>
      <c r="L658" s="38"/>
    </row>
    <row r="659" spans="2:12" ht="16.5" customHeight="1" x14ac:dyDescent="0.25">
      <c r="B659" s="32">
        <f ca="1">IF(AND(Values_Entered,scheduled_no_payments&lt;&gt;1),B658+1,"")</f>
        <v>647</v>
      </c>
      <c r="C659" s="33">
        <f ca="1">IF(Pay_Num&lt;&gt;"",DATE(YEAR(C658)+VLOOKUP(Interval,LoanLookup[],4,FALSE),MONTH(C658)+VLOOKUP(Interval,LoanLookup[],2,FALSE),DAY(C658)+VLOOKUP(Interval,LoanLookup[],3,FALSE)),"")</f>
        <v>64531</v>
      </c>
      <c r="D659" s="34">
        <f t="shared" ca="1" si="32"/>
        <v>0</v>
      </c>
      <c r="E659" s="35">
        <f t="shared" ca="1" si="34"/>
        <v>989.93360882498609</v>
      </c>
      <c r="F659" s="36">
        <f ca="1">IF(scheduled_no_payments=1,"",IF(Sched_Pay+Scheduled_Extra_Payments&lt;Beg_Bal,Scheduled_Extra_Payments,IF(AND(Pay_Num&lt;&gt;"",Beg_Bal-Sched_Pay&gt;0),Beg_Bal-Sched_Pay,IF(Pay_Num&lt;&gt;"",0,""))))</f>
        <v>0</v>
      </c>
      <c r="G659" s="34">
        <f ca="1">IF(scheduled_no_payments=1,"",IF(Sched_Pay+Extra_Pay&lt;Beg_Bal,Sched_Pay+Extra_Pay,IF(Pay_Num&lt;&gt;"",Beg_Bal,"")))</f>
        <v>0</v>
      </c>
      <c r="H659" s="34">
        <f t="shared" ca="1" si="33"/>
        <v>0</v>
      </c>
      <c r="I659" s="34">
        <f ca="1">IF(Pay_Num&lt;&gt;"",Beg_Bal*(Interest_Rate/VLOOKUP(Interval,LoanLookup[],5,FALSE)),"")</f>
        <v>0</v>
      </c>
      <c r="J659" s="34">
        <f ca="1">IF(scheduled_no_payments=1,"",IF(AND(Pay_Num&lt;&gt;"",Sched_Pay+Extra_Pay&lt;Beg_Bal),Beg_Bal-Princ,IF(Pay_Num&lt;&gt;"",0,"")))</f>
        <v>0</v>
      </c>
      <c r="K659" s="34">
        <f ca="1">IF(scheduled_no_payments=1,"",SUM($I$13:$I659))</f>
        <v>87584.066117996466</v>
      </c>
      <c r="L659" s="38"/>
    </row>
    <row r="660" spans="2:12" ht="16.5" customHeight="1" x14ac:dyDescent="0.25">
      <c r="B660" s="32">
        <f ca="1">IF(AND(Values_Entered,scheduled_no_payments&lt;&gt;1),B659+1,"")</f>
        <v>648</v>
      </c>
      <c r="C660" s="33">
        <f ca="1">IF(Pay_Num&lt;&gt;"",DATE(YEAR(C659)+VLOOKUP(Interval,LoanLookup[],4,FALSE),MONTH(C659)+VLOOKUP(Interval,LoanLookup[],2,FALSE),DAY(C659)+VLOOKUP(Interval,LoanLookup[],3,FALSE)),"")</f>
        <v>64561</v>
      </c>
      <c r="D660" s="34">
        <f t="shared" ca="1" si="32"/>
        <v>0</v>
      </c>
      <c r="E660" s="35">
        <f t="shared" ca="1" si="34"/>
        <v>989.93360882498609</v>
      </c>
      <c r="F660" s="36">
        <f ca="1">IF(scheduled_no_payments=1,"",IF(Sched_Pay+Scheduled_Extra_Payments&lt;Beg_Bal,Scheduled_Extra_Payments,IF(AND(Pay_Num&lt;&gt;"",Beg_Bal-Sched_Pay&gt;0),Beg_Bal-Sched_Pay,IF(Pay_Num&lt;&gt;"",0,""))))</f>
        <v>0</v>
      </c>
      <c r="G660" s="34">
        <f ca="1">IF(scheduled_no_payments=1,"",IF(Sched_Pay+Extra_Pay&lt;Beg_Bal,Sched_Pay+Extra_Pay,IF(Pay_Num&lt;&gt;"",Beg_Bal,"")))</f>
        <v>0</v>
      </c>
      <c r="H660" s="34">
        <f t="shared" ca="1" si="33"/>
        <v>0</v>
      </c>
      <c r="I660" s="34">
        <f ca="1">IF(Pay_Num&lt;&gt;"",Beg_Bal*(Interest_Rate/VLOOKUP(Interval,LoanLookup[],5,FALSE)),"")</f>
        <v>0</v>
      </c>
      <c r="J660" s="34">
        <f ca="1">IF(scheduled_no_payments=1,"",IF(AND(Pay_Num&lt;&gt;"",Sched_Pay+Extra_Pay&lt;Beg_Bal),Beg_Bal-Princ,IF(Pay_Num&lt;&gt;"",0,"")))</f>
        <v>0</v>
      </c>
      <c r="K660" s="34">
        <f ca="1">IF(scheduled_no_payments=1,"",SUM($I$13:$I660))</f>
        <v>87584.066117996466</v>
      </c>
      <c r="L660" s="38"/>
    </row>
    <row r="661" spans="2:12" ht="16.5" customHeight="1" x14ac:dyDescent="0.25">
      <c r="B661" s="32">
        <f ca="1">IF(AND(Values_Entered,scheduled_no_payments&lt;&gt;1),B660+1,"")</f>
        <v>649</v>
      </c>
      <c r="C661" s="33">
        <f ca="1">IF(Pay_Num&lt;&gt;"",DATE(YEAR(C660)+VLOOKUP(Interval,LoanLookup[],4,FALSE),MONTH(C660)+VLOOKUP(Interval,LoanLookup[],2,FALSE),DAY(C660)+VLOOKUP(Interval,LoanLookup[],3,FALSE)),"")</f>
        <v>64592</v>
      </c>
      <c r="D661" s="34">
        <f t="shared" ca="1" si="32"/>
        <v>0</v>
      </c>
      <c r="E661" s="35">
        <f t="shared" ca="1" si="34"/>
        <v>989.93360882498609</v>
      </c>
      <c r="F661" s="36">
        <f ca="1">IF(scheduled_no_payments=1,"",IF(Sched_Pay+Scheduled_Extra_Payments&lt;Beg_Bal,Scheduled_Extra_Payments,IF(AND(Pay_Num&lt;&gt;"",Beg_Bal-Sched_Pay&gt;0),Beg_Bal-Sched_Pay,IF(Pay_Num&lt;&gt;"",0,""))))</f>
        <v>0</v>
      </c>
      <c r="G661" s="34">
        <f ca="1">IF(scheduled_no_payments=1,"",IF(Sched_Pay+Extra_Pay&lt;Beg_Bal,Sched_Pay+Extra_Pay,IF(Pay_Num&lt;&gt;"",Beg_Bal,"")))</f>
        <v>0</v>
      </c>
      <c r="H661" s="34">
        <f t="shared" ca="1" si="33"/>
        <v>0</v>
      </c>
      <c r="I661" s="34">
        <f ca="1">IF(Pay_Num&lt;&gt;"",Beg_Bal*(Interest_Rate/VLOOKUP(Interval,LoanLookup[],5,FALSE)),"")</f>
        <v>0</v>
      </c>
      <c r="J661" s="34">
        <f ca="1">IF(scheduled_no_payments=1,"",IF(AND(Pay_Num&lt;&gt;"",Sched_Pay+Extra_Pay&lt;Beg_Bal),Beg_Bal-Princ,IF(Pay_Num&lt;&gt;"",0,"")))</f>
        <v>0</v>
      </c>
      <c r="K661" s="34">
        <f ca="1">IF(scheduled_no_payments=1,"",SUM($I$13:$I661))</f>
        <v>87584.066117996466</v>
      </c>
      <c r="L661" s="38"/>
    </row>
    <row r="662" spans="2:12" ht="16.5" customHeight="1" x14ac:dyDescent="0.25">
      <c r="B662" s="32">
        <f ca="1">IF(AND(Values_Entered,scheduled_no_payments&lt;&gt;1),B661+1,"")</f>
        <v>650</v>
      </c>
      <c r="C662" s="33">
        <f ca="1">IF(Pay_Num&lt;&gt;"",DATE(YEAR(C661)+VLOOKUP(Interval,LoanLookup[],4,FALSE),MONTH(C661)+VLOOKUP(Interval,LoanLookup[],2,FALSE),DAY(C661)+VLOOKUP(Interval,LoanLookup[],3,FALSE)),"")</f>
        <v>64622</v>
      </c>
      <c r="D662" s="34">
        <f t="shared" ca="1" si="32"/>
        <v>0</v>
      </c>
      <c r="E662" s="35">
        <f t="shared" ca="1" si="34"/>
        <v>989.93360882498609</v>
      </c>
      <c r="F662" s="36">
        <f ca="1">IF(scheduled_no_payments=1,"",IF(Sched_Pay+Scheduled_Extra_Payments&lt;Beg_Bal,Scheduled_Extra_Payments,IF(AND(Pay_Num&lt;&gt;"",Beg_Bal-Sched_Pay&gt;0),Beg_Bal-Sched_Pay,IF(Pay_Num&lt;&gt;"",0,""))))</f>
        <v>0</v>
      </c>
      <c r="G662" s="34">
        <f ca="1">IF(scheduled_no_payments=1,"",IF(Sched_Pay+Extra_Pay&lt;Beg_Bal,Sched_Pay+Extra_Pay,IF(Pay_Num&lt;&gt;"",Beg_Bal,"")))</f>
        <v>0</v>
      </c>
      <c r="H662" s="34">
        <f t="shared" ca="1" si="33"/>
        <v>0</v>
      </c>
      <c r="I662" s="34">
        <f ca="1">IF(Pay_Num&lt;&gt;"",Beg_Bal*(Interest_Rate/VLOOKUP(Interval,LoanLookup[],5,FALSE)),"")</f>
        <v>0</v>
      </c>
      <c r="J662" s="34">
        <f ca="1">IF(scheduled_no_payments=1,"",IF(AND(Pay_Num&lt;&gt;"",Sched_Pay+Extra_Pay&lt;Beg_Bal),Beg_Bal-Princ,IF(Pay_Num&lt;&gt;"",0,"")))</f>
        <v>0</v>
      </c>
      <c r="K662" s="34">
        <f ca="1">IF(scheduled_no_payments=1,"",SUM($I$13:$I662))</f>
        <v>87584.066117996466</v>
      </c>
      <c r="L662" s="38"/>
    </row>
    <row r="663" spans="2:12" ht="16.5" customHeight="1" x14ac:dyDescent="0.25">
      <c r="B663" s="32">
        <f ca="1">IF(AND(Values_Entered,scheduled_no_payments&lt;&gt;1),B662+1,"")</f>
        <v>651</v>
      </c>
      <c r="C663" s="33">
        <f ca="1">IF(Pay_Num&lt;&gt;"",DATE(YEAR(C662)+VLOOKUP(Interval,LoanLookup[],4,FALSE),MONTH(C662)+VLOOKUP(Interval,LoanLookup[],2,FALSE),DAY(C662)+VLOOKUP(Interval,LoanLookup[],3,FALSE)),"")</f>
        <v>64653</v>
      </c>
      <c r="D663" s="34">
        <f t="shared" ca="1" si="32"/>
        <v>0</v>
      </c>
      <c r="E663" s="35">
        <f t="shared" ca="1" si="34"/>
        <v>989.93360882498609</v>
      </c>
      <c r="F663" s="36">
        <f ca="1">IF(scheduled_no_payments=1,"",IF(Sched_Pay+Scheduled_Extra_Payments&lt;Beg_Bal,Scheduled_Extra_Payments,IF(AND(Pay_Num&lt;&gt;"",Beg_Bal-Sched_Pay&gt;0),Beg_Bal-Sched_Pay,IF(Pay_Num&lt;&gt;"",0,""))))</f>
        <v>0</v>
      </c>
      <c r="G663" s="34">
        <f ca="1">IF(scheduled_no_payments=1,"",IF(Sched_Pay+Extra_Pay&lt;Beg_Bal,Sched_Pay+Extra_Pay,IF(Pay_Num&lt;&gt;"",Beg_Bal,"")))</f>
        <v>0</v>
      </c>
      <c r="H663" s="34">
        <f t="shared" ca="1" si="33"/>
        <v>0</v>
      </c>
      <c r="I663" s="34">
        <f ca="1">IF(Pay_Num&lt;&gt;"",Beg_Bal*(Interest_Rate/VLOOKUP(Interval,LoanLookup[],5,FALSE)),"")</f>
        <v>0</v>
      </c>
      <c r="J663" s="34">
        <f ca="1">IF(scheduled_no_payments=1,"",IF(AND(Pay_Num&lt;&gt;"",Sched_Pay+Extra_Pay&lt;Beg_Bal),Beg_Bal-Princ,IF(Pay_Num&lt;&gt;"",0,"")))</f>
        <v>0</v>
      </c>
      <c r="K663" s="34">
        <f ca="1">IF(scheduled_no_payments=1,"",SUM($I$13:$I663))</f>
        <v>87584.066117996466</v>
      </c>
      <c r="L663" s="38"/>
    </row>
    <row r="664" spans="2:12" ht="16.5" customHeight="1" x14ac:dyDescent="0.25">
      <c r="B664" s="32">
        <f ca="1">IF(AND(Values_Entered,scheduled_no_payments&lt;&gt;1),B663+1,"")</f>
        <v>652</v>
      </c>
      <c r="C664" s="33">
        <f ca="1">IF(Pay_Num&lt;&gt;"",DATE(YEAR(C663)+VLOOKUP(Interval,LoanLookup[],4,FALSE),MONTH(C663)+VLOOKUP(Interval,LoanLookup[],2,FALSE),DAY(C663)+VLOOKUP(Interval,LoanLookup[],3,FALSE)),"")</f>
        <v>64684</v>
      </c>
      <c r="D664" s="34">
        <f t="shared" ca="1" si="32"/>
        <v>0</v>
      </c>
      <c r="E664" s="35">
        <f t="shared" ca="1" si="34"/>
        <v>989.93360882498609</v>
      </c>
      <c r="F664" s="36">
        <f ca="1">IF(scheduled_no_payments=1,"",IF(Sched_Pay+Scheduled_Extra_Payments&lt;Beg_Bal,Scheduled_Extra_Payments,IF(AND(Pay_Num&lt;&gt;"",Beg_Bal-Sched_Pay&gt;0),Beg_Bal-Sched_Pay,IF(Pay_Num&lt;&gt;"",0,""))))</f>
        <v>0</v>
      </c>
      <c r="G664" s="34">
        <f ca="1">IF(scheduled_no_payments=1,"",IF(Sched_Pay+Extra_Pay&lt;Beg_Bal,Sched_Pay+Extra_Pay,IF(Pay_Num&lt;&gt;"",Beg_Bal,"")))</f>
        <v>0</v>
      </c>
      <c r="H664" s="34">
        <f t="shared" ca="1" si="33"/>
        <v>0</v>
      </c>
      <c r="I664" s="34">
        <f ca="1">IF(Pay_Num&lt;&gt;"",Beg_Bal*(Interest_Rate/VLOOKUP(Interval,LoanLookup[],5,FALSE)),"")</f>
        <v>0</v>
      </c>
      <c r="J664" s="34">
        <f ca="1">IF(scheduled_no_payments=1,"",IF(AND(Pay_Num&lt;&gt;"",Sched_Pay+Extra_Pay&lt;Beg_Bal),Beg_Bal-Princ,IF(Pay_Num&lt;&gt;"",0,"")))</f>
        <v>0</v>
      </c>
      <c r="K664" s="34">
        <f ca="1">IF(scheduled_no_payments=1,"",SUM($I$13:$I664))</f>
        <v>87584.066117996466</v>
      </c>
      <c r="L664" s="38"/>
    </row>
    <row r="665" spans="2:12" ht="16.5" customHeight="1" x14ac:dyDescent="0.25">
      <c r="B665" s="32">
        <f ca="1">IF(AND(Values_Entered,scheduled_no_payments&lt;&gt;1),B664+1,"")</f>
        <v>653</v>
      </c>
      <c r="C665" s="33">
        <f ca="1">IF(Pay_Num&lt;&gt;"",DATE(YEAR(C664)+VLOOKUP(Interval,LoanLookup[],4,FALSE),MONTH(C664)+VLOOKUP(Interval,LoanLookup[],2,FALSE),DAY(C664)+VLOOKUP(Interval,LoanLookup[],3,FALSE)),"")</f>
        <v>64712</v>
      </c>
      <c r="D665" s="34">
        <f t="shared" ca="1" si="32"/>
        <v>0</v>
      </c>
      <c r="E665" s="35">
        <f t="shared" ca="1" si="34"/>
        <v>989.93360882498609</v>
      </c>
      <c r="F665" s="36">
        <f ca="1">IF(scheduled_no_payments=1,"",IF(Sched_Pay+Scheduled_Extra_Payments&lt;Beg_Bal,Scheduled_Extra_Payments,IF(AND(Pay_Num&lt;&gt;"",Beg_Bal-Sched_Pay&gt;0),Beg_Bal-Sched_Pay,IF(Pay_Num&lt;&gt;"",0,""))))</f>
        <v>0</v>
      </c>
      <c r="G665" s="34">
        <f ca="1">IF(scheduled_no_payments=1,"",IF(Sched_Pay+Extra_Pay&lt;Beg_Bal,Sched_Pay+Extra_Pay,IF(Pay_Num&lt;&gt;"",Beg_Bal,"")))</f>
        <v>0</v>
      </c>
      <c r="H665" s="34">
        <f t="shared" ca="1" si="33"/>
        <v>0</v>
      </c>
      <c r="I665" s="34">
        <f ca="1">IF(Pay_Num&lt;&gt;"",Beg_Bal*(Interest_Rate/VLOOKUP(Interval,LoanLookup[],5,FALSE)),"")</f>
        <v>0</v>
      </c>
      <c r="J665" s="34">
        <f ca="1">IF(scheduled_no_payments=1,"",IF(AND(Pay_Num&lt;&gt;"",Sched_Pay+Extra_Pay&lt;Beg_Bal),Beg_Bal-Princ,IF(Pay_Num&lt;&gt;"",0,"")))</f>
        <v>0</v>
      </c>
      <c r="K665" s="34">
        <f ca="1">IF(scheduled_no_payments=1,"",SUM($I$13:$I665))</f>
        <v>87584.066117996466</v>
      </c>
      <c r="L665" s="38"/>
    </row>
    <row r="666" spans="2:12" ht="16.5" customHeight="1" x14ac:dyDescent="0.25">
      <c r="B666" s="32">
        <f ca="1">IF(AND(Values_Entered,scheduled_no_payments&lt;&gt;1),B665+1,"")</f>
        <v>654</v>
      </c>
      <c r="C666" s="33">
        <f ca="1">IF(Pay_Num&lt;&gt;"",DATE(YEAR(C665)+VLOOKUP(Interval,LoanLookup[],4,FALSE),MONTH(C665)+VLOOKUP(Interval,LoanLookup[],2,FALSE),DAY(C665)+VLOOKUP(Interval,LoanLookup[],3,FALSE)),"")</f>
        <v>64743</v>
      </c>
      <c r="D666" s="34">
        <f t="shared" ca="1" si="32"/>
        <v>0</v>
      </c>
      <c r="E666" s="35">
        <f t="shared" ca="1" si="34"/>
        <v>989.93360882498609</v>
      </c>
      <c r="F666" s="36">
        <f ca="1">IF(scheduled_no_payments=1,"",IF(Sched_Pay+Scheduled_Extra_Payments&lt;Beg_Bal,Scheduled_Extra_Payments,IF(AND(Pay_Num&lt;&gt;"",Beg_Bal-Sched_Pay&gt;0),Beg_Bal-Sched_Pay,IF(Pay_Num&lt;&gt;"",0,""))))</f>
        <v>0</v>
      </c>
      <c r="G666" s="34">
        <f ca="1">IF(scheduled_no_payments=1,"",IF(Sched_Pay+Extra_Pay&lt;Beg_Bal,Sched_Pay+Extra_Pay,IF(Pay_Num&lt;&gt;"",Beg_Bal,"")))</f>
        <v>0</v>
      </c>
      <c r="H666" s="34">
        <f t="shared" ca="1" si="33"/>
        <v>0</v>
      </c>
      <c r="I666" s="34">
        <f ca="1">IF(Pay_Num&lt;&gt;"",Beg_Bal*(Interest_Rate/VLOOKUP(Interval,LoanLookup[],5,FALSE)),"")</f>
        <v>0</v>
      </c>
      <c r="J666" s="34">
        <f ca="1">IF(scheduled_no_payments=1,"",IF(AND(Pay_Num&lt;&gt;"",Sched_Pay+Extra_Pay&lt;Beg_Bal),Beg_Bal-Princ,IF(Pay_Num&lt;&gt;"",0,"")))</f>
        <v>0</v>
      </c>
      <c r="K666" s="34">
        <f ca="1">IF(scheduled_no_payments=1,"",SUM($I$13:$I666))</f>
        <v>87584.066117996466</v>
      </c>
      <c r="L666" s="38"/>
    </row>
    <row r="667" spans="2:12" ht="16.5" customHeight="1" x14ac:dyDescent="0.25">
      <c r="B667" s="32">
        <f ca="1">IF(AND(Values_Entered,scheduled_no_payments&lt;&gt;1),B666+1,"")</f>
        <v>655</v>
      </c>
      <c r="C667" s="33">
        <f ca="1">IF(Pay_Num&lt;&gt;"",DATE(YEAR(C666)+VLOOKUP(Interval,LoanLookup[],4,FALSE),MONTH(C666)+VLOOKUP(Interval,LoanLookup[],2,FALSE),DAY(C666)+VLOOKUP(Interval,LoanLookup[],3,FALSE)),"")</f>
        <v>64773</v>
      </c>
      <c r="D667" s="34">
        <f t="shared" ca="1" si="32"/>
        <v>0</v>
      </c>
      <c r="E667" s="35">
        <f t="shared" ca="1" si="34"/>
        <v>989.93360882498609</v>
      </c>
      <c r="F667" s="36">
        <f ca="1">IF(scheduled_no_payments=1,"",IF(Sched_Pay+Scheduled_Extra_Payments&lt;Beg_Bal,Scheduled_Extra_Payments,IF(AND(Pay_Num&lt;&gt;"",Beg_Bal-Sched_Pay&gt;0),Beg_Bal-Sched_Pay,IF(Pay_Num&lt;&gt;"",0,""))))</f>
        <v>0</v>
      </c>
      <c r="G667" s="34">
        <f ca="1">IF(scheduled_no_payments=1,"",IF(Sched_Pay+Extra_Pay&lt;Beg_Bal,Sched_Pay+Extra_Pay,IF(Pay_Num&lt;&gt;"",Beg_Bal,"")))</f>
        <v>0</v>
      </c>
      <c r="H667" s="34">
        <f t="shared" ca="1" si="33"/>
        <v>0</v>
      </c>
      <c r="I667" s="34">
        <f ca="1">IF(Pay_Num&lt;&gt;"",Beg_Bal*(Interest_Rate/VLOOKUP(Interval,LoanLookup[],5,FALSE)),"")</f>
        <v>0</v>
      </c>
      <c r="J667" s="34">
        <f ca="1">IF(scheduled_no_payments=1,"",IF(AND(Pay_Num&lt;&gt;"",Sched_Pay+Extra_Pay&lt;Beg_Bal),Beg_Bal-Princ,IF(Pay_Num&lt;&gt;"",0,"")))</f>
        <v>0</v>
      </c>
      <c r="K667" s="34">
        <f ca="1">IF(scheduled_no_payments=1,"",SUM($I$13:$I667))</f>
        <v>87584.066117996466</v>
      </c>
      <c r="L667" s="38"/>
    </row>
    <row r="668" spans="2:12" ht="16.5" customHeight="1" x14ac:dyDescent="0.25">
      <c r="B668" s="32">
        <f ca="1">IF(AND(Values_Entered,scheduled_no_payments&lt;&gt;1),B667+1,"")</f>
        <v>656</v>
      </c>
      <c r="C668" s="33">
        <f ca="1">IF(Pay_Num&lt;&gt;"",DATE(YEAR(C667)+VLOOKUP(Interval,LoanLookup[],4,FALSE),MONTH(C667)+VLOOKUP(Interval,LoanLookup[],2,FALSE),DAY(C667)+VLOOKUP(Interval,LoanLookup[],3,FALSE)),"")</f>
        <v>64804</v>
      </c>
      <c r="D668" s="34">
        <f t="shared" ca="1" si="32"/>
        <v>0</v>
      </c>
      <c r="E668" s="35">
        <f t="shared" ca="1" si="34"/>
        <v>989.93360882498609</v>
      </c>
      <c r="F668" s="36">
        <f ca="1">IF(scheduled_no_payments=1,"",IF(Sched_Pay+Scheduled_Extra_Payments&lt;Beg_Bal,Scheduled_Extra_Payments,IF(AND(Pay_Num&lt;&gt;"",Beg_Bal-Sched_Pay&gt;0),Beg_Bal-Sched_Pay,IF(Pay_Num&lt;&gt;"",0,""))))</f>
        <v>0</v>
      </c>
      <c r="G668" s="34">
        <f ca="1">IF(scheduled_no_payments=1,"",IF(Sched_Pay+Extra_Pay&lt;Beg_Bal,Sched_Pay+Extra_Pay,IF(Pay_Num&lt;&gt;"",Beg_Bal,"")))</f>
        <v>0</v>
      </c>
      <c r="H668" s="34">
        <f t="shared" ca="1" si="33"/>
        <v>0</v>
      </c>
      <c r="I668" s="34">
        <f ca="1">IF(Pay_Num&lt;&gt;"",Beg_Bal*(Interest_Rate/VLOOKUP(Interval,LoanLookup[],5,FALSE)),"")</f>
        <v>0</v>
      </c>
      <c r="J668" s="34">
        <f ca="1">IF(scheduled_no_payments=1,"",IF(AND(Pay_Num&lt;&gt;"",Sched_Pay+Extra_Pay&lt;Beg_Bal),Beg_Bal-Princ,IF(Pay_Num&lt;&gt;"",0,"")))</f>
        <v>0</v>
      </c>
      <c r="K668" s="34">
        <f ca="1">IF(scheduled_no_payments=1,"",SUM($I$13:$I668))</f>
        <v>87584.066117996466</v>
      </c>
      <c r="L668" s="38"/>
    </row>
    <row r="669" spans="2:12" ht="16.5" customHeight="1" x14ac:dyDescent="0.25">
      <c r="B669" s="32">
        <f ca="1">IF(AND(Values_Entered,scheduled_no_payments&lt;&gt;1),B668+1,"")</f>
        <v>657</v>
      </c>
      <c r="C669" s="33">
        <f ca="1">IF(Pay_Num&lt;&gt;"",DATE(YEAR(C668)+VLOOKUP(Interval,LoanLookup[],4,FALSE),MONTH(C668)+VLOOKUP(Interval,LoanLookup[],2,FALSE),DAY(C668)+VLOOKUP(Interval,LoanLookup[],3,FALSE)),"")</f>
        <v>64834</v>
      </c>
      <c r="D669" s="34">
        <f t="shared" ca="1" si="32"/>
        <v>0</v>
      </c>
      <c r="E669" s="35">
        <f t="shared" ca="1" si="34"/>
        <v>989.93360882498609</v>
      </c>
      <c r="F669" s="36">
        <f ca="1">IF(scheduled_no_payments=1,"",IF(Sched_Pay+Scheduled_Extra_Payments&lt;Beg_Bal,Scheduled_Extra_Payments,IF(AND(Pay_Num&lt;&gt;"",Beg_Bal-Sched_Pay&gt;0),Beg_Bal-Sched_Pay,IF(Pay_Num&lt;&gt;"",0,""))))</f>
        <v>0</v>
      </c>
      <c r="G669" s="34">
        <f ca="1">IF(scheduled_no_payments=1,"",IF(Sched_Pay+Extra_Pay&lt;Beg_Bal,Sched_Pay+Extra_Pay,IF(Pay_Num&lt;&gt;"",Beg_Bal,"")))</f>
        <v>0</v>
      </c>
      <c r="H669" s="34">
        <f t="shared" ca="1" si="33"/>
        <v>0</v>
      </c>
      <c r="I669" s="34">
        <f ca="1">IF(Pay_Num&lt;&gt;"",Beg_Bal*(Interest_Rate/VLOOKUP(Interval,LoanLookup[],5,FALSE)),"")</f>
        <v>0</v>
      </c>
      <c r="J669" s="34">
        <f ca="1">IF(scheduled_no_payments=1,"",IF(AND(Pay_Num&lt;&gt;"",Sched_Pay+Extra_Pay&lt;Beg_Bal),Beg_Bal-Princ,IF(Pay_Num&lt;&gt;"",0,"")))</f>
        <v>0</v>
      </c>
      <c r="K669" s="34">
        <f ca="1">IF(scheduled_no_payments=1,"",SUM($I$13:$I669))</f>
        <v>87584.066117996466</v>
      </c>
      <c r="L669" s="38"/>
    </row>
    <row r="670" spans="2:12" ht="16.5" customHeight="1" x14ac:dyDescent="0.25">
      <c r="B670" s="32">
        <f ca="1">IF(AND(Values_Entered,scheduled_no_payments&lt;&gt;1),B669+1,"")</f>
        <v>658</v>
      </c>
      <c r="C670" s="33">
        <f ca="1">IF(Pay_Num&lt;&gt;"",DATE(YEAR(C669)+VLOOKUP(Interval,LoanLookup[],4,FALSE),MONTH(C669)+VLOOKUP(Interval,LoanLookup[],2,FALSE),DAY(C669)+VLOOKUP(Interval,LoanLookup[],3,FALSE)),"")</f>
        <v>64865</v>
      </c>
      <c r="D670" s="34">
        <f t="shared" ca="1" si="32"/>
        <v>0</v>
      </c>
      <c r="E670" s="35">
        <f t="shared" ca="1" si="34"/>
        <v>989.93360882498609</v>
      </c>
      <c r="F670" s="36">
        <f ca="1">IF(scheduled_no_payments=1,"",IF(Sched_Pay+Scheduled_Extra_Payments&lt;Beg_Bal,Scheduled_Extra_Payments,IF(AND(Pay_Num&lt;&gt;"",Beg_Bal-Sched_Pay&gt;0),Beg_Bal-Sched_Pay,IF(Pay_Num&lt;&gt;"",0,""))))</f>
        <v>0</v>
      </c>
      <c r="G670" s="34">
        <f ca="1">IF(scheduled_no_payments=1,"",IF(Sched_Pay+Extra_Pay&lt;Beg_Bal,Sched_Pay+Extra_Pay,IF(Pay_Num&lt;&gt;"",Beg_Bal,"")))</f>
        <v>0</v>
      </c>
      <c r="H670" s="34">
        <f t="shared" ca="1" si="33"/>
        <v>0</v>
      </c>
      <c r="I670" s="34">
        <f ca="1">IF(Pay_Num&lt;&gt;"",Beg_Bal*(Interest_Rate/VLOOKUP(Interval,LoanLookup[],5,FALSE)),"")</f>
        <v>0</v>
      </c>
      <c r="J670" s="34">
        <f ca="1">IF(scheduled_no_payments=1,"",IF(AND(Pay_Num&lt;&gt;"",Sched_Pay+Extra_Pay&lt;Beg_Bal),Beg_Bal-Princ,IF(Pay_Num&lt;&gt;"",0,"")))</f>
        <v>0</v>
      </c>
      <c r="K670" s="34">
        <f ca="1">IF(scheduled_no_payments=1,"",SUM($I$13:$I670))</f>
        <v>87584.066117996466</v>
      </c>
      <c r="L670" s="38"/>
    </row>
    <row r="671" spans="2:12" ht="16.5" customHeight="1" x14ac:dyDescent="0.25">
      <c r="B671" s="32">
        <f ca="1">IF(AND(Values_Entered,scheduled_no_payments&lt;&gt;1),B670+1,"")</f>
        <v>659</v>
      </c>
      <c r="C671" s="33">
        <f ca="1">IF(Pay_Num&lt;&gt;"",DATE(YEAR(C670)+VLOOKUP(Interval,LoanLookup[],4,FALSE),MONTH(C670)+VLOOKUP(Interval,LoanLookup[],2,FALSE),DAY(C670)+VLOOKUP(Interval,LoanLookup[],3,FALSE)),"")</f>
        <v>64896</v>
      </c>
      <c r="D671" s="34">
        <f t="shared" ca="1" si="32"/>
        <v>0</v>
      </c>
      <c r="E671" s="35">
        <f t="shared" ca="1" si="34"/>
        <v>989.93360882498609</v>
      </c>
      <c r="F671" s="36">
        <f ca="1">IF(scheduled_no_payments=1,"",IF(Sched_Pay+Scheduled_Extra_Payments&lt;Beg_Bal,Scheduled_Extra_Payments,IF(AND(Pay_Num&lt;&gt;"",Beg_Bal-Sched_Pay&gt;0),Beg_Bal-Sched_Pay,IF(Pay_Num&lt;&gt;"",0,""))))</f>
        <v>0</v>
      </c>
      <c r="G671" s="34">
        <f ca="1">IF(scheduled_no_payments=1,"",IF(Sched_Pay+Extra_Pay&lt;Beg_Bal,Sched_Pay+Extra_Pay,IF(Pay_Num&lt;&gt;"",Beg_Bal,"")))</f>
        <v>0</v>
      </c>
      <c r="H671" s="34">
        <f t="shared" ca="1" si="33"/>
        <v>0</v>
      </c>
      <c r="I671" s="34">
        <f ca="1">IF(Pay_Num&lt;&gt;"",Beg_Bal*(Interest_Rate/VLOOKUP(Interval,LoanLookup[],5,FALSE)),"")</f>
        <v>0</v>
      </c>
      <c r="J671" s="34">
        <f ca="1">IF(scheduled_no_payments=1,"",IF(AND(Pay_Num&lt;&gt;"",Sched_Pay+Extra_Pay&lt;Beg_Bal),Beg_Bal-Princ,IF(Pay_Num&lt;&gt;"",0,"")))</f>
        <v>0</v>
      </c>
      <c r="K671" s="34">
        <f ca="1">IF(scheduled_no_payments=1,"",SUM($I$13:$I671))</f>
        <v>87584.066117996466</v>
      </c>
      <c r="L671" s="38"/>
    </row>
    <row r="672" spans="2:12" ht="16.5" customHeight="1" x14ac:dyDescent="0.25">
      <c r="B672" s="32">
        <f ca="1">IF(AND(Values_Entered,scheduled_no_payments&lt;&gt;1),B671+1,"")</f>
        <v>660</v>
      </c>
      <c r="C672" s="33">
        <f ca="1">IF(Pay_Num&lt;&gt;"",DATE(YEAR(C671)+VLOOKUP(Interval,LoanLookup[],4,FALSE),MONTH(C671)+VLOOKUP(Interval,LoanLookup[],2,FALSE),DAY(C671)+VLOOKUP(Interval,LoanLookup[],3,FALSE)),"")</f>
        <v>64926</v>
      </c>
      <c r="D672" s="34">
        <f t="shared" ca="1" si="32"/>
        <v>0</v>
      </c>
      <c r="E672" s="35">
        <f t="shared" ca="1" si="34"/>
        <v>989.93360882498609</v>
      </c>
      <c r="F672" s="36">
        <f ca="1">IF(scheduled_no_payments=1,"",IF(Sched_Pay+Scheduled_Extra_Payments&lt;Beg_Bal,Scheduled_Extra_Payments,IF(AND(Pay_Num&lt;&gt;"",Beg_Bal-Sched_Pay&gt;0),Beg_Bal-Sched_Pay,IF(Pay_Num&lt;&gt;"",0,""))))</f>
        <v>0</v>
      </c>
      <c r="G672" s="34">
        <f ca="1">IF(scheduled_no_payments=1,"",IF(Sched_Pay+Extra_Pay&lt;Beg_Bal,Sched_Pay+Extra_Pay,IF(Pay_Num&lt;&gt;"",Beg_Bal,"")))</f>
        <v>0</v>
      </c>
      <c r="H672" s="34">
        <f t="shared" ca="1" si="33"/>
        <v>0</v>
      </c>
      <c r="I672" s="34">
        <f ca="1">IF(Pay_Num&lt;&gt;"",Beg_Bal*(Interest_Rate/VLOOKUP(Interval,LoanLookup[],5,FALSE)),"")</f>
        <v>0</v>
      </c>
      <c r="J672" s="34">
        <f ca="1">IF(scheduled_no_payments=1,"",IF(AND(Pay_Num&lt;&gt;"",Sched_Pay+Extra_Pay&lt;Beg_Bal),Beg_Bal-Princ,IF(Pay_Num&lt;&gt;"",0,"")))</f>
        <v>0</v>
      </c>
      <c r="K672" s="34">
        <f ca="1">IF(scheduled_no_payments=1,"",SUM($I$13:$I672))</f>
        <v>87584.066117996466</v>
      </c>
      <c r="L672" s="38"/>
    </row>
    <row r="673" spans="2:12" ht="16.5" customHeight="1" x14ac:dyDescent="0.25">
      <c r="B673" s="32">
        <f ca="1">IF(AND(Values_Entered,scheduled_no_payments&lt;&gt;1),B672+1,"")</f>
        <v>661</v>
      </c>
      <c r="C673" s="33">
        <f ca="1">IF(Pay_Num&lt;&gt;"",DATE(YEAR(C672)+VLOOKUP(Interval,LoanLookup[],4,FALSE),MONTH(C672)+VLOOKUP(Interval,LoanLookup[],2,FALSE),DAY(C672)+VLOOKUP(Interval,LoanLookup[],3,FALSE)),"")</f>
        <v>64957</v>
      </c>
      <c r="D673" s="34">
        <f t="shared" ca="1" si="32"/>
        <v>0</v>
      </c>
      <c r="E673" s="35">
        <f t="shared" ca="1" si="34"/>
        <v>989.93360882498609</v>
      </c>
      <c r="F673" s="36">
        <f ca="1">IF(scheduled_no_payments=1,"",IF(Sched_Pay+Scheduled_Extra_Payments&lt;Beg_Bal,Scheduled_Extra_Payments,IF(AND(Pay_Num&lt;&gt;"",Beg_Bal-Sched_Pay&gt;0),Beg_Bal-Sched_Pay,IF(Pay_Num&lt;&gt;"",0,""))))</f>
        <v>0</v>
      </c>
      <c r="G673" s="34">
        <f ca="1">IF(scheduled_no_payments=1,"",IF(Sched_Pay+Extra_Pay&lt;Beg_Bal,Sched_Pay+Extra_Pay,IF(Pay_Num&lt;&gt;"",Beg_Bal,"")))</f>
        <v>0</v>
      </c>
      <c r="H673" s="34">
        <f t="shared" ca="1" si="33"/>
        <v>0</v>
      </c>
      <c r="I673" s="34">
        <f ca="1">IF(Pay_Num&lt;&gt;"",Beg_Bal*(Interest_Rate/VLOOKUP(Interval,LoanLookup[],5,FALSE)),"")</f>
        <v>0</v>
      </c>
      <c r="J673" s="34">
        <f ca="1">IF(scheduled_no_payments=1,"",IF(AND(Pay_Num&lt;&gt;"",Sched_Pay+Extra_Pay&lt;Beg_Bal),Beg_Bal-Princ,IF(Pay_Num&lt;&gt;"",0,"")))</f>
        <v>0</v>
      </c>
      <c r="K673" s="34">
        <f ca="1">IF(scheduled_no_payments=1,"",SUM($I$13:$I673))</f>
        <v>87584.066117996466</v>
      </c>
      <c r="L673" s="38"/>
    </row>
    <row r="674" spans="2:12" ht="16.5" customHeight="1" x14ac:dyDescent="0.25">
      <c r="B674" s="32">
        <f ca="1">IF(AND(Values_Entered,scheduled_no_payments&lt;&gt;1),B673+1,"")</f>
        <v>662</v>
      </c>
      <c r="C674" s="33">
        <f ca="1">IF(Pay_Num&lt;&gt;"",DATE(YEAR(C673)+VLOOKUP(Interval,LoanLookup[],4,FALSE),MONTH(C673)+VLOOKUP(Interval,LoanLookup[],2,FALSE),DAY(C673)+VLOOKUP(Interval,LoanLookup[],3,FALSE)),"")</f>
        <v>64987</v>
      </c>
      <c r="D674" s="34">
        <f t="shared" ca="1" si="32"/>
        <v>0</v>
      </c>
      <c r="E674" s="35">
        <f t="shared" ca="1" si="34"/>
        <v>989.93360882498609</v>
      </c>
      <c r="F674" s="36">
        <f ca="1">IF(scheduled_no_payments=1,"",IF(Sched_Pay+Scheduled_Extra_Payments&lt;Beg_Bal,Scheduled_Extra_Payments,IF(AND(Pay_Num&lt;&gt;"",Beg_Bal-Sched_Pay&gt;0),Beg_Bal-Sched_Pay,IF(Pay_Num&lt;&gt;"",0,""))))</f>
        <v>0</v>
      </c>
      <c r="G674" s="34">
        <f ca="1">IF(scheduled_no_payments=1,"",IF(Sched_Pay+Extra_Pay&lt;Beg_Bal,Sched_Pay+Extra_Pay,IF(Pay_Num&lt;&gt;"",Beg_Bal,"")))</f>
        <v>0</v>
      </c>
      <c r="H674" s="34">
        <f t="shared" ca="1" si="33"/>
        <v>0</v>
      </c>
      <c r="I674" s="34">
        <f ca="1">IF(Pay_Num&lt;&gt;"",Beg_Bal*(Interest_Rate/VLOOKUP(Interval,LoanLookup[],5,FALSE)),"")</f>
        <v>0</v>
      </c>
      <c r="J674" s="34">
        <f ca="1">IF(scheduled_no_payments=1,"",IF(AND(Pay_Num&lt;&gt;"",Sched_Pay+Extra_Pay&lt;Beg_Bal),Beg_Bal-Princ,IF(Pay_Num&lt;&gt;"",0,"")))</f>
        <v>0</v>
      </c>
      <c r="K674" s="34">
        <f ca="1">IF(scheduled_no_payments=1,"",SUM($I$13:$I674))</f>
        <v>87584.066117996466</v>
      </c>
      <c r="L674" s="38"/>
    </row>
    <row r="675" spans="2:12" ht="16.5" customHeight="1" x14ac:dyDescent="0.25">
      <c r="B675" s="32">
        <f ca="1">IF(AND(Values_Entered,scheduled_no_payments&lt;&gt;1),B674+1,"")</f>
        <v>663</v>
      </c>
      <c r="C675" s="33">
        <f ca="1">IF(Pay_Num&lt;&gt;"",DATE(YEAR(C674)+VLOOKUP(Interval,LoanLookup[],4,FALSE),MONTH(C674)+VLOOKUP(Interval,LoanLookup[],2,FALSE),DAY(C674)+VLOOKUP(Interval,LoanLookup[],3,FALSE)),"")</f>
        <v>65018</v>
      </c>
      <c r="D675" s="34">
        <f t="shared" ca="1" si="32"/>
        <v>0</v>
      </c>
      <c r="E675" s="35">
        <f t="shared" ca="1" si="34"/>
        <v>989.93360882498609</v>
      </c>
      <c r="F675" s="36">
        <f ca="1">IF(scheduled_no_payments=1,"",IF(Sched_Pay+Scheduled_Extra_Payments&lt;Beg_Bal,Scheduled_Extra_Payments,IF(AND(Pay_Num&lt;&gt;"",Beg_Bal-Sched_Pay&gt;0),Beg_Bal-Sched_Pay,IF(Pay_Num&lt;&gt;"",0,""))))</f>
        <v>0</v>
      </c>
      <c r="G675" s="34">
        <f ca="1">IF(scheduled_no_payments=1,"",IF(Sched_Pay+Extra_Pay&lt;Beg_Bal,Sched_Pay+Extra_Pay,IF(Pay_Num&lt;&gt;"",Beg_Bal,"")))</f>
        <v>0</v>
      </c>
      <c r="H675" s="34">
        <f t="shared" ca="1" si="33"/>
        <v>0</v>
      </c>
      <c r="I675" s="34">
        <f ca="1">IF(Pay_Num&lt;&gt;"",Beg_Bal*(Interest_Rate/VLOOKUP(Interval,LoanLookup[],5,FALSE)),"")</f>
        <v>0</v>
      </c>
      <c r="J675" s="34">
        <f ca="1">IF(scheduled_no_payments=1,"",IF(AND(Pay_Num&lt;&gt;"",Sched_Pay+Extra_Pay&lt;Beg_Bal),Beg_Bal-Princ,IF(Pay_Num&lt;&gt;"",0,"")))</f>
        <v>0</v>
      </c>
      <c r="K675" s="34">
        <f ca="1">IF(scheduled_no_payments=1,"",SUM($I$13:$I675))</f>
        <v>87584.066117996466</v>
      </c>
      <c r="L675" s="38"/>
    </row>
    <row r="676" spans="2:12" ht="16.5" customHeight="1" x14ac:dyDescent="0.25">
      <c r="B676" s="32">
        <f ca="1">IF(AND(Values_Entered,scheduled_no_payments&lt;&gt;1),B675+1,"")</f>
        <v>664</v>
      </c>
      <c r="C676" s="33">
        <f ca="1">IF(Pay_Num&lt;&gt;"",DATE(YEAR(C675)+VLOOKUP(Interval,LoanLookup[],4,FALSE),MONTH(C675)+VLOOKUP(Interval,LoanLookup[],2,FALSE),DAY(C675)+VLOOKUP(Interval,LoanLookup[],3,FALSE)),"")</f>
        <v>65049</v>
      </c>
      <c r="D676" s="34">
        <f t="shared" ca="1" si="32"/>
        <v>0</v>
      </c>
      <c r="E676" s="35">
        <f t="shared" ca="1" si="34"/>
        <v>989.93360882498609</v>
      </c>
      <c r="F676" s="36">
        <f ca="1">IF(scheduled_no_payments=1,"",IF(Sched_Pay+Scheduled_Extra_Payments&lt;Beg_Bal,Scheduled_Extra_Payments,IF(AND(Pay_Num&lt;&gt;"",Beg_Bal-Sched_Pay&gt;0),Beg_Bal-Sched_Pay,IF(Pay_Num&lt;&gt;"",0,""))))</f>
        <v>0</v>
      </c>
      <c r="G676" s="34">
        <f ca="1">IF(scheduled_no_payments=1,"",IF(Sched_Pay+Extra_Pay&lt;Beg_Bal,Sched_Pay+Extra_Pay,IF(Pay_Num&lt;&gt;"",Beg_Bal,"")))</f>
        <v>0</v>
      </c>
      <c r="H676" s="34">
        <f t="shared" ca="1" si="33"/>
        <v>0</v>
      </c>
      <c r="I676" s="34">
        <f ca="1">IF(Pay_Num&lt;&gt;"",Beg_Bal*(Interest_Rate/VLOOKUP(Interval,LoanLookup[],5,FALSE)),"")</f>
        <v>0</v>
      </c>
      <c r="J676" s="34">
        <f ca="1">IF(scheduled_no_payments=1,"",IF(AND(Pay_Num&lt;&gt;"",Sched_Pay+Extra_Pay&lt;Beg_Bal),Beg_Bal-Princ,IF(Pay_Num&lt;&gt;"",0,"")))</f>
        <v>0</v>
      </c>
      <c r="K676" s="34">
        <f ca="1">IF(scheduled_no_payments=1,"",SUM($I$13:$I676))</f>
        <v>87584.066117996466</v>
      </c>
      <c r="L676" s="38"/>
    </row>
    <row r="677" spans="2:12" ht="16.5" customHeight="1" x14ac:dyDescent="0.25">
      <c r="B677" s="32">
        <f ca="1">IF(AND(Values_Entered,scheduled_no_payments&lt;&gt;1),B676+1,"")</f>
        <v>665</v>
      </c>
      <c r="C677" s="33">
        <f ca="1">IF(Pay_Num&lt;&gt;"",DATE(YEAR(C676)+VLOOKUP(Interval,LoanLookup[],4,FALSE),MONTH(C676)+VLOOKUP(Interval,LoanLookup[],2,FALSE),DAY(C676)+VLOOKUP(Interval,LoanLookup[],3,FALSE)),"")</f>
        <v>65077</v>
      </c>
      <c r="D677" s="34">
        <f t="shared" ca="1" si="32"/>
        <v>0</v>
      </c>
      <c r="E677" s="35">
        <f t="shared" ca="1" si="34"/>
        <v>989.93360882498609</v>
      </c>
      <c r="F677" s="36">
        <f ca="1">IF(scheduled_no_payments=1,"",IF(Sched_Pay+Scheduled_Extra_Payments&lt;Beg_Bal,Scheduled_Extra_Payments,IF(AND(Pay_Num&lt;&gt;"",Beg_Bal-Sched_Pay&gt;0),Beg_Bal-Sched_Pay,IF(Pay_Num&lt;&gt;"",0,""))))</f>
        <v>0</v>
      </c>
      <c r="G677" s="34">
        <f ca="1">IF(scheduled_no_payments=1,"",IF(Sched_Pay+Extra_Pay&lt;Beg_Bal,Sched_Pay+Extra_Pay,IF(Pay_Num&lt;&gt;"",Beg_Bal,"")))</f>
        <v>0</v>
      </c>
      <c r="H677" s="34">
        <f t="shared" ca="1" si="33"/>
        <v>0</v>
      </c>
      <c r="I677" s="34">
        <f ca="1">IF(Pay_Num&lt;&gt;"",Beg_Bal*(Interest_Rate/VLOOKUP(Interval,LoanLookup[],5,FALSE)),"")</f>
        <v>0</v>
      </c>
      <c r="J677" s="34">
        <f ca="1">IF(scheduled_no_payments=1,"",IF(AND(Pay_Num&lt;&gt;"",Sched_Pay+Extra_Pay&lt;Beg_Bal),Beg_Bal-Princ,IF(Pay_Num&lt;&gt;"",0,"")))</f>
        <v>0</v>
      </c>
      <c r="K677" s="34">
        <f ca="1">IF(scheduled_no_payments=1,"",SUM($I$13:$I677))</f>
        <v>87584.066117996466</v>
      </c>
      <c r="L677" s="38"/>
    </row>
    <row r="678" spans="2:12" ht="16.5" customHeight="1" x14ac:dyDescent="0.25">
      <c r="B678" s="32">
        <f ca="1">IF(AND(Values_Entered,scheduled_no_payments&lt;&gt;1),B677+1,"")</f>
        <v>666</v>
      </c>
      <c r="C678" s="33">
        <f ca="1">IF(Pay_Num&lt;&gt;"",DATE(YEAR(C677)+VLOOKUP(Interval,LoanLookup[],4,FALSE),MONTH(C677)+VLOOKUP(Interval,LoanLookup[],2,FALSE),DAY(C677)+VLOOKUP(Interval,LoanLookup[],3,FALSE)),"")</f>
        <v>65108</v>
      </c>
      <c r="D678" s="34">
        <f t="shared" ca="1" si="32"/>
        <v>0</v>
      </c>
      <c r="E678" s="35">
        <f t="shared" ca="1" si="34"/>
        <v>989.93360882498609</v>
      </c>
      <c r="F678" s="36">
        <f ca="1">IF(scheduled_no_payments=1,"",IF(Sched_Pay+Scheduled_Extra_Payments&lt;Beg_Bal,Scheduled_Extra_Payments,IF(AND(Pay_Num&lt;&gt;"",Beg_Bal-Sched_Pay&gt;0),Beg_Bal-Sched_Pay,IF(Pay_Num&lt;&gt;"",0,""))))</f>
        <v>0</v>
      </c>
      <c r="G678" s="34">
        <f ca="1">IF(scheduled_no_payments=1,"",IF(Sched_Pay+Extra_Pay&lt;Beg_Bal,Sched_Pay+Extra_Pay,IF(Pay_Num&lt;&gt;"",Beg_Bal,"")))</f>
        <v>0</v>
      </c>
      <c r="H678" s="34">
        <f t="shared" ca="1" si="33"/>
        <v>0</v>
      </c>
      <c r="I678" s="34">
        <f ca="1">IF(Pay_Num&lt;&gt;"",Beg_Bal*(Interest_Rate/VLOOKUP(Interval,LoanLookup[],5,FALSE)),"")</f>
        <v>0</v>
      </c>
      <c r="J678" s="34">
        <f ca="1">IF(scheduled_no_payments=1,"",IF(AND(Pay_Num&lt;&gt;"",Sched_Pay+Extra_Pay&lt;Beg_Bal),Beg_Bal-Princ,IF(Pay_Num&lt;&gt;"",0,"")))</f>
        <v>0</v>
      </c>
      <c r="K678" s="34">
        <f ca="1">IF(scheduled_no_payments=1,"",SUM($I$13:$I678))</f>
        <v>87584.066117996466</v>
      </c>
      <c r="L678" s="38"/>
    </row>
    <row r="679" spans="2:12" ht="16.5" customHeight="1" x14ac:dyDescent="0.25">
      <c r="B679" s="32">
        <f ca="1">IF(AND(Values_Entered,scheduled_no_payments&lt;&gt;1),B678+1,"")</f>
        <v>667</v>
      </c>
      <c r="C679" s="33">
        <f ca="1">IF(Pay_Num&lt;&gt;"",DATE(YEAR(C678)+VLOOKUP(Interval,LoanLookup[],4,FALSE),MONTH(C678)+VLOOKUP(Interval,LoanLookup[],2,FALSE),DAY(C678)+VLOOKUP(Interval,LoanLookup[],3,FALSE)),"")</f>
        <v>65138</v>
      </c>
      <c r="D679" s="34">
        <f t="shared" ca="1" si="32"/>
        <v>0</v>
      </c>
      <c r="E679" s="35">
        <f t="shared" ca="1" si="34"/>
        <v>989.93360882498609</v>
      </c>
      <c r="F679" s="36">
        <f ca="1">IF(scheduled_no_payments=1,"",IF(Sched_Pay+Scheduled_Extra_Payments&lt;Beg_Bal,Scheduled_Extra_Payments,IF(AND(Pay_Num&lt;&gt;"",Beg_Bal-Sched_Pay&gt;0),Beg_Bal-Sched_Pay,IF(Pay_Num&lt;&gt;"",0,""))))</f>
        <v>0</v>
      </c>
      <c r="G679" s="34">
        <f ca="1">IF(scheduled_no_payments=1,"",IF(Sched_Pay+Extra_Pay&lt;Beg_Bal,Sched_Pay+Extra_Pay,IF(Pay_Num&lt;&gt;"",Beg_Bal,"")))</f>
        <v>0</v>
      </c>
      <c r="H679" s="34">
        <f t="shared" ca="1" si="33"/>
        <v>0</v>
      </c>
      <c r="I679" s="34">
        <f ca="1">IF(Pay_Num&lt;&gt;"",Beg_Bal*(Interest_Rate/VLOOKUP(Interval,LoanLookup[],5,FALSE)),"")</f>
        <v>0</v>
      </c>
      <c r="J679" s="34">
        <f ca="1">IF(scheduled_no_payments=1,"",IF(AND(Pay_Num&lt;&gt;"",Sched_Pay+Extra_Pay&lt;Beg_Bal),Beg_Bal-Princ,IF(Pay_Num&lt;&gt;"",0,"")))</f>
        <v>0</v>
      </c>
      <c r="K679" s="34">
        <f ca="1">IF(scheduled_no_payments=1,"",SUM($I$13:$I679))</f>
        <v>87584.066117996466</v>
      </c>
      <c r="L679" s="38"/>
    </row>
    <row r="680" spans="2:12" ht="16.5" customHeight="1" x14ac:dyDescent="0.25">
      <c r="B680" s="32">
        <f ca="1">IF(AND(Values_Entered,scheduled_no_payments&lt;&gt;1),B679+1,"")</f>
        <v>668</v>
      </c>
      <c r="C680" s="33">
        <f ca="1">IF(Pay_Num&lt;&gt;"",DATE(YEAR(C679)+VLOOKUP(Interval,LoanLookup[],4,FALSE),MONTH(C679)+VLOOKUP(Interval,LoanLookup[],2,FALSE),DAY(C679)+VLOOKUP(Interval,LoanLookup[],3,FALSE)),"")</f>
        <v>65169</v>
      </c>
      <c r="D680" s="34">
        <f t="shared" ca="1" si="32"/>
        <v>0</v>
      </c>
      <c r="E680" s="35">
        <f t="shared" ca="1" si="34"/>
        <v>989.93360882498609</v>
      </c>
      <c r="F680" s="36">
        <f ca="1">IF(scheduled_no_payments=1,"",IF(Sched_Pay+Scheduled_Extra_Payments&lt;Beg_Bal,Scheduled_Extra_Payments,IF(AND(Pay_Num&lt;&gt;"",Beg_Bal-Sched_Pay&gt;0),Beg_Bal-Sched_Pay,IF(Pay_Num&lt;&gt;"",0,""))))</f>
        <v>0</v>
      </c>
      <c r="G680" s="34">
        <f ca="1">IF(scheduled_no_payments=1,"",IF(Sched_Pay+Extra_Pay&lt;Beg_Bal,Sched_Pay+Extra_Pay,IF(Pay_Num&lt;&gt;"",Beg_Bal,"")))</f>
        <v>0</v>
      </c>
      <c r="H680" s="34">
        <f t="shared" ca="1" si="33"/>
        <v>0</v>
      </c>
      <c r="I680" s="34">
        <f ca="1">IF(Pay_Num&lt;&gt;"",Beg_Bal*(Interest_Rate/VLOOKUP(Interval,LoanLookup[],5,FALSE)),"")</f>
        <v>0</v>
      </c>
      <c r="J680" s="34">
        <f ca="1">IF(scheduled_no_payments=1,"",IF(AND(Pay_Num&lt;&gt;"",Sched_Pay+Extra_Pay&lt;Beg_Bal),Beg_Bal-Princ,IF(Pay_Num&lt;&gt;"",0,"")))</f>
        <v>0</v>
      </c>
      <c r="K680" s="34">
        <f ca="1">IF(scheduled_no_payments=1,"",SUM($I$13:$I680))</f>
        <v>87584.066117996466</v>
      </c>
      <c r="L680" s="38"/>
    </row>
    <row r="681" spans="2:12" ht="16.5" customHeight="1" x14ac:dyDescent="0.25">
      <c r="B681" s="32">
        <f ca="1">IF(AND(Values_Entered,scheduled_no_payments&lt;&gt;1),B680+1,"")</f>
        <v>669</v>
      </c>
      <c r="C681" s="33">
        <f ca="1">IF(Pay_Num&lt;&gt;"",DATE(YEAR(C680)+VLOOKUP(Interval,LoanLookup[],4,FALSE),MONTH(C680)+VLOOKUP(Interval,LoanLookup[],2,FALSE),DAY(C680)+VLOOKUP(Interval,LoanLookup[],3,FALSE)),"")</f>
        <v>65199</v>
      </c>
      <c r="D681" s="34">
        <f t="shared" ca="1" si="32"/>
        <v>0</v>
      </c>
      <c r="E681" s="35">
        <f t="shared" ca="1" si="34"/>
        <v>989.93360882498609</v>
      </c>
      <c r="F681" s="36">
        <f ca="1">IF(scheduled_no_payments=1,"",IF(Sched_Pay+Scheduled_Extra_Payments&lt;Beg_Bal,Scheduled_Extra_Payments,IF(AND(Pay_Num&lt;&gt;"",Beg_Bal-Sched_Pay&gt;0),Beg_Bal-Sched_Pay,IF(Pay_Num&lt;&gt;"",0,""))))</f>
        <v>0</v>
      </c>
      <c r="G681" s="34">
        <f ca="1">IF(scheduled_no_payments=1,"",IF(Sched_Pay+Extra_Pay&lt;Beg_Bal,Sched_Pay+Extra_Pay,IF(Pay_Num&lt;&gt;"",Beg_Bal,"")))</f>
        <v>0</v>
      </c>
      <c r="H681" s="34">
        <f t="shared" ca="1" si="33"/>
        <v>0</v>
      </c>
      <c r="I681" s="34">
        <f ca="1">IF(Pay_Num&lt;&gt;"",Beg_Bal*(Interest_Rate/VLOOKUP(Interval,LoanLookup[],5,FALSE)),"")</f>
        <v>0</v>
      </c>
      <c r="J681" s="34">
        <f ca="1">IF(scheduled_no_payments=1,"",IF(AND(Pay_Num&lt;&gt;"",Sched_Pay+Extra_Pay&lt;Beg_Bal),Beg_Bal-Princ,IF(Pay_Num&lt;&gt;"",0,"")))</f>
        <v>0</v>
      </c>
      <c r="K681" s="34">
        <f ca="1">IF(scheduled_no_payments=1,"",SUM($I$13:$I681))</f>
        <v>87584.066117996466</v>
      </c>
      <c r="L681" s="38"/>
    </row>
    <row r="682" spans="2:12" ht="16.5" customHeight="1" x14ac:dyDescent="0.25">
      <c r="B682" s="32">
        <f ca="1">IF(AND(Values_Entered,scheduled_no_payments&lt;&gt;1),B681+1,"")</f>
        <v>670</v>
      </c>
      <c r="C682" s="33">
        <f ca="1">IF(Pay_Num&lt;&gt;"",DATE(YEAR(C681)+VLOOKUP(Interval,LoanLookup[],4,FALSE),MONTH(C681)+VLOOKUP(Interval,LoanLookup[],2,FALSE),DAY(C681)+VLOOKUP(Interval,LoanLookup[],3,FALSE)),"")</f>
        <v>65230</v>
      </c>
      <c r="D682" s="34">
        <f t="shared" ca="1" si="32"/>
        <v>0</v>
      </c>
      <c r="E682" s="35">
        <f t="shared" ca="1" si="34"/>
        <v>989.93360882498609</v>
      </c>
      <c r="F682" s="36">
        <f ca="1">IF(scheduled_no_payments=1,"",IF(Sched_Pay+Scheduled_Extra_Payments&lt;Beg_Bal,Scheduled_Extra_Payments,IF(AND(Pay_Num&lt;&gt;"",Beg_Bal-Sched_Pay&gt;0),Beg_Bal-Sched_Pay,IF(Pay_Num&lt;&gt;"",0,""))))</f>
        <v>0</v>
      </c>
      <c r="G682" s="34">
        <f ca="1">IF(scheduled_no_payments=1,"",IF(Sched_Pay+Extra_Pay&lt;Beg_Bal,Sched_Pay+Extra_Pay,IF(Pay_Num&lt;&gt;"",Beg_Bal,"")))</f>
        <v>0</v>
      </c>
      <c r="H682" s="34">
        <f t="shared" ca="1" si="33"/>
        <v>0</v>
      </c>
      <c r="I682" s="34">
        <f ca="1">IF(Pay_Num&lt;&gt;"",Beg_Bal*(Interest_Rate/VLOOKUP(Interval,LoanLookup[],5,FALSE)),"")</f>
        <v>0</v>
      </c>
      <c r="J682" s="34">
        <f ca="1">IF(scheduled_no_payments=1,"",IF(AND(Pay_Num&lt;&gt;"",Sched_Pay+Extra_Pay&lt;Beg_Bal),Beg_Bal-Princ,IF(Pay_Num&lt;&gt;"",0,"")))</f>
        <v>0</v>
      </c>
      <c r="K682" s="34">
        <f ca="1">IF(scheduled_no_payments=1,"",SUM($I$13:$I682))</f>
        <v>87584.066117996466</v>
      </c>
      <c r="L682" s="38"/>
    </row>
    <row r="683" spans="2:12" ht="16.5" customHeight="1" x14ac:dyDescent="0.25">
      <c r="B683" s="32">
        <f ca="1">IF(AND(Values_Entered,scheduled_no_payments&lt;&gt;1),B682+1,"")</f>
        <v>671</v>
      </c>
      <c r="C683" s="33">
        <f ca="1">IF(Pay_Num&lt;&gt;"",DATE(YEAR(C682)+VLOOKUP(Interval,LoanLookup[],4,FALSE),MONTH(C682)+VLOOKUP(Interval,LoanLookup[],2,FALSE),DAY(C682)+VLOOKUP(Interval,LoanLookup[],3,FALSE)),"")</f>
        <v>65261</v>
      </c>
      <c r="D683" s="34">
        <f t="shared" ca="1" si="32"/>
        <v>0</v>
      </c>
      <c r="E683" s="35">
        <f t="shared" ca="1" si="34"/>
        <v>989.93360882498609</v>
      </c>
      <c r="F683" s="36">
        <f ca="1">IF(scheduled_no_payments=1,"",IF(Sched_Pay+Scheduled_Extra_Payments&lt;Beg_Bal,Scheduled_Extra_Payments,IF(AND(Pay_Num&lt;&gt;"",Beg_Bal-Sched_Pay&gt;0),Beg_Bal-Sched_Pay,IF(Pay_Num&lt;&gt;"",0,""))))</f>
        <v>0</v>
      </c>
      <c r="G683" s="34">
        <f ca="1">IF(scheduled_no_payments=1,"",IF(Sched_Pay+Extra_Pay&lt;Beg_Bal,Sched_Pay+Extra_Pay,IF(Pay_Num&lt;&gt;"",Beg_Bal,"")))</f>
        <v>0</v>
      </c>
      <c r="H683" s="34">
        <f t="shared" ca="1" si="33"/>
        <v>0</v>
      </c>
      <c r="I683" s="34">
        <f ca="1">IF(Pay_Num&lt;&gt;"",Beg_Bal*(Interest_Rate/VLOOKUP(Interval,LoanLookup[],5,FALSE)),"")</f>
        <v>0</v>
      </c>
      <c r="J683" s="34">
        <f ca="1">IF(scheduled_no_payments=1,"",IF(AND(Pay_Num&lt;&gt;"",Sched_Pay+Extra_Pay&lt;Beg_Bal),Beg_Bal-Princ,IF(Pay_Num&lt;&gt;"",0,"")))</f>
        <v>0</v>
      </c>
      <c r="K683" s="34">
        <f ca="1">IF(scheduled_no_payments=1,"",SUM($I$13:$I683))</f>
        <v>87584.066117996466</v>
      </c>
      <c r="L683" s="38"/>
    </row>
    <row r="684" spans="2:12" ht="16.5" customHeight="1" x14ac:dyDescent="0.25">
      <c r="B684" s="32">
        <f ca="1">IF(AND(Values_Entered,scheduled_no_payments&lt;&gt;1),B683+1,"")</f>
        <v>672</v>
      </c>
      <c r="C684" s="33">
        <f ca="1">IF(Pay_Num&lt;&gt;"",DATE(YEAR(C683)+VLOOKUP(Interval,LoanLookup[],4,FALSE),MONTH(C683)+VLOOKUP(Interval,LoanLookup[],2,FALSE),DAY(C683)+VLOOKUP(Interval,LoanLookup[],3,FALSE)),"")</f>
        <v>65291</v>
      </c>
      <c r="D684" s="34">
        <f t="shared" ca="1" si="32"/>
        <v>0</v>
      </c>
      <c r="E684" s="35">
        <f t="shared" ca="1" si="34"/>
        <v>989.93360882498609</v>
      </c>
      <c r="F684" s="36">
        <f ca="1">IF(scheduled_no_payments=1,"",IF(Sched_Pay+Scheduled_Extra_Payments&lt;Beg_Bal,Scheduled_Extra_Payments,IF(AND(Pay_Num&lt;&gt;"",Beg_Bal-Sched_Pay&gt;0),Beg_Bal-Sched_Pay,IF(Pay_Num&lt;&gt;"",0,""))))</f>
        <v>0</v>
      </c>
      <c r="G684" s="34">
        <f ca="1">IF(scheduled_no_payments=1,"",IF(Sched_Pay+Extra_Pay&lt;Beg_Bal,Sched_Pay+Extra_Pay,IF(Pay_Num&lt;&gt;"",Beg_Bal,"")))</f>
        <v>0</v>
      </c>
      <c r="H684" s="34">
        <f t="shared" ca="1" si="33"/>
        <v>0</v>
      </c>
      <c r="I684" s="34">
        <f ca="1">IF(Pay_Num&lt;&gt;"",Beg_Bal*(Interest_Rate/VLOOKUP(Interval,LoanLookup[],5,FALSE)),"")</f>
        <v>0</v>
      </c>
      <c r="J684" s="34">
        <f ca="1">IF(scheduled_no_payments=1,"",IF(AND(Pay_Num&lt;&gt;"",Sched_Pay+Extra_Pay&lt;Beg_Bal),Beg_Bal-Princ,IF(Pay_Num&lt;&gt;"",0,"")))</f>
        <v>0</v>
      </c>
      <c r="K684" s="34">
        <f ca="1">IF(scheduled_no_payments=1,"",SUM($I$13:$I684))</f>
        <v>87584.066117996466</v>
      </c>
      <c r="L684" s="38"/>
    </row>
    <row r="685" spans="2:12" ht="16.5" customHeight="1" x14ac:dyDescent="0.25">
      <c r="B685" s="32">
        <f ca="1">IF(AND(Values_Entered,scheduled_no_payments&lt;&gt;1),B684+1,"")</f>
        <v>673</v>
      </c>
      <c r="C685" s="33">
        <f ca="1">IF(Pay_Num&lt;&gt;"",DATE(YEAR(C684)+VLOOKUP(Interval,LoanLookup[],4,FALSE),MONTH(C684)+VLOOKUP(Interval,LoanLookup[],2,FALSE),DAY(C684)+VLOOKUP(Interval,LoanLookup[],3,FALSE)),"")</f>
        <v>65322</v>
      </c>
      <c r="D685" s="34">
        <f t="shared" ca="1" si="32"/>
        <v>0</v>
      </c>
      <c r="E685" s="35">
        <f t="shared" ca="1" si="34"/>
        <v>989.93360882498609</v>
      </c>
      <c r="F685" s="36">
        <f ca="1">IF(scheduled_no_payments=1,"",IF(Sched_Pay+Scheduled_Extra_Payments&lt;Beg_Bal,Scheduled_Extra_Payments,IF(AND(Pay_Num&lt;&gt;"",Beg_Bal-Sched_Pay&gt;0),Beg_Bal-Sched_Pay,IF(Pay_Num&lt;&gt;"",0,""))))</f>
        <v>0</v>
      </c>
      <c r="G685" s="34">
        <f ca="1">IF(scheduled_no_payments=1,"",IF(Sched_Pay+Extra_Pay&lt;Beg_Bal,Sched_Pay+Extra_Pay,IF(Pay_Num&lt;&gt;"",Beg_Bal,"")))</f>
        <v>0</v>
      </c>
      <c r="H685" s="34">
        <f t="shared" ca="1" si="33"/>
        <v>0</v>
      </c>
      <c r="I685" s="34">
        <f ca="1">IF(Pay_Num&lt;&gt;"",Beg_Bal*(Interest_Rate/VLOOKUP(Interval,LoanLookup[],5,FALSE)),"")</f>
        <v>0</v>
      </c>
      <c r="J685" s="34">
        <f ca="1">IF(scheduled_no_payments=1,"",IF(AND(Pay_Num&lt;&gt;"",Sched_Pay+Extra_Pay&lt;Beg_Bal),Beg_Bal-Princ,IF(Pay_Num&lt;&gt;"",0,"")))</f>
        <v>0</v>
      </c>
      <c r="K685" s="34">
        <f ca="1">IF(scheduled_no_payments=1,"",SUM($I$13:$I685))</f>
        <v>87584.066117996466</v>
      </c>
      <c r="L685" s="38"/>
    </row>
    <row r="686" spans="2:12" ht="16.5" customHeight="1" x14ac:dyDescent="0.25">
      <c r="B686" s="32">
        <f ca="1">IF(AND(Values_Entered,scheduled_no_payments&lt;&gt;1),B685+1,"")</f>
        <v>674</v>
      </c>
      <c r="C686" s="33">
        <f ca="1">IF(Pay_Num&lt;&gt;"",DATE(YEAR(C685)+VLOOKUP(Interval,LoanLookup[],4,FALSE),MONTH(C685)+VLOOKUP(Interval,LoanLookup[],2,FALSE),DAY(C685)+VLOOKUP(Interval,LoanLookup[],3,FALSE)),"")</f>
        <v>65352</v>
      </c>
      <c r="D686" s="34">
        <f t="shared" ca="1" si="32"/>
        <v>0</v>
      </c>
      <c r="E686" s="35">
        <f t="shared" ca="1" si="34"/>
        <v>989.93360882498609</v>
      </c>
      <c r="F686" s="36">
        <f ca="1">IF(scheduled_no_payments=1,"",IF(Sched_Pay+Scheduled_Extra_Payments&lt;Beg_Bal,Scheduled_Extra_Payments,IF(AND(Pay_Num&lt;&gt;"",Beg_Bal-Sched_Pay&gt;0),Beg_Bal-Sched_Pay,IF(Pay_Num&lt;&gt;"",0,""))))</f>
        <v>0</v>
      </c>
      <c r="G686" s="34">
        <f ca="1">IF(scheduled_no_payments=1,"",IF(Sched_Pay+Extra_Pay&lt;Beg_Bal,Sched_Pay+Extra_Pay,IF(Pay_Num&lt;&gt;"",Beg_Bal,"")))</f>
        <v>0</v>
      </c>
      <c r="H686" s="34">
        <f t="shared" ca="1" si="33"/>
        <v>0</v>
      </c>
      <c r="I686" s="34">
        <f ca="1">IF(Pay_Num&lt;&gt;"",Beg_Bal*(Interest_Rate/VLOOKUP(Interval,LoanLookup[],5,FALSE)),"")</f>
        <v>0</v>
      </c>
      <c r="J686" s="34">
        <f ca="1">IF(scheduled_no_payments=1,"",IF(AND(Pay_Num&lt;&gt;"",Sched_Pay+Extra_Pay&lt;Beg_Bal),Beg_Bal-Princ,IF(Pay_Num&lt;&gt;"",0,"")))</f>
        <v>0</v>
      </c>
      <c r="K686" s="34">
        <f ca="1">IF(scheduled_no_payments=1,"",SUM($I$13:$I686))</f>
        <v>87584.066117996466</v>
      </c>
      <c r="L686" s="38"/>
    </row>
    <row r="687" spans="2:12" ht="16.5" customHeight="1" x14ac:dyDescent="0.25">
      <c r="B687" s="32">
        <f ca="1">IF(AND(Values_Entered,scheduled_no_payments&lt;&gt;1),B686+1,"")</f>
        <v>675</v>
      </c>
      <c r="C687" s="33">
        <f ca="1">IF(Pay_Num&lt;&gt;"",DATE(YEAR(C686)+VLOOKUP(Interval,LoanLookup[],4,FALSE),MONTH(C686)+VLOOKUP(Interval,LoanLookup[],2,FALSE),DAY(C686)+VLOOKUP(Interval,LoanLookup[],3,FALSE)),"")</f>
        <v>65383</v>
      </c>
      <c r="D687" s="34">
        <f t="shared" ca="1" si="32"/>
        <v>0</v>
      </c>
      <c r="E687" s="35">
        <f t="shared" ca="1" si="34"/>
        <v>989.93360882498609</v>
      </c>
      <c r="F687" s="36">
        <f ca="1">IF(scheduled_no_payments=1,"",IF(Sched_Pay+Scheduled_Extra_Payments&lt;Beg_Bal,Scheduled_Extra_Payments,IF(AND(Pay_Num&lt;&gt;"",Beg_Bal-Sched_Pay&gt;0),Beg_Bal-Sched_Pay,IF(Pay_Num&lt;&gt;"",0,""))))</f>
        <v>0</v>
      </c>
      <c r="G687" s="34">
        <f ca="1">IF(scheduled_no_payments=1,"",IF(Sched_Pay+Extra_Pay&lt;Beg_Bal,Sched_Pay+Extra_Pay,IF(Pay_Num&lt;&gt;"",Beg_Bal,"")))</f>
        <v>0</v>
      </c>
      <c r="H687" s="34">
        <f t="shared" ca="1" si="33"/>
        <v>0</v>
      </c>
      <c r="I687" s="34">
        <f ca="1">IF(Pay_Num&lt;&gt;"",Beg_Bal*(Interest_Rate/VLOOKUP(Interval,LoanLookup[],5,FALSE)),"")</f>
        <v>0</v>
      </c>
      <c r="J687" s="34">
        <f ca="1">IF(scheduled_no_payments=1,"",IF(AND(Pay_Num&lt;&gt;"",Sched_Pay+Extra_Pay&lt;Beg_Bal),Beg_Bal-Princ,IF(Pay_Num&lt;&gt;"",0,"")))</f>
        <v>0</v>
      </c>
      <c r="K687" s="34">
        <f ca="1">IF(scheduled_no_payments=1,"",SUM($I$13:$I687))</f>
        <v>87584.066117996466</v>
      </c>
      <c r="L687" s="38"/>
    </row>
    <row r="688" spans="2:12" ht="16.5" customHeight="1" x14ac:dyDescent="0.25">
      <c r="B688" s="32">
        <f ca="1">IF(AND(Values_Entered,scheduled_no_payments&lt;&gt;1),B687+1,"")</f>
        <v>676</v>
      </c>
      <c r="C688" s="33">
        <f ca="1">IF(Pay_Num&lt;&gt;"",DATE(YEAR(C687)+VLOOKUP(Interval,LoanLookup[],4,FALSE),MONTH(C687)+VLOOKUP(Interval,LoanLookup[],2,FALSE),DAY(C687)+VLOOKUP(Interval,LoanLookup[],3,FALSE)),"")</f>
        <v>65414</v>
      </c>
      <c r="D688" s="34">
        <f t="shared" ca="1" si="32"/>
        <v>0</v>
      </c>
      <c r="E688" s="35">
        <f t="shared" ca="1" si="34"/>
        <v>989.93360882498609</v>
      </c>
      <c r="F688" s="36">
        <f ca="1">IF(scheduled_no_payments=1,"",IF(Sched_Pay+Scheduled_Extra_Payments&lt;Beg_Bal,Scheduled_Extra_Payments,IF(AND(Pay_Num&lt;&gt;"",Beg_Bal-Sched_Pay&gt;0),Beg_Bal-Sched_Pay,IF(Pay_Num&lt;&gt;"",0,""))))</f>
        <v>0</v>
      </c>
      <c r="G688" s="34">
        <f ca="1">IF(scheduled_no_payments=1,"",IF(Sched_Pay+Extra_Pay&lt;Beg_Bal,Sched_Pay+Extra_Pay,IF(Pay_Num&lt;&gt;"",Beg_Bal,"")))</f>
        <v>0</v>
      </c>
      <c r="H688" s="34">
        <f t="shared" ca="1" si="33"/>
        <v>0</v>
      </c>
      <c r="I688" s="34">
        <f ca="1">IF(Pay_Num&lt;&gt;"",Beg_Bal*(Interest_Rate/VLOOKUP(Interval,LoanLookup[],5,FALSE)),"")</f>
        <v>0</v>
      </c>
      <c r="J688" s="34">
        <f ca="1">IF(scheduled_no_payments=1,"",IF(AND(Pay_Num&lt;&gt;"",Sched_Pay+Extra_Pay&lt;Beg_Bal),Beg_Bal-Princ,IF(Pay_Num&lt;&gt;"",0,"")))</f>
        <v>0</v>
      </c>
      <c r="K688" s="34">
        <f ca="1">IF(scheduled_no_payments=1,"",SUM($I$13:$I688))</f>
        <v>87584.066117996466</v>
      </c>
      <c r="L688" s="38"/>
    </row>
    <row r="689" spans="2:12" ht="16.5" customHeight="1" x14ac:dyDescent="0.25">
      <c r="B689" s="32">
        <f ca="1">IF(AND(Values_Entered,scheduled_no_payments&lt;&gt;1),B688+1,"")</f>
        <v>677</v>
      </c>
      <c r="C689" s="33">
        <f ca="1">IF(Pay_Num&lt;&gt;"",DATE(YEAR(C688)+VLOOKUP(Interval,LoanLookup[],4,FALSE),MONTH(C688)+VLOOKUP(Interval,LoanLookup[],2,FALSE),DAY(C688)+VLOOKUP(Interval,LoanLookup[],3,FALSE)),"")</f>
        <v>65442</v>
      </c>
      <c r="D689" s="34">
        <f t="shared" ca="1" si="32"/>
        <v>0</v>
      </c>
      <c r="E689" s="35">
        <f t="shared" ca="1" si="34"/>
        <v>989.93360882498609</v>
      </c>
      <c r="F689" s="36">
        <f ca="1">IF(scheduled_no_payments=1,"",IF(Sched_Pay+Scheduled_Extra_Payments&lt;Beg_Bal,Scheduled_Extra_Payments,IF(AND(Pay_Num&lt;&gt;"",Beg_Bal-Sched_Pay&gt;0),Beg_Bal-Sched_Pay,IF(Pay_Num&lt;&gt;"",0,""))))</f>
        <v>0</v>
      </c>
      <c r="G689" s="34">
        <f ca="1">IF(scheduled_no_payments=1,"",IF(Sched_Pay+Extra_Pay&lt;Beg_Bal,Sched_Pay+Extra_Pay,IF(Pay_Num&lt;&gt;"",Beg_Bal,"")))</f>
        <v>0</v>
      </c>
      <c r="H689" s="34">
        <f t="shared" ca="1" si="33"/>
        <v>0</v>
      </c>
      <c r="I689" s="34">
        <f ca="1">IF(Pay_Num&lt;&gt;"",Beg_Bal*(Interest_Rate/VLOOKUP(Interval,LoanLookup[],5,FALSE)),"")</f>
        <v>0</v>
      </c>
      <c r="J689" s="34">
        <f ca="1">IF(scheduled_no_payments=1,"",IF(AND(Pay_Num&lt;&gt;"",Sched_Pay+Extra_Pay&lt;Beg_Bal),Beg_Bal-Princ,IF(Pay_Num&lt;&gt;"",0,"")))</f>
        <v>0</v>
      </c>
      <c r="K689" s="34">
        <f ca="1">IF(scheduled_no_payments=1,"",SUM($I$13:$I689))</f>
        <v>87584.066117996466</v>
      </c>
      <c r="L689" s="38"/>
    </row>
    <row r="690" spans="2:12" ht="16.5" customHeight="1" x14ac:dyDescent="0.25">
      <c r="B690" s="32">
        <f ca="1">IF(AND(Values_Entered,scheduled_no_payments&lt;&gt;1),B689+1,"")</f>
        <v>678</v>
      </c>
      <c r="C690" s="33">
        <f ca="1">IF(Pay_Num&lt;&gt;"",DATE(YEAR(C689)+VLOOKUP(Interval,LoanLookup[],4,FALSE),MONTH(C689)+VLOOKUP(Interval,LoanLookup[],2,FALSE),DAY(C689)+VLOOKUP(Interval,LoanLookup[],3,FALSE)),"")</f>
        <v>65473</v>
      </c>
      <c r="D690" s="34">
        <f t="shared" ca="1" si="32"/>
        <v>0</v>
      </c>
      <c r="E690" s="35">
        <f t="shared" ca="1" si="34"/>
        <v>989.93360882498609</v>
      </c>
      <c r="F690" s="36">
        <f ca="1">IF(scheduled_no_payments=1,"",IF(Sched_Pay+Scheduled_Extra_Payments&lt;Beg_Bal,Scheduled_Extra_Payments,IF(AND(Pay_Num&lt;&gt;"",Beg_Bal-Sched_Pay&gt;0),Beg_Bal-Sched_Pay,IF(Pay_Num&lt;&gt;"",0,""))))</f>
        <v>0</v>
      </c>
      <c r="G690" s="34">
        <f ca="1">IF(scheduled_no_payments=1,"",IF(Sched_Pay+Extra_Pay&lt;Beg_Bal,Sched_Pay+Extra_Pay,IF(Pay_Num&lt;&gt;"",Beg_Bal,"")))</f>
        <v>0</v>
      </c>
      <c r="H690" s="34">
        <f t="shared" ca="1" si="33"/>
        <v>0</v>
      </c>
      <c r="I690" s="34">
        <f ca="1">IF(Pay_Num&lt;&gt;"",Beg_Bal*(Interest_Rate/VLOOKUP(Interval,LoanLookup[],5,FALSE)),"")</f>
        <v>0</v>
      </c>
      <c r="J690" s="34">
        <f ca="1">IF(scheduled_no_payments=1,"",IF(AND(Pay_Num&lt;&gt;"",Sched_Pay+Extra_Pay&lt;Beg_Bal),Beg_Bal-Princ,IF(Pay_Num&lt;&gt;"",0,"")))</f>
        <v>0</v>
      </c>
      <c r="K690" s="34">
        <f ca="1">IF(scheduled_no_payments=1,"",SUM($I$13:$I690))</f>
        <v>87584.066117996466</v>
      </c>
      <c r="L690" s="38"/>
    </row>
    <row r="691" spans="2:12" ht="16.5" customHeight="1" x14ac:dyDescent="0.25">
      <c r="B691" s="32">
        <f ca="1">IF(AND(Values_Entered,scheduled_no_payments&lt;&gt;1),B690+1,"")</f>
        <v>679</v>
      </c>
      <c r="C691" s="33">
        <f ca="1">IF(Pay_Num&lt;&gt;"",DATE(YEAR(C690)+VLOOKUP(Interval,LoanLookup[],4,FALSE),MONTH(C690)+VLOOKUP(Interval,LoanLookup[],2,FALSE),DAY(C690)+VLOOKUP(Interval,LoanLookup[],3,FALSE)),"")</f>
        <v>65503</v>
      </c>
      <c r="D691" s="34">
        <f t="shared" ca="1" si="32"/>
        <v>0</v>
      </c>
      <c r="E691" s="35">
        <f t="shared" ca="1" si="34"/>
        <v>989.93360882498609</v>
      </c>
      <c r="F691" s="36">
        <f ca="1">IF(scheduled_no_payments=1,"",IF(Sched_Pay+Scheduled_Extra_Payments&lt;Beg_Bal,Scheduled_Extra_Payments,IF(AND(Pay_Num&lt;&gt;"",Beg_Bal-Sched_Pay&gt;0),Beg_Bal-Sched_Pay,IF(Pay_Num&lt;&gt;"",0,""))))</f>
        <v>0</v>
      </c>
      <c r="G691" s="34">
        <f ca="1">IF(scheduled_no_payments=1,"",IF(Sched_Pay+Extra_Pay&lt;Beg_Bal,Sched_Pay+Extra_Pay,IF(Pay_Num&lt;&gt;"",Beg_Bal,"")))</f>
        <v>0</v>
      </c>
      <c r="H691" s="34">
        <f t="shared" ca="1" si="33"/>
        <v>0</v>
      </c>
      <c r="I691" s="34">
        <f ca="1">IF(Pay_Num&lt;&gt;"",Beg_Bal*(Interest_Rate/VLOOKUP(Interval,LoanLookup[],5,FALSE)),"")</f>
        <v>0</v>
      </c>
      <c r="J691" s="34">
        <f ca="1">IF(scheduled_no_payments=1,"",IF(AND(Pay_Num&lt;&gt;"",Sched_Pay+Extra_Pay&lt;Beg_Bal),Beg_Bal-Princ,IF(Pay_Num&lt;&gt;"",0,"")))</f>
        <v>0</v>
      </c>
      <c r="K691" s="34">
        <f ca="1">IF(scheduled_no_payments=1,"",SUM($I$13:$I691))</f>
        <v>87584.066117996466</v>
      </c>
      <c r="L691" s="38"/>
    </row>
    <row r="692" spans="2:12" ht="16.5" customHeight="1" x14ac:dyDescent="0.25">
      <c r="B692" s="32">
        <f ca="1">IF(AND(Values_Entered,scheduled_no_payments&lt;&gt;1),B691+1,"")</f>
        <v>680</v>
      </c>
      <c r="C692" s="33">
        <f ca="1">IF(Pay_Num&lt;&gt;"",DATE(YEAR(C691)+VLOOKUP(Interval,LoanLookup[],4,FALSE),MONTH(C691)+VLOOKUP(Interval,LoanLookup[],2,FALSE),DAY(C691)+VLOOKUP(Interval,LoanLookup[],3,FALSE)),"")</f>
        <v>65534</v>
      </c>
      <c r="D692" s="34">
        <f t="shared" ca="1" si="32"/>
        <v>0</v>
      </c>
      <c r="E692" s="35">
        <f t="shared" ca="1" si="34"/>
        <v>989.93360882498609</v>
      </c>
      <c r="F692" s="36">
        <f ca="1">IF(scheduled_no_payments=1,"",IF(Sched_Pay+Scheduled_Extra_Payments&lt;Beg_Bal,Scheduled_Extra_Payments,IF(AND(Pay_Num&lt;&gt;"",Beg_Bal-Sched_Pay&gt;0),Beg_Bal-Sched_Pay,IF(Pay_Num&lt;&gt;"",0,""))))</f>
        <v>0</v>
      </c>
      <c r="G692" s="34">
        <f ca="1">IF(scheduled_no_payments=1,"",IF(Sched_Pay+Extra_Pay&lt;Beg_Bal,Sched_Pay+Extra_Pay,IF(Pay_Num&lt;&gt;"",Beg_Bal,"")))</f>
        <v>0</v>
      </c>
      <c r="H692" s="34">
        <f t="shared" ca="1" si="33"/>
        <v>0</v>
      </c>
      <c r="I692" s="34">
        <f ca="1">IF(Pay_Num&lt;&gt;"",Beg_Bal*(Interest_Rate/VLOOKUP(Interval,LoanLookup[],5,FALSE)),"")</f>
        <v>0</v>
      </c>
      <c r="J692" s="34">
        <f ca="1">IF(scheduled_no_payments=1,"",IF(AND(Pay_Num&lt;&gt;"",Sched_Pay+Extra_Pay&lt;Beg_Bal),Beg_Bal-Princ,IF(Pay_Num&lt;&gt;"",0,"")))</f>
        <v>0</v>
      </c>
      <c r="K692" s="34">
        <f ca="1">IF(scheduled_no_payments=1,"",SUM($I$13:$I692))</f>
        <v>87584.066117996466</v>
      </c>
      <c r="L692" s="38"/>
    </row>
    <row r="693" spans="2:12" ht="16.5" customHeight="1" x14ac:dyDescent="0.25">
      <c r="B693" s="32">
        <f ca="1">IF(AND(Values_Entered,scheduled_no_payments&lt;&gt;1),B692+1,"")</f>
        <v>681</v>
      </c>
      <c r="C693" s="33">
        <f ca="1">IF(Pay_Num&lt;&gt;"",DATE(YEAR(C692)+VLOOKUP(Interval,LoanLookup[],4,FALSE),MONTH(C692)+VLOOKUP(Interval,LoanLookup[],2,FALSE),DAY(C692)+VLOOKUP(Interval,LoanLookup[],3,FALSE)),"")</f>
        <v>65564</v>
      </c>
      <c r="D693" s="34">
        <f t="shared" ca="1" si="32"/>
        <v>0</v>
      </c>
      <c r="E693" s="35">
        <f t="shared" ca="1" si="34"/>
        <v>989.93360882498609</v>
      </c>
      <c r="F693" s="36">
        <f ca="1">IF(scheduled_no_payments=1,"",IF(Sched_Pay+Scheduled_Extra_Payments&lt;Beg_Bal,Scheduled_Extra_Payments,IF(AND(Pay_Num&lt;&gt;"",Beg_Bal-Sched_Pay&gt;0),Beg_Bal-Sched_Pay,IF(Pay_Num&lt;&gt;"",0,""))))</f>
        <v>0</v>
      </c>
      <c r="G693" s="34">
        <f ca="1">IF(scheduled_no_payments=1,"",IF(Sched_Pay+Extra_Pay&lt;Beg_Bal,Sched_Pay+Extra_Pay,IF(Pay_Num&lt;&gt;"",Beg_Bal,"")))</f>
        <v>0</v>
      </c>
      <c r="H693" s="34">
        <f t="shared" ca="1" si="33"/>
        <v>0</v>
      </c>
      <c r="I693" s="34">
        <f ca="1">IF(Pay_Num&lt;&gt;"",Beg_Bal*(Interest_Rate/VLOOKUP(Interval,LoanLookup[],5,FALSE)),"")</f>
        <v>0</v>
      </c>
      <c r="J693" s="34">
        <f ca="1">IF(scheduled_no_payments=1,"",IF(AND(Pay_Num&lt;&gt;"",Sched_Pay+Extra_Pay&lt;Beg_Bal),Beg_Bal-Princ,IF(Pay_Num&lt;&gt;"",0,"")))</f>
        <v>0</v>
      </c>
      <c r="K693" s="34">
        <f ca="1">IF(scheduled_no_payments=1,"",SUM($I$13:$I693))</f>
        <v>87584.066117996466</v>
      </c>
      <c r="L693" s="38"/>
    </row>
    <row r="694" spans="2:12" ht="16.5" customHeight="1" x14ac:dyDescent="0.25">
      <c r="B694" s="32">
        <f ca="1">IF(AND(Values_Entered,scheduled_no_payments&lt;&gt;1),B693+1,"")</f>
        <v>682</v>
      </c>
      <c r="C694" s="33">
        <f ca="1">IF(Pay_Num&lt;&gt;"",DATE(YEAR(C693)+VLOOKUP(Interval,LoanLookup[],4,FALSE),MONTH(C693)+VLOOKUP(Interval,LoanLookup[],2,FALSE),DAY(C693)+VLOOKUP(Interval,LoanLookup[],3,FALSE)),"")</f>
        <v>65595</v>
      </c>
      <c r="D694" s="34">
        <f t="shared" ref="D694:D719" ca="1" si="35">IF(Pay_Num&lt;&gt;"",J693,"")</f>
        <v>0</v>
      </c>
      <c r="E694" s="35">
        <f t="shared" ca="1" si="34"/>
        <v>989.93360882498609</v>
      </c>
      <c r="F694" s="36">
        <f ca="1">IF(scheduled_no_payments=1,"",IF(Sched_Pay+Scheduled_Extra_Payments&lt;Beg_Bal,Scheduled_Extra_Payments,IF(AND(Pay_Num&lt;&gt;"",Beg_Bal-Sched_Pay&gt;0),Beg_Bal-Sched_Pay,IF(Pay_Num&lt;&gt;"",0,""))))</f>
        <v>0</v>
      </c>
      <c r="G694" s="34">
        <f ca="1">IF(scheduled_no_payments=1,"",IF(Sched_Pay+Extra_Pay&lt;Beg_Bal,Sched_Pay+Extra_Pay,IF(Pay_Num&lt;&gt;"",Beg_Bal,"")))</f>
        <v>0</v>
      </c>
      <c r="H694" s="34">
        <f t="shared" ca="1" si="33"/>
        <v>0</v>
      </c>
      <c r="I694" s="34">
        <f ca="1">IF(Pay_Num&lt;&gt;"",Beg_Bal*(Interest_Rate/VLOOKUP(Interval,LoanLookup[],5,FALSE)),"")</f>
        <v>0</v>
      </c>
      <c r="J694" s="34">
        <f ca="1">IF(scheduled_no_payments=1,"",IF(AND(Pay_Num&lt;&gt;"",Sched_Pay+Extra_Pay&lt;Beg_Bal),Beg_Bal-Princ,IF(Pay_Num&lt;&gt;"",0,"")))</f>
        <v>0</v>
      </c>
      <c r="K694" s="34">
        <f ca="1">IF(scheduled_no_payments=1,"",SUM($I$13:$I694))</f>
        <v>87584.066117996466</v>
      </c>
      <c r="L694" s="38"/>
    </row>
    <row r="695" spans="2:12" ht="16.5" customHeight="1" x14ac:dyDescent="0.25">
      <c r="B695" s="32">
        <f ca="1">IF(AND(Values_Entered,scheduled_no_payments&lt;&gt;1),B694+1,"")</f>
        <v>683</v>
      </c>
      <c r="C695" s="33">
        <f ca="1">IF(Pay_Num&lt;&gt;"",DATE(YEAR(C694)+VLOOKUP(Interval,LoanLookup[],4,FALSE),MONTH(C694)+VLOOKUP(Interval,LoanLookup[],2,FALSE),DAY(C694)+VLOOKUP(Interval,LoanLookup[],3,FALSE)),"")</f>
        <v>65626</v>
      </c>
      <c r="D695" s="34">
        <f t="shared" ca="1" si="35"/>
        <v>0</v>
      </c>
      <c r="E695" s="35">
        <f t="shared" ca="1" si="34"/>
        <v>989.93360882498609</v>
      </c>
      <c r="F695" s="36">
        <f ca="1">IF(scheduled_no_payments=1,"",IF(Sched_Pay+Scheduled_Extra_Payments&lt;Beg_Bal,Scheduled_Extra_Payments,IF(AND(Pay_Num&lt;&gt;"",Beg_Bal-Sched_Pay&gt;0),Beg_Bal-Sched_Pay,IF(Pay_Num&lt;&gt;"",0,""))))</f>
        <v>0</v>
      </c>
      <c r="G695" s="34">
        <f ca="1">IF(scheduled_no_payments=1,"",IF(Sched_Pay+Extra_Pay&lt;Beg_Bal,Sched_Pay+Extra_Pay,IF(Pay_Num&lt;&gt;"",Beg_Bal,"")))</f>
        <v>0</v>
      </c>
      <c r="H695" s="34">
        <f t="shared" ca="1" si="33"/>
        <v>0</v>
      </c>
      <c r="I695" s="34">
        <f ca="1">IF(Pay_Num&lt;&gt;"",Beg_Bal*(Interest_Rate/VLOOKUP(Interval,LoanLookup[],5,FALSE)),"")</f>
        <v>0</v>
      </c>
      <c r="J695" s="34">
        <f ca="1">IF(scheduled_no_payments=1,"",IF(AND(Pay_Num&lt;&gt;"",Sched_Pay+Extra_Pay&lt;Beg_Bal),Beg_Bal-Princ,IF(Pay_Num&lt;&gt;"",0,"")))</f>
        <v>0</v>
      </c>
      <c r="K695" s="34">
        <f ca="1">IF(scheduled_no_payments=1,"",SUM($I$13:$I695))</f>
        <v>87584.066117996466</v>
      </c>
      <c r="L695" s="38"/>
    </row>
    <row r="696" spans="2:12" ht="16.5" customHeight="1" x14ac:dyDescent="0.25">
      <c r="B696" s="32">
        <f ca="1">IF(AND(Values_Entered,scheduled_no_payments&lt;&gt;1),B695+1,"")</f>
        <v>684</v>
      </c>
      <c r="C696" s="33">
        <f ca="1">IF(Pay_Num&lt;&gt;"",DATE(YEAR(C695)+VLOOKUP(Interval,LoanLookup[],4,FALSE),MONTH(C695)+VLOOKUP(Interval,LoanLookup[],2,FALSE),DAY(C695)+VLOOKUP(Interval,LoanLookup[],3,FALSE)),"")</f>
        <v>65656</v>
      </c>
      <c r="D696" s="34">
        <f t="shared" ca="1" si="35"/>
        <v>0</v>
      </c>
      <c r="E696" s="35">
        <f t="shared" ca="1" si="34"/>
        <v>989.93360882498609</v>
      </c>
      <c r="F696" s="36">
        <f ca="1">IF(scheduled_no_payments=1,"",IF(Sched_Pay+Scheduled_Extra_Payments&lt;Beg_Bal,Scheduled_Extra_Payments,IF(AND(Pay_Num&lt;&gt;"",Beg_Bal-Sched_Pay&gt;0),Beg_Bal-Sched_Pay,IF(Pay_Num&lt;&gt;"",0,""))))</f>
        <v>0</v>
      </c>
      <c r="G696" s="34">
        <f ca="1">IF(scheduled_no_payments=1,"",IF(Sched_Pay+Extra_Pay&lt;Beg_Bal,Sched_Pay+Extra_Pay,IF(Pay_Num&lt;&gt;"",Beg_Bal,"")))</f>
        <v>0</v>
      </c>
      <c r="H696" s="34">
        <f t="shared" ca="1" si="33"/>
        <v>0</v>
      </c>
      <c r="I696" s="34">
        <f ca="1">IF(Pay_Num&lt;&gt;"",Beg_Bal*(Interest_Rate/VLOOKUP(Interval,LoanLookup[],5,FALSE)),"")</f>
        <v>0</v>
      </c>
      <c r="J696" s="34">
        <f ca="1">IF(scheduled_no_payments=1,"",IF(AND(Pay_Num&lt;&gt;"",Sched_Pay+Extra_Pay&lt;Beg_Bal),Beg_Bal-Princ,IF(Pay_Num&lt;&gt;"",0,"")))</f>
        <v>0</v>
      </c>
      <c r="K696" s="34">
        <f ca="1">IF(scheduled_no_payments=1,"",SUM($I$13:$I696))</f>
        <v>87584.066117996466</v>
      </c>
      <c r="L696" s="38"/>
    </row>
    <row r="697" spans="2:12" ht="16.5" customHeight="1" x14ac:dyDescent="0.25">
      <c r="B697" s="32">
        <f ca="1">IF(AND(Values_Entered,scheduled_no_payments&lt;&gt;1),B696+1,"")</f>
        <v>685</v>
      </c>
      <c r="C697" s="33">
        <f ca="1">IF(Pay_Num&lt;&gt;"",DATE(YEAR(C696)+VLOOKUP(Interval,LoanLookup[],4,FALSE),MONTH(C696)+VLOOKUP(Interval,LoanLookup[],2,FALSE),DAY(C696)+VLOOKUP(Interval,LoanLookup[],3,FALSE)),"")</f>
        <v>65687</v>
      </c>
      <c r="D697" s="34">
        <f t="shared" ca="1" si="35"/>
        <v>0</v>
      </c>
      <c r="E697" s="35">
        <f t="shared" ca="1" si="34"/>
        <v>989.93360882498609</v>
      </c>
      <c r="F697" s="36">
        <f ca="1">IF(scheduled_no_payments=1,"",IF(Sched_Pay+Scheduled_Extra_Payments&lt;Beg_Bal,Scheduled_Extra_Payments,IF(AND(Pay_Num&lt;&gt;"",Beg_Bal-Sched_Pay&gt;0),Beg_Bal-Sched_Pay,IF(Pay_Num&lt;&gt;"",0,""))))</f>
        <v>0</v>
      </c>
      <c r="G697" s="34">
        <f ca="1">IF(scheduled_no_payments=1,"",IF(Sched_Pay+Extra_Pay&lt;Beg_Bal,Sched_Pay+Extra_Pay,IF(Pay_Num&lt;&gt;"",Beg_Bal,"")))</f>
        <v>0</v>
      </c>
      <c r="H697" s="34">
        <f t="shared" ca="1" si="33"/>
        <v>0</v>
      </c>
      <c r="I697" s="34">
        <f ca="1">IF(Pay_Num&lt;&gt;"",Beg_Bal*(Interest_Rate/VLOOKUP(Interval,LoanLookup[],5,FALSE)),"")</f>
        <v>0</v>
      </c>
      <c r="J697" s="34">
        <f ca="1">IF(scheduled_no_payments=1,"",IF(AND(Pay_Num&lt;&gt;"",Sched_Pay+Extra_Pay&lt;Beg_Bal),Beg_Bal-Princ,IF(Pay_Num&lt;&gt;"",0,"")))</f>
        <v>0</v>
      </c>
      <c r="K697" s="34">
        <f ca="1">IF(scheduled_no_payments=1,"",SUM($I$13:$I697))</f>
        <v>87584.066117996466</v>
      </c>
      <c r="L697" s="38"/>
    </row>
    <row r="698" spans="2:12" ht="16.5" customHeight="1" x14ac:dyDescent="0.25">
      <c r="B698" s="32">
        <f ca="1">IF(AND(Values_Entered,scheduled_no_payments&lt;&gt;1),B697+1,"")</f>
        <v>686</v>
      </c>
      <c r="C698" s="33">
        <f ca="1">IF(Pay_Num&lt;&gt;"",DATE(YEAR(C697)+VLOOKUP(Interval,LoanLookup[],4,FALSE),MONTH(C697)+VLOOKUP(Interval,LoanLookup[],2,FALSE),DAY(C697)+VLOOKUP(Interval,LoanLookup[],3,FALSE)),"")</f>
        <v>65717</v>
      </c>
      <c r="D698" s="34">
        <f t="shared" ca="1" si="35"/>
        <v>0</v>
      </c>
      <c r="E698" s="35">
        <f t="shared" ca="1" si="34"/>
        <v>989.93360882498609</v>
      </c>
      <c r="F698" s="36">
        <f ca="1">IF(scheduled_no_payments=1,"",IF(Sched_Pay+Scheduled_Extra_Payments&lt;Beg_Bal,Scheduled_Extra_Payments,IF(AND(Pay_Num&lt;&gt;"",Beg_Bal-Sched_Pay&gt;0),Beg_Bal-Sched_Pay,IF(Pay_Num&lt;&gt;"",0,""))))</f>
        <v>0</v>
      </c>
      <c r="G698" s="34">
        <f ca="1">IF(scheduled_no_payments=1,"",IF(Sched_Pay+Extra_Pay&lt;Beg_Bal,Sched_Pay+Extra_Pay,IF(Pay_Num&lt;&gt;"",Beg_Bal,"")))</f>
        <v>0</v>
      </c>
      <c r="H698" s="34">
        <f t="shared" ca="1" si="33"/>
        <v>0</v>
      </c>
      <c r="I698" s="34">
        <f ca="1">IF(Pay_Num&lt;&gt;"",Beg_Bal*(Interest_Rate/VLOOKUP(Interval,LoanLookup[],5,FALSE)),"")</f>
        <v>0</v>
      </c>
      <c r="J698" s="34">
        <f ca="1">IF(scheduled_no_payments=1,"",IF(AND(Pay_Num&lt;&gt;"",Sched_Pay+Extra_Pay&lt;Beg_Bal),Beg_Bal-Princ,IF(Pay_Num&lt;&gt;"",0,"")))</f>
        <v>0</v>
      </c>
      <c r="K698" s="34">
        <f ca="1">IF(scheduled_no_payments=1,"",SUM($I$13:$I698))</f>
        <v>87584.066117996466</v>
      </c>
      <c r="L698" s="38"/>
    </row>
    <row r="699" spans="2:12" ht="16.5" customHeight="1" x14ac:dyDescent="0.25">
      <c r="B699" s="32">
        <f ca="1">IF(AND(Values_Entered,scheduled_no_payments&lt;&gt;1),B698+1,"")</f>
        <v>687</v>
      </c>
      <c r="C699" s="33">
        <f ca="1">IF(Pay_Num&lt;&gt;"",DATE(YEAR(C698)+VLOOKUP(Interval,LoanLookup[],4,FALSE),MONTH(C698)+VLOOKUP(Interval,LoanLookup[],2,FALSE),DAY(C698)+VLOOKUP(Interval,LoanLookup[],3,FALSE)),"")</f>
        <v>65748</v>
      </c>
      <c r="D699" s="34">
        <f t="shared" ca="1" si="35"/>
        <v>0</v>
      </c>
      <c r="E699" s="35">
        <f t="shared" ca="1" si="34"/>
        <v>989.93360882498609</v>
      </c>
      <c r="F699" s="36">
        <f ca="1">IF(scheduled_no_payments=1,"",IF(Sched_Pay+Scheduled_Extra_Payments&lt;Beg_Bal,Scheduled_Extra_Payments,IF(AND(Pay_Num&lt;&gt;"",Beg_Bal-Sched_Pay&gt;0),Beg_Bal-Sched_Pay,IF(Pay_Num&lt;&gt;"",0,""))))</f>
        <v>0</v>
      </c>
      <c r="G699" s="34">
        <f ca="1">IF(scheduled_no_payments=1,"",IF(Sched_Pay+Extra_Pay&lt;Beg_Bal,Sched_Pay+Extra_Pay,IF(Pay_Num&lt;&gt;"",Beg_Bal,"")))</f>
        <v>0</v>
      </c>
      <c r="H699" s="34">
        <f t="shared" ca="1" si="33"/>
        <v>0</v>
      </c>
      <c r="I699" s="34">
        <f ca="1">IF(Pay_Num&lt;&gt;"",Beg_Bal*(Interest_Rate/VLOOKUP(Interval,LoanLookup[],5,FALSE)),"")</f>
        <v>0</v>
      </c>
      <c r="J699" s="34">
        <f ca="1">IF(scheduled_no_payments=1,"",IF(AND(Pay_Num&lt;&gt;"",Sched_Pay+Extra_Pay&lt;Beg_Bal),Beg_Bal-Princ,IF(Pay_Num&lt;&gt;"",0,"")))</f>
        <v>0</v>
      </c>
      <c r="K699" s="34">
        <f ca="1">IF(scheduled_no_payments=1,"",SUM($I$13:$I699))</f>
        <v>87584.066117996466</v>
      </c>
      <c r="L699" s="38"/>
    </row>
    <row r="700" spans="2:12" ht="16.5" customHeight="1" x14ac:dyDescent="0.25">
      <c r="B700" s="32">
        <f ca="1">IF(AND(Values_Entered,scheduled_no_payments&lt;&gt;1),B699+1,"")</f>
        <v>688</v>
      </c>
      <c r="C700" s="33">
        <f ca="1">IF(Pay_Num&lt;&gt;"",DATE(YEAR(C699)+VLOOKUP(Interval,LoanLookup[],4,FALSE),MONTH(C699)+VLOOKUP(Interval,LoanLookup[],2,FALSE),DAY(C699)+VLOOKUP(Interval,LoanLookup[],3,FALSE)),"")</f>
        <v>65779</v>
      </c>
      <c r="D700" s="34">
        <f t="shared" ca="1" si="35"/>
        <v>0</v>
      </c>
      <c r="E700" s="35">
        <f t="shared" ca="1" si="34"/>
        <v>989.93360882498609</v>
      </c>
      <c r="F700" s="36">
        <f ca="1">IF(scheduled_no_payments=1,"",IF(Sched_Pay+Scheduled_Extra_Payments&lt;Beg_Bal,Scheduled_Extra_Payments,IF(AND(Pay_Num&lt;&gt;"",Beg_Bal-Sched_Pay&gt;0),Beg_Bal-Sched_Pay,IF(Pay_Num&lt;&gt;"",0,""))))</f>
        <v>0</v>
      </c>
      <c r="G700" s="34">
        <f ca="1">IF(scheduled_no_payments=1,"",IF(Sched_Pay+Extra_Pay&lt;Beg_Bal,Sched_Pay+Extra_Pay,IF(Pay_Num&lt;&gt;"",Beg_Bal,"")))</f>
        <v>0</v>
      </c>
      <c r="H700" s="34">
        <f t="shared" ca="1" si="33"/>
        <v>0</v>
      </c>
      <c r="I700" s="34">
        <f ca="1">IF(Pay_Num&lt;&gt;"",Beg_Bal*(Interest_Rate/VLOOKUP(Interval,LoanLookup[],5,FALSE)),"")</f>
        <v>0</v>
      </c>
      <c r="J700" s="34">
        <f ca="1">IF(scheduled_no_payments=1,"",IF(AND(Pay_Num&lt;&gt;"",Sched_Pay+Extra_Pay&lt;Beg_Bal),Beg_Bal-Princ,IF(Pay_Num&lt;&gt;"",0,"")))</f>
        <v>0</v>
      </c>
      <c r="K700" s="34">
        <f ca="1">IF(scheduled_no_payments=1,"",SUM($I$13:$I700))</f>
        <v>87584.066117996466</v>
      </c>
      <c r="L700" s="38"/>
    </row>
    <row r="701" spans="2:12" ht="16.5" customHeight="1" x14ac:dyDescent="0.25">
      <c r="B701" s="32">
        <f ca="1">IF(AND(Values_Entered,scheduled_no_payments&lt;&gt;1),B700+1,"")</f>
        <v>689</v>
      </c>
      <c r="C701" s="33">
        <f ca="1">IF(Pay_Num&lt;&gt;"",DATE(YEAR(C700)+VLOOKUP(Interval,LoanLookup[],4,FALSE),MONTH(C700)+VLOOKUP(Interval,LoanLookup[],2,FALSE),DAY(C700)+VLOOKUP(Interval,LoanLookup[],3,FALSE)),"")</f>
        <v>65808</v>
      </c>
      <c r="D701" s="34">
        <f t="shared" ca="1" si="35"/>
        <v>0</v>
      </c>
      <c r="E701" s="35">
        <f t="shared" ca="1" si="34"/>
        <v>989.93360882498609</v>
      </c>
      <c r="F701" s="36">
        <f ca="1">IF(scheduled_no_payments=1,"",IF(Sched_Pay+Scheduled_Extra_Payments&lt;Beg_Bal,Scheduled_Extra_Payments,IF(AND(Pay_Num&lt;&gt;"",Beg_Bal-Sched_Pay&gt;0),Beg_Bal-Sched_Pay,IF(Pay_Num&lt;&gt;"",0,""))))</f>
        <v>0</v>
      </c>
      <c r="G701" s="34">
        <f ca="1">IF(scheduled_no_payments=1,"",IF(Sched_Pay+Extra_Pay&lt;Beg_Bal,Sched_Pay+Extra_Pay,IF(Pay_Num&lt;&gt;"",Beg_Bal,"")))</f>
        <v>0</v>
      </c>
      <c r="H701" s="34">
        <f t="shared" ca="1" si="33"/>
        <v>0</v>
      </c>
      <c r="I701" s="34">
        <f ca="1">IF(Pay_Num&lt;&gt;"",Beg_Bal*(Interest_Rate/VLOOKUP(Interval,LoanLookup[],5,FALSE)),"")</f>
        <v>0</v>
      </c>
      <c r="J701" s="34">
        <f ca="1">IF(scheduled_no_payments=1,"",IF(AND(Pay_Num&lt;&gt;"",Sched_Pay+Extra_Pay&lt;Beg_Bal),Beg_Bal-Princ,IF(Pay_Num&lt;&gt;"",0,"")))</f>
        <v>0</v>
      </c>
      <c r="K701" s="34">
        <f ca="1">IF(scheduled_no_payments=1,"",SUM($I$13:$I701))</f>
        <v>87584.066117996466</v>
      </c>
      <c r="L701" s="38"/>
    </row>
    <row r="702" spans="2:12" ht="16.5" customHeight="1" x14ac:dyDescent="0.25">
      <c r="B702" s="32">
        <f ca="1">IF(AND(Values_Entered,scheduled_no_payments&lt;&gt;1),B701+1,"")</f>
        <v>690</v>
      </c>
      <c r="C702" s="33">
        <f ca="1">IF(Pay_Num&lt;&gt;"",DATE(YEAR(C701)+VLOOKUP(Interval,LoanLookup[],4,FALSE),MONTH(C701)+VLOOKUP(Interval,LoanLookup[],2,FALSE),DAY(C701)+VLOOKUP(Interval,LoanLookup[],3,FALSE)),"")</f>
        <v>65839</v>
      </c>
      <c r="D702" s="34">
        <f t="shared" ca="1" si="35"/>
        <v>0</v>
      </c>
      <c r="E702" s="35">
        <f t="shared" ca="1" si="34"/>
        <v>989.93360882498609</v>
      </c>
      <c r="F702" s="36">
        <f ca="1">IF(scheduled_no_payments=1,"",IF(Sched_Pay+Scheduled_Extra_Payments&lt;Beg_Bal,Scheduled_Extra_Payments,IF(AND(Pay_Num&lt;&gt;"",Beg_Bal-Sched_Pay&gt;0),Beg_Bal-Sched_Pay,IF(Pay_Num&lt;&gt;"",0,""))))</f>
        <v>0</v>
      </c>
      <c r="G702" s="34">
        <f ca="1">IF(scheduled_no_payments=1,"",IF(Sched_Pay+Extra_Pay&lt;Beg_Bal,Sched_Pay+Extra_Pay,IF(Pay_Num&lt;&gt;"",Beg_Bal,"")))</f>
        <v>0</v>
      </c>
      <c r="H702" s="34">
        <f t="shared" ca="1" si="33"/>
        <v>0</v>
      </c>
      <c r="I702" s="34">
        <f ca="1">IF(Pay_Num&lt;&gt;"",Beg_Bal*(Interest_Rate/VLOOKUP(Interval,LoanLookup[],5,FALSE)),"")</f>
        <v>0</v>
      </c>
      <c r="J702" s="34">
        <f ca="1">IF(scheduled_no_payments=1,"",IF(AND(Pay_Num&lt;&gt;"",Sched_Pay+Extra_Pay&lt;Beg_Bal),Beg_Bal-Princ,IF(Pay_Num&lt;&gt;"",0,"")))</f>
        <v>0</v>
      </c>
      <c r="K702" s="34">
        <f ca="1">IF(scheduled_no_payments=1,"",SUM($I$13:$I702))</f>
        <v>87584.066117996466</v>
      </c>
      <c r="L702" s="38"/>
    </row>
    <row r="703" spans="2:12" ht="16.5" customHeight="1" x14ac:dyDescent="0.25">
      <c r="B703" s="32">
        <f ca="1">IF(AND(Values_Entered,scheduled_no_payments&lt;&gt;1),B702+1,"")</f>
        <v>691</v>
      </c>
      <c r="C703" s="33">
        <f ca="1">IF(Pay_Num&lt;&gt;"",DATE(YEAR(C702)+VLOOKUP(Interval,LoanLookup[],4,FALSE),MONTH(C702)+VLOOKUP(Interval,LoanLookup[],2,FALSE),DAY(C702)+VLOOKUP(Interval,LoanLookup[],3,FALSE)),"")</f>
        <v>65869</v>
      </c>
      <c r="D703" s="34">
        <f t="shared" ca="1" si="35"/>
        <v>0</v>
      </c>
      <c r="E703" s="35">
        <f t="shared" ca="1" si="34"/>
        <v>989.93360882498609</v>
      </c>
      <c r="F703" s="36">
        <f ca="1">IF(scheduled_no_payments=1,"",IF(Sched_Pay+Scheduled_Extra_Payments&lt;Beg_Bal,Scheduled_Extra_Payments,IF(AND(Pay_Num&lt;&gt;"",Beg_Bal-Sched_Pay&gt;0),Beg_Bal-Sched_Pay,IF(Pay_Num&lt;&gt;"",0,""))))</f>
        <v>0</v>
      </c>
      <c r="G703" s="34">
        <f ca="1">IF(scheduled_no_payments=1,"",IF(Sched_Pay+Extra_Pay&lt;Beg_Bal,Sched_Pay+Extra_Pay,IF(Pay_Num&lt;&gt;"",Beg_Bal,"")))</f>
        <v>0</v>
      </c>
      <c r="H703" s="34">
        <f t="shared" ca="1" si="33"/>
        <v>0</v>
      </c>
      <c r="I703" s="34">
        <f ca="1">IF(Pay_Num&lt;&gt;"",Beg_Bal*(Interest_Rate/VLOOKUP(Interval,LoanLookup[],5,FALSE)),"")</f>
        <v>0</v>
      </c>
      <c r="J703" s="34">
        <f ca="1">IF(scheduled_no_payments=1,"",IF(AND(Pay_Num&lt;&gt;"",Sched_Pay+Extra_Pay&lt;Beg_Bal),Beg_Bal-Princ,IF(Pay_Num&lt;&gt;"",0,"")))</f>
        <v>0</v>
      </c>
      <c r="K703" s="34">
        <f ca="1">IF(scheduled_no_payments=1,"",SUM($I$13:$I703))</f>
        <v>87584.066117996466</v>
      </c>
      <c r="L703" s="38"/>
    </row>
    <row r="704" spans="2:12" ht="16.5" customHeight="1" x14ac:dyDescent="0.25">
      <c r="B704" s="32">
        <f ca="1">IF(AND(Values_Entered,scheduled_no_payments&lt;&gt;1),B703+1,"")</f>
        <v>692</v>
      </c>
      <c r="C704" s="33">
        <f ca="1">IF(Pay_Num&lt;&gt;"",DATE(YEAR(C703)+VLOOKUP(Interval,LoanLookup[],4,FALSE),MONTH(C703)+VLOOKUP(Interval,LoanLookup[],2,FALSE),DAY(C703)+VLOOKUP(Interval,LoanLookup[],3,FALSE)),"")</f>
        <v>65900</v>
      </c>
      <c r="D704" s="34">
        <f t="shared" ca="1" si="35"/>
        <v>0</v>
      </c>
      <c r="E704" s="35">
        <f t="shared" ca="1" si="34"/>
        <v>989.93360882498609</v>
      </c>
      <c r="F704" s="36">
        <f ca="1">IF(scheduled_no_payments=1,"",IF(Sched_Pay+Scheduled_Extra_Payments&lt;Beg_Bal,Scheduled_Extra_Payments,IF(AND(Pay_Num&lt;&gt;"",Beg_Bal-Sched_Pay&gt;0),Beg_Bal-Sched_Pay,IF(Pay_Num&lt;&gt;"",0,""))))</f>
        <v>0</v>
      </c>
      <c r="G704" s="34">
        <f ca="1">IF(scheduled_no_payments=1,"",IF(Sched_Pay+Extra_Pay&lt;Beg_Bal,Sched_Pay+Extra_Pay,IF(Pay_Num&lt;&gt;"",Beg_Bal,"")))</f>
        <v>0</v>
      </c>
      <c r="H704" s="34">
        <f t="shared" ca="1" si="33"/>
        <v>0</v>
      </c>
      <c r="I704" s="34">
        <f ca="1">IF(Pay_Num&lt;&gt;"",Beg_Bal*(Interest_Rate/VLOOKUP(Interval,LoanLookup[],5,FALSE)),"")</f>
        <v>0</v>
      </c>
      <c r="J704" s="34">
        <f ca="1">IF(scheduled_no_payments=1,"",IF(AND(Pay_Num&lt;&gt;"",Sched_Pay+Extra_Pay&lt;Beg_Bal),Beg_Bal-Princ,IF(Pay_Num&lt;&gt;"",0,"")))</f>
        <v>0</v>
      </c>
      <c r="K704" s="34">
        <f ca="1">IF(scheduled_no_payments=1,"",SUM($I$13:$I704))</f>
        <v>87584.066117996466</v>
      </c>
      <c r="L704" s="38"/>
    </row>
    <row r="705" spans="2:12" ht="16.5" customHeight="1" x14ac:dyDescent="0.25">
      <c r="B705" s="32">
        <f ca="1">IF(AND(Values_Entered,scheduled_no_payments&lt;&gt;1),B704+1,"")</f>
        <v>693</v>
      </c>
      <c r="C705" s="33">
        <f ca="1">IF(Pay_Num&lt;&gt;"",DATE(YEAR(C704)+VLOOKUP(Interval,LoanLookup[],4,FALSE),MONTH(C704)+VLOOKUP(Interval,LoanLookup[],2,FALSE),DAY(C704)+VLOOKUP(Interval,LoanLookup[],3,FALSE)),"")</f>
        <v>65930</v>
      </c>
      <c r="D705" s="34">
        <f t="shared" ca="1" si="35"/>
        <v>0</v>
      </c>
      <c r="E705" s="35">
        <f t="shared" ca="1" si="34"/>
        <v>989.93360882498609</v>
      </c>
      <c r="F705" s="36">
        <f ca="1">IF(scheduled_no_payments=1,"",IF(Sched_Pay+Scheduled_Extra_Payments&lt;Beg_Bal,Scheduled_Extra_Payments,IF(AND(Pay_Num&lt;&gt;"",Beg_Bal-Sched_Pay&gt;0),Beg_Bal-Sched_Pay,IF(Pay_Num&lt;&gt;"",0,""))))</f>
        <v>0</v>
      </c>
      <c r="G705" s="34">
        <f ca="1">IF(scheduled_no_payments=1,"",IF(Sched_Pay+Extra_Pay&lt;Beg_Bal,Sched_Pay+Extra_Pay,IF(Pay_Num&lt;&gt;"",Beg_Bal,"")))</f>
        <v>0</v>
      </c>
      <c r="H705" s="34">
        <f t="shared" ca="1" si="33"/>
        <v>0</v>
      </c>
      <c r="I705" s="34">
        <f ca="1">IF(Pay_Num&lt;&gt;"",Beg_Bal*(Interest_Rate/VLOOKUP(Interval,LoanLookup[],5,FALSE)),"")</f>
        <v>0</v>
      </c>
      <c r="J705" s="34">
        <f ca="1">IF(scheduled_no_payments=1,"",IF(AND(Pay_Num&lt;&gt;"",Sched_Pay+Extra_Pay&lt;Beg_Bal),Beg_Bal-Princ,IF(Pay_Num&lt;&gt;"",0,"")))</f>
        <v>0</v>
      </c>
      <c r="K705" s="34">
        <f ca="1">IF(scheduled_no_payments=1,"",SUM($I$13:$I705))</f>
        <v>87584.066117996466</v>
      </c>
      <c r="L705" s="38"/>
    </row>
    <row r="706" spans="2:12" ht="16.5" customHeight="1" x14ac:dyDescent="0.25">
      <c r="B706" s="32">
        <f ca="1">IF(AND(Values_Entered,scheduled_no_payments&lt;&gt;1),B705+1,"")</f>
        <v>694</v>
      </c>
      <c r="C706" s="33">
        <f ca="1">IF(Pay_Num&lt;&gt;"",DATE(YEAR(C705)+VLOOKUP(Interval,LoanLookup[],4,FALSE),MONTH(C705)+VLOOKUP(Interval,LoanLookup[],2,FALSE),DAY(C705)+VLOOKUP(Interval,LoanLookup[],3,FALSE)),"")</f>
        <v>65961</v>
      </c>
      <c r="D706" s="34">
        <f t="shared" ca="1" si="35"/>
        <v>0</v>
      </c>
      <c r="E706" s="35">
        <f t="shared" ca="1" si="34"/>
        <v>989.93360882498609</v>
      </c>
      <c r="F706" s="36">
        <f ca="1">IF(scheduled_no_payments=1,"",IF(Sched_Pay+Scheduled_Extra_Payments&lt;Beg_Bal,Scheduled_Extra_Payments,IF(AND(Pay_Num&lt;&gt;"",Beg_Bal-Sched_Pay&gt;0),Beg_Bal-Sched_Pay,IF(Pay_Num&lt;&gt;"",0,""))))</f>
        <v>0</v>
      </c>
      <c r="G706" s="34">
        <f ca="1">IF(scheduled_no_payments=1,"",IF(Sched_Pay+Extra_Pay&lt;Beg_Bal,Sched_Pay+Extra_Pay,IF(Pay_Num&lt;&gt;"",Beg_Bal,"")))</f>
        <v>0</v>
      </c>
      <c r="H706" s="34">
        <f t="shared" ca="1" si="33"/>
        <v>0</v>
      </c>
      <c r="I706" s="34">
        <f ca="1">IF(Pay_Num&lt;&gt;"",Beg_Bal*(Interest_Rate/VLOOKUP(Interval,LoanLookup[],5,FALSE)),"")</f>
        <v>0</v>
      </c>
      <c r="J706" s="34">
        <f ca="1">IF(scheduled_no_payments=1,"",IF(AND(Pay_Num&lt;&gt;"",Sched_Pay+Extra_Pay&lt;Beg_Bal),Beg_Bal-Princ,IF(Pay_Num&lt;&gt;"",0,"")))</f>
        <v>0</v>
      </c>
      <c r="K706" s="34">
        <f ca="1">IF(scheduled_no_payments=1,"",SUM($I$13:$I706))</f>
        <v>87584.066117996466</v>
      </c>
      <c r="L706" s="38"/>
    </row>
    <row r="707" spans="2:12" ht="16.5" customHeight="1" x14ac:dyDescent="0.25">
      <c r="B707" s="32">
        <f ca="1">IF(AND(Values_Entered,scheduled_no_payments&lt;&gt;1),B706+1,"")</f>
        <v>695</v>
      </c>
      <c r="C707" s="33">
        <f ca="1">IF(Pay_Num&lt;&gt;"",DATE(YEAR(C706)+VLOOKUP(Interval,LoanLookup[],4,FALSE),MONTH(C706)+VLOOKUP(Interval,LoanLookup[],2,FALSE),DAY(C706)+VLOOKUP(Interval,LoanLookup[],3,FALSE)),"")</f>
        <v>65992</v>
      </c>
      <c r="D707" s="34">
        <f t="shared" ca="1" si="35"/>
        <v>0</v>
      </c>
      <c r="E707" s="35">
        <f t="shared" ca="1" si="34"/>
        <v>989.93360882498609</v>
      </c>
      <c r="F707" s="36">
        <f ca="1">IF(scheduled_no_payments=1,"",IF(Sched_Pay+Scheduled_Extra_Payments&lt;Beg_Bal,Scheduled_Extra_Payments,IF(AND(Pay_Num&lt;&gt;"",Beg_Bal-Sched_Pay&gt;0),Beg_Bal-Sched_Pay,IF(Pay_Num&lt;&gt;"",0,""))))</f>
        <v>0</v>
      </c>
      <c r="G707" s="34">
        <f ca="1">IF(scheduled_no_payments=1,"",IF(Sched_Pay+Extra_Pay&lt;Beg_Bal,Sched_Pay+Extra_Pay,IF(Pay_Num&lt;&gt;"",Beg_Bal,"")))</f>
        <v>0</v>
      </c>
      <c r="H707" s="34">
        <f t="shared" ca="1" si="33"/>
        <v>0</v>
      </c>
      <c r="I707" s="34">
        <f ca="1">IF(Pay_Num&lt;&gt;"",Beg_Bal*(Interest_Rate/VLOOKUP(Interval,LoanLookup[],5,FALSE)),"")</f>
        <v>0</v>
      </c>
      <c r="J707" s="34">
        <f ca="1">IF(scheduled_no_payments=1,"",IF(AND(Pay_Num&lt;&gt;"",Sched_Pay+Extra_Pay&lt;Beg_Bal),Beg_Bal-Princ,IF(Pay_Num&lt;&gt;"",0,"")))</f>
        <v>0</v>
      </c>
      <c r="K707" s="34">
        <f ca="1">IF(scheduled_no_payments=1,"",SUM($I$13:$I707))</f>
        <v>87584.066117996466</v>
      </c>
      <c r="L707" s="38"/>
    </row>
    <row r="708" spans="2:12" ht="16.5" customHeight="1" x14ac:dyDescent="0.25">
      <c r="B708" s="32">
        <f ca="1">IF(AND(Values_Entered,scheduled_no_payments&lt;&gt;1),B707+1,"")</f>
        <v>696</v>
      </c>
      <c r="C708" s="33">
        <f ca="1">IF(Pay_Num&lt;&gt;"",DATE(YEAR(C707)+VLOOKUP(Interval,LoanLookup[],4,FALSE),MONTH(C707)+VLOOKUP(Interval,LoanLookup[],2,FALSE),DAY(C707)+VLOOKUP(Interval,LoanLookup[],3,FALSE)),"")</f>
        <v>66022</v>
      </c>
      <c r="D708" s="34">
        <f t="shared" ca="1" si="35"/>
        <v>0</v>
      </c>
      <c r="E708" s="35">
        <f t="shared" ca="1" si="34"/>
        <v>989.93360882498609</v>
      </c>
      <c r="F708" s="36">
        <f ca="1">IF(scheduled_no_payments=1,"",IF(Sched_Pay+Scheduled_Extra_Payments&lt;Beg_Bal,Scheduled_Extra_Payments,IF(AND(Pay_Num&lt;&gt;"",Beg_Bal-Sched_Pay&gt;0),Beg_Bal-Sched_Pay,IF(Pay_Num&lt;&gt;"",0,""))))</f>
        <v>0</v>
      </c>
      <c r="G708" s="34">
        <f ca="1">IF(scheduled_no_payments=1,"",IF(Sched_Pay+Extra_Pay&lt;Beg_Bal,Sched_Pay+Extra_Pay,IF(Pay_Num&lt;&gt;"",Beg_Bal,"")))</f>
        <v>0</v>
      </c>
      <c r="H708" s="34">
        <f t="shared" ca="1" si="33"/>
        <v>0</v>
      </c>
      <c r="I708" s="34">
        <f ca="1">IF(Pay_Num&lt;&gt;"",Beg_Bal*(Interest_Rate/VLOOKUP(Interval,LoanLookup[],5,FALSE)),"")</f>
        <v>0</v>
      </c>
      <c r="J708" s="34">
        <f ca="1">IF(scheduled_no_payments=1,"",IF(AND(Pay_Num&lt;&gt;"",Sched_Pay+Extra_Pay&lt;Beg_Bal),Beg_Bal-Princ,IF(Pay_Num&lt;&gt;"",0,"")))</f>
        <v>0</v>
      </c>
      <c r="K708" s="34">
        <f ca="1">IF(scheduled_no_payments=1,"",SUM($I$13:$I708))</f>
        <v>87584.066117996466</v>
      </c>
      <c r="L708" s="38"/>
    </row>
    <row r="709" spans="2:12" ht="16.5" customHeight="1" x14ac:dyDescent="0.25">
      <c r="B709" s="32">
        <f ca="1">IF(AND(Values_Entered,scheduled_no_payments&lt;&gt;1),B708+1,"")</f>
        <v>697</v>
      </c>
      <c r="C709" s="33">
        <f ca="1">IF(Pay_Num&lt;&gt;"",DATE(YEAR(C708)+VLOOKUP(Interval,LoanLookup[],4,FALSE),MONTH(C708)+VLOOKUP(Interval,LoanLookup[],2,FALSE),DAY(C708)+VLOOKUP(Interval,LoanLookup[],3,FALSE)),"")</f>
        <v>66053</v>
      </c>
      <c r="D709" s="34">
        <f t="shared" ca="1" si="35"/>
        <v>0</v>
      </c>
      <c r="E709" s="35">
        <f t="shared" ca="1" si="34"/>
        <v>989.93360882498609</v>
      </c>
      <c r="F709" s="36">
        <f ca="1">IF(scheduled_no_payments=1,"",IF(Sched_Pay+Scheduled_Extra_Payments&lt;Beg_Bal,Scheduled_Extra_Payments,IF(AND(Pay_Num&lt;&gt;"",Beg_Bal-Sched_Pay&gt;0),Beg_Bal-Sched_Pay,IF(Pay_Num&lt;&gt;"",0,""))))</f>
        <v>0</v>
      </c>
      <c r="G709" s="34">
        <f ca="1">IF(scheduled_no_payments=1,"",IF(Sched_Pay+Extra_Pay&lt;Beg_Bal,Sched_Pay+Extra_Pay,IF(Pay_Num&lt;&gt;"",Beg_Bal,"")))</f>
        <v>0</v>
      </c>
      <c r="H709" s="34">
        <f t="shared" ca="1" si="33"/>
        <v>0</v>
      </c>
      <c r="I709" s="34">
        <f ca="1">IF(Pay_Num&lt;&gt;"",Beg_Bal*(Interest_Rate/VLOOKUP(Interval,LoanLookup[],5,FALSE)),"")</f>
        <v>0</v>
      </c>
      <c r="J709" s="34">
        <f ca="1">IF(scheduled_no_payments=1,"",IF(AND(Pay_Num&lt;&gt;"",Sched_Pay+Extra_Pay&lt;Beg_Bal),Beg_Bal-Princ,IF(Pay_Num&lt;&gt;"",0,"")))</f>
        <v>0</v>
      </c>
      <c r="K709" s="34">
        <f ca="1">IF(scheduled_no_payments=1,"",SUM($I$13:$I709))</f>
        <v>87584.066117996466</v>
      </c>
      <c r="L709" s="38"/>
    </row>
    <row r="710" spans="2:12" ht="16.5" customHeight="1" x14ac:dyDescent="0.25">
      <c r="B710" s="32">
        <f ca="1">IF(AND(Values_Entered,scheduled_no_payments&lt;&gt;1),B709+1,"")</f>
        <v>698</v>
      </c>
      <c r="C710" s="33">
        <f ca="1">IF(Pay_Num&lt;&gt;"",DATE(YEAR(C709)+VLOOKUP(Interval,LoanLookup[],4,FALSE),MONTH(C709)+VLOOKUP(Interval,LoanLookup[],2,FALSE),DAY(C709)+VLOOKUP(Interval,LoanLookup[],3,FALSE)),"")</f>
        <v>66083</v>
      </c>
      <c r="D710" s="34">
        <f t="shared" ca="1" si="35"/>
        <v>0</v>
      </c>
      <c r="E710" s="35">
        <f t="shared" ca="1" si="34"/>
        <v>989.93360882498609</v>
      </c>
      <c r="F710" s="36">
        <f ca="1">IF(scheduled_no_payments=1,"",IF(Sched_Pay+Scheduled_Extra_Payments&lt;Beg_Bal,Scheduled_Extra_Payments,IF(AND(Pay_Num&lt;&gt;"",Beg_Bal-Sched_Pay&gt;0),Beg_Bal-Sched_Pay,IF(Pay_Num&lt;&gt;"",0,""))))</f>
        <v>0</v>
      </c>
      <c r="G710" s="34">
        <f ca="1">IF(scheduled_no_payments=1,"",IF(Sched_Pay+Extra_Pay&lt;Beg_Bal,Sched_Pay+Extra_Pay,IF(Pay_Num&lt;&gt;"",Beg_Bal,"")))</f>
        <v>0</v>
      </c>
      <c r="H710" s="34">
        <f t="shared" ca="1" si="33"/>
        <v>0</v>
      </c>
      <c r="I710" s="34">
        <f ca="1">IF(Pay_Num&lt;&gt;"",Beg_Bal*(Interest_Rate/VLOOKUP(Interval,LoanLookup[],5,FALSE)),"")</f>
        <v>0</v>
      </c>
      <c r="J710" s="34">
        <f ca="1">IF(scheduled_no_payments=1,"",IF(AND(Pay_Num&lt;&gt;"",Sched_Pay+Extra_Pay&lt;Beg_Bal),Beg_Bal-Princ,IF(Pay_Num&lt;&gt;"",0,"")))</f>
        <v>0</v>
      </c>
      <c r="K710" s="34">
        <f ca="1">IF(scheduled_no_payments=1,"",SUM($I$13:$I710))</f>
        <v>87584.066117996466</v>
      </c>
      <c r="L710" s="38"/>
    </row>
    <row r="711" spans="2:12" ht="16.5" customHeight="1" x14ac:dyDescent="0.25">
      <c r="B711" s="32">
        <f ca="1">IF(AND(Values_Entered,scheduled_no_payments&lt;&gt;1),B710+1,"")</f>
        <v>699</v>
      </c>
      <c r="C711" s="33">
        <f ca="1">IF(Pay_Num&lt;&gt;"",DATE(YEAR(C710)+VLOOKUP(Interval,LoanLookup[],4,FALSE),MONTH(C710)+VLOOKUP(Interval,LoanLookup[],2,FALSE),DAY(C710)+VLOOKUP(Interval,LoanLookup[],3,FALSE)),"")</f>
        <v>66114</v>
      </c>
      <c r="D711" s="34">
        <f t="shared" ca="1" si="35"/>
        <v>0</v>
      </c>
      <c r="E711" s="35">
        <f t="shared" ca="1" si="34"/>
        <v>989.93360882498609</v>
      </c>
      <c r="F711" s="36">
        <f ca="1">IF(scheduled_no_payments=1,"",IF(Sched_Pay+Scheduled_Extra_Payments&lt;Beg_Bal,Scheduled_Extra_Payments,IF(AND(Pay_Num&lt;&gt;"",Beg_Bal-Sched_Pay&gt;0),Beg_Bal-Sched_Pay,IF(Pay_Num&lt;&gt;"",0,""))))</f>
        <v>0</v>
      </c>
      <c r="G711" s="34">
        <f ca="1">IF(scheduled_no_payments=1,"",IF(Sched_Pay+Extra_Pay&lt;Beg_Bal,Sched_Pay+Extra_Pay,IF(Pay_Num&lt;&gt;"",Beg_Bal,"")))</f>
        <v>0</v>
      </c>
      <c r="H711" s="34">
        <f t="shared" ca="1" si="33"/>
        <v>0</v>
      </c>
      <c r="I711" s="34">
        <f ca="1">IF(Pay_Num&lt;&gt;"",Beg_Bal*(Interest_Rate/VLOOKUP(Interval,LoanLookup[],5,FALSE)),"")</f>
        <v>0</v>
      </c>
      <c r="J711" s="34">
        <f ca="1">IF(scheduled_no_payments=1,"",IF(AND(Pay_Num&lt;&gt;"",Sched_Pay+Extra_Pay&lt;Beg_Bal),Beg_Bal-Princ,IF(Pay_Num&lt;&gt;"",0,"")))</f>
        <v>0</v>
      </c>
      <c r="K711" s="34">
        <f ca="1">IF(scheduled_no_payments=1,"",SUM($I$13:$I711))</f>
        <v>87584.066117996466</v>
      </c>
      <c r="L711" s="38"/>
    </row>
    <row r="712" spans="2:12" ht="16.5" customHeight="1" x14ac:dyDescent="0.25">
      <c r="B712" s="32">
        <f ca="1">IF(AND(Values_Entered,scheduled_no_payments&lt;&gt;1),B711+1,"")</f>
        <v>700</v>
      </c>
      <c r="C712" s="33">
        <f ca="1">IF(Pay_Num&lt;&gt;"",DATE(YEAR(C711)+VLOOKUP(Interval,LoanLookup[],4,FALSE),MONTH(C711)+VLOOKUP(Interval,LoanLookup[],2,FALSE),DAY(C711)+VLOOKUP(Interval,LoanLookup[],3,FALSE)),"")</f>
        <v>66145</v>
      </c>
      <c r="D712" s="34">
        <f t="shared" ca="1" si="35"/>
        <v>0</v>
      </c>
      <c r="E712" s="35">
        <f t="shared" ca="1" si="34"/>
        <v>989.93360882498609</v>
      </c>
      <c r="F712" s="36">
        <f ca="1">IF(scheduled_no_payments=1,"",IF(Sched_Pay+Scheduled_Extra_Payments&lt;Beg_Bal,Scheduled_Extra_Payments,IF(AND(Pay_Num&lt;&gt;"",Beg_Bal-Sched_Pay&gt;0),Beg_Bal-Sched_Pay,IF(Pay_Num&lt;&gt;"",0,""))))</f>
        <v>0</v>
      </c>
      <c r="G712" s="34">
        <f ca="1">IF(scheduled_no_payments=1,"",IF(Sched_Pay+Extra_Pay&lt;Beg_Bal,Sched_Pay+Extra_Pay,IF(Pay_Num&lt;&gt;"",Beg_Bal,"")))</f>
        <v>0</v>
      </c>
      <c r="H712" s="34">
        <f t="shared" ca="1" si="33"/>
        <v>0</v>
      </c>
      <c r="I712" s="34">
        <f ca="1">IF(Pay_Num&lt;&gt;"",Beg_Bal*(Interest_Rate/VLOOKUP(Interval,LoanLookup[],5,FALSE)),"")</f>
        <v>0</v>
      </c>
      <c r="J712" s="34">
        <f ca="1">IF(scheduled_no_payments=1,"",IF(AND(Pay_Num&lt;&gt;"",Sched_Pay+Extra_Pay&lt;Beg_Bal),Beg_Bal-Princ,IF(Pay_Num&lt;&gt;"",0,"")))</f>
        <v>0</v>
      </c>
      <c r="K712" s="34">
        <f ca="1">IF(scheduled_no_payments=1,"",SUM($I$13:$I712))</f>
        <v>87584.066117996466</v>
      </c>
      <c r="L712" s="38"/>
    </row>
    <row r="713" spans="2:12" ht="16.5" customHeight="1" x14ac:dyDescent="0.25">
      <c r="B713" s="32">
        <f ca="1">IF(AND(Values_Entered,scheduled_no_payments&lt;&gt;1),B712+1,"")</f>
        <v>701</v>
      </c>
      <c r="C713" s="33">
        <f ca="1">IF(Pay_Num&lt;&gt;"",DATE(YEAR(C712)+VLOOKUP(Interval,LoanLookup[],4,FALSE),MONTH(C712)+VLOOKUP(Interval,LoanLookup[],2,FALSE),DAY(C712)+VLOOKUP(Interval,LoanLookup[],3,FALSE)),"")</f>
        <v>66173</v>
      </c>
      <c r="D713" s="34">
        <f t="shared" ca="1" si="35"/>
        <v>0</v>
      </c>
      <c r="E713" s="35">
        <f t="shared" ca="1" si="34"/>
        <v>989.93360882498609</v>
      </c>
      <c r="F713" s="36">
        <f ca="1">IF(scheduled_no_payments=1,"",IF(Sched_Pay+Scheduled_Extra_Payments&lt;Beg_Bal,Scheduled_Extra_Payments,IF(AND(Pay_Num&lt;&gt;"",Beg_Bal-Sched_Pay&gt;0),Beg_Bal-Sched_Pay,IF(Pay_Num&lt;&gt;"",0,""))))</f>
        <v>0</v>
      </c>
      <c r="G713" s="34">
        <f ca="1">IF(scheduled_no_payments=1,"",IF(Sched_Pay+Extra_Pay&lt;Beg_Bal,Sched_Pay+Extra_Pay,IF(Pay_Num&lt;&gt;"",Beg_Bal,"")))</f>
        <v>0</v>
      </c>
      <c r="H713" s="34">
        <f t="shared" ca="1" si="33"/>
        <v>0</v>
      </c>
      <c r="I713" s="34">
        <f ca="1">IF(Pay_Num&lt;&gt;"",Beg_Bal*(Interest_Rate/VLOOKUP(Interval,LoanLookup[],5,FALSE)),"")</f>
        <v>0</v>
      </c>
      <c r="J713" s="34">
        <f ca="1">IF(scheduled_no_payments=1,"",IF(AND(Pay_Num&lt;&gt;"",Sched_Pay+Extra_Pay&lt;Beg_Bal),Beg_Bal-Princ,IF(Pay_Num&lt;&gt;"",0,"")))</f>
        <v>0</v>
      </c>
      <c r="K713" s="34">
        <f ca="1">IF(scheduled_no_payments=1,"",SUM($I$13:$I713))</f>
        <v>87584.066117996466</v>
      </c>
      <c r="L713" s="38"/>
    </row>
    <row r="714" spans="2:12" ht="16.5" customHeight="1" x14ac:dyDescent="0.25">
      <c r="B714" s="32">
        <f ca="1">IF(AND(Values_Entered,scheduled_no_payments&lt;&gt;1),B713+1,"")</f>
        <v>702</v>
      </c>
      <c r="C714" s="33">
        <f ca="1">IF(Pay_Num&lt;&gt;"",DATE(YEAR(C713)+VLOOKUP(Interval,LoanLookup[],4,FALSE),MONTH(C713)+VLOOKUP(Interval,LoanLookup[],2,FALSE),DAY(C713)+VLOOKUP(Interval,LoanLookup[],3,FALSE)),"")</f>
        <v>66204</v>
      </c>
      <c r="D714" s="34">
        <f t="shared" ca="1" si="35"/>
        <v>0</v>
      </c>
      <c r="E714" s="35">
        <f t="shared" ca="1" si="34"/>
        <v>989.93360882498609</v>
      </c>
      <c r="F714" s="36">
        <f ca="1">IF(scheduled_no_payments=1,"",IF(Sched_Pay+Scheduled_Extra_Payments&lt;Beg_Bal,Scheduled_Extra_Payments,IF(AND(Pay_Num&lt;&gt;"",Beg_Bal-Sched_Pay&gt;0),Beg_Bal-Sched_Pay,IF(Pay_Num&lt;&gt;"",0,""))))</f>
        <v>0</v>
      </c>
      <c r="G714" s="34">
        <f ca="1">IF(scheduled_no_payments=1,"",IF(Sched_Pay+Extra_Pay&lt;Beg_Bal,Sched_Pay+Extra_Pay,IF(Pay_Num&lt;&gt;"",Beg_Bal,"")))</f>
        <v>0</v>
      </c>
      <c r="H714" s="34">
        <f t="shared" ca="1" si="33"/>
        <v>0</v>
      </c>
      <c r="I714" s="34">
        <f ca="1">IF(Pay_Num&lt;&gt;"",Beg_Bal*(Interest_Rate/VLOOKUP(Interval,LoanLookup[],5,FALSE)),"")</f>
        <v>0</v>
      </c>
      <c r="J714" s="34">
        <f ca="1">IF(scheduled_no_payments=1,"",IF(AND(Pay_Num&lt;&gt;"",Sched_Pay+Extra_Pay&lt;Beg_Bal),Beg_Bal-Princ,IF(Pay_Num&lt;&gt;"",0,"")))</f>
        <v>0</v>
      </c>
      <c r="K714" s="34">
        <f ca="1">IF(scheduled_no_payments=1,"",SUM($I$13:$I714))</f>
        <v>87584.066117996466</v>
      </c>
      <c r="L714" s="38"/>
    </row>
    <row r="715" spans="2:12" ht="16.5" customHeight="1" x14ac:dyDescent="0.25">
      <c r="B715" s="32">
        <f ca="1">IF(AND(Values_Entered,scheduled_no_payments&lt;&gt;1),B714+1,"")</f>
        <v>703</v>
      </c>
      <c r="C715" s="33">
        <f ca="1">IF(Pay_Num&lt;&gt;"",DATE(YEAR(C714)+VLOOKUP(Interval,LoanLookup[],4,FALSE),MONTH(C714)+VLOOKUP(Interval,LoanLookup[],2,FALSE),DAY(C714)+VLOOKUP(Interval,LoanLookup[],3,FALSE)),"")</f>
        <v>66234</v>
      </c>
      <c r="D715" s="34">
        <f t="shared" ca="1" si="35"/>
        <v>0</v>
      </c>
      <c r="E715" s="35">
        <f t="shared" ca="1" si="34"/>
        <v>989.93360882498609</v>
      </c>
      <c r="F715" s="36">
        <f ca="1">IF(scheduled_no_payments=1,"",IF(Sched_Pay+Scheduled_Extra_Payments&lt;Beg_Bal,Scheduled_Extra_Payments,IF(AND(Pay_Num&lt;&gt;"",Beg_Bal-Sched_Pay&gt;0),Beg_Bal-Sched_Pay,IF(Pay_Num&lt;&gt;"",0,""))))</f>
        <v>0</v>
      </c>
      <c r="G715" s="34">
        <f ca="1">IF(scheduled_no_payments=1,"",IF(Sched_Pay+Extra_Pay&lt;Beg_Bal,Sched_Pay+Extra_Pay,IF(Pay_Num&lt;&gt;"",Beg_Bal,"")))</f>
        <v>0</v>
      </c>
      <c r="H715" s="34">
        <f t="shared" ca="1" si="33"/>
        <v>0</v>
      </c>
      <c r="I715" s="34">
        <f ca="1">IF(Pay_Num&lt;&gt;"",Beg_Bal*(Interest_Rate/VLOOKUP(Interval,LoanLookup[],5,FALSE)),"")</f>
        <v>0</v>
      </c>
      <c r="J715" s="34">
        <f ca="1">IF(scheduled_no_payments=1,"",IF(AND(Pay_Num&lt;&gt;"",Sched_Pay+Extra_Pay&lt;Beg_Bal),Beg_Bal-Princ,IF(Pay_Num&lt;&gt;"",0,"")))</f>
        <v>0</v>
      </c>
      <c r="K715" s="34">
        <f ca="1">IF(scheduled_no_payments=1,"",SUM($I$13:$I715))</f>
        <v>87584.066117996466</v>
      </c>
      <c r="L715" s="38"/>
    </row>
    <row r="716" spans="2:12" ht="16.5" customHeight="1" x14ac:dyDescent="0.25">
      <c r="B716" s="32">
        <f ca="1">IF(AND(Values_Entered,scheduled_no_payments&lt;&gt;1),B715+1,"")</f>
        <v>704</v>
      </c>
      <c r="C716" s="33">
        <f ca="1">IF(Pay_Num&lt;&gt;"",DATE(YEAR(C715)+VLOOKUP(Interval,LoanLookup[],4,FALSE),MONTH(C715)+VLOOKUP(Interval,LoanLookup[],2,FALSE),DAY(C715)+VLOOKUP(Interval,LoanLookup[],3,FALSE)),"")</f>
        <v>66265</v>
      </c>
      <c r="D716" s="34">
        <f t="shared" ca="1" si="35"/>
        <v>0</v>
      </c>
      <c r="E716" s="35">
        <f t="shared" ca="1" si="34"/>
        <v>989.93360882498609</v>
      </c>
      <c r="F716" s="36">
        <f ca="1">IF(scheduled_no_payments=1,"",IF(Sched_Pay+Scheduled_Extra_Payments&lt;Beg_Bal,Scheduled_Extra_Payments,IF(AND(Pay_Num&lt;&gt;"",Beg_Bal-Sched_Pay&gt;0),Beg_Bal-Sched_Pay,IF(Pay_Num&lt;&gt;"",0,""))))</f>
        <v>0</v>
      </c>
      <c r="G716" s="34">
        <f ca="1">IF(scheduled_no_payments=1,"",IF(Sched_Pay+Extra_Pay&lt;Beg_Bal,Sched_Pay+Extra_Pay,IF(Pay_Num&lt;&gt;"",Beg_Bal,"")))</f>
        <v>0</v>
      </c>
      <c r="H716" s="34">
        <f t="shared" ca="1" si="33"/>
        <v>0</v>
      </c>
      <c r="I716" s="34">
        <f ca="1">IF(Pay_Num&lt;&gt;"",Beg_Bal*(Interest_Rate/VLOOKUP(Interval,LoanLookup[],5,FALSE)),"")</f>
        <v>0</v>
      </c>
      <c r="J716" s="34">
        <f ca="1">IF(scheduled_no_payments=1,"",IF(AND(Pay_Num&lt;&gt;"",Sched_Pay+Extra_Pay&lt;Beg_Bal),Beg_Bal-Princ,IF(Pay_Num&lt;&gt;"",0,"")))</f>
        <v>0</v>
      </c>
      <c r="K716" s="34">
        <f ca="1">IF(scheduled_no_payments=1,"",SUM($I$13:$I716))</f>
        <v>87584.066117996466</v>
      </c>
      <c r="L716" s="38"/>
    </row>
    <row r="717" spans="2:12" ht="16.5" customHeight="1" x14ac:dyDescent="0.25">
      <c r="B717" s="32">
        <f ca="1">IF(AND(Values_Entered,scheduled_no_payments&lt;&gt;1),B716+1,"")</f>
        <v>705</v>
      </c>
      <c r="C717" s="33">
        <f ca="1">IF(Pay_Num&lt;&gt;"",DATE(YEAR(C716)+VLOOKUP(Interval,LoanLookup[],4,FALSE),MONTH(C716)+VLOOKUP(Interval,LoanLookup[],2,FALSE),DAY(C716)+VLOOKUP(Interval,LoanLookup[],3,FALSE)),"")</f>
        <v>66295</v>
      </c>
      <c r="D717" s="34">
        <f t="shared" ca="1" si="35"/>
        <v>0</v>
      </c>
      <c r="E717" s="35">
        <f t="shared" ca="1" si="34"/>
        <v>989.93360882498609</v>
      </c>
      <c r="F717" s="36">
        <f ca="1">IF(scheduled_no_payments=1,"",IF(Sched_Pay+Scheduled_Extra_Payments&lt;Beg_Bal,Scheduled_Extra_Payments,IF(AND(Pay_Num&lt;&gt;"",Beg_Bal-Sched_Pay&gt;0),Beg_Bal-Sched_Pay,IF(Pay_Num&lt;&gt;"",0,""))))</f>
        <v>0</v>
      </c>
      <c r="G717" s="34">
        <f ca="1">IF(scheduled_no_payments=1,"",IF(Sched_Pay+Extra_Pay&lt;Beg_Bal,Sched_Pay+Extra_Pay,IF(Pay_Num&lt;&gt;"",Beg_Bal,"")))</f>
        <v>0</v>
      </c>
      <c r="H717" s="34">
        <f t="shared" ca="1" si="33"/>
        <v>0</v>
      </c>
      <c r="I717" s="34">
        <f ca="1">IF(Pay_Num&lt;&gt;"",Beg_Bal*(Interest_Rate/VLOOKUP(Interval,LoanLookup[],5,FALSE)),"")</f>
        <v>0</v>
      </c>
      <c r="J717" s="34">
        <f ca="1">IF(scheduled_no_payments=1,"",IF(AND(Pay_Num&lt;&gt;"",Sched_Pay+Extra_Pay&lt;Beg_Bal),Beg_Bal-Princ,IF(Pay_Num&lt;&gt;"",0,"")))</f>
        <v>0</v>
      </c>
      <c r="K717" s="34">
        <f ca="1">IF(scheduled_no_payments=1,"",SUM($I$13:$I717))</f>
        <v>87584.066117996466</v>
      </c>
      <c r="L717" s="38"/>
    </row>
    <row r="718" spans="2:12" ht="16.5" customHeight="1" x14ac:dyDescent="0.25">
      <c r="B718" s="32">
        <f ca="1">IF(AND(Values_Entered,scheduled_no_payments&lt;&gt;1),B717+1,"")</f>
        <v>706</v>
      </c>
      <c r="C718" s="33">
        <f ca="1">IF(Pay_Num&lt;&gt;"",DATE(YEAR(C717)+VLOOKUP(Interval,LoanLookup[],4,FALSE),MONTH(C717)+VLOOKUP(Interval,LoanLookup[],2,FALSE),DAY(C717)+VLOOKUP(Interval,LoanLookup[],3,FALSE)),"")</f>
        <v>66326</v>
      </c>
      <c r="D718" s="34">
        <f t="shared" ca="1" si="35"/>
        <v>0</v>
      </c>
      <c r="E718" s="35">
        <f t="shared" ca="1" si="34"/>
        <v>989.93360882498609</v>
      </c>
      <c r="F718" s="36">
        <f ca="1">IF(scheduled_no_payments=1,"",IF(Sched_Pay+Scheduled_Extra_Payments&lt;Beg_Bal,Scheduled_Extra_Payments,IF(AND(Pay_Num&lt;&gt;"",Beg_Bal-Sched_Pay&gt;0),Beg_Bal-Sched_Pay,IF(Pay_Num&lt;&gt;"",0,""))))</f>
        <v>0</v>
      </c>
      <c r="G718" s="34">
        <f ca="1">IF(scheduled_no_payments=1,"",IF(Sched_Pay+Extra_Pay&lt;Beg_Bal,Sched_Pay+Extra_Pay,IF(Pay_Num&lt;&gt;"",Beg_Bal,"")))</f>
        <v>0</v>
      </c>
      <c r="H718" s="34">
        <f t="shared" ref="H718:H732" ca="1" si="36">IF(Pay_Num&lt;&gt;"",Total_Pay-Int,"")</f>
        <v>0</v>
      </c>
      <c r="I718" s="34">
        <f ca="1">IF(Pay_Num&lt;&gt;"",Beg_Bal*(Interest_Rate/VLOOKUP(Interval,LoanLookup[],5,FALSE)),"")</f>
        <v>0</v>
      </c>
      <c r="J718" s="34">
        <f ca="1">IF(scheduled_no_payments=1,"",IF(AND(Pay_Num&lt;&gt;"",Sched_Pay+Extra_Pay&lt;Beg_Bal),Beg_Bal-Princ,IF(Pay_Num&lt;&gt;"",0,"")))</f>
        <v>0</v>
      </c>
      <c r="K718" s="34">
        <f ca="1">IF(scheduled_no_payments=1,"",SUM($I$13:$I718))</f>
        <v>87584.066117996466</v>
      </c>
      <c r="L718" s="38"/>
    </row>
    <row r="719" spans="2:12" ht="16.5" customHeight="1" x14ac:dyDescent="0.25">
      <c r="B719" s="32">
        <f ca="1">IF(AND(Values_Entered,scheduled_no_payments&lt;&gt;1),B718+1,"")</f>
        <v>707</v>
      </c>
      <c r="C719" s="33">
        <f ca="1">IF(Pay_Num&lt;&gt;"",DATE(YEAR(C718)+VLOOKUP(Interval,LoanLookup[],4,FALSE),MONTH(C718)+VLOOKUP(Interval,LoanLookup[],2,FALSE),DAY(C718)+VLOOKUP(Interval,LoanLookup[],3,FALSE)),"")</f>
        <v>66357</v>
      </c>
      <c r="D719" s="34">
        <f t="shared" ca="1" si="35"/>
        <v>0</v>
      </c>
      <c r="E719" s="35">
        <f t="shared" ref="E719:E732" ca="1" si="37">IF(Pay_Num&lt;&gt;"",Scheduled_Monthly_Payment,"")</f>
        <v>989.93360882498609</v>
      </c>
      <c r="F719" s="36">
        <f ca="1">IF(scheduled_no_payments=1,"",IF(Sched_Pay+Scheduled_Extra_Payments&lt;Beg_Bal,Scheduled_Extra_Payments,IF(AND(Pay_Num&lt;&gt;"",Beg_Bal-Sched_Pay&gt;0),Beg_Bal-Sched_Pay,IF(Pay_Num&lt;&gt;"",0,""))))</f>
        <v>0</v>
      </c>
      <c r="G719" s="34">
        <f ca="1">IF(scheduled_no_payments=1,"",IF(Sched_Pay+Extra_Pay&lt;Beg_Bal,Sched_Pay+Extra_Pay,IF(Pay_Num&lt;&gt;"",Beg_Bal,"")))</f>
        <v>0</v>
      </c>
      <c r="H719" s="34">
        <f t="shared" ca="1" si="36"/>
        <v>0</v>
      </c>
      <c r="I719" s="34">
        <f ca="1">IF(Pay_Num&lt;&gt;"",Beg_Bal*(Interest_Rate/VLOOKUP(Interval,LoanLookup[],5,FALSE)),"")</f>
        <v>0</v>
      </c>
      <c r="J719" s="34">
        <f ca="1">IF(scheduled_no_payments=1,"",IF(AND(Pay_Num&lt;&gt;"",Sched_Pay+Extra_Pay&lt;Beg_Bal),Beg_Bal-Princ,IF(Pay_Num&lt;&gt;"",0,"")))</f>
        <v>0</v>
      </c>
      <c r="K719" s="34">
        <f ca="1">IF(scheduled_no_payments=1,"",SUM($I$13:$I719))</f>
        <v>87584.066117996466</v>
      </c>
      <c r="L719" s="38"/>
    </row>
    <row r="720" spans="2:12" ht="16.5" customHeight="1" x14ac:dyDescent="0.25">
      <c r="B720" s="32">
        <f ca="1">IF(AND(Values_Entered,scheduled_no_payments&lt;&gt;1),B719+1,"")</f>
        <v>708</v>
      </c>
      <c r="C720" s="33">
        <f ca="1">IF(Pay_Num&lt;&gt;"",DATE(YEAR(C719)+VLOOKUP(Interval,LoanLookup[],4,FALSE),MONTH(C719)+VLOOKUP(Interval,LoanLookup[],2,FALSE),DAY(C719)+VLOOKUP(Interval,LoanLookup[],3,FALSE)),"")</f>
        <v>66387</v>
      </c>
      <c r="D720" s="34">
        <f t="shared" ref="D720:D732" ca="1" si="38">IF(Pay_Num&lt;&gt;"",J719,"")</f>
        <v>0</v>
      </c>
      <c r="E720" s="35">
        <f t="shared" ca="1" si="37"/>
        <v>989.93360882498609</v>
      </c>
      <c r="F720" s="36">
        <f ca="1">IF(scheduled_no_payments=1,"",IF(Sched_Pay+Scheduled_Extra_Payments&lt;Beg_Bal,Scheduled_Extra_Payments,IF(AND(Pay_Num&lt;&gt;"",Beg_Bal-Sched_Pay&gt;0),Beg_Bal-Sched_Pay,IF(Pay_Num&lt;&gt;"",0,""))))</f>
        <v>0</v>
      </c>
      <c r="G720" s="34">
        <f ca="1">IF(scheduled_no_payments=1,"",IF(Sched_Pay+Extra_Pay&lt;Beg_Bal,Sched_Pay+Extra_Pay,IF(Pay_Num&lt;&gt;"",Beg_Bal,"")))</f>
        <v>0</v>
      </c>
      <c r="H720" s="34">
        <f t="shared" ca="1" si="36"/>
        <v>0</v>
      </c>
      <c r="I720" s="34">
        <f ca="1">IF(Pay_Num&lt;&gt;"",Beg_Bal*(Interest_Rate/VLOOKUP(Interval,LoanLookup[],5,FALSE)),"")</f>
        <v>0</v>
      </c>
      <c r="J720" s="34">
        <f ca="1">IF(scheduled_no_payments=1,"",IF(AND(Pay_Num&lt;&gt;"",Sched_Pay+Extra_Pay&lt;Beg_Bal),Beg_Bal-Princ,IF(Pay_Num&lt;&gt;"",0,"")))</f>
        <v>0</v>
      </c>
      <c r="K720" s="34">
        <f ca="1">IF(scheduled_no_payments=1,"",SUM($I$13:$I720))</f>
        <v>87584.066117996466</v>
      </c>
      <c r="L720" s="38"/>
    </row>
    <row r="721" spans="2:12" ht="16.5" customHeight="1" x14ac:dyDescent="0.25">
      <c r="B721" s="32">
        <f ca="1">IF(AND(Values_Entered,scheduled_no_payments&lt;&gt;1),B720+1,"")</f>
        <v>709</v>
      </c>
      <c r="C721" s="33">
        <f ca="1">IF(Pay_Num&lt;&gt;"",DATE(YEAR(C720)+VLOOKUP(Interval,LoanLookup[],4,FALSE),MONTH(C720)+VLOOKUP(Interval,LoanLookup[],2,FALSE),DAY(C720)+VLOOKUP(Interval,LoanLookup[],3,FALSE)),"")</f>
        <v>66418</v>
      </c>
      <c r="D721" s="34">
        <f t="shared" ca="1" si="38"/>
        <v>0</v>
      </c>
      <c r="E721" s="35">
        <f t="shared" ca="1" si="37"/>
        <v>989.93360882498609</v>
      </c>
      <c r="F721" s="36">
        <f ca="1">IF(scheduled_no_payments=1,"",IF(Sched_Pay+Scheduled_Extra_Payments&lt;Beg_Bal,Scheduled_Extra_Payments,IF(AND(Pay_Num&lt;&gt;"",Beg_Bal-Sched_Pay&gt;0),Beg_Bal-Sched_Pay,IF(Pay_Num&lt;&gt;"",0,""))))</f>
        <v>0</v>
      </c>
      <c r="G721" s="34">
        <f ca="1">IF(scheduled_no_payments=1,"",IF(Sched_Pay+Extra_Pay&lt;Beg_Bal,Sched_Pay+Extra_Pay,IF(Pay_Num&lt;&gt;"",Beg_Bal,"")))</f>
        <v>0</v>
      </c>
      <c r="H721" s="34">
        <f t="shared" ca="1" si="36"/>
        <v>0</v>
      </c>
      <c r="I721" s="34">
        <f ca="1">IF(Pay_Num&lt;&gt;"",Beg_Bal*(Interest_Rate/VLOOKUP(Interval,LoanLookup[],5,FALSE)),"")</f>
        <v>0</v>
      </c>
      <c r="J721" s="34">
        <f ca="1">IF(scheduled_no_payments=1,"",IF(AND(Pay_Num&lt;&gt;"",Sched_Pay+Extra_Pay&lt;Beg_Bal),Beg_Bal-Princ,IF(Pay_Num&lt;&gt;"",0,"")))</f>
        <v>0</v>
      </c>
      <c r="K721" s="34">
        <f ca="1">IF(scheduled_no_payments=1,"",SUM($I$13:$I721))</f>
        <v>87584.066117996466</v>
      </c>
      <c r="L721" s="38"/>
    </row>
    <row r="722" spans="2:12" ht="16.5" customHeight="1" x14ac:dyDescent="0.25">
      <c r="B722" s="32">
        <f ca="1">IF(AND(Values_Entered,scheduled_no_payments&lt;&gt;1),B721+1,"")</f>
        <v>710</v>
      </c>
      <c r="C722" s="33">
        <f ca="1">IF(Pay_Num&lt;&gt;"",DATE(YEAR(C721)+VLOOKUP(Interval,LoanLookup[],4,FALSE),MONTH(C721)+VLOOKUP(Interval,LoanLookup[],2,FALSE),DAY(C721)+VLOOKUP(Interval,LoanLookup[],3,FALSE)),"")</f>
        <v>66448</v>
      </c>
      <c r="D722" s="34">
        <f t="shared" ca="1" si="38"/>
        <v>0</v>
      </c>
      <c r="E722" s="35">
        <f t="shared" ca="1" si="37"/>
        <v>989.93360882498609</v>
      </c>
      <c r="F722" s="36">
        <f ca="1">IF(scheduled_no_payments=1,"",IF(Sched_Pay+Scheduled_Extra_Payments&lt;Beg_Bal,Scheduled_Extra_Payments,IF(AND(Pay_Num&lt;&gt;"",Beg_Bal-Sched_Pay&gt;0),Beg_Bal-Sched_Pay,IF(Pay_Num&lt;&gt;"",0,""))))</f>
        <v>0</v>
      </c>
      <c r="G722" s="34">
        <f ca="1">IF(scheduled_no_payments=1,"",IF(Sched_Pay+Extra_Pay&lt;Beg_Bal,Sched_Pay+Extra_Pay,IF(Pay_Num&lt;&gt;"",Beg_Bal,"")))</f>
        <v>0</v>
      </c>
      <c r="H722" s="34">
        <f t="shared" ca="1" si="36"/>
        <v>0</v>
      </c>
      <c r="I722" s="34">
        <f ca="1">IF(Pay_Num&lt;&gt;"",Beg_Bal*(Interest_Rate/VLOOKUP(Interval,LoanLookup[],5,FALSE)),"")</f>
        <v>0</v>
      </c>
      <c r="J722" s="34">
        <f ca="1">IF(scheduled_no_payments=1,"",IF(AND(Pay_Num&lt;&gt;"",Sched_Pay+Extra_Pay&lt;Beg_Bal),Beg_Bal-Princ,IF(Pay_Num&lt;&gt;"",0,"")))</f>
        <v>0</v>
      </c>
      <c r="K722" s="34">
        <f ca="1">IF(scheduled_no_payments=1,"",SUM($I$13:$I722))</f>
        <v>87584.066117996466</v>
      </c>
      <c r="L722" s="38"/>
    </row>
    <row r="723" spans="2:12" ht="16.5" customHeight="1" x14ac:dyDescent="0.25">
      <c r="B723" s="32">
        <f ca="1">IF(AND(Values_Entered,scheduled_no_payments&lt;&gt;1),B722+1,"")</f>
        <v>711</v>
      </c>
      <c r="C723" s="33">
        <f ca="1">IF(Pay_Num&lt;&gt;"",DATE(YEAR(C722)+VLOOKUP(Interval,LoanLookup[],4,FALSE),MONTH(C722)+VLOOKUP(Interval,LoanLookup[],2,FALSE),DAY(C722)+VLOOKUP(Interval,LoanLookup[],3,FALSE)),"")</f>
        <v>66479</v>
      </c>
      <c r="D723" s="34">
        <f t="shared" ca="1" si="38"/>
        <v>0</v>
      </c>
      <c r="E723" s="35">
        <f t="shared" ca="1" si="37"/>
        <v>989.93360882498609</v>
      </c>
      <c r="F723" s="36">
        <f ca="1">IF(scheduled_no_payments=1,"",IF(Sched_Pay+Scheduled_Extra_Payments&lt;Beg_Bal,Scheduled_Extra_Payments,IF(AND(Pay_Num&lt;&gt;"",Beg_Bal-Sched_Pay&gt;0),Beg_Bal-Sched_Pay,IF(Pay_Num&lt;&gt;"",0,""))))</f>
        <v>0</v>
      </c>
      <c r="G723" s="34">
        <f ca="1">IF(scheduled_no_payments=1,"",IF(Sched_Pay+Extra_Pay&lt;Beg_Bal,Sched_Pay+Extra_Pay,IF(Pay_Num&lt;&gt;"",Beg_Bal,"")))</f>
        <v>0</v>
      </c>
      <c r="H723" s="34">
        <f t="shared" ca="1" si="36"/>
        <v>0</v>
      </c>
      <c r="I723" s="34">
        <f ca="1">IF(Pay_Num&lt;&gt;"",Beg_Bal*(Interest_Rate/VLOOKUP(Interval,LoanLookup[],5,FALSE)),"")</f>
        <v>0</v>
      </c>
      <c r="J723" s="34">
        <f ca="1">IF(scheduled_no_payments=1,"",IF(AND(Pay_Num&lt;&gt;"",Sched_Pay+Extra_Pay&lt;Beg_Bal),Beg_Bal-Princ,IF(Pay_Num&lt;&gt;"",0,"")))</f>
        <v>0</v>
      </c>
      <c r="K723" s="34">
        <f ca="1">IF(scheduled_no_payments=1,"",SUM($I$13:$I723))</f>
        <v>87584.066117996466</v>
      </c>
      <c r="L723" s="38"/>
    </row>
    <row r="724" spans="2:12" ht="16.5" customHeight="1" x14ac:dyDescent="0.25">
      <c r="B724" s="32">
        <f ca="1">IF(AND(Values_Entered,scheduled_no_payments&lt;&gt;1),B723+1,"")</f>
        <v>712</v>
      </c>
      <c r="C724" s="33">
        <f ca="1">IF(Pay_Num&lt;&gt;"",DATE(YEAR(C723)+VLOOKUP(Interval,LoanLookup[],4,FALSE),MONTH(C723)+VLOOKUP(Interval,LoanLookup[],2,FALSE),DAY(C723)+VLOOKUP(Interval,LoanLookup[],3,FALSE)),"")</f>
        <v>66510</v>
      </c>
      <c r="D724" s="34">
        <f t="shared" ca="1" si="38"/>
        <v>0</v>
      </c>
      <c r="E724" s="35">
        <f t="shared" ca="1" si="37"/>
        <v>989.93360882498609</v>
      </c>
      <c r="F724" s="36">
        <f ca="1">IF(scheduled_no_payments=1,"",IF(Sched_Pay+Scheduled_Extra_Payments&lt;Beg_Bal,Scheduled_Extra_Payments,IF(AND(Pay_Num&lt;&gt;"",Beg_Bal-Sched_Pay&gt;0),Beg_Bal-Sched_Pay,IF(Pay_Num&lt;&gt;"",0,""))))</f>
        <v>0</v>
      </c>
      <c r="G724" s="34">
        <f ca="1">IF(scheduled_no_payments=1,"",IF(Sched_Pay+Extra_Pay&lt;Beg_Bal,Sched_Pay+Extra_Pay,IF(Pay_Num&lt;&gt;"",Beg_Bal,"")))</f>
        <v>0</v>
      </c>
      <c r="H724" s="34">
        <f t="shared" ca="1" si="36"/>
        <v>0</v>
      </c>
      <c r="I724" s="34">
        <f ca="1">IF(Pay_Num&lt;&gt;"",Beg_Bal*(Interest_Rate/VLOOKUP(Interval,LoanLookup[],5,FALSE)),"")</f>
        <v>0</v>
      </c>
      <c r="J724" s="34">
        <f ca="1">IF(scheduled_no_payments=1,"",IF(AND(Pay_Num&lt;&gt;"",Sched_Pay+Extra_Pay&lt;Beg_Bal),Beg_Bal-Princ,IF(Pay_Num&lt;&gt;"",0,"")))</f>
        <v>0</v>
      </c>
      <c r="K724" s="34">
        <f ca="1">IF(scheduled_no_payments=1,"",SUM($I$13:$I724))</f>
        <v>87584.066117996466</v>
      </c>
      <c r="L724" s="38"/>
    </row>
    <row r="725" spans="2:12" ht="16.5" customHeight="1" x14ac:dyDescent="0.25">
      <c r="B725" s="32">
        <f ca="1">IF(AND(Values_Entered,scheduled_no_payments&lt;&gt;1),B724+1,"")</f>
        <v>713</v>
      </c>
      <c r="C725" s="33">
        <f ca="1">IF(Pay_Num&lt;&gt;"",DATE(YEAR(C724)+VLOOKUP(Interval,LoanLookup[],4,FALSE),MONTH(C724)+VLOOKUP(Interval,LoanLookup[],2,FALSE),DAY(C724)+VLOOKUP(Interval,LoanLookup[],3,FALSE)),"")</f>
        <v>66538</v>
      </c>
      <c r="D725" s="34">
        <f t="shared" ca="1" si="38"/>
        <v>0</v>
      </c>
      <c r="E725" s="35">
        <f t="shared" ca="1" si="37"/>
        <v>989.93360882498609</v>
      </c>
      <c r="F725" s="36">
        <f ca="1">IF(scheduled_no_payments=1,"",IF(Sched_Pay+Scheduled_Extra_Payments&lt;Beg_Bal,Scheduled_Extra_Payments,IF(AND(Pay_Num&lt;&gt;"",Beg_Bal-Sched_Pay&gt;0),Beg_Bal-Sched_Pay,IF(Pay_Num&lt;&gt;"",0,""))))</f>
        <v>0</v>
      </c>
      <c r="G725" s="34">
        <f ca="1">IF(scheduled_no_payments=1,"",IF(Sched_Pay+Extra_Pay&lt;Beg_Bal,Sched_Pay+Extra_Pay,IF(Pay_Num&lt;&gt;"",Beg_Bal,"")))</f>
        <v>0</v>
      </c>
      <c r="H725" s="34">
        <f t="shared" ca="1" si="36"/>
        <v>0</v>
      </c>
      <c r="I725" s="34">
        <f ca="1">IF(Pay_Num&lt;&gt;"",Beg_Bal*(Interest_Rate/VLOOKUP(Interval,LoanLookup[],5,FALSE)),"")</f>
        <v>0</v>
      </c>
      <c r="J725" s="34">
        <f ca="1">IF(scheduled_no_payments=1,"",IF(AND(Pay_Num&lt;&gt;"",Sched_Pay+Extra_Pay&lt;Beg_Bal),Beg_Bal-Princ,IF(Pay_Num&lt;&gt;"",0,"")))</f>
        <v>0</v>
      </c>
      <c r="K725" s="34">
        <f ca="1">IF(scheduled_no_payments=1,"",SUM($I$13:$I725))</f>
        <v>87584.066117996466</v>
      </c>
      <c r="L725" s="38"/>
    </row>
    <row r="726" spans="2:12" ht="16.5" customHeight="1" x14ac:dyDescent="0.25">
      <c r="B726" s="32">
        <f ca="1">IF(AND(Values_Entered,scheduled_no_payments&lt;&gt;1),B725+1,"")</f>
        <v>714</v>
      </c>
      <c r="C726" s="33">
        <f ca="1">IF(Pay_Num&lt;&gt;"",DATE(YEAR(C725)+VLOOKUP(Interval,LoanLookup[],4,FALSE),MONTH(C725)+VLOOKUP(Interval,LoanLookup[],2,FALSE),DAY(C725)+VLOOKUP(Interval,LoanLookup[],3,FALSE)),"")</f>
        <v>66569</v>
      </c>
      <c r="D726" s="34">
        <f t="shared" ca="1" si="38"/>
        <v>0</v>
      </c>
      <c r="E726" s="35">
        <f t="shared" ca="1" si="37"/>
        <v>989.93360882498609</v>
      </c>
      <c r="F726" s="36">
        <f ca="1">IF(scheduled_no_payments=1,"",IF(Sched_Pay+Scheduled_Extra_Payments&lt;Beg_Bal,Scheduled_Extra_Payments,IF(AND(Pay_Num&lt;&gt;"",Beg_Bal-Sched_Pay&gt;0),Beg_Bal-Sched_Pay,IF(Pay_Num&lt;&gt;"",0,""))))</f>
        <v>0</v>
      </c>
      <c r="G726" s="34">
        <f ca="1">IF(scheduled_no_payments=1,"",IF(Sched_Pay+Extra_Pay&lt;Beg_Bal,Sched_Pay+Extra_Pay,IF(Pay_Num&lt;&gt;"",Beg_Bal,"")))</f>
        <v>0</v>
      </c>
      <c r="H726" s="34">
        <f t="shared" ca="1" si="36"/>
        <v>0</v>
      </c>
      <c r="I726" s="34">
        <f ca="1">IF(Pay_Num&lt;&gt;"",Beg_Bal*(Interest_Rate/VLOOKUP(Interval,LoanLookup[],5,FALSE)),"")</f>
        <v>0</v>
      </c>
      <c r="J726" s="34">
        <f ca="1">IF(scheduled_no_payments=1,"",IF(AND(Pay_Num&lt;&gt;"",Sched_Pay+Extra_Pay&lt;Beg_Bal),Beg_Bal-Princ,IF(Pay_Num&lt;&gt;"",0,"")))</f>
        <v>0</v>
      </c>
      <c r="K726" s="34">
        <f ca="1">IF(scheduled_no_payments=1,"",SUM($I$13:$I726))</f>
        <v>87584.066117996466</v>
      </c>
      <c r="L726" s="38"/>
    </row>
    <row r="727" spans="2:12" ht="16.5" customHeight="1" x14ac:dyDescent="0.25">
      <c r="B727" s="32">
        <f ca="1">IF(AND(Values_Entered,scheduled_no_payments&lt;&gt;1),B726+1,"")</f>
        <v>715</v>
      </c>
      <c r="C727" s="33">
        <f ca="1">IF(Pay_Num&lt;&gt;"",DATE(YEAR(C726)+VLOOKUP(Interval,LoanLookup[],4,FALSE),MONTH(C726)+VLOOKUP(Interval,LoanLookup[],2,FALSE),DAY(C726)+VLOOKUP(Interval,LoanLookup[],3,FALSE)),"")</f>
        <v>66599</v>
      </c>
      <c r="D727" s="34">
        <f t="shared" ca="1" si="38"/>
        <v>0</v>
      </c>
      <c r="E727" s="35">
        <f t="shared" ca="1" si="37"/>
        <v>989.93360882498609</v>
      </c>
      <c r="F727" s="36">
        <f ca="1">IF(scheduled_no_payments=1,"",IF(Sched_Pay+Scheduled_Extra_Payments&lt;Beg_Bal,Scheduled_Extra_Payments,IF(AND(Pay_Num&lt;&gt;"",Beg_Bal-Sched_Pay&gt;0),Beg_Bal-Sched_Pay,IF(Pay_Num&lt;&gt;"",0,""))))</f>
        <v>0</v>
      </c>
      <c r="G727" s="34">
        <f ca="1">IF(scheduled_no_payments=1,"",IF(Sched_Pay+Extra_Pay&lt;Beg_Bal,Sched_Pay+Extra_Pay,IF(Pay_Num&lt;&gt;"",Beg_Bal,"")))</f>
        <v>0</v>
      </c>
      <c r="H727" s="34">
        <f t="shared" ca="1" si="36"/>
        <v>0</v>
      </c>
      <c r="I727" s="34">
        <f ca="1">IF(Pay_Num&lt;&gt;"",Beg_Bal*(Interest_Rate/VLOOKUP(Interval,LoanLookup[],5,FALSE)),"")</f>
        <v>0</v>
      </c>
      <c r="J727" s="34">
        <f ca="1">IF(scheduled_no_payments=1,"",IF(AND(Pay_Num&lt;&gt;"",Sched_Pay+Extra_Pay&lt;Beg_Bal),Beg_Bal-Princ,IF(Pay_Num&lt;&gt;"",0,"")))</f>
        <v>0</v>
      </c>
      <c r="K727" s="34">
        <f ca="1">IF(scheduled_no_payments=1,"",SUM($I$13:$I727))</f>
        <v>87584.066117996466</v>
      </c>
      <c r="L727" s="38"/>
    </row>
    <row r="728" spans="2:12" ht="16.5" customHeight="1" x14ac:dyDescent="0.25">
      <c r="B728" s="32">
        <f ca="1">IF(AND(Values_Entered,scheduled_no_payments&lt;&gt;1),B727+1,"")</f>
        <v>716</v>
      </c>
      <c r="C728" s="33">
        <f ca="1">IF(Pay_Num&lt;&gt;"",DATE(YEAR(C727)+VLOOKUP(Interval,LoanLookup[],4,FALSE),MONTH(C727)+VLOOKUP(Interval,LoanLookup[],2,FALSE),DAY(C727)+VLOOKUP(Interval,LoanLookup[],3,FALSE)),"")</f>
        <v>66630</v>
      </c>
      <c r="D728" s="34">
        <f t="shared" ca="1" si="38"/>
        <v>0</v>
      </c>
      <c r="E728" s="35">
        <f t="shared" ca="1" si="37"/>
        <v>989.93360882498609</v>
      </c>
      <c r="F728" s="36">
        <f ca="1">IF(scheduled_no_payments=1,"",IF(Sched_Pay+Scheduled_Extra_Payments&lt;Beg_Bal,Scheduled_Extra_Payments,IF(AND(Pay_Num&lt;&gt;"",Beg_Bal-Sched_Pay&gt;0),Beg_Bal-Sched_Pay,IF(Pay_Num&lt;&gt;"",0,""))))</f>
        <v>0</v>
      </c>
      <c r="G728" s="34">
        <f ca="1">IF(scheduled_no_payments=1,"",IF(Sched_Pay+Extra_Pay&lt;Beg_Bal,Sched_Pay+Extra_Pay,IF(Pay_Num&lt;&gt;"",Beg_Bal,"")))</f>
        <v>0</v>
      </c>
      <c r="H728" s="34">
        <f t="shared" ca="1" si="36"/>
        <v>0</v>
      </c>
      <c r="I728" s="34">
        <f ca="1">IF(Pay_Num&lt;&gt;"",Beg_Bal*(Interest_Rate/VLOOKUP(Interval,LoanLookup[],5,FALSE)),"")</f>
        <v>0</v>
      </c>
      <c r="J728" s="34">
        <f ca="1">IF(scheduled_no_payments=1,"",IF(AND(Pay_Num&lt;&gt;"",Sched_Pay+Extra_Pay&lt;Beg_Bal),Beg_Bal-Princ,IF(Pay_Num&lt;&gt;"",0,"")))</f>
        <v>0</v>
      </c>
      <c r="K728" s="34">
        <f ca="1">IF(scheduled_no_payments=1,"",SUM($I$13:$I728))</f>
        <v>87584.066117996466</v>
      </c>
      <c r="L728" s="38"/>
    </row>
    <row r="729" spans="2:12" ht="16.5" customHeight="1" x14ac:dyDescent="0.25">
      <c r="B729" s="32">
        <f ca="1">IF(AND(Values_Entered,scheduled_no_payments&lt;&gt;1),B728+1,"")</f>
        <v>717</v>
      </c>
      <c r="C729" s="33">
        <f ca="1">IF(Pay_Num&lt;&gt;"",DATE(YEAR(C728)+VLOOKUP(Interval,LoanLookup[],4,FALSE),MONTH(C728)+VLOOKUP(Interval,LoanLookup[],2,FALSE),DAY(C728)+VLOOKUP(Interval,LoanLookup[],3,FALSE)),"")</f>
        <v>66660</v>
      </c>
      <c r="D729" s="34">
        <f t="shared" ca="1" si="38"/>
        <v>0</v>
      </c>
      <c r="E729" s="35">
        <f t="shared" ca="1" si="37"/>
        <v>989.93360882498609</v>
      </c>
      <c r="F729" s="36">
        <f ca="1">IF(scheduled_no_payments=1,"",IF(Sched_Pay+Scheduled_Extra_Payments&lt;Beg_Bal,Scheduled_Extra_Payments,IF(AND(Pay_Num&lt;&gt;"",Beg_Bal-Sched_Pay&gt;0),Beg_Bal-Sched_Pay,IF(Pay_Num&lt;&gt;"",0,""))))</f>
        <v>0</v>
      </c>
      <c r="G729" s="34">
        <f ca="1">IF(scheduled_no_payments=1,"",IF(Sched_Pay+Extra_Pay&lt;Beg_Bal,Sched_Pay+Extra_Pay,IF(Pay_Num&lt;&gt;"",Beg_Bal,"")))</f>
        <v>0</v>
      </c>
      <c r="H729" s="34">
        <f t="shared" ca="1" si="36"/>
        <v>0</v>
      </c>
      <c r="I729" s="34">
        <f ca="1">IF(Pay_Num&lt;&gt;"",Beg_Bal*(Interest_Rate/VLOOKUP(Interval,LoanLookup[],5,FALSE)),"")</f>
        <v>0</v>
      </c>
      <c r="J729" s="34">
        <f ca="1">IF(scheduled_no_payments=1,"",IF(AND(Pay_Num&lt;&gt;"",Sched_Pay+Extra_Pay&lt;Beg_Bal),Beg_Bal-Princ,IF(Pay_Num&lt;&gt;"",0,"")))</f>
        <v>0</v>
      </c>
      <c r="K729" s="34">
        <f ca="1">IF(scheduled_no_payments=1,"",SUM($I$13:$I729))</f>
        <v>87584.066117996466</v>
      </c>
      <c r="L729" s="38"/>
    </row>
    <row r="730" spans="2:12" ht="16.5" customHeight="1" x14ac:dyDescent="0.25">
      <c r="B730" s="32">
        <f ca="1">IF(AND(Values_Entered,scheduled_no_payments&lt;&gt;1),B729+1,"")</f>
        <v>718</v>
      </c>
      <c r="C730" s="33">
        <f ca="1">IF(Pay_Num&lt;&gt;"",DATE(YEAR(C729)+VLOOKUP(Interval,LoanLookup[],4,FALSE),MONTH(C729)+VLOOKUP(Interval,LoanLookup[],2,FALSE),DAY(C729)+VLOOKUP(Interval,LoanLookup[],3,FALSE)),"")</f>
        <v>66691</v>
      </c>
      <c r="D730" s="34">
        <f t="shared" ca="1" si="38"/>
        <v>0</v>
      </c>
      <c r="E730" s="35">
        <f t="shared" ca="1" si="37"/>
        <v>989.93360882498609</v>
      </c>
      <c r="F730" s="36">
        <f ca="1">IF(scheduled_no_payments=1,"",IF(Sched_Pay+Scheduled_Extra_Payments&lt;Beg_Bal,Scheduled_Extra_Payments,IF(AND(Pay_Num&lt;&gt;"",Beg_Bal-Sched_Pay&gt;0),Beg_Bal-Sched_Pay,IF(Pay_Num&lt;&gt;"",0,""))))</f>
        <v>0</v>
      </c>
      <c r="G730" s="34">
        <f ca="1">IF(scheduled_no_payments=1,"",IF(Sched_Pay+Extra_Pay&lt;Beg_Bal,Sched_Pay+Extra_Pay,IF(Pay_Num&lt;&gt;"",Beg_Bal,"")))</f>
        <v>0</v>
      </c>
      <c r="H730" s="34">
        <f t="shared" ca="1" si="36"/>
        <v>0</v>
      </c>
      <c r="I730" s="34">
        <f ca="1">IF(Pay_Num&lt;&gt;"",Beg_Bal*(Interest_Rate/VLOOKUP(Interval,LoanLookup[],5,FALSE)),"")</f>
        <v>0</v>
      </c>
      <c r="J730" s="34">
        <f ca="1">IF(scheduled_no_payments=1,"",IF(AND(Pay_Num&lt;&gt;"",Sched_Pay+Extra_Pay&lt;Beg_Bal),Beg_Bal-Princ,IF(Pay_Num&lt;&gt;"",0,"")))</f>
        <v>0</v>
      </c>
      <c r="K730" s="34">
        <f ca="1">IF(scheduled_no_payments=1,"",SUM($I$13:$I730))</f>
        <v>87584.066117996466</v>
      </c>
      <c r="L730" s="38"/>
    </row>
    <row r="731" spans="2:12" ht="16.5" customHeight="1" x14ac:dyDescent="0.25">
      <c r="B731" s="32">
        <f ca="1">IF(AND(Values_Entered,scheduled_no_payments&lt;&gt;1),B730+1,"")</f>
        <v>719</v>
      </c>
      <c r="C731" s="33">
        <f ca="1">IF(Pay_Num&lt;&gt;"",DATE(YEAR(C730)+VLOOKUP(Interval,LoanLookup[],4,FALSE),MONTH(C730)+VLOOKUP(Interval,LoanLookup[],2,FALSE),DAY(C730)+VLOOKUP(Interval,LoanLookup[],3,FALSE)),"")</f>
        <v>66722</v>
      </c>
      <c r="D731" s="34">
        <f t="shared" ca="1" si="38"/>
        <v>0</v>
      </c>
      <c r="E731" s="35">
        <f t="shared" ca="1" si="37"/>
        <v>989.93360882498609</v>
      </c>
      <c r="F731" s="36">
        <f ca="1">IF(scheduled_no_payments=1,"",IF(Sched_Pay+Scheduled_Extra_Payments&lt;Beg_Bal,Scheduled_Extra_Payments,IF(AND(Pay_Num&lt;&gt;"",Beg_Bal-Sched_Pay&gt;0),Beg_Bal-Sched_Pay,IF(Pay_Num&lt;&gt;"",0,""))))</f>
        <v>0</v>
      </c>
      <c r="G731" s="34">
        <f ca="1">IF(scheduled_no_payments=1,"",IF(Sched_Pay+Extra_Pay&lt;Beg_Bal,Sched_Pay+Extra_Pay,IF(Pay_Num&lt;&gt;"",Beg_Bal,"")))</f>
        <v>0</v>
      </c>
      <c r="H731" s="34">
        <f t="shared" ca="1" si="36"/>
        <v>0</v>
      </c>
      <c r="I731" s="34">
        <f ca="1">IF(Pay_Num&lt;&gt;"",Beg_Bal*(Interest_Rate/VLOOKUP(Interval,LoanLookup[],5,FALSE)),"")</f>
        <v>0</v>
      </c>
      <c r="J731" s="34">
        <f ca="1">IF(scheduled_no_payments=1,"",IF(AND(Pay_Num&lt;&gt;"",Sched_Pay+Extra_Pay&lt;Beg_Bal),Beg_Bal-Princ,IF(Pay_Num&lt;&gt;"",0,"")))</f>
        <v>0</v>
      </c>
      <c r="K731" s="34">
        <f ca="1">IF(scheduled_no_payments=1,"",SUM($I$13:$I731))</f>
        <v>87584.066117996466</v>
      </c>
      <c r="L731" s="38"/>
    </row>
    <row r="732" spans="2:12" ht="16.5" customHeight="1" x14ac:dyDescent="0.25">
      <c r="B732" s="32">
        <f ca="1">IF(AND(Values_Entered,scheduled_no_payments&lt;&gt;1),B731+1,"")</f>
        <v>720</v>
      </c>
      <c r="C732" s="33">
        <f ca="1">IF(Pay_Num&lt;&gt;"",DATE(YEAR(C731)+VLOOKUP(Interval,LoanLookup[],4,FALSE),MONTH(C731)+VLOOKUP(Interval,LoanLookup[],2,FALSE),DAY(C731)+VLOOKUP(Interval,LoanLookup[],3,FALSE)),"")</f>
        <v>66752</v>
      </c>
      <c r="D732" s="34">
        <f t="shared" ca="1" si="38"/>
        <v>0</v>
      </c>
      <c r="E732" s="35">
        <f t="shared" ca="1" si="37"/>
        <v>989.93360882498609</v>
      </c>
      <c r="F732" s="36">
        <f ca="1">IF(scheduled_no_payments=1,"",IF(Sched_Pay+Scheduled_Extra_Payments&lt;Beg_Bal,Scheduled_Extra_Payments,IF(AND(Pay_Num&lt;&gt;"",Beg_Bal-Sched_Pay&gt;0),Beg_Bal-Sched_Pay,IF(Pay_Num&lt;&gt;"",0,""))))</f>
        <v>0</v>
      </c>
      <c r="G732" s="34">
        <f ca="1">IF(scheduled_no_payments=1,"",IF(Sched_Pay+Extra_Pay&lt;Beg_Bal,Sched_Pay+Extra_Pay,IF(Pay_Num&lt;&gt;"",Beg_Bal,"")))</f>
        <v>0</v>
      </c>
      <c r="H732" s="34">
        <f t="shared" ca="1" si="36"/>
        <v>0</v>
      </c>
      <c r="I732" s="34">
        <f ca="1">IF(Pay_Num&lt;&gt;"",Beg_Bal*(Interest_Rate/VLOOKUP(Interval,LoanLookup[],5,FALSE)),"")</f>
        <v>0</v>
      </c>
      <c r="J732" s="34">
        <f ca="1">IF(scheduled_no_payments=1,"",IF(AND(Pay_Num&lt;&gt;"",Sched_Pay+Extra_Pay&lt;Beg_Bal),Beg_Bal-Princ,IF(Pay_Num&lt;&gt;"",0,"")))</f>
        <v>0</v>
      </c>
      <c r="K732" s="34">
        <f ca="1">IF(scheduled_no_payments=1,"",SUM($I$13:$I732))</f>
        <v>87584.066117996466</v>
      </c>
    </row>
  </sheetData>
  <sheetProtection sheet="1" objects="1" scenarios="1"/>
  <mergeCells count="11">
    <mergeCell ref="C10:D10"/>
    <mergeCell ref="G9:H9"/>
    <mergeCell ref="C5:D5"/>
    <mergeCell ref="C6:D6"/>
    <mergeCell ref="C7:D7"/>
    <mergeCell ref="C8:D8"/>
    <mergeCell ref="C9:D9"/>
    <mergeCell ref="G5:H5"/>
    <mergeCell ref="G6:H6"/>
    <mergeCell ref="G7:H7"/>
    <mergeCell ref="G8:H8"/>
  </mergeCells>
  <phoneticPr fontId="0" type="noConversion"/>
  <conditionalFormatting sqref="B13:L732">
    <cfRule type="expression" dxfId="4" priority="1" stopIfTrue="1">
      <formula>IF(ROW(B13)&gt;=Last_Row,TRUE, FALSE)</formula>
    </cfRule>
    <cfRule type="expression" dxfId="3" priority="2">
      <formula>IF(AND(ROW(B13)&lt;&gt;Last_Row,MOD(ROW(),2)=0),TRUE, FALSE)</formula>
    </cfRule>
    <cfRule type="expression" dxfId="2" priority="3">
      <formula>IF(AND(ROW(B13)=Last_Row,MOD(ROW(),2)=0),TRUE, FALSE)</formula>
    </cfRule>
    <cfRule type="expression" dxfId="1" priority="4">
      <formula>IF(ROW(B13)&lt;&gt;Last_Row,TRUE, FALSE)</formula>
    </cfRule>
    <cfRule type="expression" dxfId="0" priority="5">
      <formula>IF(ROW(B13)=Last_Row,TRUE, FALSE)</formula>
    </cfRule>
  </conditionalFormatting>
  <dataValidations xWindow="865" yWindow="492" count="29">
    <dataValidation allowBlank="1" showInputMessage="1" showErrorMessage="1" prompt="Enter start date of loan in this cell" sqref="E5"/>
    <dataValidation allowBlank="1" showInputMessage="1" showErrorMessage="1" prompt="Enter optional extra payment in this cell" sqref="E6"/>
    <dataValidation allowBlank="1" showInputMessage="1" showErrorMessage="1" prompt="Loan amount is automatically updated from Payment Comparison worksheet in this cell" sqref="E7"/>
    <dataValidation allowBlank="1" showInputMessage="1" showErrorMessage="1" prompt="Loan period in years is automatically updated from Payment Comparison worksheet in this cell" sqref="E8"/>
    <dataValidation allowBlank="1" showInputMessage="1" showErrorMessage="1" prompt="Payment frequency is automatically updated from Payment Comparison worksheet in this cell" sqref="E9"/>
    <dataValidation allowBlank="1" showInputMessage="1" showErrorMessage="1" prompt="Annual interest is automatically updated from Payment Comparison worksheet in this cell" sqref="E10"/>
    <dataValidation allowBlank="1" showInputMessage="1" showErrorMessage="1" prompt="Scheduled Payment is automatically updated from Payment Comparison worksheet in this cell" sqref="I5"/>
    <dataValidation allowBlank="1" showInputMessage="1" showErrorMessage="1" prompt="Scheduled number of payments is automatically updated from Payment Comparison worksheet in this cell" sqref="I6"/>
    <dataValidation allowBlank="1" showInputMessage="1" showErrorMessage="1" prompt="Actual number of payments is automatically derived in this cell based on values from Payment Comparison worksheet and optional extra payment in cell D6 " sqref="I7"/>
    <dataValidation allowBlank="1" showInputMessage="1" showErrorMessage="1" prompt="Total early payments are automatically calculated in this cell" sqref="I8"/>
    <dataValidation allowBlank="1" showInputMessage="1" showErrorMessage="1" prompt="Total interest is automatically updated in this cell" sqref="I9"/>
    <dataValidation allowBlank="1" showInputMessage="1" showErrorMessage="1" prompt="Cost of loan is automatically updated in this cell" sqref="I10"/>
    <dataValidation allowBlank="1" showInputMessage="1" showErrorMessage="1" prompt="Payment schedule generated based on the information entered in Payment Comparison worksheet. Select a scenario to update charts" sqref="A1:A3"/>
    <dataValidation allowBlank="1" showInputMessage="1" showErrorMessage="1" prompt="Payment number is automatically updated in this column" sqref="B12"/>
    <dataValidation allowBlank="1" showInputMessage="1" showErrorMessage="1" prompt="Payment date is automatically updated in this column" sqref="C12"/>
    <dataValidation allowBlank="1" showInputMessage="1" showErrorMessage="1" prompt="Beginning Balance is automatically updated in this column" sqref="D12"/>
    <dataValidation allowBlank="1" showInputMessage="1" showErrorMessage="1" prompt="Scheduled payment is automatically updated in this column" sqref="E12"/>
    <dataValidation allowBlank="1" showInputMessage="1" showErrorMessage="1" prompt="Extra payment is automatically updated in this column" sqref="F12"/>
    <dataValidation allowBlank="1" showInputMessage="1" showErrorMessage="1" prompt="Total payment is automatically updated in this column" sqref="G12"/>
    <dataValidation allowBlank="1" showInputMessage="1" showErrorMessage="1" prompt="Principal is automatically updated in this column" sqref="H12"/>
    <dataValidation allowBlank="1" showInputMessage="1" showErrorMessage="1" prompt="Interest is automatically updated in this column" sqref="I12"/>
    <dataValidation allowBlank="1" showInputMessage="1" showErrorMessage="1" prompt="Ending balance is automatically updated in this column" sqref="J12"/>
    <dataValidation type="list" allowBlank="1" showInputMessage="1" showErrorMessage="1" error="Select a scenario from the list. Select Cancel, then press ALT+DOWN ARROW and ENTER to select an option from the list" prompt="Select a loan scenario from the drop down list. Press ALT+DOWN ARROW to open the list, then press ENTER to select a scenario" sqref="C2">
      <formula1>"SCENARIO 1,SCENARIO 2,SCENARIO 3"</formula1>
    </dataValidation>
    <dataValidation allowBlank="1" showInputMessage="1" showErrorMessage="1" prompt="Summary of loan details for scenario selected in C2 with scenario details in column D and loan summary in column F. Payment schedule is automatically updated based on these values" sqref="C4"/>
    <dataValidation allowBlank="1" showInputMessage="1" showErrorMessage="1" prompt="Loan details for the scenario selected in cell C2 are in this column" sqref="E4"/>
    <dataValidation allowBlank="1" showInputMessage="1" showErrorMessage="1" prompt="Loan summary labels for the scenario selected in cell C2 are in this column" sqref="G4"/>
    <dataValidation allowBlank="1" showInputMessage="1" showErrorMessage="1" prompt="Loan summary details for the scenario selected in cell C2 are in this column" sqref="I4"/>
    <dataValidation allowBlank="1" showInputMessage="1" showErrorMessage="1" prompt="Cumulative interest is automatically updated in this column" sqref="K12:L12"/>
    <dataValidation allowBlank="1" showInputMessage="1" showErrorMessage="1" prompt="Select a scenario at right" sqref="B2"/>
  </dataValidations>
  <printOptions horizontalCentered="1"/>
  <pageMargins left="0.25" right="0.25" top="0.75" bottom="0.75" header="0.3" footer="0.3"/>
  <pageSetup scale="53" fitToHeight="0" orientation="portrait" r:id="rId1"/>
  <headerFooter differentFirst="1" alignWithMargins="0">
    <oddFooter>Page &amp;P of &amp;N</oddFooter>
  </headerFooter>
  <ignoredErrors>
    <ignoredError sqref="J13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8"/>
  <sheetViews>
    <sheetView showGridLines="0" workbookViewId="0"/>
  </sheetViews>
  <sheetFormatPr defaultRowHeight="15" x14ac:dyDescent="0.25"/>
  <cols>
    <col min="1" max="1" width="2.7109375" customWidth="1"/>
    <col min="2" max="2" width="18.140625" customWidth="1"/>
    <col min="3" max="3" width="16.140625" customWidth="1"/>
    <col min="4" max="4" width="14.42578125" customWidth="1"/>
    <col min="5" max="5" width="13.140625" customWidth="1"/>
    <col min="6" max="6" width="18.5703125" customWidth="1"/>
    <col min="7" max="7" width="2.7109375" customWidth="1"/>
  </cols>
  <sheetData>
    <row r="1" spans="1:6" ht="54.75" customHeight="1" x14ac:dyDescent="0.7">
      <c r="A1" s="9"/>
      <c r="B1" s="6" t="s">
        <v>5</v>
      </c>
    </row>
    <row r="2" spans="1:6" ht="35.25" customHeight="1" x14ac:dyDescent="0.25">
      <c r="B2" s="73" t="s">
        <v>45</v>
      </c>
      <c r="C2" s="73"/>
      <c r="D2" s="73"/>
      <c r="E2" s="73"/>
      <c r="F2" s="73"/>
    </row>
    <row r="3" spans="1:6" ht="31.5" customHeight="1" x14ac:dyDescent="0.25">
      <c r="B3" s="8" t="s">
        <v>7</v>
      </c>
    </row>
    <row r="4" spans="1:6" ht="30" customHeight="1" x14ac:dyDescent="0.25">
      <c r="B4" s="49" t="s">
        <v>37</v>
      </c>
      <c r="C4" s="50" t="s">
        <v>38</v>
      </c>
      <c r="D4" s="50" t="s">
        <v>39</v>
      </c>
      <c r="E4" s="50" t="s">
        <v>40</v>
      </c>
      <c r="F4" s="50" t="s">
        <v>41</v>
      </c>
    </row>
    <row r="5" spans="1:6" s="1" customFormat="1" ht="18.75" customHeight="1" x14ac:dyDescent="0.25">
      <c r="B5" s="7" t="s">
        <v>6</v>
      </c>
      <c r="C5" s="10">
        <v>0</v>
      </c>
      <c r="D5" s="10">
        <v>15</v>
      </c>
      <c r="E5" s="10">
        <v>0</v>
      </c>
      <c r="F5" s="10">
        <v>24</v>
      </c>
    </row>
    <row r="6" spans="1:6" s="1" customFormat="1" ht="18.75" customHeight="1" x14ac:dyDescent="0.25">
      <c r="B6" s="7" t="s">
        <v>0</v>
      </c>
      <c r="C6" s="10">
        <v>1</v>
      </c>
      <c r="D6" s="10">
        <v>0</v>
      </c>
      <c r="E6" s="10">
        <v>0</v>
      </c>
      <c r="F6" s="10">
        <v>12</v>
      </c>
    </row>
    <row r="7" spans="1:6" s="1" customFormat="1" ht="18.75" customHeight="1" x14ac:dyDescent="0.25">
      <c r="B7" s="7" t="s">
        <v>1</v>
      </c>
      <c r="C7" s="10">
        <v>4</v>
      </c>
      <c r="D7" s="10">
        <v>0</v>
      </c>
      <c r="E7" s="10">
        <v>0</v>
      </c>
      <c r="F7" s="10">
        <v>4</v>
      </c>
    </row>
    <row r="8" spans="1:6" s="1" customFormat="1" ht="18.75" customHeight="1" x14ac:dyDescent="0.25">
      <c r="B8" s="7" t="s">
        <v>2</v>
      </c>
      <c r="C8" s="10">
        <v>0</v>
      </c>
      <c r="D8" s="10">
        <v>0</v>
      </c>
      <c r="E8" s="10">
        <v>1</v>
      </c>
      <c r="F8" s="10">
        <v>1</v>
      </c>
    </row>
  </sheetData>
  <sheetProtection sheet="1" objects="1" scenarios="1"/>
  <mergeCells count="1">
    <mergeCell ref="B2:F2"/>
  </mergeCells>
  <dataValidations count="6">
    <dataValidation allowBlank="1" showInputMessage="1" showErrorMessage="1" prompt="This worksheet holds data that is used in loan calculations and to populate drop down lists. Changing information in it may result in incorrect loan payment calculations" sqref="A1"/>
    <dataValidation allowBlank="1" showInputMessage="1" showErrorMessage="1" prompt="Payment frequency is defined in this column" sqref="B4"/>
    <dataValidation allowBlank="1" showInputMessage="1" showErrorMessage="1" prompt="Month interval is defined in this column" sqref="C4"/>
    <dataValidation allowBlank="1" showInputMessage="1" showErrorMessage="1" prompt="Day interval is defined in this column" sqref="D4"/>
    <dataValidation allowBlank="1" showInputMessage="1" showErrorMessage="1" prompt="Year interval is defined in this column" sqref="E4"/>
    <dataValidation allowBlank="1" showInputMessage="1" showErrorMessage="1" prompt="Payments per year is defined in this column" sqref="F4"/>
  </dataValidations>
  <pageMargins left="0.7" right="0.7" top="0.75" bottom="0.75" header="0.3" footer="0.3"/>
  <pageSetup fitToWidth="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57</vt:i4>
      </vt:variant>
    </vt:vector>
  </HeadingPairs>
  <TitlesOfParts>
    <vt:vector size="60" baseType="lpstr">
      <vt:lpstr>Payment Comparison</vt:lpstr>
      <vt:lpstr>Payment Schedule</vt:lpstr>
      <vt:lpstr>Loan Calculator Data</vt:lpstr>
      <vt:lpstr>Beg_Bal</vt:lpstr>
      <vt:lpstr>ColumnTitle2</vt:lpstr>
      <vt:lpstr>ColumnTitle3</vt:lpstr>
      <vt:lpstr>Cum_Int</vt:lpstr>
      <vt:lpstr>Data</vt:lpstr>
      <vt:lpstr>End_Bal</vt:lpstr>
      <vt:lpstr>Extra_Pay</vt:lpstr>
      <vt:lpstr>Full_Print</vt:lpstr>
      <vt:lpstr>Int</vt:lpstr>
      <vt:lpstr>Interest_Rate</vt:lpstr>
      <vt:lpstr>Interval</vt:lpstr>
      <vt:lpstr>Loan_Amount</vt:lpstr>
      <vt:lpstr>Loan_Start</vt:lpstr>
      <vt:lpstr>Loan_Years</vt:lpstr>
      <vt:lpstr>LoanAmount</vt:lpstr>
      <vt:lpstr>Num_Pmt_Per_Year</vt:lpstr>
      <vt:lpstr>Number_of_Pmts</vt:lpstr>
      <vt:lpstr>Pay_Date</vt:lpstr>
      <vt:lpstr>Pay_Num</vt:lpstr>
      <vt:lpstr>Payment_Frequency</vt:lpstr>
      <vt:lpstr>PaymentComparison</vt:lpstr>
      <vt:lpstr>Princ</vt:lpstr>
      <vt:lpstr>'Loan Calculator Data'!Print_Titles</vt:lpstr>
      <vt:lpstr>'Payment Schedule'!Print_Titles</vt:lpstr>
      <vt:lpstr>RowTitle2..C2.2</vt:lpstr>
      <vt:lpstr>RowTitleRegion1..E10.2</vt:lpstr>
      <vt:lpstr>RowTitleRegion2..I10.2</vt:lpstr>
      <vt:lpstr>S1Cost_of_Loan</vt:lpstr>
      <vt:lpstr>S1Interest</vt:lpstr>
      <vt:lpstr>S1LoanPeriod</vt:lpstr>
      <vt:lpstr>S1PaymentFrequency</vt:lpstr>
      <vt:lpstr>S1ScheduledPayment</vt:lpstr>
      <vt:lpstr>S1TotalInterest</vt:lpstr>
      <vt:lpstr>S1TotalPayments</vt:lpstr>
      <vt:lpstr>S2Cost_of_Loan</vt:lpstr>
      <vt:lpstr>S2Interest</vt:lpstr>
      <vt:lpstr>S2LoanPeriod</vt:lpstr>
      <vt:lpstr>S2PaymentFrequency</vt:lpstr>
      <vt:lpstr>S2ScheduledPayment</vt:lpstr>
      <vt:lpstr>S2TotalInterest</vt:lpstr>
      <vt:lpstr>S2TotalPayments</vt:lpstr>
      <vt:lpstr>S3Cost_of_Loan</vt:lpstr>
      <vt:lpstr>S3Interest</vt:lpstr>
      <vt:lpstr>S3LoanPeriod</vt:lpstr>
      <vt:lpstr>S3PaymentFrequency</vt:lpstr>
      <vt:lpstr>S3ScheduledPayment</vt:lpstr>
      <vt:lpstr>S3TotalInterest</vt:lpstr>
      <vt:lpstr>S3TotalPayments</vt:lpstr>
      <vt:lpstr>Scenario</vt:lpstr>
      <vt:lpstr>Sched_Pay</vt:lpstr>
      <vt:lpstr>Scheduled_Extra_Payments</vt:lpstr>
      <vt:lpstr>Scheduled_Interest_Rate</vt:lpstr>
      <vt:lpstr>Scheduled_Monthly_Payment</vt:lpstr>
      <vt:lpstr>scheduled_no_payments</vt:lpstr>
      <vt:lpstr>Title1</vt:lpstr>
      <vt:lpstr>Total_Interest</vt:lpstr>
      <vt:lpstr>Total_Pay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2017-06-01T23:48:12Z</dcterms:created>
  <dcterms:modified xsi:type="dcterms:W3CDTF">2022-11-03T11:47:37Z</dcterms:modified>
</cp:coreProperties>
</file>