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8325" activeTab="3"/>
  </bookViews>
  <sheets>
    <sheet name="Start" sheetId="4" r:id="rId1"/>
    <sheet name="PROJECT PARAMETERS" sheetId="1" r:id="rId2"/>
    <sheet name="PROJECT DETAILS" sheetId="2" r:id="rId3"/>
    <sheet name="PROJECT TOTALS" sheetId="3" r:id="rId4"/>
  </sheets>
  <externalReferences>
    <externalReference r:id="rId5"/>
  </externalReferences>
  <definedNames>
    <definedName name="_xlnm.Print_Titles" localSheetId="2">'PROJECT DETAILS'!$4:$4</definedName>
    <definedName name="_xlnm.Print_Titles" localSheetId="3">'PROJECT TOTALS'!$5:$5</definedName>
    <definedName name="Product_A_Name">[1]Summary!$C$3</definedName>
    <definedName name="Product_B_Name">[1]Summary!$D$3</definedName>
    <definedName name="ProjectType">Parameters[PROJECT TYPE]</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3" i="2" s="1"/>
  <c r="E7" i="2" l="1"/>
  <c r="F8" i="2"/>
  <c r="B2" i="2"/>
  <c r="G9" i="2" l="1"/>
  <c r="F9" i="2"/>
  <c r="G8" i="2"/>
  <c r="G7" i="2"/>
  <c r="F7" i="2"/>
  <c r="G6" i="2"/>
  <c r="E6" i="2"/>
  <c r="F6" i="2"/>
  <c r="G5" i="2"/>
  <c r="E5" i="2"/>
  <c r="F5" i="2"/>
  <c r="E9" i="2"/>
  <c r="D9" i="2"/>
  <c r="E8" i="2"/>
  <c r="D8" i="2"/>
  <c r="D7" i="2"/>
  <c r="D6" i="2"/>
  <c r="D5" i="2"/>
  <c r="B3" i="3" l="1"/>
  <c r="B2" i="3"/>
  <c r="B1" i="3" l="1"/>
  <c r="K8" i="2"/>
  <c r="W5" i="2"/>
  <c r="W6" i="2"/>
  <c r="W7" i="2"/>
  <c r="W8" i="2"/>
  <c r="W9" i="2"/>
  <c r="V5" i="2"/>
  <c r="V6" i="2"/>
  <c r="V7" i="2"/>
  <c r="V8" i="2"/>
  <c r="V9" i="2"/>
  <c r="U5" i="2"/>
  <c r="U6" i="2"/>
  <c r="U7" i="2"/>
  <c r="U8" i="2"/>
  <c r="U9" i="2"/>
  <c r="T5" i="2"/>
  <c r="T6" i="2"/>
  <c r="T7" i="2"/>
  <c r="T8" i="2"/>
  <c r="T9" i="2"/>
  <c r="S5" i="2"/>
  <c r="S6" i="2"/>
  <c r="S7" i="2"/>
  <c r="S8" i="2"/>
  <c r="S9" i="2"/>
  <c r="R5" i="2"/>
  <c r="R6" i="2"/>
  <c r="R7" i="2"/>
  <c r="R8" i="2"/>
  <c r="R9" i="2"/>
  <c r="Q5" i="2"/>
  <c r="Q6" i="2"/>
  <c r="Q7" i="2"/>
  <c r="Q8" i="2"/>
  <c r="Q9" i="2"/>
  <c r="P5" i="2"/>
  <c r="P6" i="2"/>
  <c r="P7" i="2"/>
  <c r="P8" i="2"/>
  <c r="P9" i="2"/>
  <c r="O5" i="2"/>
  <c r="O6" i="2"/>
  <c r="O7" i="2"/>
  <c r="O8" i="2"/>
  <c r="O9" i="2"/>
  <c r="N5" i="2"/>
  <c r="N6" i="2"/>
  <c r="N7" i="2"/>
  <c r="N8" i="2"/>
  <c r="N9" i="2"/>
  <c r="M5" i="2"/>
  <c r="M6" i="2"/>
  <c r="M7" i="2"/>
  <c r="M8" i="2"/>
  <c r="M9" i="2"/>
  <c r="L5" i="2"/>
  <c r="L6" i="2"/>
  <c r="L7" i="2"/>
  <c r="L8" i="2"/>
  <c r="L9" i="2"/>
  <c r="B1" i="2"/>
  <c r="K5" i="2"/>
  <c r="K6" i="2"/>
  <c r="K7" i="2"/>
  <c r="K9" i="2"/>
  <c r="J5" i="2"/>
  <c r="J6" i="2"/>
  <c r="J7" i="2"/>
  <c r="J8" i="2"/>
  <c r="J9" i="2"/>
  <c r="I10" i="2"/>
  <c r="H10" i="2"/>
  <c r="I6" i="1"/>
  <c r="I7" i="1"/>
  <c r="I8" i="1"/>
  <c r="I9" i="1"/>
  <c r="I10" i="1"/>
  <c r="I11" i="1"/>
  <c r="H17" i="1" l="1"/>
  <c r="H19" i="1" s="1"/>
  <c r="F17" i="1"/>
  <c r="F19" i="1" s="1"/>
  <c r="G17" i="1"/>
  <c r="G19" i="1" s="1"/>
  <c r="D17" i="1"/>
  <c r="D19" i="1" s="1"/>
  <c r="E17" i="1"/>
  <c r="E19" i="1" s="1"/>
  <c r="F16" i="1"/>
  <c r="F18" i="1" s="1"/>
  <c r="E16" i="1"/>
  <c r="E18" i="1" s="1"/>
  <c r="C17" i="1"/>
  <c r="C19" i="1" s="1"/>
  <c r="D16" i="1"/>
  <c r="D18" i="1" s="1"/>
  <c r="H16" i="1"/>
  <c r="H18" i="1" s="1"/>
  <c r="C16" i="1"/>
  <c r="C18" i="1" s="1"/>
  <c r="G16" i="1"/>
  <c r="G18" i="1" s="1"/>
  <c r="J10" i="2"/>
  <c r="K10" i="2"/>
</calcChain>
</file>

<file path=xl/sharedStrings.xml><?xml version="1.0" encoding="utf-8"?>
<sst xmlns="http://schemas.openxmlformats.org/spreadsheetml/2006/main" count="107" uniqueCount="82">
  <si>
    <t>Shaded cells are calculated for you. You do not need to enter anything into them.</t>
  </si>
  <si>
    <t>Blended rates</t>
  </si>
  <si>
    <t>TOTAL</t>
  </si>
  <si>
    <t>ACTUAL START</t>
  </si>
  <si>
    <t>ACTUAL FINISH</t>
  </si>
  <si>
    <t>PROJECT NAME</t>
  </si>
  <si>
    <t>PROJECT TYPE</t>
  </si>
  <si>
    <t>ESTIMATED START</t>
  </si>
  <si>
    <t>ESTIMATED FINISH</t>
  </si>
  <si>
    <t>ESTIMATED WORK</t>
  </si>
  <si>
    <t>ESTIMATED DURATION</t>
  </si>
  <si>
    <t>ACTUAL WORK</t>
  </si>
  <si>
    <t>ACTUAL DURATION</t>
  </si>
  <si>
    <t>Grand Total</t>
  </si>
  <si>
    <t>ADMIN STAFF</t>
  </si>
  <si>
    <t xml:space="preserve">ADMIN STAFF </t>
  </si>
  <si>
    <t>PLANNED COST</t>
  </si>
  <si>
    <t>PLANNED HOURS</t>
  </si>
  <si>
    <t>ACTUAL COST</t>
  </si>
  <si>
    <t>ACTUAL HOURS</t>
  </si>
  <si>
    <t>GENERAL PARTNER</t>
  </si>
  <si>
    <t>BUSINESS LAWYER</t>
  </si>
  <si>
    <t>DEFENSE LITIGATOR</t>
  </si>
  <si>
    <t>INTELLECTUAL PROPERTY LAWYER</t>
  </si>
  <si>
    <t>BANKRUPTCY LAWYER</t>
  </si>
  <si>
    <t>Business Incorporation</t>
  </si>
  <si>
    <t>Business Acquisition</t>
  </si>
  <si>
    <t>Product Liability Defense</t>
  </si>
  <si>
    <t>Patent Application</t>
  </si>
  <si>
    <t>Employee Lawsuit</t>
  </si>
  <si>
    <t>Bankruptcy</t>
  </si>
  <si>
    <t xml:space="preserve">GENERAL PARTNER </t>
  </si>
  <si>
    <t xml:space="preserve">DEFENSE LITIGATOR </t>
  </si>
  <si>
    <t>GENERAL PARTNER 2</t>
  </si>
  <si>
    <t>BUSINESS LAWYER 2</t>
  </si>
  <si>
    <t>DEFENSE LITIGATOR 2</t>
  </si>
  <si>
    <t>BANKRUPTCY LAWYER 2</t>
  </si>
  <si>
    <t>ADMIN STAFF 2</t>
  </si>
  <si>
    <t xml:space="preserve">GENERAL PARTNER  </t>
  </si>
  <si>
    <t xml:space="preserve">DEFENSE LITIGATOR  </t>
  </si>
  <si>
    <t xml:space="preserve">INTELLECTUAL PROPERTY  </t>
  </si>
  <si>
    <t>INTELLECTUAL PROPERTY LAWYER 2</t>
  </si>
  <si>
    <t xml:space="preserve">INTELLECTUAL PROPERTY </t>
  </si>
  <si>
    <t xml:space="preserve">BANKRUPTCY </t>
  </si>
  <si>
    <t xml:space="preserve">BUSINESS </t>
  </si>
  <si>
    <t xml:space="preserve">BUSINESS    </t>
  </si>
  <si>
    <t xml:space="preserve">BANKRUPTCY  </t>
  </si>
  <si>
    <t xml:space="preserve">ADMIN STAFF  </t>
  </si>
  <si>
    <t>ESTIMATED</t>
  </si>
  <si>
    <t>ACTUAL</t>
  </si>
  <si>
    <t>Project Planning for Law Firms</t>
  </si>
  <si>
    <t>BUSINESS</t>
  </si>
  <si>
    <t>INTELLECTUAL PROP.</t>
  </si>
  <si>
    <t>BANKRUPTCY</t>
  </si>
  <si>
    <t>Company Name</t>
  </si>
  <si>
    <t>Project 1</t>
  </si>
  <si>
    <t>Project 2</t>
  </si>
  <si>
    <t>Project 3</t>
  </si>
  <si>
    <t>Project 4</t>
  </si>
  <si>
    <t>Project 5</t>
  </si>
  <si>
    <t>ABOUT THIS TEMPLATE</t>
  </si>
  <si>
    <t>Use this workbook to track Project Parameters, Project Details, and Project Totals during Project Planning for Law Firms.</t>
  </si>
  <si>
    <t>Fill in Company Name in Project Parameters worksheet and it is auto updated in other worksheets.</t>
  </si>
  <si>
    <t>Enter information in Project Parameters worksheet to update column charts, and in Project Details worksheet. PivotTable in Project Totals worksheet is auto updated</t>
  </si>
  <si>
    <t xml:space="preserve">Note:  </t>
  </si>
  <si>
    <t>Additional Instructions have been provided in column A of each worksheet. This text has been intentionally hidden. To remove text, select column A, then select DELETE. To unhide text, select column A, then change font color.</t>
  </si>
  <si>
    <t>To learn more about tables in worksheets, press SHIFT and then F10 within a table, select the TABLE option, and then select ALTERNATIVE TEXT. For PivotTable in Project Totals worksheet, press SHIFT and then F10 within table, select PIVOTTABLE OPTIONS, and then select ALT TEXT tab.</t>
  </si>
  <si>
    <t>Create Project Parameters in this worksheet. Enter Company Name in cell at right. Helpful instructions are in cells in this column.</t>
  </si>
  <si>
    <t>Title of this worksheet is in cell at right.</t>
  </si>
  <si>
    <t>Confidentiality message is in cell at right.</t>
  </si>
  <si>
    <t>Tip is in cell at right.</t>
  </si>
  <si>
    <t>Create Project Details in this worksheet. Company Name is auto updated in cell at right. Helpful instructions are in cells in this column. Arrow down to get started.</t>
  </si>
  <si>
    <t>Get Project Totals in this worksheet. Company Name is automatically updated in cell at right. Helpful instructions are in cells in this column. Arrow down to get started.</t>
  </si>
  <si>
    <t>PivotTable starting in cell at right is auto updated</t>
  </si>
  <si>
    <t>Enter details in Parameters table starting in cell at right. Next instruction is in cell A12.</t>
  </si>
  <si>
    <t>Enter Blended Rates in cells at right, cells C12 through H12. Next instruction is in cell A14.</t>
  </si>
  <si>
    <t>Column chart showing comparison between Planned and Actual Cost is in cell at right, and column chart showing comparison between Planned and Actual Hours is in cell F14.</t>
  </si>
  <si>
    <t>Title of this worksheet is in cell at right and Info tip in cell Y2 .</t>
  </si>
  <si>
    <t>Enter information in Details table starting in cell at right. Project Types in Details table at right are auto updated from Parameters table in Project Parameters worksheet.</t>
  </si>
  <si>
    <t>INFO:
To add a row, select the bottom-right most cell in the body of the table (not the totals row) and press Tab, or press SHIFT and then F10 within table where you want the row inserted and select Insert | Table Rows Above/Below.
Be sure all unused rows are deleted, as the PROJECT TOTALS PivotTable will use all of the tables cells, and otherwise would give erroneous results.</t>
  </si>
  <si>
    <t>Estimated label is in cell C4, Actual label in cell I4, and Info tip in cell P4.</t>
  </si>
  <si>
    <t>INFO: 
This PivotTable will not refresh automatically.  To refresh it, select it (any cell within the PivotTable), on the PIVOTTABLE TOOLS | ANALYZE ribbon tab select Refresh.  Or press SHIFT + F10 by selecting the PivotTable and select Refresh.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</si>
</sst>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quot;$&quot;#,##0.00"/>
  </numFmts>
  <fonts count="20" x14ac:knownFonts="1">
    <font>
      <sz val="10"/>
      <color theme="1" tint="0.24994659260841701"/>
      <name val="Cambria"/>
      <family val="2"/>
      <scheme val="minor"/>
    </font>
    <font>
      <sz val="11"/>
      <color theme="1"/>
      <name val="Cambria"/>
      <family val="2"/>
      <scheme val="minor"/>
    </font>
    <font>
      <sz val="11"/>
      <color theme="1"/>
      <name val="Cambria"/>
      <family val="1"/>
      <scheme val="minor"/>
    </font>
    <font>
      <sz val="20"/>
      <color theme="1" tint="0.24994659260841701"/>
      <name val="Tahoma"/>
      <family val="2"/>
      <scheme val="major"/>
    </font>
    <font>
      <sz val="16"/>
      <color theme="1" tint="0.34998626667073579"/>
      <name val="Tahoma"/>
      <family val="2"/>
      <scheme val="major"/>
    </font>
    <font>
      <sz val="12"/>
      <color theme="1" tint="0.24994659260841701"/>
      <name val="Tahoma"/>
      <family val="2"/>
      <scheme val="major"/>
    </font>
    <font>
      <sz val="11"/>
      <color theme="1"/>
      <name val="Cambria"/>
      <family val="1"/>
      <scheme val="minor"/>
    </font>
    <font>
      <i/>
      <sz val="10"/>
      <color theme="1"/>
      <name val="Tahoma"/>
      <family val="2"/>
      <scheme val="major"/>
    </font>
    <font>
      <sz val="10"/>
      <color theme="1"/>
      <name val="Tahoma"/>
      <family val="2"/>
      <scheme val="major"/>
    </font>
    <font>
      <sz val="10"/>
      <color theme="1"/>
      <name val="Tahoma"/>
      <family val="2"/>
      <scheme val="major"/>
    </font>
    <font>
      <sz val="11"/>
      <color theme="0"/>
      <name val="Cambria"/>
      <family val="1"/>
      <scheme val="minor"/>
    </font>
    <font>
      <b/>
      <sz val="11"/>
      <color theme="3"/>
      <name val="Cambria"/>
      <family val="2"/>
      <scheme val="minor"/>
    </font>
    <font>
      <sz val="11"/>
      <name val="Cambria"/>
      <family val="1"/>
      <scheme val="minor"/>
    </font>
    <font>
      <b/>
      <sz val="16"/>
      <color theme="0"/>
      <name val="Tahoma"/>
      <family val="2"/>
      <scheme val="major"/>
    </font>
    <font>
      <sz val="11"/>
      <color theme="1" tint="0.24994659260841701"/>
      <name val="Calibri"/>
      <family val="2"/>
    </font>
    <font>
      <b/>
      <sz val="11"/>
      <color theme="1" tint="0.24994659260841701"/>
      <name val="Calibri"/>
      <family val="2"/>
    </font>
    <font>
      <sz val="11"/>
      <color theme="0"/>
      <name val="Calibri"/>
      <family val="2"/>
    </font>
    <font>
      <sz val="10"/>
      <color theme="1" tint="0.24994659260841701"/>
      <name val="Cambria"/>
      <scheme val="minor"/>
    </font>
    <font>
      <b/>
      <sz val="11"/>
      <color theme="3" tint="-0.249977111117893"/>
      <name val="Cambria"/>
      <family val="2"/>
      <scheme val="minor"/>
    </font>
    <font>
      <u/>
      <sz val="11"/>
      <color theme="10"/>
      <name val="Cambria"/>
      <family val="2"/>
      <scheme val="minor"/>
    </font>
  </fonts>
  <fills count="6">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8"/>
        <bgColor indexed="64"/>
      </patternFill>
    </fill>
  </fills>
  <borders count="5">
    <border>
      <left/>
      <right/>
      <top/>
      <bottom/>
      <diagonal/>
    </border>
    <border>
      <left/>
      <right/>
      <top/>
      <bottom style="thin">
        <color theme="4"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s>
  <cellStyleXfs count="7">
    <xf numFmtId="0" fontId="0" fillId="0" borderId="0"/>
    <xf numFmtId="0" fontId="3" fillId="0" borderId="1" applyNumberFormat="0" applyFill="0" applyAlignment="0" applyProtection="0"/>
    <xf numFmtId="0" fontId="4" fillId="0" borderId="0" applyNumberFormat="0" applyFill="0" applyAlignment="0" applyProtection="0"/>
    <xf numFmtId="0" fontId="5" fillId="0" borderId="0" applyNumberFormat="0" applyFill="0" applyAlignment="0" applyProtection="0"/>
    <xf numFmtId="0" fontId="11" fillId="0" borderId="0" applyNumberFormat="0" applyFill="0" applyBorder="0" applyAlignment="0" applyProtection="0"/>
    <xf numFmtId="0" fontId="1" fillId="0" borderId="0"/>
    <xf numFmtId="0" fontId="19" fillId="0" borderId="0" applyNumberFormat="0" applyFill="0" applyBorder="0" applyAlignment="0" applyProtection="0"/>
  </cellStyleXfs>
  <cellXfs count="36">
    <xf numFmtId="0" fontId="0" fillId="0" borderId="0" xfId="0"/>
    <xf numFmtId="0" fontId="2" fillId="0" borderId="0" xfId="0" applyFont="1"/>
    <xf numFmtId="0" fontId="3" fillId="0" borderId="1" xfId="1"/>
    <xf numFmtId="0" fontId="4" fillId="0" borderId="0" xfId="2"/>
    <xf numFmtId="0" fontId="5" fillId="0" borderId="0" xfId="3"/>
    <xf numFmtId="0" fontId="6" fillId="0" borderId="0" xfId="0" applyFont="1"/>
    <xf numFmtId="9" fontId="6" fillId="0" borderId="0" xfId="0" applyNumberFormat="1" applyFont="1"/>
    <xf numFmtId="164" fontId="6" fillId="0" borderId="0" xfId="0" applyNumberFormat="1" applyFont="1"/>
    <xf numFmtId="9" fontId="6" fillId="2" borderId="0" xfId="0" applyNumberFormat="1" applyFont="1" applyFill="1"/>
    <xf numFmtId="0" fontId="7" fillId="0" borderId="0" xfId="0" applyFont="1"/>
    <xf numFmtId="14" fontId="0" fillId="0" borderId="0" xfId="0" applyNumberFormat="1"/>
    <xf numFmtId="164" fontId="0" fillId="0" borderId="0" xfId="0" applyNumberFormat="1" applyFill="1"/>
    <xf numFmtId="165" fontId="0" fillId="0" borderId="0" xfId="0" applyNumberFormat="1"/>
    <xf numFmtId="0" fontId="0" fillId="0" borderId="0" xfId="0" applyAlignment="1">
      <alignment wrapText="1"/>
    </xf>
    <xf numFmtId="0" fontId="2" fillId="0" borderId="0" xfId="0" applyFont="1" applyAlignment="1">
      <alignment wrapText="1"/>
    </xf>
    <xf numFmtId="0" fontId="10" fillId="0" borderId="0" xfId="0" applyFont="1"/>
    <xf numFmtId="165" fontId="10" fillId="0" borderId="0" xfId="0" applyNumberFormat="1" applyFont="1"/>
    <xf numFmtId="4" fontId="10" fillId="0" borderId="0" xfId="0" applyNumberFormat="1" applyFont="1"/>
    <xf numFmtId="0" fontId="12" fillId="0" borderId="0" xfId="0" applyFont="1"/>
    <xf numFmtId="0" fontId="0" fillId="4" borderId="0" xfId="0" applyFill="1" applyAlignment="1">
      <alignment wrapText="1"/>
    </xf>
    <xf numFmtId="0" fontId="9" fillId="4" borderId="0" xfId="0" applyFont="1" applyFill="1" applyAlignment="1">
      <alignment wrapText="1"/>
    </xf>
    <xf numFmtId="0" fontId="8" fillId="4" borderId="0" xfId="0" applyFont="1" applyFill="1" applyAlignment="1">
      <alignment wrapText="1"/>
    </xf>
    <xf numFmtId="0" fontId="5" fillId="0" borderId="0" xfId="3" applyAlignment="1">
      <alignment vertical="top"/>
    </xf>
    <xf numFmtId="0" fontId="2" fillId="0" borderId="0" xfId="0" applyFont="1" applyAlignment="1">
      <alignment vertical="top"/>
    </xf>
    <xf numFmtId="0" fontId="13" fillId="5" borderId="0" xfId="2" applyFont="1" applyFill="1" applyAlignment="1">
      <alignment horizontal="center"/>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vertical="center"/>
    </xf>
    <xf numFmtId="0" fontId="17" fillId="0" borderId="0" xfId="0" applyNumberFormat="1" applyFont="1" applyFill="1" applyBorder="1" applyAlignment="1" applyProtection="1"/>
    <xf numFmtId="0" fontId="10" fillId="0" borderId="0" xfId="0" applyFont="1" applyAlignment="1">
      <alignment horizontal="center" wrapText="1"/>
    </xf>
    <xf numFmtId="0" fontId="10" fillId="0" borderId="0" xfId="0" applyFont="1" applyAlignment="1">
      <alignment horizontal="center"/>
    </xf>
    <xf numFmtId="0" fontId="18" fillId="3" borderId="2" xfId="4" applyFont="1" applyFill="1" applyBorder="1" applyAlignment="1">
      <alignment horizontal="center"/>
    </xf>
    <xf numFmtId="0" fontId="18" fillId="3" borderId="3" xfId="4" applyFont="1" applyFill="1" applyBorder="1" applyAlignment="1">
      <alignment horizontal="center"/>
    </xf>
    <xf numFmtId="0" fontId="18" fillId="3" borderId="4" xfId="4" applyFont="1" applyFill="1" applyBorder="1" applyAlignment="1">
      <alignment horizontal="center"/>
    </xf>
    <xf numFmtId="0" fontId="10" fillId="0" borderId="0" xfId="0" applyFont="1" applyAlignment="1">
      <alignment horizontal="center" vertical="top" wrapText="1"/>
    </xf>
    <xf numFmtId="0" fontId="10" fillId="0" borderId="0" xfId="0" applyFont="1" applyAlignment="1">
      <alignment horizontal="center" vertical="top"/>
    </xf>
  </cellXfs>
  <cellStyles count="7">
    <cellStyle name="Heading 1" xfId="1" builtinId="16" customBuiltin="1"/>
    <cellStyle name="Heading 2" xfId="2" builtinId="17" customBuiltin="1"/>
    <cellStyle name="Heading 3" xfId="3" builtinId="18" customBuiltin="1"/>
    <cellStyle name="Heading 4" xfId="4" builtinId="19"/>
    <cellStyle name="Hyperlink 2" xfId="6"/>
    <cellStyle name="Normal" xfId="0" builtinId="0" customBuiltin="1"/>
    <cellStyle name="Normal 2" xfId="5"/>
  </cellStyles>
  <dxfs count="65">
    <dxf>
      <font>
        <b val="0"/>
        <i val="0"/>
        <strike val="0"/>
        <condense val="0"/>
        <extend val="0"/>
        <outline val="0"/>
        <shadow val="0"/>
        <u val="none"/>
        <vertAlign val="baseline"/>
        <sz val="10"/>
        <color theme="1" tint="0.24994659260841701"/>
        <name val="Cambria"/>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wrapText="1" readingOrder="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alignment wrapText="1" readingOrder="0"/>
    </dxf>
    <dxf>
      <numFmt numFmtId="165" formatCode="&quot;$&quot;#,##0.00"/>
    </dxf>
    <dxf>
      <numFmt numFmtId="165" formatCode="&quot;$&quot;#,##0.00"/>
    </dxf>
    <dxf>
      <numFmt numFmtId="165" formatCode="&quot;$&quot;#,##0.00"/>
    </dxf>
    <dxf>
      <numFmt numFmtId="165" formatCode="&quot;$&quot;#,##0.00"/>
    </dxf>
    <dxf>
      <numFmt numFmtId="165" formatCode="&quot;$&quot;#,##0.0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164" formatCode="&quot;$&quot;#,##0"/>
    </dxf>
    <dxf>
      <font>
        <b val="0"/>
        <i val="0"/>
        <strike val="0"/>
        <condense val="0"/>
        <extend val="0"/>
        <outline val="0"/>
        <shadow val="0"/>
        <u val="none"/>
        <vertAlign val="baseline"/>
        <sz val="11"/>
        <color theme="1"/>
        <name val="Cambria"/>
        <scheme val="minor"/>
      </font>
    </dxf>
    <dxf>
      <numFmt numFmtId="0" formatCode="General"/>
    </dxf>
    <dxf>
      <font>
        <b val="0"/>
        <i val="0"/>
        <strike val="0"/>
        <condense val="0"/>
        <extend val="0"/>
        <outline val="0"/>
        <shadow val="0"/>
        <u val="none"/>
        <vertAlign val="baseline"/>
        <sz val="11"/>
        <color theme="1"/>
        <name val="Cambria"/>
        <scheme val="minor"/>
      </font>
    </dxf>
    <dxf>
      <numFmt numFmtId="0" formatCode="General"/>
    </dxf>
    <dxf>
      <font>
        <b val="0"/>
        <i val="0"/>
        <strike val="0"/>
        <condense val="0"/>
        <extend val="0"/>
        <outline val="0"/>
        <shadow val="0"/>
        <u val="none"/>
        <vertAlign val="baseline"/>
        <sz val="11"/>
        <color theme="1"/>
        <name val="Cambria"/>
        <scheme val="minor"/>
      </font>
    </dxf>
    <dxf>
      <font>
        <b val="0"/>
        <i val="0"/>
        <strike val="0"/>
        <condense val="0"/>
        <extend val="0"/>
        <outline val="0"/>
        <shadow val="0"/>
        <u val="none"/>
        <vertAlign val="baseline"/>
        <sz val="11"/>
        <color theme="1"/>
        <name val="Cambria"/>
        <scheme val="minor"/>
      </font>
    </dxf>
    <dxf>
      <font>
        <b val="0"/>
        <i val="0"/>
        <strike val="0"/>
        <condense val="0"/>
        <extend val="0"/>
        <outline val="0"/>
        <shadow val="0"/>
        <u val="none"/>
        <vertAlign val="baseline"/>
        <sz val="11"/>
        <color theme="1"/>
        <name val="Cambria"/>
        <scheme val="minor"/>
      </font>
    </dxf>
    <dxf>
      <numFmt numFmtId="166" formatCode="m/d/yyyy"/>
    </dxf>
    <dxf>
      <font>
        <b val="0"/>
        <i val="0"/>
        <strike val="0"/>
        <condense val="0"/>
        <extend val="0"/>
        <outline val="0"/>
        <shadow val="0"/>
        <u val="none"/>
        <vertAlign val="baseline"/>
        <sz val="11"/>
        <color theme="1"/>
        <name val="Cambria"/>
        <scheme val="minor"/>
      </font>
    </dxf>
    <dxf>
      <numFmt numFmtId="166" formatCode="m/d/yyyy"/>
    </dxf>
    <dxf>
      <font>
        <b val="0"/>
        <i val="0"/>
        <strike val="0"/>
        <condense val="0"/>
        <extend val="0"/>
        <outline val="0"/>
        <shadow val="0"/>
        <u val="none"/>
        <vertAlign val="baseline"/>
        <sz val="11"/>
        <color theme="1"/>
        <name val="Cambria"/>
        <scheme val="minor"/>
      </font>
    </dxf>
    <dxf>
      <numFmt numFmtId="166" formatCode="m/d/yyyy"/>
    </dxf>
    <dxf>
      <font>
        <b val="0"/>
        <i val="0"/>
        <strike val="0"/>
        <condense val="0"/>
        <extend val="0"/>
        <outline val="0"/>
        <shadow val="0"/>
        <u val="none"/>
        <vertAlign val="baseline"/>
        <sz val="11"/>
        <color theme="1"/>
        <name val="Cambria"/>
        <scheme val="minor"/>
      </font>
    </dxf>
    <dxf>
      <numFmt numFmtId="166" formatCode="m/d/yyyy"/>
    </dxf>
    <dxf>
      <font>
        <b val="0"/>
        <i val="0"/>
        <strike val="0"/>
        <condense val="0"/>
        <extend val="0"/>
        <outline val="0"/>
        <shadow val="0"/>
        <u val="none"/>
        <vertAlign val="baseline"/>
        <sz val="11"/>
        <color theme="1"/>
        <name val="Cambria"/>
        <scheme val="minor"/>
      </font>
    </dxf>
    <dxf>
      <font>
        <b val="0"/>
        <i val="0"/>
        <strike val="0"/>
        <condense val="0"/>
        <extend val="0"/>
        <outline val="0"/>
        <shadow val="0"/>
        <u val="none"/>
        <vertAlign val="baseline"/>
        <sz val="11"/>
        <color theme="1"/>
        <name val="Cambria"/>
        <scheme val="minor"/>
      </font>
    </dxf>
    <dxf>
      <font>
        <b val="0"/>
        <i val="0"/>
        <strike val="0"/>
        <condense val="0"/>
        <extend val="0"/>
        <outline val="0"/>
        <shadow val="0"/>
        <u val="none"/>
        <vertAlign val="baseline"/>
        <sz val="10"/>
        <color theme="1"/>
        <name val="Tahoma"/>
        <scheme val="major"/>
      </font>
      <fill>
        <patternFill patternType="solid">
          <fgColor indexed="64"/>
          <bgColor theme="5" tint="-0.249977111117893"/>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mbria"/>
        <scheme val="minor"/>
      </font>
      <numFmt numFmtId="13" formatCode="0%"/>
      <fill>
        <patternFill patternType="solid">
          <fgColor indexed="64"/>
          <bgColor theme="0" tint="-0.14996795556505021"/>
        </patternFill>
      </fill>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dxf>
    <dxf>
      <font>
        <b val="0"/>
        <i val="0"/>
        <strike val="0"/>
        <condense val="0"/>
        <extend val="0"/>
        <outline val="0"/>
        <shadow val="0"/>
        <u val="none"/>
        <vertAlign val="baseline"/>
        <sz val="11"/>
        <color theme="1"/>
        <name val="Cambria"/>
        <scheme val="minor"/>
      </font>
    </dxf>
    <dxf>
      <alignment horizontal="general" vertical="bottom" textRotation="0" wrapText="1" indent="0" justifyLastLine="0" shrinkToFit="0" readingOrder="0"/>
    </dxf>
  </dxfs>
  <tableStyles count="0" defaultTableStyle="TableStyleMedium3" defaultPivotStyle="PivotStyleMedium3"/>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PLANNED vs. ACTUAL COST</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'PROJECT PARAMETERS'!$B$16</c:f>
              <c:strCache>
                <c:ptCount val="1"/>
                <c:pt idx="0">
                  <c:v>PLANNED COST</c:v>
                </c:pt>
              </c:strCache>
            </c:strRef>
          </c:tx>
          <c:spPr>
            <a:solidFill>
              <a:schemeClr val="accent1"/>
            </a:solidFill>
            <a:ln>
              <a:noFill/>
            </a:ln>
            <a:effectLst/>
          </c:spPr>
          <c:invertIfNegative val="0"/>
          <c:cat>
            <c:strRef>
              <c:f>'PROJECT PARAMETERS'!$C$15:$H$15</c:f>
              <c:strCache>
                <c:ptCount val="6"/>
                <c:pt idx="0">
                  <c:v>GENERAL PARTNER</c:v>
                </c:pt>
                <c:pt idx="1">
                  <c:v>BUSINESS</c:v>
                </c:pt>
                <c:pt idx="2">
                  <c:v>DEFENSE LITIGATOR</c:v>
                </c:pt>
                <c:pt idx="3">
                  <c:v>INTELLECTUAL PROP.</c:v>
                </c:pt>
                <c:pt idx="4">
                  <c:v>BANKRUPTCY</c:v>
                </c:pt>
                <c:pt idx="5">
                  <c:v>ADMIN STAFF</c:v>
                </c:pt>
              </c:strCache>
            </c:strRef>
          </c:cat>
          <c:val>
            <c:numRef>
              <c:f>'PROJECT PARAMETERS'!$C$16:$H$16</c:f>
              <c:numCache>
                <c:formatCode>"$"#,##0.00</c:formatCode>
                <c:ptCount val="6"/>
                <c:pt idx="0">
                  <c:v>78750</c:v>
                </c:pt>
                <c:pt idx="1">
                  <c:v>66250</c:v>
                </c:pt>
                <c:pt idx="2">
                  <c:v>105000</c:v>
                </c:pt>
                <c:pt idx="3">
                  <c:v>35750</c:v>
                </c:pt>
                <c:pt idx="4">
                  <c:v>0</c:v>
                </c:pt>
                <c:pt idx="5">
                  <c:v>66250</c:v>
                </c:pt>
              </c:numCache>
            </c:numRef>
          </c:val>
          <c:extLst>
            <c:ext xmlns:c16="http://schemas.microsoft.com/office/drawing/2014/chart" uri="{C3380CC4-5D6E-409C-BE32-E72D297353CC}">
              <c16:uniqueId val="{00000000-6ECC-437E-8AEA-3745CBED7649}"/>
            </c:ext>
          </c:extLst>
        </c:ser>
        <c:ser>
          <c:idx val="1"/>
          <c:order val="1"/>
          <c:tx>
            <c:strRef>
              <c:f>'PROJECT PARAMETERS'!$B$17</c:f>
              <c:strCache>
                <c:ptCount val="1"/>
                <c:pt idx="0">
                  <c:v>ACTUAL COST</c:v>
                </c:pt>
              </c:strCache>
            </c:strRef>
          </c:tx>
          <c:spPr>
            <a:solidFill>
              <a:schemeClr val="accent2"/>
            </a:solidFill>
            <a:ln>
              <a:noFill/>
            </a:ln>
            <a:effectLst/>
          </c:spPr>
          <c:invertIfNegative val="0"/>
          <c:cat>
            <c:strRef>
              <c:f>'PROJECT PARAMETERS'!$C$15:$H$15</c:f>
              <c:strCache>
                <c:ptCount val="6"/>
                <c:pt idx="0">
                  <c:v>GENERAL PARTNER</c:v>
                </c:pt>
                <c:pt idx="1">
                  <c:v>BUSINESS</c:v>
                </c:pt>
                <c:pt idx="2">
                  <c:v>DEFENSE LITIGATOR</c:v>
                </c:pt>
                <c:pt idx="3">
                  <c:v>INTELLECTUAL PROP.</c:v>
                </c:pt>
                <c:pt idx="4">
                  <c:v>BANKRUPTCY</c:v>
                </c:pt>
                <c:pt idx="5">
                  <c:v>ADMIN STAFF</c:v>
                </c:pt>
              </c:strCache>
            </c:strRef>
          </c:cat>
          <c:val>
            <c:numRef>
              <c:f>'PROJECT PARAMETERS'!$C$17:$H$17</c:f>
              <c:numCache>
                <c:formatCode>"$"#,##0.00</c:formatCode>
                <c:ptCount val="6"/>
                <c:pt idx="0">
                  <c:v>79275</c:v>
                </c:pt>
                <c:pt idx="1">
                  <c:v>67375</c:v>
                </c:pt>
                <c:pt idx="2">
                  <c:v>105600</c:v>
                </c:pt>
                <c:pt idx="3">
                  <c:v>34650</c:v>
                </c:pt>
                <c:pt idx="4">
                  <c:v>0</c:v>
                </c:pt>
                <c:pt idx="5">
                  <c:v>67000</c:v>
                </c:pt>
              </c:numCache>
            </c:numRef>
          </c:val>
          <c:extLst>
            <c:ext xmlns:c16="http://schemas.microsoft.com/office/drawing/2014/chart" uri="{C3380CC4-5D6E-409C-BE32-E72D297353CC}">
              <c16:uniqueId val="{00000001-6ECC-437E-8AEA-3745CBED7649}"/>
            </c:ext>
          </c:extLst>
        </c:ser>
        <c:dLbls>
          <c:showLegendKey val="0"/>
          <c:showVal val="0"/>
          <c:showCatName val="0"/>
          <c:showSerName val="0"/>
          <c:showPercent val="0"/>
          <c:showBubbleSize val="0"/>
        </c:dLbls>
        <c:gapWidth val="199"/>
        <c:axId val="243720024"/>
        <c:axId val="243728600"/>
      </c:barChart>
      <c:catAx>
        <c:axId val="24372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3728600"/>
        <c:crosses val="autoZero"/>
        <c:auto val="1"/>
        <c:lblAlgn val="ctr"/>
        <c:lblOffset val="100"/>
        <c:noMultiLvlLbl val="0"/>
      </c:catAx>
      <c:valAx>
        <c:axId val="243728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200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PLANNED vs. ACTUAL HOURS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'PROJECT PARAMETERS'!$B$18</c:f>
              <c:strCache>
                <c:ptCount val="1"/>
                <c:pt idx="0">
                  <c:v>PLANNED HOURS</c:v>
                </c:pt>
              </c:strCache>
            </c:strRef>
          </c:tx>
          <c:spPr>
            <a:solidFill>
              <a:schemeClr val="accent1"/>
            </a:solidFill>
            <a:ln>
              <a:noFill/>
            </a:ln>
            <a:effectLst/>
          </c:spPr>
          <c:invertIfNegative val="0"/>
          <c:cat>
            <c:strRef>
              <c:f>'PROJECT PARAMETERS'!$C$15:$H$15</c:f>
              <c:strCache>
                <c:ptCount val="6"/>
                <c:pt idx="0">
                  <c:v>GENERAL PARTNER</c:v>
                </c:pt>
                <c:pt idx="1">
                  <c:v>BUSINESS</c:v>
                </c:pt>
                <c:pt idx="2">
                  <c:v>DEFENSE LITIGATOR</c:v>
                </c:pt>
                <c:pt idx="3">
                  <c:v>INTELLECTUAL PROP.</c:v>
                </c:pt>
                <c:pt idx="4">
                  <c:v>BANKRUPTCY</c:v>
                </c:pt>
                <c:pt idx="5">
                  <c:v>ADMIN STAFF</c:v>
                </c:pt>
              </c:strCache>
            </c:strRef>
          </c:cat>
          <c:val>
            <c:numRef>
              <c:f>'PROJECT PARAMETERS'!$C$18:$H$18</c:f>
              <c:numCache>
                <c:formatCode>#,##0.00</c:formatCode>
                <c:ptCount val="6"/>
                <c:pt idx="0">
                  <c:v>225</c:v>
                </c:pt>
                <c:pt idx="1">
                  <c:v>189.28571428571428</c:v>
                </c:pt>
                <c:pt idx="2">
                  <c:v>300</c:v>
                </c:pt>
                <c:pt idx="3">
                  <c:v>102.14285714285714</c:v>
                </c:pt>
                <c:pt idx="4">
                  <c:v>0</c:v>
                </c:pt>
                <c:pt idx="5">
                  <c:v>189.28571428571428</c:v>
                </c:pt>
              </c:numCache>
            </c:numRef>
          </c:val>
          <c:extLst>
            <c:ext xmlns:c16="http://schemas.microsoft.com/office/drawing/2014/chart" uri="{C3380CC4-5D6E-409C-BE32-E72D297353CC}">
              <c16:uniqueId val="{00000000-0F16-4B3D-BA50-9FA94006C8CD}"/>
            </c:ext>
          </c:extLst>
        </c:ser>
        <c:ser>
          <c:idx val="1"/>
          <c:order val="1"/>
          <c:tx>
            <c:strRef>
              <c:f>'PROJECT PARAMETERS'!$B$19</c:f>
              <c:strCache>
                <c:ptCount val="1"/>
                <c:pt idx="0">
                  <c:v>ACTUAL HOURS</c:v>
                </c:pt>
              </c:strCache>
            </c:strRef>
          </c:tx>
          <c:spPr>
            <a:solidFill>
              <a:schemeClr val="accent2"/>
            </a:solidFill>
            <a:ln>
              <a:noFill/>
            </a:ln>
            <a:effectLst/>
          </c:spPr>
          <c:invertIfNegative val="0"/>
          <c:cat>
            <c:strRef>
              <c:f>'PROJECT PARAMETERS'!$C$15:$H$15</c:f>
              <c:strCache>
                <c:ptCount val="6"/>
                <c:pt idx="0">
                  <c:v>GENERAL PARTNER</c:v>
                </c:pt>
                <c:pt idx="1">
                  <c:v>BUSINESS</c:v>
                </c:pt>
                <c:pt idx="2">
                  <c:v>DEFENSE LITIGATOR</c:v>
                </c:pt>
                <c:pt idx="3">
                  <c:v>INTELLECTUAL PROP.</c:v>
                </c:pt>
                <c:pt idx="4">
                  <c:v>BANKRUPTCY</c:v>
                </c:pt>
                <c:pt idx="5">
                  <c:v>ADMIN STAFF</c:v>
                </c:pt>
              </c:strCache>
            </c:strRef>
          </c:cat>
          <c:val>
            <c:numRef>
              <c:f>'PROJECT PARAMETERS'!$C$19:$H$19</c:f>
              <c:numCache>
                <c:formatCode>#,##0.00</c:formatCode>
                <c:ptCount val="6"/>
                <c:pt idx="0">
                  <c:v>226.5</c:v>
                </c:pt>
                <c:pt idx="1">
                  <c:v>192.5</c:v>
                </c:pt>
                <c:pt idx="2">
                  <c:v>301.71428571428572</c:v>
                </c:pt>
                <c:pt idx="3">
                  <c:v>99</c:v>
                </c:pt>
                <c:pt idx="4">
                  <c:v>0</c:v>
                </c:pt>
                <c:pt idx="5">
                  <c:v>191.42857142857142</c:v>
                </c:pt>
              </c:numCache>
            </c:numRef>
          </c:val>
          <c:extLst>
            <c:ext xmlns:c16="http://schemas.microsoft.com/office/drawing/2014/chart" uri="{C3380CC4-5D6E-409C-BE32-E72D297353CC}">
              <c16:uniqueId val="{00000001-0F16-4B3D-BA50-9FA94006C8CD}"/>
            </c:ext>
          </c:extLst>
        </c:ser>
        <c:dLbls>
          <c:showLegendKey val="0"/>
          <c:showVal val="0"/>
          <c:showCatName val="0"/>
          <c:showSerName val="0"/>
          <c:showPercent val="0"/>
          <c:showBubbleSize val="0"/>
        </c:dLbls>
        <c:gapWidth val="199"/>
        <c:axId val="243689824"/>
        <c:axId val="243690208"/>
      </c:barChart>
      <c:catAx>
        <c:axId val="2436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3690208"/>
        <c:crosses val="autoZero"/>
        <c:auto val="1"/>
        <c:lblAlgn val="ctr"/>
        <c:lblOffset val="100"/>
        <c:noMultiLvlLbl val="0"/>
      </c:catAx>
      <c:valAx>
        <c:axId val="24369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898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13</xdr:row>
      <xdr:rowOff>19049</xdr:rowOff>
    </xdr:from>
    <xdr:to>
      <xdr:col>4</xdr:col>
      <xdr:colOff>209550</xdr:colOff>
      <xdr:row>42</xdr:row>
      <xdr:rowOff>95250</xdr:rowOff>
    </xdr:to>
    <xdr:graphicFrame macro="">
      <xdr:nvGraphicFramePr>
        <xdr:cNvPr id="7" name="Chart 6" descr="Column chart showing planned versus actual cost">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428625</xdr:colOff>
      <xdr:row>13</xdr:row>
      <xdr:rowOff>19049</xdr:rowOff>
    </xdr:from>
    <xdr:to>
      <xdr:col>9</xdr:col>
      <xdr:colOff>19050</xdr:colOff>
      <xdr:row>42</xdr:row>
      <xdr:rowOff>95250</xdr:rowOff>
    </xdr:to>
    <xdr:graphicFrame macro="">
      <xdr:nvGraphicFramePr>
        <xdr:cNvPr id="8" name="Chart 7" descr="Column chart showing planned versus actual hours">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1</xdr:row>
      <xdr:rowOff>0</xdr:rowOff>
    </xdr:from>
    <xdr:to>
      <xdr:col>28</xdr:col>
      <xdr:colOff>590550</xdr:colOff>
      <xdr:row>14</xdr:row>
      <xdr:rowOff>28576</xdr:rowOff>
    </xdr:to>
    <xdr:sp macro="" textlink="">
      <xdr:nvSpPr>
        <xdr:cNvPr id="3" name="Rectangle 2" descr="INFO:To add a row, select the bottom-right most cell in the body of the table (not the totals row) and press Tab, or press SHIFT and then F10 within table where you want the row inserted and select Insert | Table Rows Above/Below.&#10;Be sure all unused rows are deleted, as the PROJECT TOTALS PivotTable will use all of the tables cells, and otherwise would give erroneous results.&#10;To delete this info tip, select any edge and press Delete.&#10;">
          <a:extLst>
            <a:ext uri="{FF2B5EF4-FFF2-40B4-BE49-F238E27FC236}">
              <a16:creationId xmlns:a16="http://schemas.microsoft.com/office/drawing/2014/main" id="{00000000-0008-0000-0100-000003000000}"/>
            </a:ext>
          </a:extLst>
        </xdr:cNvPr>
        <xdr:cNvSpPr/>
      </xdr:nvSpPr>
      <xdr:spPr>
        <a:xfrm>
          <a:off x="9906000" y="447675"/>
          <a:ext cx="3028950" cy="2943226"/>
        </a:xfrm>
        <a:prstGeom prst="rect">
          <a:avLst/>
        </a:prstGeom>
        <a:solidFill>
          <a:schemeClr val="accent2">
            <a:lumMod val="20000"/>
            <a:lumOff val="80000"/>
          </a:schemeClr>
        </a:solid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800">
              <a:solidFill>
                <a:schemeClr val="tx1">
                  <a:lumMod val="65000"/>
                  <a:lumOff val="35000"/>
                </a:schemeClr>
              </a:solidFill>
              <a:latin typeface="+mj-lt"/>
            </a:rPr>
            <a:t>INFO</a:t>
          </a:r>
        </a:p>
        <a:p>
          <a:pPr algn="l"/>
          <a:endParaRPr lang="en-US" sz="1100">
            <a:solidFill>
              <a:schemeClr val="tx1">
                <a:lumMod val="65000"/>
                <a:lumOff val="35000"/>
              </a:schemeClr>
            </a:solidFill>
          </a:endParaRPr>
        </a:p>
        <a:p>
          <a:pPr algn="l"/>
          <a:r>
            <a:rPr lang="en-US" sz="1100">
              <a:solidFill>
                <a:schemeClr val="tx1">
                  <a:lumMod val="65000"/>
                  <a:lumOff val="35000"/>
                </a:schemeClr>
              </a:solidFill>
            </a:rPr>
            <a:t>To add a row, select</a:t>
          </a:r>
          <a:r>
            <a:rPr lang="en-US" sz="1100" baseline="0">
              <a:solidFill>
                <a:schemeClr val="tx1">
                  <a:lumMod val="65000"/>
                  <a:lumOff val="35000"/>
                </a:schemeClr>
              </a:solidFill>
            </a:rPr>
            <a:t> the bottom-right most cell in the body of the table (not the totals row) and press Tab, or press SHIFT and then F10 within table where you want the row inserted and select Insert | Table Rows Above/Below.</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Be sure all unused rows are deleted, as the PROJECT TOTALS PivotTable will use all of the tables cells, and otherwise would give erroneous results.</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To delete this info tip, select any edge and press Delete.</a:t>
          </a:r>
          <a:endParaRPr lang="en-US" sz="1100">
            <a:solidFill>
              <a:schemeClr val="tx1">
                <a:lumMod val="65000"/>
                <a:lumOff val="35000"/>
              </a:schemeClr>
            </a:solidFill>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15</xdr:col>
      <xdr:colOff>0</xdr:colOff>
      <xdr:row>3</xdr:row>
      <xdr:rowOff>0</xdr:rowOff>
    </xdr:from>
    <xdr:to>
      <xdr:col>19</xdr:col>
      <xdr:colOff>590550</xdr:colOff>
      <xdr:row>14</xdr:row>
      <xdr:rowOff>114300</xdr:rowOff>
    </xdr:to>
    <xdr:sp macro="" textlink="">
      <xdr:nvSpPr>
        <xdr:cNvPr id="2" name="Rectangle 1" descr="INFO: This PivotTable will not refresh automatically.  To refresh it, select it (any cell within the PivotTable), on the PIVOTTABLE TOOLS | ANALYZE ribbon tab press Refresh.  Or press SHIFT + F10 by selecting the PivotTable and select Refresh.&#10;To delete this info tip, select any edge and press Delete&#10;">
          <a:extLst>
            <a:ext uri="{FF2B5EF4-FFF2-40B4-BE49-F238E27FC236}">
              <a16:creationId xmlns:a16="http://schemas.microsoft.com/office/drawing/2014/main" id="{00000000-0008-0000-0200-000002000000}"/>
            </a:ext>
          </a:extLst>
        </xdr:cNvPr>
        <xdr:cNvSpPr/>
      </xdr:nvSpPr>
      <xdr:spPr>
        <a:xfrm>
          <a:off x="11439525" y="885825"/>
          <a:ext cx="3028950" cy="2247900"/>
        </a:xfrm>
        <a:prstGeom prst="rect">
          <a:avLst/>
        </a:prstGeom>
        <a:solidFill>
          <a:schemeClr val="accent2">
            <a:lumMod val="20000"/>
            <a:lumOff val="80000"/>
          </a:schemeClr>
        </a:solidFill>
        <a:ln w="19050">
          <a:solidFill>
            <a:schemeClr val="accent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800">
              <a:solidFill>
                <a:schemeClr val="tx1">
                  <a:lumMod val="65000"/>
                  <a:lumOff val="35000"/>
                </a:schemeClr>
              </a:solidFill>
              <a:latin typeface="+mj-lt"/>
            </a:rPr>
            <a:t>INFO</a:t>
          </a:r>
        </a:p>
        <a:p>
          <a:pPr algn="l"/>
          <a:endParaRPr lang="en-US" sz="1100">
            <a:solidFill>
              <a:schemeClr val="tx1">
                <a:lumMod val="65000"/>
                <a:lumOff val="35000"/>
              </a:schemeClr>
            </a:solidFill>
          </a:endParaRPr>
        </a:p>
        <a:p>
          <a:pPr algn="l"/>
          <a:r>
            <a:rPr lang="en-US" sz="1100">
              <a:solidFill>
                <a:schemeClr val="tx1">
                  <a:lumMod val="65000"/>
                  <a:lumOff val="35000"/>
                </a:schemeClr>
              </a:solidFill>
            </a:rPr>
            <a:t>This PivotTable will not refresh automatically.  To refresh it, select</a:t>
          </a:r>
          <a:r>
            <a:rPr lang="en-US" sz="1100" baseline="0">
              <a:solidFill>
                <a:schemeClr val="tx1">
                  <a:lumMod val="65000"/>
                  <a:lumOff val="35000"/>
                </a:schemeClr>
              </a:solidFill>
            </a:rPr>
            <a:t> it (any cell within the PivotTable), on the PIVOTTABLE TOOLS | ANALYZE ribbon tab press Refresh.  Or press SHIFT and then F10 within the PivotTable and select Refresh.</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To delete this info tip, select any edge and press Delete.</a:t>
          </a:r>
          <a:endParaRPr lang="en-US" sz="1100">
            <a:solidFill>
              <a:schemeClr val="tx1">
                <a:lumMod val="65000"/>
                <a:lumOff val="35000"/>
              </a:schemeClr>
            </a:solidFill>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sh" refreshedDate="43501.941392245368" createdVersion="5" refreshedVersion="6" minRefreshableVersion="3" recordCount="5">
  <cacheSource type="worksheet">
    <worksheetSource name="Details"/>
  </cacheSource>
  <cacheFields count="22">
    <cacheField name="PROJECT NAME" numFmtId="0">
      <sharedItems count="27">
        <s v="Project 1"/>
        <s v="Project 2"/>
        <s v="Project 3"/>
        <s v="Project 4"/>
        <s v="Project 5"/>
        <s v="A. Datum Corporation" u="1"/>
        <s v="School of Fine Art" u="1"/>
        <s v="Blue Yonder Airlines" u="1"/>
        <s v="City Power &amp; Light" u="1"/>
        <s v="Lucerne Publishing" u="1"/>
        <s v="Fourth Coffee" u="1"/>
        <s v="Contoso, Ltd." u="1"/>
        <s v="Contoso Pharmaceuticals" u="1"/>
        <s v="Coho Vineyard" u="1"/>
        <s v="Humongous Insurance" u="1"/>
        <s v="Adventure Works" u="1"/>
        <s v="Northwind Traders" u="1"/>
        <s v="Consolidated Messenger" u="1"/>
        <s v="Coho Vineyard &amp; Winery" u="1"/>
        <s v="Fabrikam, Inc." u="1"/>
        <s v="Margie's Travel" u="1"/>
        <s v="Proseware, Inc." u="1"/>
        <s v="Baldwin Museum of Science" u="1"/>
        <s v="Alpine Ski House" u="1"/>
        <s v="Graphic Design Institute" u="1"/>
        <s v="Litware, Inc." u="1"/>
        <s v="Coho Winery" u="1"/>
      </sharedItems>
    </cacheField>
    <cacheField name="PROJECT TYPE" numFmtId="0">
      <sharedItems/>
    </cacheField>
    <cacheField name="ESTIMATED START" numFmtId="14">
      <sharedItems containsSemiMixedTypes="0" containsNonDate="0" containsDate="1" containsString="0" minDate="2019-02-05T00:00:00" maxDate="2019-09-14T00:00:00"/>
    </cacheField>
    <cacheField name="ESTIMATED FINISH" numFmtId="14">
      <sharedItems containsSemiMixedTypes="0" containsNonDate="0" containsDate="1" containsString="0" minDate="2019-04-06T00:00:00" maxDate="2019-10-14T00:00:00"/>
    </cacheField>
    <cacheField name="ACTUAL START" numFmtId="14">
      <sharedItems containsSemiMixedTypes="0" containsNonDate="0" containsDate="1" containsString="0" minDate="2019-02-15T00:00:00" maxDate="2019-09-24T00:00:00"/>
    </cacheField>
    <cacheField name="ACTUAL FINISH" numFmtId="14">
      <sharedItems containsSemiMixedTypes="0" containsNonDate="0" containsDate="1" containsString="0" minDate="2019-04-11T00:00:00" maxDate="2019-10-23T00:00:00"/>
    </cacheField>
    <cacheField name="ESTIMATED WORK" numFmtId="0">
      <sharedItems containsSemiMixedTypes="0" containsString="0" containsNumber="1" containsInteger="1" minValue="150" maxValue="500"/>
    </cacheField>
    <cacheField name="ACTUAL WORK" numFmtId="0">
      <sharedItems containsSemiMixedTypes="0" containsString="0" containsNumber="1" containsInteger="1" minValue="145" maxValue="500"/>
    </cacheField>
    <cacheField name="ESTIMATED DURATION" numFmtId="0">
      <sharedItems containsSemiMixedTypes="0" containsString="0" containsNumber="1" containsInteger="1" minValue="0" maxValue="69"/>
    </cacheField>
    <cacheField name="ACTUAL DURATION" numFmtId="0">
      <sharedItems containsSemiMixedTypes="0" containsString="0" containsNumber="1" containsInteger="1" minValue="0" maxValue="69"/>
    </cacheField>
    <cacheField name="GENERAL PARTNER" numFmtId="164">
      <sharedItems containsSemiMixedTypes="0" containsString="0" containsNumber="1" containsInteger="1" minValue="5250" maxValue="35000"/>
    </cacheField>
    <cacheField name="BUSINESS LAWYER" numFmtId="164">
      <sharedItems containsSemiMixedTypes="0" containsString="0" containsNumber="1" containsInteger="1" minValue="0" maxValue="40000"/>
    </cacheField>
    <cacheField name="DEFENSE LITIGATOR" numFmtId="164">
      <sharedItems containsSemiMixedTypes="0" containsString="0" containsNumber="1" containsInteger="1" minValue="0" maxValue="75000"/>
    </cacheField>
    <cacheField name="INTELLECTUAL PROPERTY LAWYER" numFmtId="164">
      <sharedItems containsSemiMixedTypes="0" containsString="0" containsNumber="1" containsInteger="1" minValue="0" maxValue="24750"/>
    </cacheField>
    <cacheField name="BANKRUPTCY LAWYER" numFmtId="164">
      <sharedItems containsSemiMixedTypes="0" containsString="0" containsNumber="1" containsInteger="1" minValue="0" maxValue="0"/>
    </cacheField>
    <cacheField name="ADMIN STAFF" numFmtId="164">
      <sharedItems containsSemiMixedTypes="0" containsString="0" containsNumber="1" containsInteger="1" minValue="5625" maxValue="20000"/>
    </cacheField>
    <cacheField name="GENERAL PARTNER 2" numFmtId="164">
      <sharedItems containsSemiMixedTypes="0" containsString="0" containsNumber="1" containsInteger="1" minValue="5075" maxValue="35000"/>
    </cacheField>
    <cacheField name="BUSINESS LAWYER 2" numFmtId="164">
      <sharedItems containsSemiMixedTypes="0" containsString="0" containsNumber="1" containsInteger="1" minValue="0" maxValue="39000"/>
    </cacheField>
    <cacheField name="DEFENSE LITIGATOR 2" numFmtId="164">
      <sharedItems containsSemiMixedTypes="0" containsString="0" containsNumber="1" containsInteger="1" minValue="0" maxValue="75000"/>
    </cacheField>
    <cacheField name="INTELLECTUAL PROPERTY LAWYER 2" numFmtId="164">
      <sharedItems containsSemiMixedTypes="0" containsString="0" containsNumber="1" containsInteger="1" minValue="0" maxValue="23925"/>
    </cacheField>
    <cacheField name="BANKRUPTCY LAWYER 2" numFmtId="164">
      <sharedItems containsSemiMixedTypes="0" containsString="0" containsNumber="1" containsInteger="1" minValue="0" maxValue="0"/>
    </cacheField>
    <cacheField name="ADMIN STAFF 2" numFmtId="164">
      <sharedItems containsSemiMixedTypes="0" containsString="0" containsNumber="1" minValue="5437.5" maxValue="19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Business Incorporation"/>
    <d v="2019-02-05T00:00:00"/>
    <d v="2019-04-06T00:00:00"/>
    <d v="2019-02-15T00:00:00"/>
    <d v="2019-04-11T00:00:00"/>
    <n v="200"/>
    <n v="220"/>
    <n v="61"/>
    <n v="56"/>
    <n v="7000"/>
    <n v="20000"/>
    <n v="0"/>
    <n v="0"/>
    <n v="0"/>
    <n v="12500"/>
    <n v="7700"/>
    <n v="22000"/>
    <n v="0"/>
    <n v="0"/>
    <n v="0"/>
    <n v="13750"/>
  </r>
  <r>
    <x v="1"/>
    <s v="Business Acquisition"/>
    <d v="2019-03-07T00:00:00"/>
    <d v="2019-05-16T00:00:00"/>
    <d v="2019-03-17T00:00:00"/>
    <d v="2019-05-26T00:00:00"/>
    <n v="400"/>
    <n v="390"/>
    <n v="69"/>
    <n v="69"/>
    <n v="14000"/>
    <n v="40000"/>
    <n v="0"/>
    <n v="11000"/>
    <n v="0"/>
    <n v="20000"/>
    <n v="13650"/>
    <n v="39000"/>
    <n v="0"/>
    <n v="10725"/>
    <n v="0"/>
    <n v="19500"/>
  </r>
  <r>
    <x v="2"/>
    <s v="Product Liability Defense"/>
    <d v="2019-07-05T00:00:00"/>
    <d v="2019-07-05T00:00:00"/>
    <d v="2019-07-05T00:00:00"/>
    <d v="2019-07-25T00:00:00"/>
    <n v="500"/>
    <n v="500"/>
    <n v="0"/>
    <n v="20"/>
    <n v="35000"/>
    <n v="0"/>
    <n v="75000"/>
    <n v="0"/>
    <n v="0"/>
    <n v="18750"/>
    <n v="35000"/>
    <n v="0"/>
    <n v="75000"/>
    <n v="0"/>
    <n v="0"/>
    <n v="18750"/>
  </r>
  <r>
    <x v="3"/>
    <s v="Patent Application"/>
    <d v="2019-08-24T00:00:00"/>
    <d v="2019-09-23T00:00:00"/>
    <d v="2019-09-23T00:00:00"/>
    <d v="2019-09-23T00:00:00"/>
    <n v="150"/>
    <n v="145"/>
    <n v="29"/>
    <n v="0"/>
    <n v="5250"/>
    <n v="0"/>
    <n v="0"/>
    <n v="24750"/>
    <n v="0"/>
    <n v="5625"/>
    <n v="5075"/>
    <n v="0"/>
    <n v="0"/>
    <n v="23925"/>
    <n v="0"/>
    <n v="5437.5"/>
  </r>
  <r>
    <x v="4"/>
    <s v="Employee Lawsuit"/>
    <d v="2019-09-13T00:00:00"/>
    <d v="2019-10-13T00:00:00"/>
    <d v="2019-09-23T00:00:00"/>
    <d v="2019-10-22T00:00:00"/>
    <n v="250"/>
    <n v="255"/>
    <n v="30"/>
    <n v="29"/>
    <n v="17500"/>
    <n v="6250"/>
    <n v="30000"/>
    <n v="0"/>
    <n v="0"/>
    <n v="9375"/>
    <n v="17850"/>
    <n v="6375"/>
    <n v="30600"/>
    <n v="0"/>
    <n v="0"/>
    <n v="95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Totals" cacheId="0"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4">
  <location ref="B5:N11" firstHeaderRow="0" firstDataRow="1" firstDataCol="1"/>
  <pivotFields count="22">
    <pivotField axis="axisRow" compact="0" outline="0" showAll="0">
      <items count="28">
        <item m="1" x="5"/>
        <item m="1" x="15"/>
        <item m="1" x="23"/>
        <item m="1" x="22"/>
        <item m="1" x="7"/>
        <item m="1" x="8"/>
        <item m="1" x="13"/>
        <item m="1" x="18"/>
        <item m="1" x="26"/>
        <item m="1" x="17"/>
        <item m="1" x="12"/>
        <item m="1" x="11"/>
        <item m="1" x="19"/>
        <item m="1" x="10"/>
        <item m="1" x="24"/>
        <item m="1" x="14"/>
        <item m="1" x="25"/>
        <item m="1" x="9"/>
        <item m="1" x="20"/>
        <item m="1" x="16"/>
        <item m="1" x="21"/>
        <item m="1" x="6"/>
        <item x="0"/>
        <item x="1"/>
        <item x="2"/>
        <item x="3"/>
        <item x="4"/>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s>
  <rowFields count="1">
    <field x="0"/>
  </rowFields>
  <rowItems count="6">
    <i>
      <x v="22"/>
    </i>
    <i>
      <x v="23"/>
    </i>
    <i>
      <x v="24"/>
    </i>
    <i>
      <x v="25"/>
    </i>
    <i>
      <x v="26"/>
    </i>
    <i t="grand">
      <x/>
    </i>
  </rowItems>
  <colFields count="1">
    <field x="-2"/>
  </colFields>
  <colItems count="12">
    <i>
      <x/>
    </i>
    <i i="1">
      <x v="1"/>
    </i>
    <i i="2">
      <x v="2"/>
    </i>
    <i i="3">
      <x v="3"/>
    </i>
    <i i="4">
      <x v="4"/>
    </i>
    <i i="5">
      <x v="5"/>
    </i>
    <i i="6">
      <x v="6"/>
    </i>
    <i i="7">
      <x v="7"/>
    </i>
    <i i="8">
      <x v="8"/>
    </i>
    <i i="9">
      <x v="9"/>
    </i>
    <i i="10">
      <x v="10"/>
    </i>
    <i i="11">
      <x v="11"/>
    </i>
  </colItems>
  <dataFields count="12">
    <dataField name="GENERAL PARTNER " fld="10" baseField="0" baseItem="10" numFmtId="165"/>
    <dataField name="BUSINESS " fld="11" baseField="0" baseItem="10" numFmtId="165"/>
    <dataField name="DEFENSE LITIGATOR " fld="12" baseField="0" baseItem="10" numFmtId="165"/>
    <dataField name="INTELLECTUAL PROPERTY " fld="13" baseField="0" baseItem="10" numFmtId="165"/>
    <dataField name="BANKRUPTCY " fld="14" baseField="0" baseItem="10" numFmtId="165"/>
    <dataField name="ADMIN STAFF " fld="15" baseField="0" baseItem="10" numFmtId="165"/>
    <dataField name="GENERAL PARTNER  " fld="16" baseField="0" baseItem="3" numFmtId="165"/>
    <dataField name="BUSINESS    " fld="17" baseField="0" baseItem="10" numFmtId="165"/>
    <dataField name="DEFENSE LITIGATOR  " fld="18" baseField="0" baseItem="3" numFmtId="165"/>
    <dataField name="BANKRUPTCY  " fld="20" baseField="0" baseItem="10" numFmtId="165"/>
    <dataField name="INTELLECTUAL PROPERTY  " fld="19" baseField="0" baseItem="9" numFmtId="165"/>
    <dataField name="ADMIN STAFF  " fld="21" baseField="0" baseItem="10" numFmtId="165"/>
  </dataFields>
  <formats count="14">
    <format dxfId="13">
      <pivotArea outline="0" fieldPosition="0">
        <references count="1">
          <reference field="4294967294" count="1">
            <x v="0"/>
          </reference>
        </references>
      </pivotArea>
    </format>
    <format dxfId="12">
      <pivotArea outline="0" fieldPosition="0">
        <references count="1">
          <reference field="4294967294" count="1">
            <x v="1"/>
          </reference>
        </references>
      </pivotArea>
    </format>
    <format dxfId="11">
      <pivotArea outline="0" fieldPosition="0">
        <references count="1">
          <reference field="4294967294" count="1">
            <x v="2"/>
          </reference>
        </references>
      </pivotArea>
    </format>
    <format dxfId="10">
      <pivotArea outline="0" fieldPosition="0">
        <references count="1">
          <reference field="4294967294" count="1">
            <x v="3"/>
          </reference>
        </references>
      </pivotArea>
    </format>
    <format dxfId="9">
      <pivotArea outline="0" fieldPosition="0">
        <references count="1">
          <reference field="4294967294" count="1">
            <x v="4"/>
          </reference>
        </references>
      </pivotArea>
    </format>
    <format dxfId="8">
      <pivotArea dataOnly="0" labelOnly="1" outline="0" fieldPosition="0">
        <references count="1">
          <reference field="4294967294" count="6">
            <x v="0"/>
            <x v="1"/>
            <x v="2"/>
            <x v="3"/>
            <x v="4"/>
            <x v="5"/>
          </reference>
        </references>
      </pivotArea>
    </format>
    <format dxfId="7">
      <pivotArea outline="0" fieldPosition="0">
        <references count="1">
          <reference field="4294967294" count="1">
            <x v="6"/>
          </reference>
        </references>
      </pivotArea>
    </format>
    <format dxfId="6">
      <pivotArea outline="0" fieldPosition="0">
        <references count="1">
          <reference field="4294967294" count="1">
            <x v="7"/>
          </reference>
        </references>
      </pivotArea>
    </format>
    <format dxfId="5">
      <pivotArea outline="0" fieldPosition="0">
        <references count="1">
          <reference field="4294967294" count="1">
            <x v="8"/>
          </reference>
        </references>
      </pivotArea>
    </format>
    <format dxfId="4">
      <pivotArea outline="0" fieldPosition="0">
        <references count="1">
          <reference field="4294967294" count="1">
            <x v="9"/>
          </reference>
        </references>
      </pivotArea>
    </format>
    <format dxfId="3">
      <pivotArea outline="0" fieldPosition="0">
        <references count="1">
          <reference field="4294967294" count="1">
            <x v="11"/>
          </reference>
        </references>
      </pivotArea>
    </format>
    <format dxfId="2">
      <pivotArea outline="0" fieldPosition="0">
        <references count="1">
          <reference field="4294967294" count="1">
            <x v="10"/>
          </reference>
        </references>
      </pivotArea>
    </format>
    <format dxfId="1">
      <pivotArea dataOnly="0" labelOnly="1" outline="0" fieldPosition="0">
        <references count="1">
          <reference field="4294967294" count="6">
            <x v="6"/>
            <x v="7"/>
            <x v="8"/>
            <x v="9"/>
            <x v="10"/>
            <x v="11"/>
          </reference>
        </references>
      </pivotArea>
    </format>
    <format dxfId="0">
      <pivotArea field="0" type="button" dataOnly="0" labelOnly="1" outline="0" axis="axisRow" fieldPosition="0"/>
    </format>
  </formats>
  <pivotTableStyleInfo name="PivotStyleMedium3" showRowHeaders="1" showColHeaders="1" showRowStripes="1" showColStripes="0" showLastColumn="1"/>
  <extLst>
    <ext xmlns:x14="http://schemas.microsoft.com/office/spreadsheetml/2009/9/main" uri="{962EF5D1-5CA2-4c93-8EF4-DBF5C05439D2}">
      <x14:pivotTableDefinition xmlns:xm="http://schemas.microsoft.com/office/excel/2006/main" altTextSummary="This PivotTable lists Project Names and calculated values for all items on PROJECT PARAMETERS worksheet, calculated by multiplying the hours duration on the PROJECT DETAILS worksheet"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Parameters" displayName="Parameters" ref="B5:I11" totalsRowShown="0" headerRowDxfId="64" dataDxfId="63" headerRowCellStyle="Normal">
  <autoFilter ref="B5:I1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PROJECT TYPE" dataDxfId="62"/>
    <tableColumn id="2" name="GENERAL PARTNER" dataDxfId="61"/>
    <tableColumn id="3" name="BUSINESS LAWYER" dataDxfId="60"/>
    <tableColumn id="4" name="DEFENSE LITIGATOR" dataDxfId="59"/>
    <tableColumn id="5" name="INTELLECTUAL PROPERTY LAWYER" dataDxfId="58"/>
    <tableColumn id="6" name="BANKRUPTCY LAWYER" dataDxfId="57"/>
    <tableColumn id="7" name="ADMIN STAFF" dataDxfId="56"/>
    <tableColumn id="8" name="TOTAL" dataDxfId="55">
      <calculatedColumnFormula>SUM(Parameters[[#This Row],[GENERAL PARTNER]:[ADMIN STAFF]])</calculatedColumnFormula>
    </tableColumn>
  </tableColumns>
  <tableStyleInfo name="TableStyleLight11" showFirstColumn="0" showLastColumn="0" showRowStripes="1" showColumnStripes="0"/>
  <extLst>
    <ext xmlns:x14="http://schemas.microsoft.com/office/spreadsheetml/2009/9/main" uri="{504A1905-F514-4f6f-8877-14C23A59335A}">
      <x14:table altTextSummary="Enter Project Type, percentages for General Partner, Business Lawyer, Defense Litigator, Intellectual Property Lawyer, Bankruptcy Lawyer, and Admin Staff in this table. Total is auto calculated"/>
    </ext>
  </extLst>
</table>
</file>

<file path=xl/tables/table2.xml><?xml version="1.0" encoding="utf-8"?>
<table xmlns="http://schemas.openxmlformats.org/spreadsheetml/2006/main" id="2" name="Details" displayName="Details" ref="B4:W10" totalsRowCount="1" headerRowDxfId="54" dataCellStyle="Normal">
  <autoFilter ref="B4:W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22">
    <tableColumn id="1" name="PROJECT NAME" totalsRowLabel="TOTAL" totalsRowDxfId="53" dataCellStyle="Normal"/>
    <tableColumn id="2" name="PROJECT TYPE" totalsRowDxfId="52" dataCellStyle="Normal"/>
    <tableColumn id="3" name="ESTIMATED START" dataDxfId="51" totalsRowDxfId="50" dataCellStyle="Normal"/>
    <tableColumn id="4" name="ESTIMATED FINISH" dataDxfId="49" totalsRowDxfId="48" dataCellStyle="Normal"/>
    <tableColumn id="7" name="ACTUAL START" dataDxfId="47" totalsRowDxfId="46" dataCellStyle="Normal"/>
    <tableColumn id="8" name="ACTUAL FINISH" dataDxfId="45" totalsRowDxfId="44" dataCellStyle="Normal"/>
    <tableColumn id="5" name="ESTIMATED WORK" totalsRowFunction="sum" totalsRowDxfId="43" dataCellStyle="Normal"/>
    <tableColumn id="9" name="ACTUAL WORK" totalsRowFunction="sum" totalsRowDxfId="42" dataCellStyle="Normal"/>
    <tableColumn id="6" name="ESTIMATED DURATION" totalsRowFunction="sum" dataDxfId="41" totalsRowDxfId="40" dataCellStyle="Normal">
      <calculatedColumnFormula>DAYS360(Details[[#This Row],[ESTIMATED START]],Details[[#This Row],[ESTIMATED FINISH]],FALSE)</calculatedColumnFormula>
    </tableColumn>
    <tableColumn id="10" name="ACTUAL DURATION" totalsRowFunction="sum" dataDxfId="39" totalsRowDxfId="38" dataCellStyle="Normal">
      <calculatedColumnFormula>DAYS360(Details[[#This Row],[ACTUAL START]],Details[[#This Row],[ACTUAL FINISH]],FALSE)</calculatedColumnFormula>
    </tableColumn>
    <tableColumn id="11" name="GENERAL PARTNER" dataDxfId="37" totalsRowDxfId="36" dataCellStyle="Normal">
      <calculatedColumnFormula>INDEX(Parameters[],MATCH(Details[[#This Row],[PROJECT TYPE]],Parameters[PROJECT TYPE],0),MATCH(Details[[#Headers],[GENERAL PARTNER]],Parameters[#Headers],0))*INDEX('PROJECT PARAMETERS'!$B$12:$H$12,1,MATCH(Details[[#Headers],[GENERAL PARTNER]],Parameters[#Headers],0))*Details[[#This Row],[ESTIMATED WORK]]</calculatedColumnFormula>
    </tableColumn>
    <tableColumn id="12" name="BUSINESS LAWYER" dataDxfId="35" totalsRowDxfId="34" dataCellStyle="Normal">
      <calculatedColumnFormula>INDEX(Parameters[],MATCH(Details[[#This Row],[PROJECT TYPE]],Parameters[PROJECT TYPE],0),MATCH(Details[[#Headers],[BUSINESS LAWYER]],Parameters[#Headers],0))*INDEX('PROJECT PARAMETERS'!$B$12:$H$12,1,MATCH(Details[[#Headers],[BUSINESS LAWYER]],Parameters[#Headers],0))*Details[[#This Row],[ESTIMATED WORK]]</calculatedColumnFormula>
    </tableColumn>
    <tableColumn id="13" name="DEFENSE LITIGATOR" dataDxfId="33" totalsRowDxfId="32" dataCellStyle="Normal">
      <calculatedColumnFormula>INDEX(Parameters[],MATCH(Details[[#This Row],[PROJECT TYPE]],Parameters[PROJECT TYPE],0),MATCH(Details[[#Headers],[DEFENSE LITIGATOR]],Parameters[#Headers],0))*INDEX('PROJECT PARAMETERS'!$B$12:$H$12,1,MATCH(Details[[#Headers],[DEFENSE LITIGATOR]],Parameters[#Headers],0))*Details[[#This Row],[ESTIMATED WORK]]</calculatedColumnFormula>
    </tableColumn>
    <tableColumn id="14" name="INTELLECTUAL PROPERTY LAWYER" dataDxfId="31" totalsRowDxfId="30" dataCellStyle="Normal">
      <calculatedColumnFormula>INDEX(Parameters[],MATCH(Details[[#This Row],[PROJECT TYPE]],Parameters[PROJECT TYPE],0),MATCH(Details[[#Headers],[INTELLECTUAL PROPERTY LAWYER]],Parameters[#Headers],0))*INDEX('PROJECT PARAMETERS'!$B$12:$H$12,1,MATCH(Details[[#Headers],[INTELLECTUAL PROPERTY LAWYER]],Parameters[#Headers],0))*Details[[#This Row],[ESTIMATED WORK]]</calculatedColumnFormula>
    </tableColumn>
    <tableColumn id="15" name="BANKRUPTCY LAWYER" dataDxfId="29" totalsRowDxfId="28" dataCellStyle="Normal">
      <calculatedColumnFormula>INDEX(Parameters[],MATCH(Details[[#This Row],[PROJECT TYPE]],Parameters[PROJECT TYPE],0),MATCH(Details[[#Headers],[BANKRUPTCY LAWYER]],Parameters[#Headers],0))*INDEX('PROJECT PARAMETERS'!$B$12:$H$12,1,MATCH(Details[[#Headers],[BANKRUPTCY LAWYER]],Parameters[#Headers],0))*Details[[#This Row],[ESTIMATED WORK]]</calculatedColumnFormula>
    </tableColumn>
    <tableColumn id="16" name="ADMIN STAFF" dataDxfId="27" totalsRowDxfId="26" dataCellStyle="Normal">
      <calculatedColumnFormula>INDEX(Parameters[],MATCH(Details[[#This Row],[PROJECT TYPE]],Parameters[PROJECT TYPE],0),MATCH(Details[[#Headers],[ADMIN STAFF]],Parameters[#Headers],0))*INDEX('PROJECT PARAMETERS'!$B$12:$H$12,1,MATCH(Details[[#Headers],[ADMIN STAFF]],Parameters[#Headers],0))*Details[[#This Row],[ESTIMATED WORK]]</calculatedColumnFormula>
    </tableColumn>
    <tableColumn id="17" name="GENERAL PARTNER 2" dataDxfId="25" totalsRowDxfId="24" dataCellStyle="Normal">
      <calculatedColumnFormula>INDEX(Parameters[],MATCH(Details[[#This Row],[PROJECT TYPE]],Parameters[PROJECT TYPE],0),MATCH(Details[[#Headers],[GENERAL PARTNER]],Parameters[#Headers],0))*INDEX('PROJECT PARAMETERS'!$B$12:$H$12,1,MATCH(Details[[#Headers],[GENERAL PARTNER]],Parameters[#Headers],0))*Details[[#This Row],[ACTUAL WORK]]</calculatedColumnFormula>
    </tableColumn>
    <tableColumn id="18" name="BUSINESS LAWYER 2" dataDxfId="23" totalsRowDxfId="22" dataCellStyle="Normal">
      <calculatedColumnFormula>INDEX(Parameters[],MATCH(Details[[#This Row],[PROJECT TYPE]],Parameters[PROJECT TYPE],0),MATCH(Details[[#Headers],[BUSINESS LAWYER]],Parameters[#Headers],0))*INDEX('PROJECT PARAMETERS'!$B$12:$H$12,1,MATCH(Details[[#Headers],[BUSINESS LAWYER]],Parameters[#Headers],0))*Details[[#This Row],[ACTUAL WORK]]</calculatedColumnFormula>
    </tableColumn>
    <tableColumn id="19" name="DEFENSE LITIGATOR 2" dataDxfId="21" totalsRowDxfId="20" dataCellStyle="Normal">
      <calculatedColumnFormula>INDEX(Parameters[],MATCH(Details[[#This Row],[PROJECT TYPE]],Parameters[PROJECT TYPE],0),MATCH(Details[[#Headers],[DEFENSE LITIGATOR]],Parameters[#Headers],0))*INDEX('PROJECT PARAMETERS'!$B$12:$H$12,1,MATCH(Details[[#Headers],[DEFENSE LITIGATOR]],Parameters[#Headers],0))*Details[[#This Row],[ACTUAL WORK]]</calculatedColumnFormula>
    </tableColumn>
    <tableColumn id="20" name="INTELLECTUAL PROPERTY LAWYER 2" dataDxfId="19" totalsRowDxfId="18" dataCellStyle="Normal">
      <calculatedColumnFormula>INDEX(Parameters[],MATCH(Details[[#This Row],[PROJECT TYPE]],Parameters[PROJECT TYPE],0),MATCH(Details[[#Headers],[INTELLECTUAL PROPERTY LAWYER]],Parameters[#Headers],0))*INDEX('PROJECT PARAMETERS'!$B$12:$H$12,1,MATCH(Details[[#Headers],[INTELLECTUAL PROPERTY LAWYER]],Parameters[#Headers],0))*Details[[#This Row],[ACTUAL WORK]]</calculatedColumnFormula>
    </tableColumn>
    <tableColumn id="21" name="BANKRUPTCY LAWYER 2" dataDxfId="17" totalsRowDxfId="16" dataCellStyle="Normal">
      <calculatedColumnFormula>INDEX(Parameters[],MATCH(Details[[#This Row],[PROJECT TYPE]],Parameters[PROJECT TYPE],0),MATCH(Details[[#Headers],[BANKRUPTCY LAWYER]],Parameters[#Headers],0))*INDEX('PROJECT PARAMETERS'!$B$12:$H$12,1,MATCH(Details[[#Headers],[BANKRUPTCY LAWYER]],Parameters[#Headers],0))*Details[[#This Row],[ACTUAL WORK]]</calculatedColumnFormula>
    </tableColumn>
    <tableColumn id="22" name="ADMIN STAFF 2" dataDxfId="15" totalsRowDxfId="14" dataCellStyle="Normal">
      <calculatedColumnFormula>INDEX(Parameters[],MATCH(Details[[#This Row],[PROJECT TYPE]],Parameters[PROJECT TYPE],0),MATCH(Details[[#Headers],[ADMIN STAFF]],Parameters[#Headers],0))*INDEX('PROJECT PARAMETERS'!$B$12:$H$12,1,MATCH(Details[[#Headers],[ADMIN STAFF]],Parameters[#Headers],0))*Details[[#This Row],[ACTUAL WORK]]</calculatedColumnFormula>
    </tableColumn>
  </tableColumns>
  <tableStyleInfo name="TableStyleMedium3" showFirstColumn="0" showLastColumn="0" showRowStripes="1" showColumnStripes="0"/>
  <extLst>
    <ext xmlns:x14="http://schemas.microsoft.com/office/spreadsheetml/2009/9/main" uri="{504A1905-F514-4f6f-8877-14C23A59335A}">
      <x14:table altTextSummary="Enter Project Name, Estimated Start &amp; Finish dates, Actual Start &amp; Finish dates, and Estimated &amp; Actual Work in this table. Select Project Type. Estimated &amp; Actual Duration and Totals are auto calculated"/>
    </ext>
  </extLst>
</table>
</file>

<file path=xl/theme/theme1.xml><?xml version="1.0" encoding="utf-8"?>
<a:theme xmlns:a="http://schemas.openxmlformats.org/drawingml/2006/main" name="MarketingProjectPlan">
  <a:themeElements>
    <a:clrScheme name="MarketingProjectPlan_colors">
      <a:dk1>
        <a:srgbClr val="000000"/>
      </a:dk1>
      <a:lt1>
        <a:srgbClr val="FFFFFF"/>
      </a:lt1>
      <a:dk2>
        <a:srgbClr val="636466"/>
      </a:dk2>
      <a:lt2>
        <a:srgbClr val="F2F2F2"/>
      </a:lt2>
      <a:accent1>
        <a:srgbClr val="BE870E"/>
      </a:accent1>
      <a:accent2>
        <a:srgbClr val="1A86B6"/>
      </a:accent2>
      <a:accent3>
        <a:srgbClr val="5F781B"/>
      </a:accent3>
      <a:accent4>
        <a:srgbClr val="C45808"/>
      </a:accent4>
      <a:accent5>
        <a:srgbClr val="6B3489"/>
      </a:accent5>
      <a:accent6>
        <a:srgbClr val="C2344E"/>
      </a:accent6>
      <a:hlink>
        <a:srgbClr val="3778A9"/>
      </a:hlink>
      <a:folHlink>
        <a:srgbClr val="6B3489"/>
      </a:folHlink>
    </a:clrScheme>
    <a:fontScheme name="Invoice with Sales Tax">
      <a:majorFont>
        <a:latin typeface="Tahoma"/>
        <a:ea typeface=""/>
        <a:cs typeface=""/>
      </a:majorFont>
      <a:minorFont>
        <a:latin typeface="Cambr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B8"/>
  <sheetViews>
    <sheetView showGridLines="0" workbookViewId="0">
      <selection sqref="A1:B1"/>
    </sheetView>
  </sheetViews>
  <sheetFormatPr defaultRowHeight="12.75" x14ac:dyDescent="0.2"/>
  <cols>
    <col min="1" max="1" width="2.7109375" customWidth="1"/>
    <col min="2" max="2" width="74.42578125" customWidth="1"/>
    <col min="3" max="3" width="2.7109375" customWidth="1"/>
  </cols>
  <sheetData>
    <row r="1" spans="2:2" ht="19.5" x14ac:dyDescent="0.25">
      <c r="B1" s="24" t="s">
        <v>60</v>
      </c>
    </row>
    <row r="3" spans="2:2" ht="30" x14ac:dyDescent="0.2">
      <c r="B3" s="25" t="s">
        <v>61</v>
      </c>
    </row>
    <row r="4" spans="2:2" ht="30" x14ac:dyDescent="0.2">
      <c r="B4" s="25" t="s">
        <v>62</v>
      </c>
    </row>
    <row r="5" spans="2:2" ht="45" x14ac:dyDescent="0.2">
      <c r="B5" s="25" t="s">
        <v>63</v>
      </c>
    </row>
    <row r="6" spans="2:2" ht="22.5" customHeight="1" x14ac:dyDescent="0.2">
      <c r="B6" s="26" t="s">
        <v>64</v>
      </c>
    </row>
    <row r="7" spans="2:2" ht="45" x14ac:dyDescent="0.2">
      <c r="B7" s="25" t="s">
        <v>65</v>
      </c>
    </row>
    <row r="8" spans="2:2" ht="63" customHeight="1" x14ac:dyDescent="0.2">
      <c r="B8" s="25" t="s">
        <v>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pageSetUpPr autoPageBreaks="0" fitToPage="1"/>
  </sheetPr>
  <dimension ref="A1:I21"/>
  <sheetViews>
    <sheetView showGridLines="0" workbookViewId="0"/>
  </sheetViews>
  <sheetFormatPr defaultColWidth="9.140625" defaultRowHeight="14.25" x14ac:dyDescent="0.2"/>
  <cols>
    <col min="1" max="1" width="1.85546875" style="15" customWidth="1"/>
    <col min="2" max="2" width="29.28515625" style="5" customWidth="1"/>
    <col min="3" max="3" width="21.42578125" style="5" bestFit="1" customWidth="1"/>
    <col min="4" max="4" width="20.85546875" style="5" bestFit="1" customWidth="1"/>
    <col min="5" max="5" width="22.42578125" style="5" bestFit="1" customWidth="1"/>
    <col min="6" max="6" width="21" style="5" bestFit="1" customWidth="1"/>
    <col min="7" max="7" width="14.5703125" style="5" bestFit="1" customWidth="1"/>
    <col min="8" max="8" width="15.42578125" style="5" bestFit="1" customWidth="1"/>
    <col min="9" max="9" width="7.85546875" style="5" bestFit="1" customWidth="1"/>
    <col min="10" max="16384" width="9.140625" style="5"/>
  </cols>
  <sheetData>
    <row r="1" spans="1:9" ht="35.450000000000003" customHeight="1" x14ac:dyDescent="0.35">
      <c r="A1" s="15" t="s">
        <v>67</v>
      </c>
      <c r="B1" s="2" t="s">
        <v>54</v>
      </c>
      <c r="C1" s="2"/>
      <c r="D1" s="2"/>
      <c r="E1" s="2"/>
      <c r="F1" s="2"/>
      <c r="G1" s="2"/>
      <c r="H1" s="2"/>
      <c r="I1" s="2"/>
    </row>
    <row r="2" spans="1:9" ht="19.5" x14ac:dyDescent="0.25">
      <c r="A2" s="15" t="s">
        <v>68</v>
      </c>
      <c r="B2" s="3" t="s">
        <v>50</v>
      </c>
      <c r="C2" s="3"/>
      <c r="D2" s="3"/>
      <c r="E2" s="3"/>
      <c r="F2" s="3"/>
      <c r="G2" s="3"/>
      <c r="H2" s="3"/>
      <c r="I2" s="3"/>
    </row>
    <row r="3" spans="1:9" ht="15" x14ac:dyDescent="0.2">
      <c r="A3" s="15" t="s">
        <v>69</v>
      </c>
      <c r="B3" s="4" t="str">
        <f>B1&amp;" Confidential"</f>
        <v>Company Name Confidential</v>
      </c>
      <c r="C3" s="4"/>
      <c r="D3" s="4"/>
      <c r="E3" s="4"/>
      <c r="F3" s="4"/>
      <c r="G3" s="4"/>
      <c r="H3" s="4"/>
      <c r="I3" s="4"/>
    </row>
    <row r="4" spans="1:9" ht="28.5" customHeight="1" x14ac:dyDescent="0.2">
      <c r="A4" s="15" t="s">
        <v>70</v>
      </c>
      <c r="B4" s="9" t="s">
        <v>0</v>
      </c>
    </row>
    <row r="5" spans="1:9" ht="25.5" x14ac:dyDescent="0.2">
      <c r="A5" s="15" t="s">
        <v>74</v>
      </c>
      <c r="B5" s="13" t="s">
        <v>6</v>
      </c>
      <c r="C5" s="13" t="s">
        <v>20</v>
      </c>
      <c r="D5" s="13" t="s">
        <v>21</v>
      </c>
      <c r="E5" s="13" t="s">
        <v>22</v>
      </c>
      <c r="F5" s="13" t="s">
        <v>23</v>
      </c>
      <c r="G5" s="13" t="s">
        <v>24</v>
      </c>
      <c r="H5" s="13" t="s">
        <v>14</v>
      </c>
      <c r="I5" s="13" t="s">
        <v>2</v>
      </c>
    </row>
    <row r="6" spans="1:9" x14ac:dyDescent="0.2">
      <c r="B6" s="5" t="s">
        <v>25</v>
      </c>
      <c r="C6" s="6">
        <v>0.1</v>
      </c>
      <c r="D6" s="6">
        <v>0.4</v>
      </c>
      <c r="E6" s="6">
        <v>0</v>
      </c>
      <c r="F6" s="6">
        <v>0</v>
      </c>
      <c r="G6" s="6">
        <v>0</v>
      </c>
      <c r="H6" s="6">
        <v>0.5</v>
      </c>
      <c r="I6" s="8">
        <f>SUM(Parameters[[#This Row],[GENERAL PARTNER]:[ADMIN STAFF]])</f>
        <v>1</v>
      </c>
    </row>
    <row r="7" spans="1:9" x14ac:dyDescent="0.2">
      <c r="B7" s="5" t="s">
        <v>26</v>
      </c>
      <c r="C7" s="6">
        <v>0.1</v>
      </c>
      <c r="D7" s="6">
        <v>0.4</v>
      </c>
      <c r="E7" s="6">
        <v>0</v>
      </c>
      <c r="F7" s="6">
        <v>0.1</v>
      </c>
      <c r="G7" s="6">
        <v>0</v>
      </c>
      <c r="H7" s="6">
        <v>0.4</v>
      </c>
      <c r="I7" s="8">
        <f>SUM(Parameters[[#This Row],[GENERAL PARTNER]:[ADMIN STAFF]])</f>
        <v>1</v>
      </c>
    </row>
    <row r="8" spans="1:9" x14ac:dyDescent="0.2">
      <c r="B8" s="5" t="s">
        <v>27</v>
      </c>
      <c r="C8" s="6">
        <v>0.2</v>
      </c>
      <c r="D8" s="6">
        <v>0</v>
      </c>
      <c r="E8" s="6">
        <v>0.5</v>
      </c>
      <c r="F8" s="6">
        <v>0</v>
      </c>
      <c r="G8" s="6">
        <v>0</v>
      </c>
      <c r="H8" s="6">
        <v>0.3</v>
      </c>
      <c r="I8" s="8">
        <f>SUM(Parameters[[#This Row],[GENERAL PARTNER]:[ADMIN STAFF]])</f>
        <v>1</v>
      </c>
    </row>
    <row r="9" spans="1:9" x14ac:dyDescent="0.2">
      <c r="B9" s="5" t="s">
        <v>28</v>
      </c>
      <c r="C9" s="6">
        <v>0.1</v>
      </c>
      <c r="D9" s="6">
        <v>0</v>
      </c>
      <c r="E9" s="6">
        <v>0</v>
      </c>
      <c r="F9" s="6">
        <v>0.6</v>
      </c>
      <c r="G9" s="6">
        <v>0</v>
      </c>
      <c r="H9" s="6">
        <v>0.3</v>
      </c>
      <c r="I9" s="8">
        <f>SUM(Parameters[[#This Row],[GENERAL PARTNER]:[ADMIN STAFF]])</f>
        <v>1</v>
      </c>
    </row>
    <row r="10" spans="1:9" x14ac:dyDescent="0.2">
      <c r="B10" s="5" t="s">
        <v>29</v>
      </c>
      <c r="C10" s="6">
        <v>0.2</v>
      </c>
      <c r="D10" s="6">
        <v>0.1</v>
      </c>
      <c r="E10" s="6">
        <v>0.4</v>
      </c>
      <c r="F10" s="6">
        <v>0</v>
      </c>
      <c r="G10" s="6">
        <v>0</v>
      </c>
      <c r="H10" s="6">
        <v>0.3</v>
      </c>
      <c r="I10" s="8">
        <f>SUM(Parameters[[#This Row],[GENERAL PARTNER]:[ADMIN STAFF]])</f>
        <v>1</v>
      </c>
    </row>
    <row r="11" spans="1:9" x14ac:dyDescent="0.2">
      <c r="B11" s="5" t="s">
        <v>30</v>
      </c>
      <c r="C11" s="6">
        <v>0.1</v>
      </c>
      <c r="D11" s="6">
        <v>0.2</v>
      </c>
      <c r="E11" s="6">
        <v>0</v>
      </c>
      <c r="F11" s="6">
        <v>0</v>
      </c>
      <c r="G11" s="6">
        <v>0.4</v>
      </c>
      <c r="H11" s="6">
        <v>0.3</v>
      </c>
      <c r="I11" s="8">
        <f>SUM(Parameters[[#This Row],[GENERAL PARTNER]:[ADMIN STAFF]])</f>
        <v>1</v>
      </c>
    </row>
    <row r="12" spans="1:9" ht="15" x14ac:dyDescent="0.2">
      <c r="A12" s="27" t="s">
        <v>75</v>
      </c>
      <c r="B12" s="5" t="s">
        <v>1</v>
      </c>
      <c r="C12" s="7">
        <v>350</v>
      </c>
      <c r="D12" s="7">
        <v>250</v>
      </c>
      <c r="E12" s="7">
        <v>300</v>
      </c>
      <c r="F12" s="7">
        <v>275</v>
      </c>
      <c r="G12" s="7">
        <v>225</v>
      </c>
      <c r="H12" s="7">
        <v>125</v>
      </c>
      <c r="I12" s="6"/>
    </row>
    <row r="14" spans="1:9" x14ac:dyDescent="0.2">
      <c r="A14" s="15" t="s">
        <v>76</v>
      </c>
      <c r="B14" s="15"/>
      <c r="C14" s="15"/>
      <c r="D14" s="15"/>
      <c r="E14" s="15"/>
      <c r="F14" s="15"/>
      <c r="G14" s="15"/>
      <c r="H14" s="15"/>
      <c r="I14" s="15"/>
    </row>
    <row r="15" spans="1:9" x14ac:dyDescent="0.2">
      <c r="B15" s="15"/>
      <c r="C15" s="15" t="s">
        <v>20</v>
      </c>
      <c r="D15" s="15" t="s">
        <v>51</v>
      </c>
      <c r="E15" s="15" t="s">
        <v>22</v>
      </c>
      <c r="F15" s="15" t="s">
        <v>52</v>
      </c>
      <c r="G15" s="15" t="s">
        <v>53</v>
      </c>
      <c r="H15" s="15" t="s">
        <v>14</v>
      </c>
      <c r="I15" s="15"/>
    </row>
    <row r="16" spans="1:9" x14ac:dyDescent="0.2">
      <c r="B16" s="15" t="s">
        <v>16</v>
      </c>
      <c r="C16" s="16">
        <f>SUBTOTAL(109,Details[GENERAL PARTNER])</f>
        <v>78750</v>
      </c>
      <c r="D16" s="16">
        <f>SUBTOTAL(109,Details[BUSINESS LAWYER])</f>
        <v>66250</v>
      </c>
      <c r="E16" s="16">
        <f>SUBTOTAL(109,Details[DEFENSE LITIGATOR])</f>
        <v>105000</v>
      </c>
      <c r="F16" s="16">
        <f>SUBTOTAL(109,Details[INTELLECTUAL PROPERTY LAWYER])</f>
        <v>35750</v>
      </c>
      <c r="G16" s="16">
        <f>SUBTOTAL(109,Details[BANKRUPTCY LAWYER])</f>
        <v>0</v>
      </c>
      <c r="H16" s="16">
        <f>SUBTOTAL(109,Details[ADMIN STAFF])</f>
        <v>66250</v>
      </c>
      <c r="I16" s="15"/>
    </row>
    <row r="17" spans="2:9" x14ac:dyDescent="0.2">
      <c r="B17" s="15" t="s">
        <v>18</v>
      </c>
      <c r="C17" s="16">
        <f>SUBTOTAL(109,Details[GENERAL PARTNER 2])</f>
        <v>79275</v>
      </c>
      <c r="D17" s="16">
        <f>SUBTOTAL(109,Details[BUSINESS LAWYER 2])</f>
        <v>67375</v>
      </c>
      <c r="E17" s="16">
        <f>SUBTOTAL(109,Details[DEFENSE LITIGATOR 2])</f>
        <v>105600</v>
      </c>
      <c r="F17" s="16">
        <f>SUBTOTAL(109,Details[INTELLECTUAL PROPERTY LAWYER 2])</f>
        <v>34650</v>
      </c>
      <c r="G17" s="16">
        <f>SUBTOTAL(109,Details[BANKRUPTCY LAWYER 2])</f>
        <v>0</v>
      </c>
      <c r="H17" s="16">
        <f>SUBTOTAL(109,Details[ADMIN STAFF 2])</f>
        <v>67000</v>
      </c>
      <c r="I17" s="15"/>
    </row>
    <row r="18" spans="2:9" x14ac:dyDescent="0.2">
      <c r="B18" s="15" t="s">
        <v>17</v>
      </c>
      <c r="C18" s="17">
        <f>C16/$C$12</f>
        <v>225</v>
      </c>
      <c r="D18" s="17">
        <f t="shared" ref="D18:H18" si="0">D16/$C$12</f>
        <v>189.28571428571428</v>
      </c>
      <c r="E18" s="17">
        <f t="shared" si="0"/>
        <v>300</v>
      </c>
      <c r="F18" s="17">
        <f t="shared" si="0"/>
        <v>102.14285714285714</v>
      </c>
      <c r="G18" s="17">
        <f t="shared" si="0"/>
        <v>0</v>
      </c>
      <c r="H18" s="17">
        <f t="shared" si="0"/>
        <v>189.28571428571428</v>
      </c>
      <c r="I18" s="15"/>
    </row>
    <row r="19" spans="2:9" x14ac:dyDescent="0.2">
      <c r="B19" s="15" t="s">
        <v>19</v>
      </c>
      <c r="C19" s="17">
        <f>C17/$C$12</f>
        <v>226.5</v>
      </c>
      <c r="D19" s="17">
        <f>D17/$C$12</f>
        <v>192.5</v>
      </c>
      <c r="E19" s="17">
        <f>E17/$C$12</f>
        <v>301.71428571428572</v>
      </c>
      <c r="F19" s="17">
        <f>F17/$C$12</f>
        <v>99</v>
      </c>
      <c r="G19" s="17">
        <f>G17/$C$12</f>
        <v>0</v>
      </c>
      <c r="H19" s="17">
        <f>H17/$C$12</f>
        <v>191.42857142857142</v>
      </c>
      <c r="I19" s="15"/>
    </row>
    <row r="20" spans="2:9" x14ac:dyDescent="0.2">
      <c r="B20" s="18"/>
      <c r="C20" s="18"/>
      <c r="D20" s="18"/>
      <c r="E20" s="18"/>
      <c r="F20" s="18"/>
      <c r="G20" s="18"/>
      <c r="H20" s="18"/>
      <c r="I20" s="18"/>
    </row>
    <row r="21" spans="2:9" x14ac:dyDescent="0.2">
      <c r="B21" s="18"/>
      <c r="C21" s="18"/>
      <c r="D21" s="18"/>
      <c r="E21" s="18"/>
      <c r="F21" s="18"/>
      <c r="G21" s="18"/>
      <c r="H21" s="18"/>
      <c r="I21" s="18"/>
    </row>
  </sheetData>
  <printOptions horizontalCentered="1"/>
  <pageMargins left="0.4" right="0.4" top="0.4" bottom="0.4" header="0.3" footer="0.3"/>
  <pageSetup scale="82" orientation="landscape" horizontalDpi="4294967293"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249977111117893"/>
    <pageSetUpPr fitToPage="1"/>
  </sheetPr>
  <dimension ref="A1:AC10"/>
  <sheetViews>
    <sheetView showGridLines="0" workbookViewId="0"/>
  </sheetViews>
  <sheetFormatPr defaultColWidth="9.140625" defaultRowHeight="14.25" x14ac:dyDescent="0.2"/>
  <cols>
    <col min="1" max="1" width="1.85546875" style="15" customWidth="1"/>
    <col min="2" max="2" width="25.5703125" style="1" customWidth="1"/>
    <col min="3" max="3" width="23.85546875" style="1" customWidth="1"/>
    <col min="4" max="7" width="11.85546875" style="1" customWidth="1"/>
    <col min="8" max="8" width="11.140625" style="1" bestFit="1" customWidth="1"/>
    <col min="9" max="9" width="8.140625" style="1" bestFit="1" customWidth="1"/>
    <col min="10" max="10" width="11.140625" style="1" bestFit="1" customWidth="1"/>
    <col min="11" max="11" width="10.28515625" style="1" bestFit="1" customWidth="1"/>
    <col min="12" max="13" width="10" style="1" hidden="1" customWidth="1"/>
    <col min="14" max="14" width="10.28515625" style="1" hidden="1" customWidth="1"/>
    <col min="15" max="15" width="20.7109375" style="1" hidden="1" customWidth="1"/>
    <col min="16" max="16" width="14.85546875" style="1" hidden="1" customWidth="1"/>
    <col min="17" max="17" width="7.140625" style="1" hidden="1" customWidth="1"/>
    <col min="18" max="19" width="12.28515625" style="1" hidden="1" customWidth="1"/>
    <col min="20" max="20" width="12.5703125" style="1" hidden="1" customWidth="1"/>
    <col min="21" max="21" width="16.42578125" style="1" hidden="1" customWidth="1"/>
    <col min="22" max="22" width="14.5703125" style="1" hidden="1" customWidth="1"/>
    <col min="23" max="23" width="15.42578125" style="1" hidden="1" customWidth="1"/>
    <col min="24" max="24" width="2.7109375" style="1" customWidth="1"/>
    <col min="25" max="16384" width="9.140625" style="1"/>
  </cols>
  <sheetData>
    <row r="1" spans="1:29" ht="35.450000000000003" customHeight="1" x14ac:dyDescent="0.35">
      <c r="A1" s="15" t="s">
        <v>71</v>
      </c>
      <c r="B1" s="2" t="str">
        <f>'PROJECT PARAMETERS'!B1</f>
        <v>Company Name</v>
      </c>
      <c r="C1" s="2"/>
      <c r="D1" s="2"/>
      <c r="E1" s="2"/>
      <c r="F1" s="2"/>
      <c r="G1" s="2"/>
      <c r="H1" s="2"/>
      <c r="I1" s="2"/>
      <c r="J1" s="2"/>
      <c r="K1" s="2"/>
    </row>
    <row r="2" spans="1:29" ht="19.5" x14ac:dyDescent="0.25">
      <c r="A2" s="15" t="s">
        <v>77</v>
      </c>
      <c r="B2" s="3" t="str">
        <f>'PROJECT PARAMETERS'!B2</f>
        <v>Project Planning for Law Firms</v>
      </c>
      <c r="C2" s="3"/>
      <c r="D2" s="3"/>
      <c r="E2" s="3"/>
      <c r="F2" s="3"/>
      <c r="G2" s="3"/>
      <c r="H2" s="3"/>
      <c r="I2" s="3"/>
      <c r="J2" s="3"/>
      <c r="K2" s="3"/>
      <c r="Y2" s="29" t="s">
        <v>79</v>
      </c>
      <c r="Z2" s="30"/>
      <c r="AA2" s="30"/>
      <c r="AB2" s="30"/>
      <c r="AC2" s="30"/>
    </row>
    <row r="3" spans="1:29" s="23" customFormat="1" ht="29.25" customHeight="1" x14ac:dyDescent="0.2">
      <c r="A3" s="27" t="s">
        <v>69</v>
      </c>
      <c r="B3" s="22" t="str">
        <f>'PROJECT PARAMETERS'!B3</f>
        <v>Company Name Confidential</v>
      </c>
      <c r="C3" s="22"/>
      <c r="D3" s="22"/>
      <c r="E3" s="22"/>
      <c r="F3" s="22"/>
      <c r="G3" s="22"/>
      <c r="H3" s="22"/>
      <c r="I3" s="22"/>
      <c r="J3" s="22"/>
      <c r="K3" s="22"/>
      <c r="Y3" s="30"/>
      <c r="Z3" s="30"/>
      <c r="AA3" s="30"/>
      <c r="AB3" s="30"/>
      <c r="AC3" s="30"/>
    </row>
    <row r="4" spans="1:29" ht="38.25" x14ac:dyDescent="0.2">
      <c r="A4" s="27" t="s">
        <v>78</v>
      </c>
      <c r="B4" s="19" t="s">
        <v>5</v>
      </c>
      <c r="C4" s="19" t="s">
        <v>6</v>
      </c>
      <c r="D4" s="19" t="s">
        <v>7</v>
      </c>
      <c r="E4" s="19" t="s">
        <v>8</v>
      </c>
      <c r="F4" s="19" t="s">
        <v>3</v>
      </c>
      <c r="G4" s="19" t="s">
        <v>4</v>
      </c>
      <c r="H4" s="19" t="s">
        <v>9</v>
      </c>
      <c r="I4" s="19" t="s">
        <v>11</v>
      </c>
      <c r="J4" s="19" t="s">
        <v>10</v>
      </c>
      <c r="K4" s="19" t="s">
        <v>12</v>
      </c>
      <c r="L4" s="20" t="s">
        <v>20</v>
      </c>
      <c r="M4" s="20" t="s">
        <v>21</v>
      </c>
      <c r="N4" s="20" t="s">
        <v>22</v>
      </c>
      <c r="O4" s="20" t="s">
        <v>23</v>
      </c>
      <c r="P4" s="20" t="s">
        <v>24</v>
      </c>
      <c r="Q4" s="20" t="s">
        <v>14</v>
      </c>
      <c r="R4" s="21" t="s">
        <v>33</v>
      </c>
      <c r="S4" s="21" t="s">
        <v>34</v>
      </c>
      <c r="T4" s="21" t="s">
        <v>35</v>
      </c>
      <c r="U4" s="21" t="s">
        <v>41</v>
      </c>
      <c r="V4" s="21" t="s">
        <v>36</v>
      </c>
      <c r="W4" s="21" t="s">
        <v>37</v>
      </c>
      <c r="Y4" s="30"/>
      <c r="Z4" s="30"/>
      <c r="AA4" s="30"/>
      <c r="AB4" s="30"/>
      <c r="AC4" s="30"/>
    </row>
    <row r="5" spans="1:29" x14ac:dyDescent="0.2">
      <c r="B5" t="s">
        <v>55</v>
      </c>
      <c r="C5" t="s">
        <v>25</v>
      </c>
      <c r="D5" s="10">
        <f ca="1">TODAY()</f>
        <v>44872</v>
      </c>
      <c r="E5" s="10">
        <f ca="1">TODAY()+60</f>
        <v>44932</v>
      </c>
      <c r="F5" s="10">
        <f ca="1">TODAY()+10</f>
        <v>44882</v>
      </c>
      <c r="G5" s="10">
        <f ca="1">TODAY()+65</f>
        <v>44937</v>
      </c>
      <c r="H5">
        <v>200</v>
      </c>
      <c r="I5">
        <v>220</v>
      </c>
      <c r="J5">
        <f ca="1">DAYS360(Details[[#This Row],[ESTIMATED START]],Details[[#This Row],[ESTIMATED FINISH]],FALSE)</f>
        <v>59</v>
      </c>
      <c r="K5">
        <f ca="1">DAYS360(Details[[#This Row],[ACTUAL START]],Details[[#This Row],[ACTUAL FINISH]],FALSE)</f>
        <v>54</v>
      </c>
      <c r="L5" s="11">
        <f>INDEX(Parameters[],MATCH(Details[[#This Row],[PROJECT TYPE]],Parameters[PROJECT TYPE],0),MATCH(Details[[#Headers],[GENERAL PARTNER]],Parameters[#Headers],0))*INDEX('PROJECT PARAMETERS'!$B$12:$H$12,1,MATCH(Details[[#Headers],[GENERAL PARTNER]],Parameters[#Headers],0))*Details[[#This Row],[ESTIMATED WORK]]</f>
        <v>7000</v>
      </c>
      <c r="M5" s="11">
        <f>INDEX(Parameters[],MATCH(Details[[#This Row],[PROJECT TYPE]],Parameters[PROJECT TYPE],0),MATCH(Details[[#Headers],[BUSINESS LAWYER]],Parameters[#Headers],0))*INDEX('PROJECT PARAMETERS'!$B$12:$H$12,1,MATCH(Details[[#Headers],[BUSINESS LAWYER]],Parameters[#Headers],0))*Details[[#This Row],[ESTIMATED WORK]]</f>
        <v>20000</v>
      </c>
      <c r="N5" s="11">
        <f>INDEX(Parameters[],MATCH(Details[[#This Row],[PROJECT TYPE]],Parameters[PROJECT TYPE],0),MATCH(Details[[#Headers],[DEFENSE LITIGATOR]],Parameters[#Headers],0))*INDEX('PROJECT PARAMETERS'!$B$12:$H$12,1,MATCH(Details[[#Headers],[DEFENSE LITIGATOR]],Parameters[#Headers],0))*Details[[#This Row],[ESTIMATED WORK]]</f>
        <v>0</v>
      </c>
      <c r="O5" s="11">
        <f>INDEX(Parameters[],MATCH(Details[[#This Row],[PROJECT TYPE]],Parameters[PROJECT TYPE],0),MATCH(Details[[#Headers],[INTELLECTUAL PROPERTY LAWYER]],Parameters[#Headers],0))*INDEX('PROJECT PARAMETERS'!$B$12:$H$12,1,MATCH(Details[[#Headers],[INTELLECTUAL PROPERTY LAWYER]],Parameters[#Headers],0))*Details[[#This Row],[ESTIMATED WORK]]</f>
        <v>0</v>
      </c>
      <c r="P5" s="11">
        <f>INDEX(Parameters[],MATCH(Details[[#This Row],[PROJECT TYPE]],Parameters[PROJECT TYPE],0),MATCH(Details[[#Headers],[BANKRUPTCY LAWYER]],Parameters[#Headers],0))*INDEX('PROJECT PARAMETERS'!$B$12:$H$12,1,MATCH(Details[[#Headers],[BANKRUPTCY LAWYER]],Parameters[#Headers],0))*Details[[#This Row],[ESTIMATED WORK]]</f>
        <v>0</v>
      </c>
      <c r="Q5" s="11">
        <f>INDEX(Parameters[],MATCH(Details[[#This Row],[PROJECT TYPE]],Parameters[PROJECT TYPE],0),MATCH(Details[[#Headers],[ADMIN STAFF]],Parameters[#Headers],0))*INDEX('PROJECT PARAMETERS'!$B$12:$H$12,1,MATCH(Details[[#Headers],[ADMIN STAFF]],Parameters[#Headers],0))*Details[[#This Row],[ESTIMATED WORK]]</f>
        <v>12500</v>
      </c>
      <c r="R5" s="11">
        <f>INDEX(Parameters[],MATCH(Details[[#This Row],[PROJECT TYPE]],Parameters[PROJECT TYPE],0),MATCH(Details[[#Headers],[GENERAL PARTNER]],Parameters[#Headers],0))*INDEX('PROJECT PARAMETERS'!$B$12:$H$12,1,MATCH(Details[[#Headers],[GENERAL PARTNER]],Parameters[#Headers],0))*Details[[#This Row],[ACTUAL WORK]]</f>
        <v>7700</v>
      </c>
      <c r="S5" s="11">
        <f>INDEX(Parameters[],MATCH(Details[[#This Row],[PROJECT TYPE]],Parameters[PROJECT TYPE],0),MATCH(Details[[#Headers],[BUSINESS LAWYER]],Parameters[#Headers],0))*INDEX('PROJECT PARAMETERS'!$B$12:$H$12,1,MATCH(Details[[#Headers],[BUSINESS LAWYER]],Parameters[#Headers],0))*Details[[#This Row],[ACTUAL WORK]]</f>
        <v>22000</v>
      </c>
      <c r="T5" s="11">
        <f>INDEX(Parameters[],MATCH(Details[[#This Row],[PROJECT TYPE]],Parameters[PROJECT TYPE],0),MATCH(Details[[#Headers],[DEFENSE LITIGATOR]],Parameters[#Headers],0))*INDEX('PROJECT PARAMETERS'!$B$12:$H$12,1,MATCH(Details[[#Headers],[DEFENSE LITIGATOR]],Parameters[#Headers],0))*Details[[#This Row],[ACTUAL WORK]]</f>
        <v>0</v>
      </c>
      <c r="U5" s="11">
        <f>INDEX(Parameters[],MATCH(Details[[#This Row],[PROJECT TYPE]],Parameters[PROJECT TYPE],0),MATCH(Details[[#Headers],[INTELLECTUAL PROPERTY LAWYER]],Parameters[#Headers],0))*INDEX('PROJECT PARAMETERS'!$B$12:$H$12,1,MATCH(Details[[#Headers],[INTELLECTUAL PROPERTY LAWYER]],Parameters[#Headers],0))*Details[[#This Row],[ACTUAL WORK]]</f>
        <v>0</v>
      </c>
      <c r="V5" s="11">
        <f>INDEX(Parameters[],MATCH(Details[[#This Row],[PROJECT TYPE]],Parameters[PROJECT TYPE],0),MATCH(Details[[#Headers],[BANKRUPTCY LAWYER]],Parameters[#Headers],0))*INDEX('PROJECT PARAMETERS'!$B$12:$H$12,1,MATCH(Details[[#Headers],[BANKRUPTCY LAWYER]],Parameters[#Headers],0))*Details[[#This Row],[ACTUAL WORK]]</f>
        <v>0</v>
      </c>
      <c r="W5" s="11">
        <f>INDEX(Parameters[],MATCH(Details[[#This Row],[PROJECT TYPE]],Parameters[PROJECT TYPE],0),MATCH(Details[[#Headers],[ADMIN STAFF]],Parameters[#Headers],0))*INDEX('PROJECT PARAMETERS'!$B$12:$H$12,1,MATCH(Details[[#Headers],[ADMIN STAFF]],Parameters[#Headers],0))*Details[[#This Row],[ACTUAL WORK]]</f>
        <v>13750</v>
      </c>
      <c r="Y5" s="30"/>
      <c r="Z5" s="30"/>
      <c r="AA5" s="30"/>
      <c r="AB5" s="30"/>
      <c r="AC5" s="30"/>
    </row>
    <row r="6" spans="1:29" x14ac:dyDescent="0.2">
      <c r="B6" t="s">
        <v>56</v>
      </c>
      <c r="C6" t="s">
        <v>26</v>
      </c>
      <c r="D6" s="10">
        <f ca="1">TODAY()+30</f>
        <v>44902</v>
      </c>
      <c r="E6" s="10">
        <f ca="1">TODAY()+100</f>
        <v>44972</v>
      </c>
      <c r="F6" s="10">
        <f ca="1">TODAY()+40</f>
        <v>44912</v>
      </c>
      <c r="G6" s="10">
        <f ca="1">TODAY()+110</f>
        <v>44982</v>
      </c>
      <c r="H6">
        <v>400</v>
      </c>
      <c r="I6">
        <v>390</v>
      </c>
      <c r="J6">
        <f ca="1">DAYS360(Details[[#This Row],[ESTIMATED START]],Details[[#This Row],[ESTIMATED FINISH]],FALSE)</f>
        <v>68</v>
      </c>
      <c r="K6">
        <f ca="1">DAYS360(Details[[#This Row],[ACTUAL START]],Details[[#This Row],[ACTUAL FINISH]],FALSE)</f>
        <v>68</v>
      </c>
      <c r="L6" s="11">
        <f>INDEX(Parameters[],MATCH(Details[[#This Row],[PROJECT TYPE]],Parameters[PROJECT TYPE],0),MATCH(Details[[#Headers],[GENERAL PARTNER]],Parameters[#Headers],0))*INDEX('PROJECT PARAMETERS'!$B$12:$H$12,1,MATCH(Details[[#Headers],[GENERAL PARTNER]],Parameters[#Headers],0))*Details[[#This Row],[ESTIMATED WORK]]</f>
        <v>14000</v>
      </c>
      <c r="M6" s="11">
        <f>INDEX(Parameters[],MATCH(Details[[#This Row],[PROJECT TYPE]],Parameters[PROJECT TYPE],0),MATCH(Details[[#Headers],[BUSINESS LAWYER]],Parameters[#Headers],0))*INDEX('PROJECT PARAMETERS'!$B$12:$H$12,1,MATCH(Details[[#Headers],[BUSINESS LAWYER]],Parameters[#Headers],0))*Details[[#This Row],[ESTIMATED WORK]]</f>
        <v>40000</v>
      </c>
      <c r="N6" s="11">
        <f>INDEX(Parameters[],MATCH(Details[[#This Row],[PROJECT TYPE]],Parameters[PROJECT TYPE],0),MATCH(Details[[#Headers],[DEFENSE LITIGATOR]],Parameters[#Headers],0))*INDEX('PROJECT PARAMETERS'!$B$12:$H$12,1,MATCH(Details[[#Headers],[DEFENSE LITIGATOR]],Parameters[#Headers],0))*Details[[#This Row],[ESTIMATED WORK]]</f>
        <v>0</v>
      </c>
      <c r="O6" s="11">
        <f>INDEX(Parameters[],MATCH(Details[[#This Row],[PROJECT TYPE]],Parameters[PROJECT TYPE],0),MATCH(Details[[#Headers],[INTELLECTUAL PROPERTY LAWYER]],Parameters[#Headers],0))*INDEX('PROJECT PARAMETERS'!$B$12:$H$12,1,MATCH(Details[[#Headers],[INTELLECTUAL PROPERTY LAWYER]],Parameters[#Headers],0))*Details[[#This Row],[ESTIMATED WORK]]</f>
        <v>11000</v>
      </c>
      <c r="P6" s="11">
        <f>INDEX(Parameters[],MATCH(Details[[#This Row],[PROJECT TYPE]],Parameters[PROJECT TYPE],0),MATCH(Details[[#Headers],[BANKRUPTCY LAWYER]],Parameters[#Headers],0))*INDEX('PROJECT PARAMETERS'!$B$12:$H$12,1,MATCH(Details[[#Headers],[BANKRUPTCY LAWYER]],Parameters[#Headers],0))*Details[[#This Row],[ESTIMATED WORK]]</f>
        <v>0</v>
      </c>
      <c r="Q6" s="11">
        <f>INDEX(Parameters[],MATCH(Details[[#This Row],[PROJECT TYPE]],Parameters[PROJECT TYPE],0),MATCH(Details[[#Headers],[ADMIN STAFF]],Parameters[#Headers],0))*INDEX('PROJECT PARAMETERS'!$B$12:$H$12,1,MATCH(Details[[#Headers],[ADMIN STAFF]],Parameters[#Headers],0))*Details[[#This Row],[ESTIMATED WORK]]</f>
        <v>20000</v>
      </c>
      <c r="R6" s="11">
        <f>INDEX(Parameters[],MATCH(Details[[#This Row],[PROJECT TYPE]],Parameters[PROJECT TYPE],0),MATCH(Details[[#Headers],[GENERAL PARTNER]],Parameters[#Headers],0))*INDEX('PROJECT PARAMETERS'!$B$12:$H$12,1,MATCH(Details[[#Headers],[GENERAL PARTNER]],Parameters[#Headers],0))*Details[[#This Row],[ACTUAL WORK]]</f>
        <v>13650</v>
      </c>
      <c r="S6" s="11">
        <f>INDEX(Parameters[],MATCH(Details[[#This Row],[PROJECT TYPE]],Parameters[PROJECT TYPE],0),MATCH(Details[[#Headers],[BUSINESS LAWYER]],Parameters[#Headers],0))*INDEX('PROJECT PARAMETERS'!$B$12:$H$12,1,MATCH(Details[[#Headers],[BUSINESS LAWYER]],Parameters[#Headers],0))*Details[[#This Row],[ACTUAL WORK]]</f>
        <v>39000</v>
      </c>
      <c r="T6" s="11">
        <f>INDEX(Parameters[],MATCH(Details[[#This Row],[PROJECT TYPE]],Parameters[PROJECT TYPE],0),MATCH(Details[[#Headers],[DEFENSE LITIGATOR]],Parameters[#Headers],0))*INDEX('PROJECT PARAMETERS'!$B$12:$H$12,1,MATCH(Details[[#Headers],[DEFENSE LITIGATOR]],Parameters[#Headers],0))*Details[[#This Row],[ACTUAL WORK]]</f>
        <v>0</v>
      </c>
      <c r="U6" s="11">
        <f>INDEX(Parameters[],MATCH(Details[[#This Row],[PROJECT TYPE]],Parameters[PROJECT TYPE],0),MATCH(Details[[#Headers],[INTELLECTUAL PROPERTY LAWYER]],Parameters[#Headers],0))*INDEX('PROJECT PARAMETERS'!$B$12:$H$12,1,MATCH(Details[[#Headers],[INTELLECTUAL PROPERTY LAWYER]],Parameters[#Headers],0))*Details[[#This Row],[ACTUAL WORK]]</f>
        <v>10725</v>
      </c>
      <c r="V6" s="11">
        <f>INDEX(Parameters[],MATCH(Details[[#This Row],[PROJECT TYPE]],Parameters[PROJECT TYPE],0),MATCH(Details[[#Headers],[BANKRUPTCY LAWYER]],Parameters[#Headers],0))*INDEX('PROJECT PARAMETERS'!$B$12:$H$12,1,MATCH(Details[[#Headers],[BANKRUPTCY LAWYER]],Parameters[#Headers],0))*Details[[#This Row],[ACTUAL WORK]]</f>
        <v>0</v>
      </c>
      <c r="W6" s="11">
        <f>INDEX(Parameters[],MATCH(Details[[#This Row],[PROJECT TYPE]],Parameters[PROJECT TYPE],0),MATCH(Details[[#Headers],[ADMIN STAFF]],Parameters[#Headers],0))*INDEX('PROJECT PARAMETERS'!$B$12:$H$12,1,MATCH(Details[[#Headers],[ADMIN STAFF]],Parameters[#Headers],0))*Details[[#This Row],[ACTUAL WORK]]</f>
        <v>19500</v>
      </c>
      <c r="Y6" s="30"/>
      <c r="Z6" s="30"/>
      <c r="AA6" s="30"/>
      <c r="AB6" s="30"/>
      <c r="AC6" s="30"/>
    </row>
    <row r="7" spans="1:29" x14ac:dyDescent="0.2">
      <c r="B7" t="s">
        <v>57</v>
      </c>
      <c r="C7" t="s">
        <v>27</v>
      </c>
      <c r="D7" s="10">
        <f ca="1">TODAY()+150</f>
        <v>45022</v>
      </c>
      <c r="E7" s="10">
        <f ca="1">TODAY()+150</f>
        <v>45022</v>
      </c>
      <c r="F7" s="10">
        <f ca="1">TODAY()+150</f>
        <v>45022</v>
      </c>
      <c r="G7" s="10">
        <f ca="1">TODAY()+170</f>
        <v>45042</v>
      </c>
      <c r="H7">
        <v>500</v>
      </c>
      <c r="I7">
        <v>500</v>
      </c>
      <c r="J7">
        <f ca="1">DAYS360(Details[[#This Row],[ESTIMATED START]],Details[[#This Row],[ESTIMATED FINISH]],FALSE)</f>
        <v>0</v>
      </c>
      <c r="K7">
        <f ca="1">DAYS360(Details[[#This Row],[ACTUAL START]],Details[[#This Row],[ACTUAL FINISH]],FALSE)</f>
        <v>20</v>
      </c>
      <c r="L7" s="11">
        <f>INDEX(Parameters[],MATCH(Details[[#This Row],[PROJECT TYPE]],Parameters[PROJECT TYPE],0),MATCH(Details[[#Headers],[GENERAL PARTNER]],Parameters[#Headers],0))*INDEX('PROJECT PARAMETERS'!$B$12:$H$12,1,MATCH(Details[[#Headers],[GENERAL PARTNER]],Parameters[#Headers],0))*Details[[#This Row],[ESTIMATED WORK]]</f>
        <v>35000</v>
      </c>
      <c r="M7" s="11">
        <f>INDEX(Parameters[],MATCH(Details[[#This Row],[PROJECT TYPE]],Parameters[PROJECT TYPE],0),MATCH(Details[[#Headers],[BUSINESS LAWYER]],Parameters[#Headers],0))*INDEX('PROJECT PARAMETERS'!$B$12:$H$12,1,MATCH(Details[[#Headers],[BUSINESS LAWYER]],Parameters[#Headers],0))*Details[[#This Row],[ESTIMATED WORK]]</f>
        <v>0</v>
      </c>
      <c r="N7" s="11">
        <f>INDEX(Parameters[],MATCH(Details[[#This Row],[PROJECT TYPE]],Parameters[PROJECT TYPE],0),MATCH(Details[[#Headers],[DEFENSE LITIGATOR]],Parameters[#Headers],0))*INDEX('PROJECT PARAMETERS'!$B$12:$H$12,1,MATCH(Details[[#Headers],[DEFENSE LITIGATOR]],Parameters[#Headers],0))*Details[[#This Row],[ESTIMATED WORK]]</f>
        <v>75000</v>
      </c>
      <c r="O7" s="11">
        <f>INDEX(Parameters[],MATCH(Details[[#This Row],[PROJECT TYPE]],Parameters[PROJECT TYPE],0),MATCH(Details[[#Headers],[INTELLECTUAL PROPERTY LAWYER]],Parameters[#Headers],0))*INDEX('PROJECT PARAMETERS'!$B$12:$H$12,1,MATCH(Details[[#Headers],[INTELLECTUAL PROPERTY LAWYER]],Parameters[#Headers],0))*Details[[#This Row],[ESTIMATED WORK]]</f>
        <v>0</v>
      </c>
      <c r="P7" s="11">
        <f>INDEX(Parameters[],MATCH(Details[[#This Row],[PROJECT TYPE]],Parameters[PROJECT TYPE],0),MATCH(Details[[#Headers],[BANKRUPTCY LAWYER]],Parameters[#Headers],0))*INDEX('PROJECT PARAMETERS'!$B$12:$H$12,1,MATCH(Details[[#Headers],[BANKRUPTCY LAWYER]],Parameters[#Headers],0))*Details[[#This Row],[ESTIMATED WORK]]</f>
        <v>0</v>
      </c>
      <c r="Q7" s="11">
        <f>INDEX(Parameters[],MATCH(Details[[#This Row],[PROJECT TYPE]],Parameters[PROJECT TYPE],0),MATCH(Details[[#Headers],[ADMIN STAFF]],Parameters[#Headers],0))*INDEX('PROJECT PARAMETERS'!$B$12:$H$12,1,MATCH(Details[[#Headers],[ADMIN STAFF]],Parameters[#Headers],0))*Details[[#This Row],[ESTIMATED WORK]]</f>
        <v>18750</v>
      </c>
      <c r="R7" s="11">
        <f>INDEX(Parameters[],MATCH(Details[[#This Row],[PROJECT TYPE]],Parameters[PROJECT TYPE],0),MATCH(Details[[#Headers],[GENERAL PARTNER]],Parameters[#Headers],0))*INDEX('PROJECT PARAMETERS'!$B$12:$H$12,1,MATCH(Details[[#Headers],[GENERAL PARTNER]],Parameters[#Headers],0))*Details[[#This Row],[ACTUAL WORK]]</f>
        <v>35000</v>
      </c>
      <c r="S7" s="11">
        <f>INDEX(Parameters[],MATCH(Details[[#This Row],[PROJECT TYPE]],Parameters[PROJECT TYPE],0),MATCH(Details[[#Headers],[BUSINESS LAWYER]],Parameters[#Headers],0))*INDEX('PROJECT PARAMETERS'!$B$12:$H$12,1,MATCH(Details[[#Headers],[BUSINESS LAWYER]],Parameters[#Headers],0))*Details[[#This Row],[ACTUAL WORK]]</f>
        <v>0</v>
      </c>
      <c r="T7" s="11">
        <f>INDEX(Parameters[],MATCH(Details[[#This Row],[PROJECT TYPE]],Parameters[PROJECT TYPE],0),MATCH(Details[[#Headers],[DEFENSE LITIGATOR]],Parameters[#Headers],0))*INDEX('PROJECT PARAMETERS'!$B$12:$H$12,1,MATCH(Details[[#Headers],[DEFENSE LITIGATOR]],Parameters[#Headers],0))*Details[[#This Row],[ACTUAL WORK]]</f>
        <v>75000</v>
      </c>
      <c r="U7" s="11">
        <f>INDEX(Parameters[],MATCH(Details[[#This Row],[PROJECT TYPE]],Parameters[PROJECT TYPE],0),MATCH(Details[[#Headers],[INTELLECTUAL PROPERTY LAWYER]],Parameters[#Headers],0))*INDEX('PROJECT PARAMETERS'!$B$12:$H$12,1,MATCH(Details[[#Headers],[INTELLECTUAL PROPERTY LAWYER]],Parameters[#Headers],0))*Details[[#This Row],[ACTUAL WORK]]</f>
        <v>0</v>
      </c>
      <c r="V7" s="11">
        <f>INDEX(Parameters[],MATCH(Details[[#This Row],[PROJECT TYPE]],Parameters[PROJECT TYPE],0),MATCH(Details[[#Headers],[BANKRUPTCY LAWYER]],Parameters[#Headers],0))*INDEX('PROJECT PARAMETERS'!$B$12:$H$12,1,MATCH(Details[[#Headers],[BANKRUPTCY LAWYER]],Parameters[#Headers],0))*Details[[#This Row],[ACTUAL WORK]]</f>
        <v>0</v>
      </c>
      <c r="W7" s="11">
        <f>INDEX(Parameters[],MATCH(Details[[#This Row],[PROJECT TYPE]],Parameters[PROJECT TYPE],0),MATCH(Details[[#Headers],[ADMIN STAFF]],Parameters[#Headers],0))*INDEX('PROJECT PARAMETERS'!$B$12:$H$12,1,MATCH(Details[[#Headers],[ADMIN STAFF]],Parameters[#Headers],0))*Details[[#This Row],[ACTUAL WORK]]</f>
        <v>18750</v>
      </c>
      <c r="Y7" s="30"/>
      <c r="Z7" s="30"/>
      <c r="AA7" s="30"/>
      <c r="AB7" s="30"/>
      <c r="AC7" s="30"/>
    </row>
    <row r="8" spans="1:29" x14ac:dyDescent="0.2">
      <c r="B8" t="s">
        <v>58</v>
      </c>
      <c r="C8" t="s">
        <v>28</v>
      </c>
      <c r="D8" s="10">
        <f ca="1">TODAY()+200</f>
        <v>45072</v>
      </c>
      <c r="E8" s="10">
        <f ca="1">TODAY()+230</f>
        <v>45102</v>
      </c>
      <c r="F8" s="10">
        <f ca="1">TODAY()+230</f>
        <v>45102</v>
      </c>
      <c r="G8" s="10">
        <f ca="1">TODAY()+230</f>
        <v>45102</v>
      </c>
      <c r="H8">
        <v>150</v>
      </c>
      <c r="I8">
        <v>145</v>
      </c>
      <c r="J8">
        <f ca="1">DAYS360(Details[[#This Row],[ESTIMATED START]],Details[[#This Row],[ESTIMATED FINISH]],FALSE)</f>
        <v>29</v>
      </c>
      <c r="K8">
        <f ca="1">DAYS360(Details[[#This Row],[ACTUAL START]],Details[[#This Row],[ACTUAL FINISH]],FALSE)</f>
        <v>0</v>
      </c>
      <c r="L8" s="11">
        <f>INDEX(Parameters[],MATCH(Details[[#This Row],[PROJECT TYPE]],Parameters[PROJECT TYPE],0),MATCH(Details[[#Headers],[GENERAL PARTNER]],Parameters[#Headers],0))*INDEX('PROJECT PARAMETERS'!$B$12:$H$12,1,MATCH(Details[[#Headers],[GENERAL PARTNER]],Parameters[#Headers],0))*Details[[#This Row],[ESTIMATED WORK]]</f>
        <v>5250</v>
      </c>
      <c r="M8" s="11">
        <f>INDEX(Parameters[],MATCH(Details[[#This Row],[PROJECT TYPE]],Parameters[PROJECT TYPE],0),MATCH(Details[[#Headers],[BUSINESS LAWYER]],Parameters[#Headers],0))*INDEX('PROJECT PARAMETERS'!$B$12:$H$12,1,MATCH(Details[[#Headers],[BUSINESS LAWYER]],Parameters[#Headers],0))*Details[[#This Row],[ESTIMATED WORK]]</f>
        <v>0</v>
      </c>
      <c r="N8" s="11">
        <f>INDEX(Parameters[],MATCH(Details[[#This Row],[PROJECT TYPE]],Parameters[PROJECT TYPE],0),MATCH(Details[[#Headers],[DEFENSE LITIGATOR]],Parameters[#Headers],0))*INDEX('PROJECT PARAMETERS'!$B$12:$H$12,1,MATCH(Details[[#Headers],[DEFENSE LITIGATOR]],Parameters[#Headers],0))*Details[[#This Row],[ESTIMATED WORK]]</f>
        <v>0</v>
      </c>
      <c r="O8" s="11">
        <f>INDEX(Parameters[],MATCH(Details[[#This Row],[PROJECT TYPE]],Parameters[PROJECT TYPE],0),MATCH(Details[[#Headers],[INTELLECTUAL PROPERTY LAWYER]],Parameters[#Headers],0))*INDEX('PROJECT PARAMETERS'!$B$12:$H$12,1,MATCH(Details[[#Headers],[INTELLECTUAL PROPERTY LAWYER]],Parameters[#Headers],0))*Details[[#This Row],[ESTIMATED WORK]]</f>
        <v>24750</v>
      </c>
      <c r="P8" s="11">
        <f>INDEX(Parameters[],MATCH(Details[[#This Row],[PROJECT TYPE]],Parameters[PROJECT TYPE],0),MATCH(Details[[#Headers],[BANKRUPTCY LAWYER]],Parameters[#Headers],0))*INDEX('PROJECT PARAMETERS'!$B$12:$H$12,1,MATCH(Details[[#Headers],[BANKRUPTCY LAWYER]],Parameters[#Headers],0))*Details[[#This Row],[ESTIMATED WORK]]</f>
        <v>0</v>
      </c>
      <c r="Q8" s="11">
        <f>INDEX(Parameters[],MATCH(Details[[#This Row],[PROJECT TYPE]],Parameters[PROJECT TYPE],0),MATCH(Details[[#Headers],[ADMIN STAFF]],Parameters[#Headers],0))*INDEX('PROJECT PARAMETERS'!$B$12:$H$12,1,MATCH(Details[[#Headers],[ADMIN STAFF]],Parameters[#Headers],0))*Details[[#This Row],[ESTIMATED WORK]]</f>
        <v>5625</v>
      </c>
      <c r="R8" s="11">
        <f>INDEX(Parameters[],MATCH(Details[[#This Row],[PROJECT TYPE]],Parameters[PROJECT TYPE],0),MATCH(Details[[#Headers],[GENERAL PARTNER]],Parameters[#Headers],0))*INDEX('PROJECT PARAMETERS'!$B$12:$H$12,1,MATCH(Details[[#Headers],[GENERAL PARTNER]],Parameters[#Headers],0))*Details[[#This Row],[ACTUAL WORK]]</f>
        <v>5075</v>
      </c>
      <c r="S8" s="11">
        <f>INDEX(Parameters[],MATCH(Details[[#This Row],[PROJECT TYPE]],Parameters[PROJECT TYPE],0),MATCH(Details[[#Headers],[BUSINESS LAWYER]],Parameters[#Headers],0))*INDEX('PROJECT PARAMETERS'!$B$12:$H$12,1,MATCH(Details[[#Headers],[BUSINESS LAWYER]],Parameters[#Headers],0))*Details[[#This Row],[ACTUAL WORK]]</f>
        <v>0</v>
      </c>
      <c r="T8" s="11">
        <f>INDEX(Parameters[],MATCH(Details[[#This Row],[PROJECT TYPE]],Parameters[PROJECT TYPE],0),MATCH(Details[[#Headers],[DEFENSE LITIGATOR]],Parameters[#Headers],0))*INDEX('PROJECT PARAMETERS'!$B$12:$H$12,1,MATCH(Details[[#Headers],[DEFENSE LITIGATOR]],Parameters[#Headers],0))*Details[[#This Row],[ACTUAL WORK]]</f>
        <v>0</v>
      </c>
      <c r="U8" s="11">
        <f>INDEX(Parameters[],MATCH(Details[[#This Row],[PROJECT TYPE]],Parameters[PROJECT TYPE],0),MATCH(Details[[#Headers],[INTELLECTUAL PROPERTY LAWYER]],Parameters[#Headers],0))*INDEX('PROJECT PARAMETERS'!$B$12:$H$12,1,MATCH(Details[[#Headers],[INTELLECTUAL PROPERTY LAWYER]],Parameters[#Headers],0))*Details[[#This Row],[ACTUAL WORK]]</f>
        <v>23925</v>
      </c>
      <c r="V8" s="11">
        <f>INDEX(Parameters[],MATCH(Details[[#This Row],[PROJECT TYPE]],Parameters[PROJECT TYPE],0),MATCH(Details[[#Headers],[BANKRUPTCY LAWYER]],Parameters[#Headers],0))*INDEX('PROJECT PARAMETERS'!$B$12:$H$12,1,MATCH(Details[[#Headers],[BANKRUPTCY LAWYER]],Parameters[#Headers],0))*Details[[#This Row],[ACTUAL WORK]]</f>
        <v>0</v>
      </c>
      <c r="W8" s="11">
        <f>INDEX(Parameters[],MATCH(Details[[#This Row],[PROJECT TYPE]],Parameters[PROJECT TYPE],0),MATCH(Details[[#Headers],[ADMIN STAFF]],Parameters[#Headers],0))*INDEX('PROJECT PARAMETERS'!$B$12:$H$12,1,MATCH(Details[[#Headers],[ADMIN STAFF]],Parameters[#Headers],0))*Details[[#This Row],[ACTUAL WORK]]</f>
        <v>5437.5</v>
      </c>
      <c r="Y8" s="30"/>
      <c r="Z8" s="30"/>
      <c r="AA8" s="30"/>
      <c r="AB8" s="30"/>
      <c r="AC8" s="30"/>
    </row>
    <row r="9" spans="1:29" x14ac:dyDescent="0.2">
      <c r="B9" t="s">
        <v>59</v>
      </c>
      <c r="C9" t="s">
        <v>29</v>
      </c>
      <c r="D9" s="10">
        <f ca="1">TODAY()+220</f>
        <v>45092</v>
      </c>
      <c r="E9" s="10">
        <f ca="1">TODAY()+250</f>
        <v>45122</v>
      </c>
      <c r="F9" s="10">
        <f ca="1">TODAY()+230</f>
        <v>45102</v>
      </c>
      <c r="G9" s="10">
        <f ca="1">TODAY()+259</f>
        <v>45131</v>
      </c>
      <c r="H9">
        <v>250</v>
      </c>
      <c r="I9">
        <v>255</v>
      </c>
      <c r="J9">
        <f ca="1">DAYS360(Details[[#This Row],[ESTIMATED START]],Details[[#This Row],[ESTIMATED FINISH]],FALSE)</f>
        <v>30</v>
      </c>
      <c r="K9">
        <f ca="1">DAYS360(Details[[#This Row],[ACTUAL START]],Details[[#This Row],[ACTUAL FINISH]],FALSE)</f>
        <v>29</v>
      </c>
      <c r="L9" s="11">
        <f>INDEX(Parameters[],MATCH(Details[[#This Row],[PROJECT TYPE]],Parameters[PROJECT TYPE],0),MATCH(Details[[#Headers],[GENERAL PARTNER]],Parameters[#Headers],0))*INDEX('PROJECT PARAMETERS'!$B$12:$H$12,1,MATCH(Details[[#Headers],[GENERAL PARTNER]],Parameters[#Headers],0))*Details[[#This Row],[ESTIMATED WORK]]</f>
        <v>17500</v>
      </c>
      <c r="M9" s="11">
        <f>INDEX(Parameters[],MATCH(Details[[#This Row],[PROJECT TYPE]],Parameters[PROJECT TYPE],0),MATCH(Details[[#Headers],[BUSINESS LAWYER]],Parameters[#Headers],0))*INDEX('PROJECT PARAMETERS'!$B$12:$H$12,1,MATCH(Details[[#Headers],[BUSINESS LAWYER]],Parameters[#Headers],0))*Details[[#This Row],[ESTIMATED WORK]]</f>
        <v>6250</v>
      </c>
      <c r="N9" s="11">
        <f>INDEX(Parameters[],MATCH(Details[[#This Row],[PROJECT TYPE]],Parameters[PROJECT TYPE],0),MATCH(Details[[#Headers],[DEFENSE LITIGATOR]],Parameters[#Headers],0))*INDEX('PROJECT PARAMETERS'!$B$12:$H$12,1,MATCH(Details[[#Headers],[DEFENSE LITIGATOR]],Parameters[#Headers],0))*Details[[#This Row],[ESTIMATED WORK]]</f>
        <v>30000</v>
      </c>
      <c r="O9" s="11">
        <f>INDEX(Parameters[],MATCH(Details[[#This Row],[PROJECT TYPE]],Parameters[PROJECT TYPE],0),MATCH(Details[[#Headers],[INTELLECTUAL PROPERTY LAWYER]],Parameters[#Headers],0))*INDEX('PROJECT PARAMETERS'!$B$12:$H$12,1,MATCH(Details[[#Headers],[INTELLECTUAL PROPERTY LAWYER]],Parameters[#Headers],0))*Details[[#This Row],[ESTIMATED WORK]]</f>
        <v>0</v>
      </c>
      <c r="P9" s="11">
        <f>INDEX(Parameters[],MATCH(Details[[#This Row],[PROJECT TYPE]],Parameters[PROJECT TYPE],0),MATCH(Details[[#Headers],[BANKRUPTCY LAWYER]],Parameters[#Headers],0))*INDEX('PROJECT PARAMETERS'!$B$12:$H$12,1,MATCH(Details[[#Headers],[BANKRUPTCY LAWYER]],Parameters[#Headers],0))*Details[[#This Row],[ESTIMATED WORK]]</f>
        <v>0</v>
      </c>
      <c r="Q9" s="11">
        <f>INDEX(Parameters[],MATCH(Details[[#This Row],[PROJECT TYPE]],Parameters[PROJECT TYPE],0),MATCH(Details[[#Headers],[ADMIN STAFF]],Parameters[#Headers],0))*INDEX('PROJECT PARAMETERS'!$B$12:$H$12,1,MATCH(Details[[#Headers],[ADMIN STAFF]],Parameters[#Headers],0))*Details[[#This Row],[ESTIMATED WORK]]</f>
        <v>9375</v>
      </c>
      <c r="R9" s="11">
        <f>INDEX(Parameters[],MATCH(Details[[#This Row],[PROJECT TYPE]],Parameters[PROJECT TYPE],0),MATCH(Details[[#Headers],[GENERAL PARTNER]],Parameters[#Headers],0))*INDEX('PROJECT PARAMETERS'!$B$12:$H$12,1,MATCH(Details[[#Headers],[GENERAL PARTNER]],Parameters[#Headers],0))*Details[[#This Row],[ACTUAL WORK]]</f>
        <v>17850</v>
      </c>
      <c r="S9" s="11">
        <f>INDEX(Parameters[],MATCH(Details[[#This Row],[PROJECT TYPE]],Parameters[PROJECT TYPE],0),MATCH(Details[[#Headers],[BUSINESS LAWYER]],Parameters[#Headers],0))*INDEX('PROJECT PARAMETERS'!$B$12:$H$12,1,MATCH(Details[[#Headers],[BUSINESS LAWYER]],Parameters[#Headers],0))*Details[[#This Row],[ACTUAL WORK]]</f>
        <v>6375</v>
      </c>
      <c r="T9" s="11">
        <f>INDEX(Parameters[],MATCH(Details[[#This Row],[PROJECT TYPE]],Parameters[PROJECT TYPE],0),MATCH(Details[[#Headers],[DEFENSE LITIGATOR]],Parameters[#Headers],0))*INDEX('PROJECT PARAMETERS'!$B$12:$H$12,1,MATCH(Details[[#Headers],[DEFENSE LITIGATOR]],Parameters[#Headers],0))*Details[[#This Row],[ACTUAL WORK]]</f>
        <v>30600</v>
      </c>
      <c r="U9" s="11">
        <f>INDEX(Parameters[],MATCH(Details[[#This Row],[PROJECT TYPE]],Parameters[PROJECT TYPE],0),MATCH(Details[[#Headers],[INTELLECTUAL PROPERTY LAWYER]],Parameters[#Headers],0))*INDEX('PROJECT PARAMETERS'!$B$12:$H$12,1,MATCH(Details[[#Headers],[INTELLECTUAL PROPERTY LAWYER]],Parameters[#Headers],0))*Details[[#This Row],[ACTUAL WORK]]</f>
        <v>0</v>
      </c>
      <c r="V9" s="11">
        <f>INDEX(Parameters[],MATCH(Details[[#This Row],[PROJECT TYPE]],Parameters[PROJECT TYPE],0),MATCH(Details[[#Headers],[BANKRUPTCY LAWYER]],Parameters[#Headers],0))*INDEX('PROJECT PARAMETERS'!$B$12:$H$12,1,MATCH(Details[[#Headers],[BANKRUPTCY LAWYER]],Parameters[#Headers],0))*Details[[#This Row],[ACTUAL WORK]]</f>
        <v>0</v>
      </c>
      <c r="W9" s="11">
        <f>INDEX(Parameters[],MATCH(Details[[#This Row],[PROJECT TYPE]],Parameters[PROJECT TYPE],0),MATCH(Details[[#Headers],[ADMIN STAFF]],Parameters[#Headers],0))*INDEX('PROJECT PARAMETERS'!$B$12:$H$12,1,MATCH(Details[[#Headers],[ADMIN STAFF]],Parameters[#Headers],0))*Details[[#This Row],[ACTUAL WORK]]</f>
        <v>9562.5</v>
      </c>
      <c r="Y9" s="30"/>
      <c r="Z9" s="30"/>
      <c r="AA9" s="30"/>
      <c r="AB9" s="30"/>
      <c r="AC9" s="30"/>
    </row>
    <row r="10" spans="1:29" x14ac:dyDescent="0.2">
      <c r="B10" s="1" t="s">
        <v>2</v>
      </c>
      <c r="H10" s="1">
        <f>SUBTOTAL(109,Details[ESTIMATED WORK])</f>
        <v>1500</v>
      </c>
      <c r="I10" s="1">
        <f>SUBTOTAL(109,Details[ACTUAL WORK])</f>
        <v>1510</v>
      </c>
      <c r="J10" s="1">
        <f ca="1">SUBTOTAL(109,Details[ESTIMATED DURATION])</f>
        <v>186</v>
      </c>
      <c r="K10" s="1">
        <f ca="1">SUBTOTAL(109,Details[ACTUAL DURATION])</f>
        <v>171</v>
      </c>
    </row>
  </sheetData>
  <mergeCells count="1">
    <mergeCell ref="Y2:AC9"/>
  </mergeCells>
  <dataValidations count="1">
    <dataValidation type="list" allowBlank="1" showInputMessage="1" showErrorMessage="1" sqref="C5:C9">
      <formula1>ProjectType</formula1>
    </dataValidation>
  </dataValidations>
  <printOptions horizontalCentered="1"/>
  <pageMargins left="0.4" right="0.4" top="0.4" bottom="0.4" header="0.3" footer="0.3"/>
  <pageSetup scale="95" fitToHeight="0" orientation="landscape" horizontalDpi="4294967293" verticalDpi="0"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fitToPage="1"/>
  </sheetPr>
  <dimension ref="A1:T28"/>
  <sheetViews>
    <sheetView showGridLines="0" tabSelected="1" workbookViewId="0"/>
  </sheetViews>
  <sheetFormatPr defaultColWidth="9.140625" defaultRowHeight="14.25" x14ac:dyDescent="0.2"/>
  <cols>
    <col min="1" max="1" width="1.85546875" style="15" customWidth="1"/>
    <col min="2" max="2" width="16" style="1" bestFit="1" customWidth="1"/>
    <col min="3" max="4" width="10.85546875" style="1" bestFit="1" customWidth="1"/>
    <col min="5" max="5" width="12" style="1" bestFit="1" customWidth="1"/>
    <col min="6" max="6" width="13.5703125" style="1" bestFit="1" customWidth="1"/>
    <col min="7" max="7" width="12.140625" style="1" bestFit="1" customWidth="1"/>
    <col min="8" max="8" width="12.42578125" style="1" bestFit="1" customWidth="1"/>
    <col min="9" max="10" width="10.85546875" style="1" bestFit="1" customWidth="1"/>
    <col min="11" max="11" width="12" style="1" bestFit="1" customWidth="1"/>
    <col min="12" max="12" width="12.140625" style="1" bestFit="1" customWidth="1"/>
    <col min="13" max="13" width="13.5703125" style="1" bestFit="1" customWidth="1"/>
    <col min="14" max="14" width="12.42578125" style="1" bestFit="1" customWidth="1"/>
    <col min="15" max="15" width="2.7109375" style="1" customWidth="1"/>
    <col min="16" max="16384" width="9.140625" style="1"/>
  </cols>
  <sheetData>
    <row r="1" spans="1:20" ht="35.450000000000003" customHeight="1" x14ac:dyDescent="0.35">
      <c r="A1" s="15" t="s">
        <v>72</v>
      </c>
      <c r="B1" s="2" t="str">
        <f>'PROJECT PARAMETERS'!B1</f>
        <v>Company Name</v>
      </c>
      <c r="C1" s="2"/>
      <c r="D1" s="2"/>
      <c r="E1" s="2"/>
      <c r="F1" s="2"/>
      <c r="G1" s="2"/>
      <c r="H1" s="2"/>
      <c r="I1" s="2"/>
      <c r="J1" s="2"/>
      <c r="K1" s="2"/>
      <c r="L1" s="2"/>
      <c r="M1" s="2"/>
      <c r="N1" s="2"/>
    </row>
    <row r="2" spans="1:20" ht="19.5" x14ac:dyDescent="0.25">
      <c r="A2" s="15" t="s">
        <v>68</v>
      </c>
      <c r="B2" s="3" t="str">
        <f>'PROJECT PARAMETERS'!B2</f>
        <v>Project Planning for Law Firms</v>
      </c>
      <c r="C2" s="3"/>
      <c r="D2" s="3"/>
      <c r="E2" s="3"/>
      <c r="F2" s="3"/>
      <c r="G2" s="3"/>
      <c r="H2" s="3"/>
      <c r="I2" s="3"/>
      <c r="J2" s="3"/>
      <c r="K2" s="3"/>
    </row>
    <row r="3" spans="1:20" ht="15" x14ac:dyDescent="0.2">
      <c r="A3" s="15" t="s">
        <v>69</v>
      </c>
      <c r="B3" s="4" t="str">
        <f>'PROJECT PARAMETERS'!B3</f>
        <v>Company Name Confidential</v>
      </c>
      <c r="C3" s="4"/>
      <c r="D3" s="4"/>
      <c r="E3" s="4"/>
      <c r="F3" s="4"/>
      <c r="G3" s="4"/>
      <c r="H3" s="4"/>
      <c r="I3" s="4"/>
      <c r="J3" s="4"/>
      <c r="K3" s="4"/>
    </row>
    <row r="4" spans="1:20" x14ac:dyDescent="0.2">
      <c r="A4" s="15" t="s">
        <v>80</v>
      </c>
      <c r="C4" s="31" t="s">
        <v>48</v>
      </c>
      <c r="D4" s="32"/>
      <c r="E4" s="32"/>
      <c r="F4" s="32"/>
      <c r="G4" s="32"/>
      <c r="H4" s="33"/>
      <c r="I4" s="31" t="s">
        <v>49</v>
      </c>
      <c r="J4" s="32"/>
      <c r="K4" s="32"/>
      <c r="L4" s="32"/>
      <c r="M4" s="32"/>
      <c r="N4" s="33"/>
      <c r="P4" s="34" t="s">
        <v>81</v>
      </c>
      <c r="Q4" s="35"/>
      <c r="R4" s="35"/>
      <c r="S4" s="35"/>
      <c r="T4" s="35"/>
    </row>
    <row r="5" spans="1:20" s="14" customFormat="1" ht="25.5" x14ac:dyDescent="0.2">
      <c r="A5" s="27" t="s">
        <v>73</v>
      </c>
      <c r="B5" s="28" t="s">
        <v>5</v>
      </c>
      <c r="C5" s="13" t="s">
        <v>31</v>
      </c>
      <c r="D5" s="13" t="s">
        <v>44</v>
      </c>
      <c r="E5" s="13" t="s">
        <v>32</v>
      </c>
      <c r="F5" s="13" t="s">
        <v>42</v>
      </c>
      <c r="G5" s="13" t="s">
        <v>43</v>
      </c>
      <c r="H5" s="13" t="s">
        <v>15</v>
      </c>
      <c r="I5" s="13" t="s">
        <v>38</v>
      </c>
      <c r="J5" s="13" t="s">
        <v>45</v>
      </c>
      <c r="K5" s="13" t="s">
        <v>39</v>
      </c>
      <c r="L5" s="13" t="s">
        <v>46</v>
      </c>
      <c r="M5" s="13" t="s">
        <v>40</v>
      </c>
      <c r="N5" s="13" t="s">
        <v>47</v>
      </c>
      <c r="P5" s="35"/>
      <c r="Q5" s="35"/>
      <c r="R5" s="35"/>
      <c r="S5" s="35"/>
      <c r="T5" s="35"/>
    </row>
    <row r="6" spans="1:20" x14ac:dyDescent="0.2">
      <c r="B6" t="s">
        <v>55</v>
      </c>
      <c r="C6" s="12">
        <v>7000</v>
      </c>
      <c r="D6" s="12">
        <v>20000</v>
      </c>
      <c r="E6" s="12">
        <v>0</v>
      </c>
      <c r="F6" s="12">
        <v>0</v>
      </c>
      <c r="G6" s="12">
        <v>0</v>
      </c>
      <c r="H6" s="12">
        <v>12500</v>
      </c>
      <c r="I6" s="12">
        <v>7700</v>
      </c>
      <c r="J6" s="12">
        <v>22000</v>
      </c>
      <c r="K6" s="12">
        <v>0</v>
      </c>
      <c r="L6" s="12">
        <v>0</v>
      </c>
      <c r="M6" s="12">
        <v>0</v>
      </c>
      <c r="N6" s="12">
        <v>13750</v>
      </c>
      <c r="P6" s="35"/>
      <c r="Q6" s="35"/>
      <c r="R6" s="35"/>
      <c r="S6" s="35"/>
      <c r="T6" s="35"/>
    </row>
    <row r="7" spans="1:20" x14ac:dyDescent="0.2">
      <c r="B7" t="s">
        <v>56</v>
      </c>
      <c r="C7" s="12">
        <v>14000</v>
      </c>
      <c r="D7" s="12">
        <v>40000</v>
      </c>
      <c r="E7" s="12">
        <v>0</v>
      </c>
      <c r="F7" s="12">
        <v>11000</v>
      </c>
      <c r="G7" s="12">
        <v>0</v>
      </c>
      <c r="H7" s="12">
        <v>20000</v>
      </c>
      <c r="I7" s="12">
        <v>13650</v>
      </c>
      <c r="J7" s="12">
        <v>39000</v>
      </c>
      <c r="K7" s="12">
        <v>0</v>
      </c>
      <c r="L7" s="12">
        <v>0</v>
      </c>
      <c r="M7" s="12">
        <v>10725</v>
      </c>
      <c r="N7" s="12">
        <v>19500</v>
      </c>
      <c r="P7" s="35"/>
      <c r="Q7" s="35"/>
      <c r="R7" s="35"/>
      <c r="S7" s="35"/>
      <c r="T7" s="35"/>
    </row>
    <row r="8" spans="1:20" x14ac:dyDescent="0.2">
      <c r="B8" t="s">
        <v>57</v>
      </c>
      <c r="C8" s="12">
        <v>35000</v>
      </c>
      <c r="D8" s="12">
        <v>0</v>
      </c>
      <c r="E8" s="12">
        <v>75000</v>
      </c>
      <c r="F8" s="12">
        <v>0</v>
      </c>
      <c r="G8" s="12">
        <v>0</v>
      </c>
      <c r="H8" s="12">
        <v>18750</v>
      </c>
      <c r="I8" s="12">
        <v>35000</v>
      </c>
      <c r="J8" s="12">
        <v>0</v>
      </c>
      <c r="K8" s="12">
        <v>75000</v>
      </c>
      <c r="L8" s="12">
        <v>0</v>
      </c>
      <c r="M8" s="12">
        <v>0</v>
      </c>
      <c r="N8" s="12">
        <v>18750</v>
      </c>
      <c r="P8" s="35"/>
      <c r="Q8" s="35"/>
      <c r="R8" s="35"/>
      <c r="S8" s="35"/>
      <c r="T8" s="35"/>
    </row>
    <row r="9" spans="1:20" x14ac:dyDescent="0.2">
      <c r="B9" t="s">
        <v>58</v>
      </c>
      <c r="C9" s="12">
        <v>5250</v>
      </c>
      <c r="D9" s="12">
        <v>0</v>
      </c>
      <c r="E9" s="12">
        <v>0</v>
      </c>
      <c r="F9" s="12">
        <v>24750</v>
      </c>
      <c r="G9" s="12">
        <v>0</v>
      </c>
      <c r="H9" s="12">
        <v>5625</v>
      </c>
      <c r="I9" s="12">
        <v>5075</v>
      </c>
      <c r="J9" s="12">
        <v>0</v>
      </c>
      <c r="K9" s="12">
        <v>0</v>
      </c>
      <c r="L9" s="12">
        <v>0</v>
      </c>
      <c r="M9" s="12">
        <v>23925</v>
      </c>
      <c r="N9" s="12">
        <v>5437.5</v>
      </c>
      <c r="P9" s="35"/>
      <c r="Q9" s="35"/>
      <c r="R9" s="35"/>
      <c r="S9" s="35"/>
      <c r="T9" s="35"/>
    </row>
    <row r="10" spans="1:20" x14ac:dyDescent="0.2">
      <c r="B10" t="s">
        <v>59</v>
      </c>
      <c r="C10" s="12">
        <v>17500</v>
      </c>
      <c r="D10" s="12">
        <v>6250</v>
      </c>
      <c r="E10" s="12">
        <v>30000</v>
      </c>
      <c r="F10" s="12">
        <v>0</v>
      </c>
      <c r="G10" s="12">
        <v>0</v>
      </c>
      <c r="H10" s="12">
        <v>9375</v>
      </c>
      <c r="I10" s="12">
        <v>17850</v>
      </c>
      <c r="J10" s="12">
        <v>6375</v>
      </c>
      <c r="K10" s="12">
        <v>30600</v>
      </c>
      <c r="L10" s="12">
        <v>0</v>
      </c>
      <c r="M10" s="12">
        <v>0</v>
      </c>
      <c r="N10" s="12">
        <v>9562.5</v>
      </c>
      <c r="P10" s="35"/>
      <c r="Q10" s="35"/>
      <c r="R10" s="35"/>
      <c r="S10" s="35"/>
      <c r="T10" s="35"/>
    </row>
    <row r="11" spans="1:20" x14ac:dyDescent="0.2">
      <c r="B11" t="s">
        <v>13</v>
      </c>
      <c r="C11" s="12">
        <v>78750</v>
      </c>
      <c r="D11" s="12">
        <v>66250</v>
      </c>
      <c r="E11" s="12">
        <v>105000</v>
      </c>
      <c r="F11" s="12">
        <v>35750</v>
      </c>
      <c r="G11" s="12">
        <v>0</v>
      </c>
      <c r="H11" s="12">
        <v>66250</v>
      </c>
      <c r="I11" s="12">
        <v>79275</v>
      </c>
      <c r="J11" s="12">
        <v>67375</v>
      </c>
      <c r="K11" s="12">
        <v>105600</v>
      </c>
      <c r="L11" s="12">
        <v>0</v>
      </c>
      <c r="M11" s="12">
        <v>34650</v>
      </c>
      <c r="N11" s="12">
        <v>67000</v>
      </c>
      <c r="P11" s="35"/>
      <c r="Q11" s="35"/>
      <c r="R11" s="35"/>
      <c r="S11" s="35"/>
      <c r="T11" s="35"/>
    </row>
    <row r="12" spans="1:20" x14ac:dyDescent="0.2">
      <c r="B12"/>
      <c r="C12"/>
      <c r="D12"/>
      <c r="E12"/>
      <c r="F12"/>
      <c r="G12"/>
      <c r="H12"/>
      <c r="I12"/>
      <c r="J12"/>
      <c r="K12"/>
      <c r="L12"/>
      <c r="M12"/>
      <c r="N12"/>
      <c r="P12" s="35"/>
      <c r="Q12" s="35"/>
      <c r="R12" s="35"/>
      <c r="S12" s="35"/>
      <c r="T12" s="35"/>
    </row>
    <row r="13" spans="1:20" x14ac:dyDescent="0.2">
      <c r="B13"/>
      <c r="C13"/>
      <c r="D13"/>
      <c r="E13"/>
      <c r="F13"/>
      <c r="G13"/>
      <c r="H13"/>
      <c r="I13"/>
      <c r="J13"/>
      <c r="K13"/>
      <c r="L13"/>
      <c r="M13"/>
      <c r="N13"/>
      <c r="P13" s="35"/>
      <c r="Q13" s="35"/>
      <c r="R13" s="35"/>
      <c r="S13" s="35"/>
      <c r="T13" s="35"/>
    </row>
    <row r="14" spans="1:20" x14ac:dyDescent="0.2">
      <c r="B14"/>
      <c r="C14"/>
      <c r="D14"/>
      <c r="E14"/>
      <c r="F14"/>
      <c r="G14"/>
      <c r="H14"/>
      <c r="I14"/>
      <c r="J14"/>
      <c r="K14"/>
      <c r="L14"/>
      <c r="M14"/>
      <c r="N14"/>
      <c r="P14" s="35"/>
      <c r="Q14" s="35"/>
      <c r="R14" s="35"/>
      <c r="S14" s="35"/>
      <c r="T14" s="35"/>
    </row>
    <row r="15" spans="1:20" x14ac:dyDescent="0.2">
      <c r="B15"/>
      <c r="C15"/>
      <c r="D15"/>
      <c r="E15"/>
      <c r="F15"/>
      <c r="G15"/>
      <c r="H15"/>
      <c r="I15"/>
      <c r="J15"/>
      <c r="K15"/>
      <c r="L15"/>
      <c r="M15"/>
      <c r="N15"/>
      <c r="P15" s="35"/>
      <c r="Q15" s="35"/>
      <c r="R15" s="35"/>
      <c r="S15" s="35"/>
      <c r="T15" s="35"/>
    </row>
    <row r="16" spans="1:20" x14ac:dyDescent="0.2">
      <c r="B16"/>
      <c r="C16"/>
      <c r="D16"/>
      <c r="E16"/>
      <c r="F16"/>
      <c r="G16"/>
      <c r="H16"/>
      <c r="I16"/>
      <c r="J16"/>
      <c r="K16"/>
      <c r="L16"/>
      <c r="M16"/>
      <c r="N16"/>
    </row>
    <row r="17" spans="2:14" x14ac:dyDescent="0.2">
      <c r="B17"/>
      <c r="C17"/>
      <c r="D17"/>
      <c r="E17"/>
      <c r="F17"/>
      <c r="G17"/>
      <c r="H17"/>
      <c r="I17"/>
      <c r="J17"/>
      <c r="K17"/>
      <c r="L17"/>
      <c r="M17"/>
      <c r="N17"/>
    </row>
    <row r="18" spans="2:14" x14ac:dyDescent="0.2">
      <c r="B18"/>
      <c r="C18"/>
      <c r="D18"/>
      <c r="E18"/>
      <c r="F18"/>
      <c r="G18"/>
      <c r="H18"/>
      <c r="I18"/>
      <c r="J18"/>
      <c r="K18"/>
      <c r="L18"/>
      <c r="M18"/>
      <c r="N18"/>
    </row>
    <row r="19" spans="2:14" x14ac:dyDescent="0.2">
      <c r="B19"/>
      <c r="C19"/>
      <c r="D19"/>
      <c r="E19"/>
      <c r="F19"/>
      <c r="G19"/>
      <c r="H19"/>
      <c r="I19"/>
      <c r="J19"/>
      <c r="K19"/>
      <c r="L19"/>
      <c r="M19"/>
      <c r="N19"/>
    </row>
    <row r="20" spans="2:14" x14ac:dyDescent="0.2">
      <c r="B20"/>
      <c r="C20"/>
      <c r="D20"/>
      <c r="E20"/>
      <c r="F20"/>
      <c r="G20"/>
      <c r="H20"/>
      <c r="I20"/>
      <c r="J20"/>
      <c r="K20"/>
      <c r="L20"/>
      <c r="M20"/>
      <c r="N20"/>
    </row>
    <row r="21" spans="2:14" x14ac:dyDescent="0.2">
      <c r="B21"/>
      <c r="C21"/>
      <c r="D21"/>
      <c r="E21"/>
      <c r="F21"/>
      <c r="G21"/>
      <c r="H21"/>
      <c r="I21"/>
      <c r="J21"/>
      <c r="K21"/>
      <c r="L21"/>
      <c r="M21"/>
      <c r="N21"/>
    </row>
    <row r="22" spans="2:14" x14ac:dyDescent="0.2">
      <c r="B22"/>
      <c r="C22"/>
      <c r="D22"/>
      <c r="E22"/>
      <c r="F22"/>
      <c r="G22"/>
      <c r="H22"/>
      <c r="I22"/>
      <c r="J22"/>
      <c r="K22"/>
      <c r="L22"/>
      <c r="M22"/>
      <c r="N22"/>
    </row>
    <row r="23" spans="2:14" x14ac:dyDescent="0.2">
      <c r="B23"/>
      <c r="C23"/>
      <c r="D23"/>
      <c r="E23"/>
      <c r="F23"/>
      <c r="G23"/>
      <c r="H23"/>
      <c r="I23"/>
      <c r="J23"/>
      <c r="K23"/>
      <c r="L23"/>
      <c r="M23"/>
      <c r="N23"/>
    </row>
    <row r="24" spans="2:14" x14ac:dyDescent="0.2">
      <c r="B24"/>
      <c r="C24"/>
      <c r="D24"/>
      <c r="E24"/>
      <c r="F24"/>
      <c r="G24"/>
      <c r="H24"/>
      <c r="I24"/>
      <c r="J24"/>
      <c r="K24"/>
      <c r="L24"/>
      <c r="M24"/>
      <c r="N24"/>
    </row>
    <row r="25" spans="2:14" x14ac:dyDescent="0.2">
      <c r="B25"/>
      <c r="C25"/>
      <c r="D25"/>
      <c r="E25"/>
      <c r="F25"/>
      <c r="G25"/>
      <c r="H25"/>
      <c r="I25"/>
      <c r="J25"/>
      <c r="K25"/>
      <c r="L25"/>
      <c r="M25"/>
      <c r="N25"/>
    </row>
    <row r="26" spans="2:14" x14ac:dyDescent="0.2">
      <c r="B26"/>
      <c r="C26"/>
      <c r="D26"/>
      <c r="E26"/>
      <c r="F26"/>
      <c r="G26"/>
      <c r="H26"/>
      <c r="I26"/>
      <c r="J26"/>
      <c r="K26"/>
      <c r="L26"/>
      <c r="M26"/>
      <c r="N26"/>
    </row>
    <row r="27" spans="2:14" x14ac:dyDescent="0.2">
      <c r="B27"/>
      <c r="C27"/>
      <c r="D27"/>
      <c r="E27"/>
      <c r="F27"/>
      <c r="G27"/>
      <c r="H27"/>
      <c r="I27"/>
      <c r="J27"/>
      <c r="K27"/>
      <c r="L27"/>
      <c r="M27"/>
      <c r="N27"/>
    </row>
    <row r="28" spans="2:14" x14ac:dyDescent="0.2">
      <c r="B28"/>
      <c r="C28"/>
      <c r="D28"/>
      <c r="E28"/>
      <c r="F28"/>
      <c r="G28"/>
      <c r="H28"/>
      <c r="I28"/>
      <c r="J28"/>
      <c r="K28"/>
      <c r="L28"/>
      <c r="M28"/>
      <c r="N28"/>
    </row>
  </sheetData>
  <mergeCells count="3">
    <mergeCell ref="I4:N4"/>
    <mergeCell ref="C4:H4"/>
    <mergeCell ref="P4:T15"/>
  </mergeCells>
  <printOptions horizontalCentered="1"/>
  <pageMargins left="0.4" right="0.4" top="0.4" bottom="0.4" header="0.3" footer="0.3"/>
  <pageSetup scale="78" fitToHeight="0" orientation="landscape" horizontalDpi="4294967293" r:id="rId2"/>
  <headerFooter differentFirst="1">
    <oddFooter>Page &amp;P of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Start</vt:lpstr>
      <vt:lpstr>PROJECT PARAMETERS</vt:lpstr>
      <vt:lpstr>PROJECT DETAILS</vt:lpstr>
      <vt:lpstr>PROJECT TOTALS</vt:lpstr>
      <vt:lpstr>'PROJECT DETAILS'!Print_Titles</vt:lpstr>
      <vt:lpstr>'PROJECT TOTALS'!Print_Titles</vt:lpstr>
      <vt:lpstr>ProjectType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Presage Operations</cp:lastModifiedBy>
  <dcterms:created xsi:type="dcterms:W3CDTF">2018-05-29T11:56:34Z</dcterms:created>
  <dcterms:modified xsi:type="dcterms:W3CDTF">2022-11-07T14:18:21Z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2018-05-29T11:56:42.5666079Z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