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65911/Desktop/Fordham/Sem 1 syllabus/Derivatives/HW Redone/HW5/"/>
    </mc:Choice>
  </mc:AlternateContent>
  <xr:revisionPtr revIDLastSave="0" documentId="13_ncr:1_{B1B76F3B-225A-3642-AA2D-4B631EFDF7CE}" xr6:coauthVersionLast="47" xr6:coauthVersionMax="47" xr10:uidLastSave="{00000000-0000-0000-0000-000000000000}"/>
  <bookViews>
    <workbookView xWindow="0" yWindow="660" windowWidth="30240" windowHeight="17440" activeTab="2" xr2:uid="{79FD9210-B598-1D40-A761-0090F3242827}"/>
  </bookViews>
  <sheets>
    <sheet name="Call Price" sheetId="1" r:id="rId1"/>
    <sheet name="Put Price" sheetId="2" r:id="rId2"/>
    <sheet name="Put Call Parity" sheetId="4" r:id="rId3"/>
    <sheet name="Black-Scho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1" i="4"/>
  <c r="C6" i="4"/>
  <c r="B11" i="4"/>
  <c r="B6" i="4"/>
  <c r="F6" i="3"/>
  <c r="F7" i="3" s="1"/>
  <c r="F9" i="3" s="1"/>
  <c r="B17" i="1"/>
  <c r="F10" i="3"/>
  <c r="B47" i="2"/>
  <c r="B17" i="2"/>
  <c r="B55" i="2"/>
  <c r="B45" i="2"/>
  <c r="B46" i="2" s="1"/>
  <c r="B26" i="2"/>
  <c r="B16" i="2"/>
  <c r="D11" i="4" l="1"/>
  <c r="F8" i="3"/>
  <c r="F13" i="3" s="1"/>
  <c r="F12" i="3"/>
  <c r="B18" i="3" s="1"/>
  <c r="D53" i="2"/>
  <c r="F51" i="2" s="1"/>
  <c r="H49" i="2" s="1"/>
  <c r="J47" i="2" s="1"/>
  <c r="L45" i="2"/>
  <c r="L49" i="2"/>
  <c r="N49" i="2" s="1"/>
  <c r="B18" i="2"/>
  <c r="B19" i="2" s="1"/>
  <c r="D57" i="2"/>
  <c r="D18" i="3" l="1"/>
  <c r="N45" i="2"/>
  <c r="P47" i="2" s="1"/>
  <c r="D24" i="2"/>
  <c r="F55" i="2"/>
  <c r="F59" i="2"/>
  <c r="H61" i="2" s="1"/>
  <c r="J63" i="2" s="1"/>
  <c r="L65" i="2" s="1"/>
  <c r="N65" i="2" s="1"/>
  <c r="D28" i="2"/>
  <c r="F30" i="2" s="1"/>
  <c r="F22" i="2" l="1"/>
  <c r="H20" i="2" s="1"/>
  <c r="F26" i="2"/>
  <c r="H24" i="2" s="1"/>
  <c r="H28" i="2"/>
  <c r="J26" i="2" s="1"/>
  <c r="L28" i="2" s="1"/>
  <c r="N28" i="2" s="1"/>
  <c r="H32" i="2"/>
  <c r="H53" i="2"/>
  <c r="H57" i="2"/>
  <c r="J59" i="2" s="1"/>
  <c r="L61" i="2" s="1"/>
  <c r="N61" i="2" l="1"/>
  <c r="P63" i="2" s="1"/>
  <c r="J51" i="2"/>
  <c r="L53" i="2" s="1"/>
  <c r="N53" i="2" s="1"/>
  <c r="J55" i="2"/>
  <c r="L57" i="2" s="1"/>
  <c r="J30" i="2"/>
  <c r="J34" i="2"/>
  <c r="J18" i="2"/>
  <c r="J22" i="2"/>
  <c r="L24" i="2" s="1"/>
  <c r="B45" i="1"/>
  <c r="B16" i="1"/>
  <c r="B55" i="1"/>
  <c r="B26" i="1"/>
  <c r="D24" i="1" s="1"/>
  <c r="B47" i="1" l="1"/>
  <c r="D57" i="1" s="1"/>
  <c r="B46" i="1"/>
  <c r="N57" i="2"/>
  <c r="P59" i="2" s="1"/>
  <c r="R61" i="2" s="1"/>
  <c r="N24" i="2"/>
  <c r="P26" i="2" s="1"/>
  <c r="L20" i="2"/>
  <c r="L16" i="2"/>
  <c r="L32" i="2"/>
  <c r="N32" i="2" s="1"/>
  <c r="P34" i="2" s="1"/>
  <c r="L36" i="2"/>
  <c r="N36" i="2" s="1"/>
  <c r="P55" i="2"/>
  <c r="P51" i="2"/>
  <c r="D53" i="1"/>
  <c r="F51" i="1" s="1"/>
  <c r="H49" i="1" s="1"/>
  <c r="J47" i="1" s="1"/>
  <c r="L49" i="1" s="1"/>
  <c r="N49" i="1" s="1"/>
  <c r="F22" i="1"/>
  <c r="H20" i="1" s="1"/>
  <c r="B18" i="1"/>
  <c r="F55" i="1" l="1"/>
  <c r="F59" i="1"/>
  <c r="H61" i="1" s="1"/>
  <c r="J63" i="1" s="1"/>
  <c r="L65" i="1" s="1"/>
  <c r="N65" i="1" s="1"/>
  <c r="L45" i="1"/>
  <c r="N45" i="1" s="1"/>
  <c r="P47" i="1" s="1"/>
  <c r="R57" i="2"/>
  <c r="T59" i="2" s="1"/>
  <c r="N16" i="2"/>
  <c r="P18" i="2" s="1"/>
  <c r="R20" i="2" s="1"/>
  <c r="T22" i="2" s="1"/>
  <c r="N20" i="2"/>
  <c r="P22" i="2" s="1"/>
  <c r="R24" i="2" s="1"/>
  <c r="D28" i="1"/>
  <c r="F30" i="1" s="1"/>
  <c r="H32" i="1" s="1"/>
  <c r="B19" i="1"/>
  <c r="R53" i="2"/>
  <c r="T55" i="2" s="1"/>
  <c r="V57" i="2" s="1"/>
  <c r="R49" i="2"/>
  <c r="T51" i="2" s="1"/>
  <c r="V53" i="2" s="1"/>
  <c r="X55" i="2" s="1"/>
  <c r="P30" i="2"/>
  <c r="F26" i="1"/>
  <c r="H24" i="1" s="1"/>
  <c r="J22" i="1"/>
  <c r="L24" i="1" s="1"/>
  <c r="N24" i="1" s="1"/>
  <c r="J18" i="1"/>
  <c r="H53" i="1" l="1"/>
  <c r="H57" i="1"/>
  <c r="J59" i="1" s="1"/>
  <c r="L61" i="1" s="1"/>
  <c r="N61" i="1" s="1"/>
  <c r="P63" i="1" s="1"/>
  <c r="H28" i="1"/>
  <c r="J26" i="1" s="1"/>
  <c r="L28" i="1" s="1"/>
  <c r="N28" i="1" s="1"/>
  <c r="P26" i="1" s="1"/>
  <c r="R32" i="2"/>
  <c r="R28" i="2"/>
  <c r="L20" i="1"/>
  <c r="N20" i="1" s="1"/>
  <c r="L16" i="1"/>
  <c r="N16" i="1" s="1"/>
  <c r="J30" i="1"/>
  <c r="J34" i="1"/>
  <c r="J51" i="1" l="1"/>
  <c r="L53" i="1" s="1"/>
  <c r="N53" i="1" s="1"/>
  <c r="J55" i="1"/>
  <c r="L57" i="1" s="1"/>
  <c r="N57" i="1" s="1"/>
  <c r="P59" i="1" s="1"/>
  <c r="R61" i="1" s="1"/>
  <c r="P18" i="1"/>
  <c r="P22" i="1"/>
  <c r="R24" i="1" s="1"/>
  <c r="T30" i="2"/>
  <c r="T26" i="2"/>
  <c r="L32" i="1"/>
  <c r="N32" i="1" s="1"/>
  <c r="L36" i="1"/>
  <c r="N36" i="1" s="1"/>
  <c r="P51" i="1" l="1"/>
  <c r="P55" i="1"/>
  <c r="R57" i="1" s="1"/>
  <c r="T59" i="1" s="1"/>
  <c r="P34" i="1"/>
  <c r="P30" i="1"/>
  <c r="R20" i="1"/>
  <c r="T22" i="1" s="1"/>
  <c r="V28" i="2"/>
  <c r="V24" i="2"/>
  <c r="X26" i="2" l="1"/>
  <c r="R49" i="1"/>
  <c r="R53" i="1"/>
  <c r="T55" i="1" s="1"/>
  <c r="V57" i="1" s="1"/>
  <c r="R32" i="1"/>
  <c r="R28" i="1"/>
  <c r="T51" i="1" l="1"/>
  <c r="V53" i="1" s="1"/>
  <c r="X55" i="1" s="1"/>
  <c r="T30" i="1"/>
  <c r="T26" i="1"/>
  <c r="V28" i="1" l="1"/>
  <c r="V24" i="1"/>
  <c r="X26" i="1" l="1"/>
  <c r="D6" i="4" s="1"/>
</calcChain>
</file>

<file path=xl/sharedStrings.xml><?xml version="1.0" encoding="utf-8"?>
<sst xmlns="http://schemas.openxmlformats.org/spreadsheetml/2006/main" count="65" uniqueCount="25">
  <si>
    <t xml:space="preserve">Spot Price = </t>
  </si>
  <si>
    <t>Strike Price =</t>
  </si>
  <si>
    <t>Risk-free interest rate: r =</t>
  </si>
  <si>
    <t>Time to maturity: T (Years) =</t>
  </si>
  <si>
    <t xml:space="preserve">Dividend Yield: q = </t>
  </si>
  <si>
    <t xml:space="preserve">Stock Volatility: </t>
  </si>
  <si>
    <t>Steps</t>
  </si>
  <si>
    <t>Cox-Ross-Rubinstein Model</t>
  </si>
  <si>
    <t>Jarrow-Rudd Model</t>
  </si>
  <si>
    <t>Up factor (u):</t>
  </si>
  <si>
    <t>Down factor (d):</t>
  </si>
  <si>
    <t>Period (Δt):</t>
  </si>
  <si>
    <t>Period</t>
  </si>
  <si>
    <t>p =</t>
  </si>
  <si>
    <t>d_1 =</t>
  </si>
  <si>
    <t>d_2 =</t>
  </si>
  <si>
    <t xml:space="preserve"> (- d_1) =</t>
  </si>
  <si>
    <t xml:space="preserve"> (- d_2) =</t>
  </si>
  <si>
    <t xml:space="preserve">PV(K) = </t>
  </si>
  <si>
    <t>Call Option Price</t>
  </si>
  <si>
    <t>Put Option Price</t>
  </si>
  <si>
    <t>Black-Scholes Model</t>
  </si>
  <si>
    <t>C + PV (K)</t>
  </si>
  <si>
    <t>P + S - PV (Dividends)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</si>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</sst>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&quot;$&quot;#,##0.00000_);\(&quot;$&quot;#,##0.00000\)"/>
    <numFmt numFmtId="165" formatCode="_(&quot;$&quot;* #,##0.00000_);_(&quot;$&quot;* \(#,##0.00000\);_(&quot;$&quot;* &quot;-&quot;?????_);_(@_)"/>
    <numFmt numFmtId="170" formatCode="&quot;$&quot;#,##0.000000_);[Red]\(&quot;$&quot;#,##0.000000\)"/>
    <numFmt numFmtId="171" formatCode="&quot;$&quot;#,##0.0000000_);[Red]\(&quot;$&quot;#,##0.000000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right" vertical="top"/>
    </xf>
    <xf numFmtId="6" fontId="0" fillId="0" borderId="1" xfId="0" applyNumberFormat="1" applyBorder="1" applyAlignment="1">
      <alignment horizontal="right" vertical="top"/>
    </xf>
    <xf numFmtId="9" fontId="0" fillId="0" borderId="1" xfId="0" applyNumberFormat="1" applyBorder="1" applyAlignment="1">
      <alignment horizontal="right" vertical="top"/>
    </xf>
    <xf numFmtId="0" fontId="1" fillId="0" borderId="2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8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24</xdr:row>
      <xdr:rowOff>0</xdr:rowOff>
    </xdr:from>
    <xdr:to>
      <xdr:col>2</xdr:col>
      <xdr:colOff>812800</xdr:colOff>
      <xdr:row>25</xdr:row>
      <xdr:rowOff>12700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DC78CE6-1979-587B-4F8D-2B371C45159A}"/>
            </a:ext>
          </a:extLst>
        </xdr:cNvPr>
        <xdr:cNvCxnSpPr/>
      </xdr:nvCxnSpPr>
      <xdr:spPr>
        <a:xfrm flipV="1">
          <a:off x="2641600" y="48768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12700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2D731FF-8C46-E32A-E91A-BEABC007009E}"/>
            </a:ext>
          </a:extLst>
        </xdr:cNvPr>
        <xdr:cNvCxnSpPr/>
      </xdr:nvCxnSpPr>
      <xdr:spPr>
        <a:xfrm>
          <a:off x="2628900" y="5283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24</xdr:row>
      <xdr:rowOff>0</xdr:rowOff>
    </xdr:from>
    <xdr:to>
      <xdr:col>9</xdr:col>
      <xdr:colOff>12700</xdr:colOff>
      <xdr:row>25</xdr:row>
      <xdr:rowOff>12700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615DC92-602E-4D48-AA20-444D980A93FC}"/>
            </a:ext>
          </a:extLst>
        </xdr:cNvPr>
        <xdr:cNvCxnSpPr/>
      </xdr:nvCxnSpPr>
      <xdr:spPr>
        <a:xfrm>
          <a:off x="7594600" y="4876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0</xdr:rowOff>
    </xdr:from>
    <xdr:to>
      <xdr:col>11</xdr:col>
      <xdr:colOff>0</xdr:colOff>
      <xdr:row>31</xdr:row>
      <xdr:rowOff>12700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2792EF9-9273-8043-81F3-583F2610AD84}"/>
            </a:ext>
          </a:extLst>
        </xdr:cNvPr>
        <xdr:cNvCxnSpPr/>
      </xdr:nvCxnSpPr>
      <xdr:spPr>
        <a:xfrm>
          <a:off x="9232900" y="609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28</xdr:row>
      <xdr:rowOff>0</xdr:rowOff>
    </xdr:from>
    <xdr:to>
      <xdr:col>9</xdr:col>
      <xdr:colOff>12700</xdr:colOff>
      <xdr:row>29</xdr:row>
      <xdr:rowOff>12700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F7E25AF-038C-0C42-9006-4F73F6B8AE1A}"/>
            </a:ext>
          </a:extLst>
        </xdr:cNvPr>
        <xdr:cNvCxnSpPr/>
      </xdr:nvCxnSpPr>
      <xdr:spPr>
        <a:xfrm>
          <a:off x="7594600" y="56896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12700</xdr:rowOff>
    </xdr:from>
    <xdr:to>
      <xdr:col>7</xdr:col>
      <xdr:colOff>0</xdr:colOff>
      <xdr:row>27</xdr:row>
      <xdr:rowOff>25400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4448CFB-372C-B342-9E81-25E246015A61}"/>
            </a:ext>
          </a:extLst>
        </xdr:cNvPr>
        <xdr:cNvCxnSpPr/>
      </xdr:nvCxnSpPr>
      <xdr:spPr>
        <a:xfrm>
          <a:off x="5930900" y="52959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190500</xdr:rowOff>
    </xdr:from>
    <xdr:to>
      <xdr:col>7</xdr:col>
      <xdr:colOff>0</xdr:colOff>
      <xdr:row>23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FD7584E-DAD7-354A-927D-A117BD3EDAFE}"/>
            </a:ext>
          </a:extLst>
        </xdr:cNvPr>
        <xdr:cNvCxnSpPr/>
      </xdr:nvCxnSpPr>
      <xdr:spPr>
        <a:xfrm>
          <a:off x="5930900" y="44577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812800</xdr:colOff>
      <xdr:row>24</xdr:row>
      <xdr:rowOff>0</xdr:rowOff>
    </xdr:from>
    <xdr:to>
      <xdr:col>4</xdr:col>
      <xdr:colOff>812800</xdr:colOff>
      <xdr:row>25</xdr:row>
      <xdr:rowOff>12700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C51EC9F-C259-FD4E-8198-EC6D2ED1E797}"/>
            </a:ext>
          </a:extLst>
        </xdr:cNvPr>
        <xdr:cNvCxnSpPr/>
      </xdr:nvCxnSpPr>
      <xdr:spPr>
        <a:xfrm>
          <a:off x="4267200" y="4876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28</xdr:row>
      <xdr:rowOff>12700</xdr:rowOff>
    </xdr:from>
    <xdr:to>
      <xdr:col>5</xdr:col>
      <xdr:colOff>12700</xdr:colOff>
      <xdr:row>29</xdr:row>
      <xdr:rowOff>25400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0BFFBF0-BD01-B847-A684-B73D8648292A}"/>
            </a:ext>
          </a:extLst>
        </xdr:cNvPr>
        <xdr:cNvCxnSpPr/>
      </xdr:nvCxnSpPr>
      <xdr:spPr>
        <a:xfrm>
          <a:off x="4292600" y="57023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7</xdr:col>
      <xdr:colOff>0</xdr:colOff>
      <xdr:row>31</xdr:row>
      <xdr:rowOff>12700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C0EC59C-A13C-8145-8D09-DF521C7B1035}"/>
            </a:ext>
          </a:extLst>
        </xdr:cNvPr>
        <xdr:cNvCxnSpPr/>
      </xdr:nvCxnSpPr>
      <xdr:spPr>
        <a:xfrm>
          <a:off x="5930900" y="609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</xdr:row>
      <xdr:rowOff>0</xdr:rowOff>
    </xdr:from>
    <xdr:to>
      <xdr:col>9</xdr:col>
      <xdr:colOff>0</xdr:colOff>
      <xdr:row>33</xdr:row>
      <xdr:rowOff>12700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5B6390A-680D-E74E-9E8F-D72826641EE7}"/>
            </a:ext>
          </a:extLst>
        </xdr:cNvPr>
        <xdr:cNvCxnSpPr/>
      </xdr:nvCxnSpPr>
      <xdr:spPr>
        <a:xfrm>
          <a:off x="7581900" y="6502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177800</xdr:rowOff>
    </xdr:from>
    <xdr:to>
      <xdr:col>11</xdr:col>
      <xdr:colOff>0</xdr:colOff>
      <xdr:row>34</xdr:row>
      <xdr:rowOff>190500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0479AF8-4FD3-5D4B-8E8D-C2CB70B6D06F}"/>
            </a:ext>
          </a:extLst>
        </xdr:cNvPr>
        <xdr:cNvCxnSpPr/>
      </xdr:nvCxnSpPr>
      <xdr:spPr>
        <a:xfrm>
          <a:off x="9232900" y="6883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18</xdr:row>
      <xdr:rowOff>0</xdr:rowOff>
    </xdr:from>
    <xdr:to>
      <xdr:col>11</xdr:col>
      <xdr:colOff>12700</xdr:colOff>
      <xdr:row>19</xdr:row>
      <xdr:rowOff>12700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B0CE647-D14B-FA4D-900D-615F4A096299}"/>
            </a:ext>
          </a:extLst>
        </xdr:cNvPr>
        <xdr:cNvCxnSpPr/>
      </xdr:nvCxnSpPr>
      <xdr:spPr>
        <a:xfrm>
          <a:off x="9245600" y="36576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20</xdr:row>
      <xdr:rowOff>0</xdr:rowOff>
    </xdr:from>
    <xdr:to>
      <xdr:col>9</xdr:col>
      <xdr:colOff>12700</xdr:colOff>
      <xdr:row>21</xdr:row>
      <xdr:rowOff>12700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83DBF70-B158-0B42-A2B1-E2D53A4E2B80}"/>
            </a:ext>
          </a:extLst>
        </xdr:cNvPr>
        <xdr:cNvCxnSpPr/>
      </xdr:nvCxnSpPr>
      <xdr:spPr>
        <a:xfrm>
          <a:off x="7594600" y="4064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22</xdr:row>
      <xdr:rowOff>0</xdr:rowOff>
    </xdr:from>
    <xdr:to>
      <xdr:col>11</xdr:col>
      <xdr:colOff>0</xdr:colOff>
      <xdr:row>23</xdr:row>
      <xdr:rowOff>12700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48FD5C1-F010-3E47-ACF3-AB53319631E7}"/>
            </a:ext>
          </a:extLst>
        </xdr:cNvPr>
        <xdr:cNvCxnSpPr/>
      </xdr:nvCxnSpPr>
      <xdr:spPr>
        <a:xfrm>
          <a:off x="9232900" y="4470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26</xdr:row>
      <xdr:rowOff>0</xdr:rowOff>
    </xdr:from>
    <xdr:to>
      <xdr:col>11</xdr:col>
      <xdr:colOff>12700</xdr:colOff>
      <xdr:row>27</xdr:row>
      <xdr:rowOff>12700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BFCC728-3868-884D-A0B9-4957D6E71F34}"/>
            </a:ext>
          </a:extLst>
        </xdr:cNvPr>
        <xdr:cNvCxnSpPr/>
      </xdr:nvCxnSpPr>
      <xdr:spPr>
        <a:xfrm>
          <a:off x="9245600" y="5283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21</xdr:row>
      <xdr:rowOff>190500</xdr:rowOff>
    </xdr:from>
    <xdr:to>
      <xdr:col>5</xdr:col>
      <xdr:colOff>0</xdr:colOff>
      <xdr:row>23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55C17F2-60BC-0249-A5EF-7EFDBE72B483}"/>
            </a:ext>
          </a:extLst>
        </xdr:cNvPr>
        <xdr:cNvCxnSpPr/>
      </xdr:nvCxnSpPr>
      <xdr:spPr>
        <a:xfrm flipV="1">
          <a:off x="4305300" y="44577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26</xdr:row>
      <xdr:rowOff>0</xdr:rowOff>
    </xdr:from>
    <xdr:to>
      <xdr:col>4</xdr:col>
      <xdr:colOff>812800</xdr:colOff>
      <xdr:row>27</xdr:row>
      <xdr:rowOff>12700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D6BDD5C-167B-CE4D-A28F-1B44661E34DB}"/>
            </a:ext>
          </a:extLst>
        </xdr:cNvPr>
        <xdr:cNvCxnSpPr/>
      </xdr:nvCxnSpPr>
      <xdr:spPr>
        <a:xfrm flipV="1">
          <a:off x="4292600" y="5283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19</xdr:row>
      <xdr:rowOff>190500</xdr:rowOff>
    </xdr:from>
    <xdr:to>
      <xdr:col>6</xdr:col>
      <xdr:colOff>812800</xdr:colOff>
      <xdr:row>21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683DE694-68AC-1646-A1C7-899453B1992B}"/>
            </a:ext>
          </a:extLst>
        </xdr:cNvPr>
        <xdr:cNvCxnSpPr/>
      </xdr:nvCxnSpPr>
      <xdr:spPr>
        <a:xfrm flipV="1">
          <a:off x="5943600" y="40513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0</xdr:rowOff>
    </xdr:from>
    <xdr:to>
      <xdr:col>6</xdr:col>
      <xdr:colOff>800100</xdr:colOff>
      <xdr:row>25</xdr:row>
      <xdr:rowOff>12700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597E6FE6-46A6-444C-9E5A-0552AEEA7F7F}"/>
            </a:ext>
          </a:extLst>
        </xdr:cNvPr>
        <xdr:cNvCxnSpPr/>
      </xdr:nvCxnSpPr>
      <xdr:spPr>
        <a:xfrm flipV="1">
          <a:off x="5930900" y="48768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28</xdr:row>
      <xdr:rowOff>0</xdr:rowOff>
    </xdr:from>
    <xdr:to>
      <xdr:col>6</xdr:col>
      <xdr:colOff>812800</xdr:colOff>
      <xdr:row>29</xdr:row>
      <xdr:rowOff>12700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E9562EDC-FAD8-3F47-8199-3CE5EA2E9905}"/>
            </a:ext>
          </a:extLst>
        </xdr:cNvPr>
        <xdr:cNvCxnSpPr/>
      </xdr:nvCxnSpPr>
      <xdr:spPr>
        <a:xfrm flipV="1">
          <a:off x="5943600" y="56896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17</xdr:row>
      <xdr:rowOff>177800</xdr:rowOff>
    </xdr:from>
    <xdr:to>
      <xdr:col>8</xdr:col>
      <xdr:colOff>812800</xdr:colOff>
      <xdr:row>18</xdr:row>
      <xdr:rowOff>190500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AA7AE27-5B15-DE42-BBAA-BB61AAD3D66C}"/>
            </a:ext>
          </a:extLst>
        </xdr:cNvPr>
        <xdr:cNvCxnSpPr/>
      </xdr:nvCxnSpPr>
      <xdr:spPr>
        <a:xfrm flipV="1">
          <a:off x="7594600" y="3632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21</xdr:row>
      <xdr:rowOff>190500</xdr:rowOff>
    </xdr:from>
    <xdr:to>
      <xdr:col>9</xdr:col>
      <xdr:colOff>0</xdr:colOff>
      <xdr:row>23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448403FC-3499-2846-A845-1CFB8B47C233}"/>
            </a:ext>
          </a:extLst>
        </xdr:cNvPr>
        <xdr:cNvCxnSpPr/>
      </xdr:nvCxnSpPr>
      <xdr:spPr>
        <a:xfrm flipV="1">
          <a:off x="7607300" y="44577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30</xdr:row>
      <xdr:rowOff>0</xdr:rowOff>
    </xdr:from>
    <xdr:to>
      <xdr:col>8</xdr:col>
      <xdr:colOff>812800</xdr:colOff>
      <xdr:row>31</xdr:row>
      <xdr:rowOff>12700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B21440DE-0B66-4446-AB0C-59B4DDEB6BD4}"/>
            </a:ext>
          </a:extLst>
        </xdr:cNvPr>
        <xdr:cNvCxnSpPr/>
      </xdr:nvCxnSpPr>
      <xdr:spPr>
        <a:xfrm flipV="1">
          <a:off x="7594600" y="6096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15</xdr:row>
      <xdr:rowOff>190500</xdr:rowOff>
    </xdr:from>
    <xdr:to>
      <xdr:col>11</xdr:col>
      <xdr:colOff>0</xdr:colOff>
      <xdr:row>17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DA097B36-0146-2A4E-99EC-0B346FB0E168}"/>
            </a:ext>
          </a:extLst>
        </xdr:cNvPr>
        <xdr:cNvCxnSpPr/>
      </xdr:nvCxnSpPr>
      <xdr:spPr>
        <a:xfrm flipV="1">
          <a:off x="9258300" y="32385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23</xdr:row>
      <xdr:rowOff>190500</xdr:rowOff>
    </xdr:from>
    <xdr:to>
      <xdr:col>10</xdr:col>
      <xdr:colOff>812800</xdr:colOff>
      <xdr:row>25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5999315-E37B-6641-A9B0-3AB038BB07BE}"/>
            </a:ext>
          </a:extLst>
        </xdr:cNvPr>
        <xdr:cNvCxnSpPr/>
      </xdr:nvCxnSpPr>
      <xdr:spPr>
        <a:xfrm flipV="1">
          <a:off x="9245600" y="48641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32</xdr:row>
      <xdr:rowOff>0</xdr:rowOff>
    </xdr:from>
    <xdr:to>
      <xdr:col>10</xdr:col>
      <xdr:colOff>812800</xdr:colOff>
      <xdr:row>33</xdr:row>
      <xdr:rowOff>12700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AF696B2-45BB-6F4E-AEE9-44B4F883B391}"/>
            </a:ext>
          </a:extLst>
        </xdr:cNvPr>
        <xdr:cNvCxnSpPr/>
      </xdr:nvCxnSpPr>
      <xdr:spPr>
        <a:xfrm flipV="1">
          <a:off x="9245600" y="65024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26</xdr:row>
      <xdr:rowOff>0</xdr:rowOff>
    </xdr:from>
    <xdr:to>
      <xdr:col>8</xdr:col>
      <xdr:colOff>812800</xdr:colOff>
      <xdr:row>27</xdr:row>
      <xdr:rowOff>12700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876375A4-F0E1-3B4A-89C3-AC3BF5928644}"/>
            </a:ext>
          </a:extLst>
        </xdr:cNvPr>
        <xdr:cNvCxnSpPr/>
      </xdr:nvCxnSpPr>
      <xdr:spPr>
        <a:xfrm flipV="1">
          <a:off x="7594600" y="5283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190500</xdr:rowOff>
    </xdr:from>
    <xdr:to>
      <xdr:col>10</xdr:col>
      <xdr:colOff>800100</xdr:colOff>
      <xdr:row>21</xdr:row>
      <xdr:rowOff>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73F305D8-99FE-BE43-A052-52CF31F992B1}"/>
            </a:ext>
          </a:extLst>
        </xdr:cNvPr>
        <xdr:cNvCxnSpPr/>
      </xdr:nvCxnSpPr>
      <xdr:spPr>
        <a:xfrm flipV="1">
          <a:off x="9232900" y="40513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53</xdr:row>
      <xdr:rowOff>0</xdr:rowOff>
    </xdr:from>
    <xdr:to>
      <xdr:col>2</xdr:col>
      <xdr:colOff>812800</xdr:colOff>
      <xdr:row>54</xdr:row>
      <xdr:rowOff>12700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1F8696E5-5824-6640-B399-8FE0D866BF3C}"/>
            </a:ext>
          </a:extLst>
        </xdr:cNvPr>
        <xdr:cNvCxnSpPr/>
      </xdr:nvCxnSpPr>
      <xdr:spPr>
        <a:xfrm flipV="1">
          <a:off x="2641600" y="107696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12700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3DAD981-920C-294B-85F8-85B3B32B52A0}"/>
            </a:ext>
          </a:extLst>
        </xdr:cNvPr>
        <xdr:cNvCxnSpPr/>
      </xdr:nvCxnSpPr>
      <xdr:spPr>
        <a:xfrm>
          <a:off x="2628900" y="1117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53</xdr:row>
      <xdr:rowOff>0</xdr:rowOff>
    </xdr:from>
    <xdr:to>
      <xdr:col>9</xdr:col>
      <xdr:colOff>12700</xdr:colOff>
      <xdr:row>54</xdr:row>
      <xdr:rowOff>12700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1662B391-84F2-8F4D-B7FB-7ECAF4E6AC4F}"/>
            </a:ext>
          </a:extLst>
        </xdr:cNvPr>
        <xdr:cNvCxnSpPr/>
      </xdr:nvCxnSpPr>
      <xdr:spPr>
        <a:xfrm>
          <a:off x="7594600" y="107696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0</xdr:colOff>
      <xdr:row>60</xdr:row>
      <xdr:rowOff>12700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A7F204DC-C59C-DC4A-87AD-63FA04B7BE17}"/>
            </a:ext>
          </a:extLst>
        </xdr:cNvPr>
        <xdr:cNvCxnSpPr/>
      </xdr:nvCxnSpPr>
      <xdr:spPr>
        <a:xfrm>
          <a:off x="9232900" y="11988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57</xdr:row>
      <xdr:rowOff>0</xdr:rowOff>
    </xdr:from>
    <xdr:to>
      <xdr:col>9</xdr:col>
      <xdr:colOff>12700</xdr:colOff>
      <xdr:row>58</xdr:row>
      <xdr:rowOff>12700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7024DF0-76BE-3643-9121-1FEE1CFA8ECE}"/>
            </a:ext>
          </a:extLst>
        </xdr:cNvPr>
        <xdr:cNvCxnSpPr/>
      </xdr:nvCxnSpPr>
      <xdr:spPr>
        <a:xfrm>
          <a:off x="7594600" y="11582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55</xdr:row>
      <xdr:rowOff>12700</xdr:rowOff>
    </xdr:from>
    <xdr:to>
      <xdr:col>7</xdr:col>
      <xdr:colOff>0</xdr:colOff>
      <xdr:row>56</xdr:row>
      <xdr:rowOff>25400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B48CE8B2-79F6-E642-B0D9-F0DC2A335802}"/>
            </a:ext>
          </a:extLst>
        </xdr:cNvPr>
        <xdr:cNvCxnSpPr/>
      </xdr:nvCxnSpPr>
      <xdr:spPr>
        <a:xfrm>
          <a:off x="5930900" y="111887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190500</xdr:rowOff>
    </xdr:from>
    <xdr:to>
      <xdr:col>7</xdr:col>
      <xdr:colOff>0</xdr:colOff>
      <xdr:row>52</xdr:row>
      <xdr:rowOff>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BDAD5E6-38EA-D141-851A-0C352D8109A9}"/>
            </a:ext>
          </a:extLst>
        </xdr:cNvPr>
        <xdr:cNvCxnSpPr/>
      </xdr:nvCxnSpPr>
      <xdr:spPr>
        <a:xfrm>
          <a:off x="5930900" y="103505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812800</xdr:colOff>
      <xdr:row>53</xdr:row>
      <xdr:rowOff>0</xdr:rowOff>
    </xdr:from>
    <xdr:to>
      <xdr:col>4</xdr:col>
      <xdr:colOff>812800</xdr:colOff>
      <xdr:row>54</xdr:row>
      <xdr:rowOff>12700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D3C679CB-C16F-9741-AA90-0B16A488DB51}"/>
            </a:ext>
          </a:extLst>
        </xdr:cNvPr>
        <xdr:cNvCxnSpPr/>
      </xdr:nvCxnSpPr>
      <xdr:spPr>
        <a:xfrm>
          <a:off x="4267200" y="107696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57</xdr:row>
      <xdr:rowOff>12700</xdr:rowOff>
    </xdr:from>
    <xdr:to>
      <xdr:col>5</xdr:col>
      <xdr:colOff>12700</xdr:colOff>
      <xdr:row>58</xdr:row>
      <xdr:rowOff>25400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35157A84-6E1F-8F46-9914-591FFB86BDAA}"/>
            </a:ext>
          </a:extLst>
        </xdr:cNvPr>
        <xdr:cNvCxnSpPr/>
      </xdr:nvCxnSpPr>
      <xdr:spPr>
        <a:xfrm>
          <a:off x="4292600" y="115951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0</xdr:colOff>
      <xdr:row>60</xdr:row>
      <xdr:rowOff>12700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33A3BD02-8359-F44C-9C7E-604DB8B2167D}"/>
            </a:ext>
          </a:extLst>
        </xdr:cNvPr>
        <xdr:cNvCxnSpPr/>
      </xdr:nvCxnSpPr>
      <xdr:spPr>
        <a:xfrm>
          <a:off x="5930900" y="11988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61</xdr:row>
      <xdr:rowOff>0</xdr:rowOff>
    </xdr:from>
    <xdr:to>
      <xdr:col>9</xdr:col>
      <xdr:colOff>0</xdr:colOff>
      <xdr:row>62</xdr:row>
      <xdr:rowOff>12700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8679CF26-E85D-F746-B483-B36DE91367CF}"/>
            </a:ext>
          </a:extLst>
        </xdr:cNvPr>
        <xdr:cNvCxnSpPr/>
      </xdr:nvCxnSpPr>
      <xdr:spPr>
        <a:xfrm>
          <a:off x="7581900" y="12395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62</xdr:row>
      <xdr:rowOff>177800</xdr:rowOff>
    </xdr:from>
    <xdr:to>
      <xdr:col>11</xdr:col>
      <xdr:colOff>0</xdr:colOff>
      <xdr:row>63</xdr:row>
      <xdr:rowOff>190500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D3AF3FAF-E72B-9048-814B-9CEE511F5766}"/>
            </a:ext>
          </a:extLst>
        </xdr:cNvPr>
        <xdr:cNvCxnSpPr/>
      </xdr:nvCxnSpPr>
      <xdr:spPr>
        <a:xfrm>
          <a:off x="9232900" y="12776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47</xdr:row>
      <xdr:rowOff>0</xdr:rowOff>
    </xdr:from>
    <xdr:to>
      <xdr:col>11</xdr:col>
      <xdr:colOff>12700</xdr:colOff>
      <xdr:row>48</xdr:row>
      <xdr:rowOff>12700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F29F7683-EA44-4846-8DD4-D05A40E42311}"/>
            </a:ext>
          </a:extLst>
        </xdr:cNvPr>
        <xdr:cNvCxnSpPr/>
      </xdr:nvCxnSpPr>
      <xdr:spPr>
        <a:xfrm>
          <a:off x="9245600" y="9550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49</xdr:row>
      <xdr:rowOff>0</xdr:rowOff>
    </xdr:from>
    <xdr:to>
      <xdr:col>9</xdr:col>
      <xdr:colOff>12700</xdr:colOff>
      <xdr:row>50</xdr:row>
      <xdr:rowOff>12700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EB20D9B1-492B-4940-AC72-0BC3D6BE8388}"/>
            </a:ext>
          </a:extLst>
        </xdr:cNvPr>
        <xdr:cNvCxnSpPr/>
      </xdr:nvCxnSpPr>
      <xdr:spPr>
        <a:xfrm>
          <a:off x="7594600" y="9956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51</xdr:row>
      <xdr:rowOff>0</xdr:rowOff>
    </xdr:from>
    <xdr:to>
      <xdr:col>11</xdr:col>
      <xdr:colOff>0</xdr:colOff>
      <xdr:row>52</xdr:row>
      <xdr:rowOff>12700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8F0DF373-E77D-1B46-9196-CE6F0ADE7759}"/>
            </a:ext>
          </a:extLst>
        </xdr:cNvPr>
        <xdr:cNvCxnSpPr/>
      </xdr:nvCxnSpPr>
      <xdr:spPr>
        <a:xfrm>
          <a:off x="9232900" y="10363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55</xdr:row>
      <xdr:rowOff>0</xdr:rowOff>
    </xdr:from>
    <xdr:to>
      <xdr:col>11</xdr:col>
      <xdr:colOff>12700</xdr:colOff>
      <xdr:row>56</xdr:row>
      <xdr:rowOff>12700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1E76921B-6CD1-9D45-92DA-690BFA4FB911}"/>
            </a:ext>
          </a:extLst>
        </xdr:cNvPr>
        <xdr:cNvCxnSpPr/>
      </xdr:nvCxnSpPr>
      <xdr:spPr>
        <a:xfrm>
          <a:off x="9245600" y="1117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50</xdr:row>
      <xdr:rowOff>190500</xdr:rowOff>
    </xdr:from>
    <xdr:to>
      <xdr:col>5</xdr:col>
      <xdr:colOff>0</xdr:colOff>
      <xdr:row>52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B3AB04A9-A2FB-904D-84D7-F7B9DBE73E42}"/>
            </a:ext>
          </a:extLst>
        </xdr:cNvPr>
        <xdr:cNvCxnSpPr/>
      </xdr:nvCxnSpPr>
      <xdr:spPr>
        <a:xfrm flipV="1">
          <a:off x="4305300" y="103505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55</xdr:row>
      <xdr:rowOff>0</xdr:rowOff>
    </xdr:from>
    <xdr:to>
      <xdr:col>4</xdr:col>
      <xdr:colOff>812800</xdr:colOff>
      <xdr:row>56</xdr:row>
      <xdr:rowOff>12700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267F9A3F-5F72-E049-8AC8-D5C0EEA851D9}"/>
            </a:ext>
          </a:extLst>
        </xdr:cNvPr>
        <xdr:cNvCxnSpPr/>
      </xdr:nvCxnSpPr>
      <xdr:spPr>
        <a:xfrm flipV="1">
          <a:off x="4292600" y="11176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48</xdr:row>
      <xdr:rowOff>190500</xdr:rowOff>
    </xdr:from>
    <xdr:to>
      <xdr:col>6</xdr:col>
      <xdr:colOff>812800</xdr:colOff>
      <xdr:row>50</xdr:row>
      <xdr:rowOff>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A8C70AE4-4A19-CA41-B8EE-ADD8EFC603A3}"/>
            </a:ext>
          </a:extLst>
        </xdr:cNvPr>
        <xdr:cNvCxnSpPr/>
      </xdr:nvCxnSpPr>
      <xdr:spPr>
        <a:xfrm flipV="1">
          <a:off x="5943600" y="99441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53</xdr:row>
      <xdr:rowOff>0</xdr:rowOff>
    </xdr:from>
    <xdr:to>
      <xdr:col>6</xdr:col>
      <xdr:colOff>800100</xdr:colOff>
      <xdr:row>54</xdr:row>
      <xdr:rowOff>12700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6E4D5130-6434-E747-BB30-2EE4713A162E}"/>
            </a:ext>
          </a:extLst>
        </xdr:cNvPr>
        <xdr:cNvCxnSpPr/>
      </xdr:nvCxnSpPr>
      <xdr:spPr>
        <a:xfrm flipV="1">
          <a:off x="5930900" y="107696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57</xdr:row>
      <xdr:rowOff>0</xdr:rowOff>
    </xdr:from>
    <xdr:to>
      <xdr:col>6</xdr:col>
      <xdr:colOff>812800</xdr:colOff>
      <xdr:row>58</xdr:row>
      <xdr:rowOff>12700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C436CB18-0411-1346-B329-14882A2461E3}"/>
            </a:ext>
          </a:extLst>
        </xdr:cNvPr>
        <xdr:cNvCxnSpPr/>
      </xdr:nvCxnSpPr>
      <xdr:spPr>
        <a:xfrm flipV="1">
          <a:off x="5943600" y="115824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46</xdr:row>
      <xdr:rowOff>177800</xdr:rowOff>
    </xdr:from>
    <xdr:to>
      <xdr:col>8</xdr:col>
      <xdr:colOff>812800</xdr:colOff>
      <xdr:row>47</xdr:row>
      <xdr:rowOff>190500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A955DEC7-9BBE-F943-A775-F259044900EA}"/>
            </a:ext>
          </a:extLst>
        </xdr:cNvPr>
        <xdr:cNvCxnSpPr/>
      </xdr:nvCxnSpPr>
      <xdr:spPr>
        <a:xfrm flipV="1">
          <a:off x="7594600" y="9525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50</xdr:row>
      <xdr:rowOff>190500</xdr:rowOff>
    </xdr:from>
    <xdr:to>
      <xdr:col>9</xdr:col>
      <xdr:colOff>0</xdr:colOff>
      <xdr:row>52</xdr:row>
      <xdr:rowOff>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AEEED552-9716-724F-BAA1-E295628F26C9}"/>
            </a:ext>
          </a:extLst>
        </xdr:cNvPr>
        <xdr:cNvCxnSpPr/>
      </xdr:nvCxnSpPr>
      <xdr:spPr>
        <a:xfrm flipV="1">
          <a:off x="7607300" y="103505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59</xdr:row>
      <xdr:rowOff>0</xdr:rowOff>
    </xdr:from>
    <xdr:to>
      <xdr:col>8</xdr:col>
      <xdr:colOff>812800</xdr:colOff>
      <xdr:row>60</xdr:row>
      <xdr:rowOff>12700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6566EF71-2B43-AE40-A1C8-B79456F0773F}"/>
            </a:ext>
          </a:extLst>
        </xdr:cNvPr>
        <xdr:cNvCxnSpPr/>
      </xdr:nvCxnSpPr>
      <xdr:spPr>
        <a:xfrm flipV="1">
          <a:off x="7594600" y="119888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44</xdr:row>
      <xdr:rowOff>190500</xdr:rowOff>
    </xdr:from>
    <xdr:to>
      <xdr:col>11</xdr:col>
      <xdr:colOff>0</xdr:colOff>
      <xdr:row>46</xdr:row>
      <xdr:rowOff>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10BC0261-B550-DA45-9AB9-0D07E008E0C0}"/>
            </a:ext>
          </a:extLst>
        </xdr:cNvPr>
        <xdr:cNvCxnSpPr/>
      </xdr:nvCxnSpPr>
      <xdr:spPr>
        <a:xfrm flipV="1">
          <a:off x="9258300" y="91313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52</xdr:row>
      <xdr:rowOff>190500</xdr:rowOff>
    </xdr:from>
    <xdr:to>
      <xdr:col>10</xdr:col>
      <xdr:colOff>812800</xdr:colOff>
      <xdr:row>54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A677D2F1-915E-AB44-A17E-04C5237A2D24}"/>
            </a:ext>
          </a:extLst>
        </xdr:cNvPr>
        <xdr:cNvCxnSpPr/>
      </xdr:nvCxnSpPr>
      <xdr:spPr>
        <a:xfrm flipV="1">
          <a:off x="9245600" y="107569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61</xdr:row>
      <xdr:rowOff>0</xdr:rowOff>
    </xdr:from>
    <xdr:to>
      <xdr:col>10</xdr:col>
      <xdr:colOff>812800</xdr:colOff>
      <xdr:row>62</xdr:row>
      <xdr:rowOff>12700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43B0AE09-0C20-8945-AB20-B20D266F1807}"/>
            </a:ext>
          </a:extLst>
        </xdr:cNvPr>
        <xdr:cNvCxnSpPr/>
      </xdr:nvCxnSpPr>
      <xdr:spPr>
        <a:xfrm flipV="1">
          <a:off x="9245600" y="12395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55</xdr:row>
      <xdr:rowOff>0</xdr:rowOff>
    </xdr:from>
    <xdr:to>
      <xdr:col>8</xdr:col>
      <xdr:colOff>812800</xdr:colOff>
      <xdr:row>56</xdr:row>
      <xdr:rowOff>12700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3AF972F7-D701-3846-8522-8D0457BC1907}"/>
            </a:ext>
          </a:extLst>
        </xdr:cNvPr>
        <xdr:cNvCxnSpPr/>
      </xdr:nvCxnSpPr>
      <xdr:spPr>
        <a:xfrm flipV="1">
          <a:off x="7594600" y="11176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48</xdr:row>
      <xdr:rowOff>190500</xdr:rowOff>
    </xdr:from>
    <xdr:to>
      <xdr:col>10</xdr:col>
      <xdr:colOff>800100</xdr:colOff>
      <xdr:row>50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6D76A3E6-814A-FE42-9B5E-6360635FB06E}"/>
            </a:ext>
          </a:extLst>
        </xdr:cNvPr>
        <xdr:cNvCxnSpPr/>
      </xdr:nvCxnSpPr>
      <xdr:spPr>
        <a:xfrm flipV="1">
          <a:off x="9232900" y="99441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57</xdr:row>
      <xdr:rowOff>0</xdr:rowOff>
    </xdr:from>
    <xdr:to>
      <xdr:col>11</xdr:col>
      <xdr:colOff>12700</xdr:colOff>
      <xdr:row>58</xdr:row>
      <xdr:rowOff>12700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12B85DB4-9C30-A844-821C-3E7B46A5D3BA}"/>
            </a:ext>
          </a:extLst>
        </xdr:cNvPr>
        <xdr:cNvCxnSpPr/>
      </xdr:nvCxnSpPr>
      <xdr:spPr>
        <a:xfrm flipV="1">
          <a:off x="9271000" y="115824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27</xdr:row>
      <xdr:rowOff>190500</xdr:rowOff>
    </xdr:from>
    <xdr:to>
      <xdr:col>11</xdr:col>
      <xdr:colOff>0</xdr:colOff>
      <xdr:row>29</xdr:row>
      <xdr:rowOff>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2EA1BD0D-2A66-4540-83C2-6A897E7CBCFE}"/>
            </a:ext>
          </a:extLst>
        </xdr:cNvPr>
        <xdr:cNvCxnSpPr/>
      </xdr:nvCxnSpPr>
      <xdr:spPr>
        <a:xfrm flipV="1">
          <a:off x="9258300" y="56769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306016</xdr:colOff>
      <xdr:row>26</xdr:row>
      <xdr:rowOff>101776</xdr:rowOff>
    </xdr:from>
    <xdr:to>
      <xdr:col>2</xdr:col>
      <xdr:colOff>398722</xdr:colOff>
      <xdr:row>38</xdr:row>
      <xdr:rowOff>3403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C40DA95-233C-B24A-A03C-20FE8D53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016" y="5477125"/>
          <a:ext cx="2942822" cy="2379013"/>
        </a:xfrm>
        <a:prstGeom prst="rect">
          <a:avLst/>
        </a:prstGeom>
      </xdr:spPr>
    </xdr:pic>
    <xdr:clientData/>
  </xdr:twoCellAnchor>
  <xdr:twoCellAnchor editAs="oneCell">
    <xdr:from>
      <xdr:col>0</xdr:col>
      <xdr:colOff>73701</xdr:colOff>
      <xdr:row>57</xdr:row>
      <xdr:rowOff>53191</xdr:rowOff>
    </xdr:from>
    <xdr:to>
      <xdr:col>4</xdr:col>
      <xdr:colOff>785955</xdr:colOff>
      <xdr:row>68</xdr:row>
      <xdr:rowOff>163561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B4DD58D-C9D8-D7C3-07D9-F10E324B3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01" y="11837610"/>
          <a:ext cx="5408301" cy="2384556"/>
        </a:xfrm>
        <a:prstGeom prst="rect">
          <a:avLst/>
        </a:prstGeom>
      </xdr:spPr>
    </xdr:pic>
    <xdr:clientData/>
  </xdr:twoCellAnchor>
  <xdr:twoCellAnchor editAs="oneCell">
    <xdr:from>
      <xdr:col>18</xdr:col>
      <xdr:colOff>787401</xdr:colOff>
      <xdr:row>31</xdr:row>
      <xdr:rowOff>118657</xdr:rowOff>
    </xdr:from>
    <xdr:to>
      <xdr:col>23</xdr:col>
      <xdr:colOff>452874</xdr:colOff>
      <xdr:row>41</xdr:row>
      <xdr:rowOff>76200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6F41E2C-638A-B779-39FE-7EC69F1D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59401" y="6417857"/>
          <a:ext cx="3958074" cy="1989543"/>
        </a:xfrm>
        <a:prstGeom prst="rect">
          <a:avLst/>
        </a:prstGeom>
      </xdr:spPr>
    </xdr:pic>
    <xdr:clientData/>
  </xdr:twoCellAnchor>
  <xdr:twoCellAnchor editAs="oneCell">
    <xdr:from>
      <xdr:col>0</xdr:col>
      <xdr:colOff>1161201</xdr:colOff>
      <xdr:row>69</xdr:row>
      <xdr:rowOff>36512</xdr:rowOff>
    </xdr:from>
    <xdr:to>
      <xdr:col>5</xdr:col>
      <xdr:colOff>159459</xdr:colOff>
      <xdr:row>80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462EFE5B-D81C-1FE9-C07C-39E0B7C1E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201" y="14057312"/>
          <a:ext cx="4535458" cy="2198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24</xdr:row>
      <xdr:rowOff>0</xdr:rowOff>
    </xdr:from>
    <xdr:to>
      <xdr:col>2</xdr:col>
      <xdr:colOff>812800</xdr:colOff>
      <xdr:row>25</xdr:row>
      <xdr:rowOff>12700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6A96F4A-E0DD-764A-B22D-E2A11AA4D561}"/>
            </a:ext>
          </a:extLst>
        </xdr:cNvPr>
        <xdr:cNvCxnSpPr/>
      </xdr:nvCxnSpPr>
      <xdr:spPr>
        <a:xfrm flipV="1">
          <a:off x="2857500" y="48768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12700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DD6C0E8-FC1C-6B42-B2F6-E624AB3585D2}"/>
            </a:ext>
          </a:extLst>
        </xdr:cNvPr>
        <xdr:cNvCxnSpPr/>
      </xdr:nvCxnSpPr>
      <xdr:spPr>
        <a:xfrm>
          <a:off x="2844800" y="5283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24</xdr:row>
      <xdr:rowOff>0</xdr:rowOff>
    </xdr:from>
    <xdr:to>
      <xdr:col>9</xdr:col>
      <xdr:colOff>12700</xdr:colOff>
      <xdr:row>25</xdr:row>
      <xdr:rowOff>12700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F04BCF9-3235-4745-94EF-53DE2496AC19}"/>
            </a:ext>
          </a:extLst>
        </xdr:cNvPr>
        <xdr:cNvCxnSpPr/>
      </xdr:nvCxnSpPr>
      <xdr:spPr>
        <a:xfrm>
          <a:off x="8382000" y="4876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0</xdr:rowOff>
    </xdr:from>
    <xdr:to>
      <xdr:col>11</xdr:col>
      <xdr:colOff>0</xdr:colOff>
      <xdr:row>31</xdr:row>
      <xdr:rowOff>12700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0A0BA74-4538-BB4C-8DB9-C58387EF49DE}"/>
            </a:ext>
          </a:extLst>
        </xdr:cNvPr>
        <xdr:cNvCxnSpPr/>
      </xdr:nvCxnSpPr>
      <xdr:spPr>
        <a:xfrm>
          <a:off x="10210800" y="609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28</xdr:row>
      <xdr:rowOff>0</xdr:rowOff>
    </xdr:from>
    <xdr:to>
      <xdr:col>9</xdr:col>
      <xdr:colOff>12700</xdr:colOff>
      <xdr:row>29</xdr:row>
      <xdr:rowOff>12700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586DE4A-B172-E94C-A5DE-5D328DBE019C}"/>
            </a:ext>
          </a:extLst>
        </xdr:cNvPr>
        <xdr:cNvCxnSpPr/>
      </xdr:nvCxnSpPr>
      <xdr:spPr>
        <a:xfrm>
          <a:off x="8382000" y="56896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12700</xdr:rowOff>
    </xdr:from>
    <xdr:to>
      <xdr:col>7</xdr:col>
      <xdr:colOff>0</xdr:colOff>
      <xdr:row>27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3EDA2A9-6E5F-5945-A738-24615F7E41C4}"/>
            </a:ext>
          </a:extLst>
        </xdr:cNvPr>
        <xdr:cNvCxnSpPr/>
      </xdr:nvCxnSpPr>
      <xdr:spPr>
        <a:xfrm>
          <a:off x="6527800" y="52959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190500</xdr:rowOff>
    </xdr:from>
    <xdr:to>
      <xdr:col>7</xdr:col>
      <xdr:colOff>0</xdr:colOff>
      <xdr:row>23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E4FB725-6D9C-D442-87D2-031DF1E6270D}"/>
            </a:ext>
          </a:extLst>
        </xdr:cNvPr>
        <xdr:cNvCxnSpPr/>
      </xdr:nvCxnSpPr>
      <xdr:spPr>
        <a:xfrm>
          <a:off x="6527800" y="44577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812800</xdr:colOff>
      <xdr:row>24</xdr:row>
      <xdr:rowOff>0</xdr:rowOff>
    </xdr:from>
    <xdr:to>
      <xdr:col>4</xdr:col>
      <xdr:colOff>812800</xdr:colOff>
      <xdr:row>25</xdr:row>
      <xdr:rowOff>12700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179F6FF-31AD-FF4D-B5B9-A530590594CF}"/>
            </a:ext>
          </a:extLst>
        </xdr:cNvPr>
        <xdr:cNvCxnSpPr/>
      </xdr:nvCxnSpPr>
      <xdr:spPr>
        <a:xfrm>
          <a:off x="4483100" y="4876800"/>
          <a:ext cx="10160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28</xdr:row>
      <xdr:rowOff>12700</xdr:rowOff>
    </xdr:from>
    <xdr:to>
      <xdr:col>5</xdr:col>
      <xdr:colOff>12700</xdr:colOff>
      <xdr:row>29</xdr:row>
      <xdr:rowOff>25400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B2ED989-281E-1E4E-96E4-2EFBB40097F3}"/>
            </a:ext>
          </a:extLst>
        </xdr:cNvPr>
        <xdr:cNvCxnSpPr/>
      </xdr:nvCxnSpPr>
      <xdr:spPr>
        <a:xfrm>
          <a:off x="4699000" y="57023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7</xdr:col>
      <xdr:colOff>0</xdr:colOff>
      <xdr:row>31</xdr:row>
      <xdr:rowOff>12700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C33C29D-3710-2D4A-B482-8C238ACD1D2A}"/>
            </a:ext>
          </a:extLst>
        </xdr:cNvPr>
        <xdr:cNvCxnSpPr/>
      </xdr:nvCxnSpPr>
      <xdr:spPr>
        <a:xfrm>
          <a:off x="6527800" y="609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</xdr:row>
      <xdr:rowOff>0</xdr:rowOff>
    </xdr:from>
    <xdr:to>
      <xdr:col>9</xdr:col>
      <xdr:colOff>0</xdr:colOff>
      <xdr:row>33</xdr:row>
      <xdr:rowOff>12700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C258146-9AE5-674C-A891-CAA87AD629A6}"/>
            </a:ext>
          </a:extLst>
        </xdr:cNvPr>
        <xdr:cNvCxnSpPr/>
      </xdr:nvCxnSpPr>
      <xdr:spPr>
        <a:xfrm>
          <a:off x="8369300" y="6502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177800</xdr:rowOff>
    </xdr:from>
    <xdr:to>
      <xdr:col>11</xdr:col>
      <xdr:colOff>0</xdr:colOff>
      <xdr:row>34</xdr:row>
      <xdr:rowOff>190500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3BAEAED-396A-DE40-AA2A-D178E6F3719D}"/>
            </a:ext>
          </a:extLst>
        </xdr:cNvPr>
        <xdr:cNvCxnSpPr/>
      </xdr:nvCxnSpPr>
      <xdr:spPr>
        <a:xfrm>
          <a:off x="10210800" y="6883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18</xdr:row>
      <xdr:rowOff>0</xdr:rowOff>
    </xdr:from>
    <xdr:to>
      <xdr:col>11</xdr:col>
      <xdr:colOff>12700</xdr:colOff>
      <xdr:row>19</xdr:row>
      <xdr:rowOff>12700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AC5F6D5-ABBD-AE4D-A93D-ECA8327ECFD5}"/>
            </a:ext>
          </a:extLst>
        </xdr:cNvPr>
        <xdr:cNvCxnSpPr/>
      </xdr:nvCxnSpPr>
      <xdr:spPr>
        <a:xfrm>
          <a:off x="10223500" y="36576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20</xdr:row>
      <xdr:rowOff>0</xdr:rowOff>
    </xdr:from>
    <xdr:to>
      <xdr:col>9</xdr:col>
      <xdr:colOff>12700</xdr:colOff>
      <xdr:row>21</xdr:row>
      <xdr:rowOff>12700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3C7B91E-9115-5541-A4C3-DFE30CA402CB}"/>
            </a:ext>
          </a:extLst>
        </xdr:cNvPr>
        <xdr:cNvCxnSpPr/>
      </xdr:nvCxnSpPr>
      <xdr:spPr>
        <a:xfrm>
          <a:off x="8382000" y="4064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22</xdr:row>
      <xdr:rowOff>0</xdr:rowOff>
    </xdr:from>
    <xdr:to>
      <xdr:col>11</xdr:col>
      <xdr:colOff>0</xdr:colOff>
      <xdr:row>23</xdr:row>
      <xdr:rowOff>12700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0CFBC00-66D2-F140-8CA6-3908250D21DF}"/>
            </a:ext>
          </a:extLst>
        </xdr:cNvPr>
        <xdr:cNvCxnSpPr/>
      </xdr:nvCxnSpPr>
      <xdr:spPr>
        <a:xfrm>
          <a:off x="10210800" y="4470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26</xdr:row>
      <xdr:rowOff>0</xdr:rowOff>
    </xdr:from>
    <xdr:to>
      <xdr:col>11</xdr:col>
      <xdr:colOff>12700</xdr:colOff>
      <xdr:row>27</xdr:row>
      <xdr:rowOff>12700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738FD1E-A27A-2A4E-8495-C789EB8E7E79}"/>
            </a:ext>
          </a:extLst>
        </xdr:cNvPr>
        <xdr:cNvCxnSpPr/>
      </xdr:nvCxnSpPr>
      <xdr:spPr>
        <a:xfrm>
          <a:off x="10223500" y="5283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21</xdr:row>
      <xdr:rowOff>190500</xdr:rowOff>
    </xdr:from>
    <xdr:to>
      <xdr:col>5</xdr:col>
      <xdr:colOff>0</xdr:colOff>
      <xdr:row>23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BE2DD75C-3ADC-4648-9F9D-E00AA3B33FF0}"/>
            </a:ext>
          </a:extLst>
        </xdr:cNvPr>
        <xdr:cNvCxnSpPr/>
      </xdr:nvCxnSpPr>
      <xdr:spPr>
        <a:xfrm flipV="1">
          <a:off x="4711700" y="44577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26</xdr:row>
      <xdr:rowOff>0</xdr:rowOff>
    </xdr:from>
    <xdr:to>
      <xdr:col>4</xdr:col>
      <xdr:colOff>812800</xdr:colOff>
      <xdr:row>27</xdr:row>
      <xdr:rowOff>12700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B26052B-66EF-D845-9B73-B5128DF68011}"/>
            </a:ext>
          </a:extLst>
        </xdr:cNvPr>
        <xdr:cNvCxnSpPr/>
      </xdr:nvCxnSpPr>
      <xdr:spPr>
        <a:xfrm flipV="1">
          <a:off x="4699000" y="5283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19</xdr:row>
      <xdr:rowOff>190500</xdr:rowOff>
    </xdr:from>
    <xdr:to>
      <xdr:col>6</xdr:col>
      <xdr:colOff>812800</xdr:colOff>
      <xdr:row>21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67D2EDA-DFE3-DB4D-957C-0BB76B3B3E22}"/>
            </a:ext>
          </a:extLst>
        </xdr:cNvPr>
        <xdr:cNvCxnSpPr/>
      </xdr:nvCxnSpPr>
      <xdr:spPr>
        <a:xfrm flipV="1">
          <a:off x="6540500" y="40513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0</xdr:rowOff>
    </xdr:from>
    <xdr:to>
      <xdr:col>6</xdr:col>
      <xdr:colOff>800100</xdr:colOff>
      <xdr:row>25</xdr:row>
      <xdr:rowOff>12700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CD4B814-EC10-7446-B8AE-016B09A170E3}"/>
            </a:ext>
          </a:extLst>
        </xdr:cNvPr>
        <xdr:cNvCxnSpPr/>
      </xdr:nvCxnSpPr>
      <xdr:spPr>
        <a:xfrm flipV="1">
          <a:off x="6527800" y="48768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28</xdr:row>
      <xdr:rowOff>0</xdr:rowOff>
    </xdr:from>
    <xdr:to>
      <xdr:col>6</xdr:col>
      <xdr:colOff>812800</xdr:colOff>
      <xdr:row>29</xdr:row>
      <xdr:rowOff>12700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059A74D-99D7-9F44-9656-6242EEBA8D43}"/>
            </a:ext>
          </a:extLst>
        </xdr:cNvPr>
        <xdr:cNvCxnSpPr/>
      </xdr:nvCxnSpPr>
      <xdr:spPr>
        <a:xfrm flipV="1">
          <a:off x="6540500" y="56896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17</xdr:row>
      <xdr:rowOff>177800</xdr:rowOff>
    </xdr:from>
    <xdr:to>
      <xdr:col>8</xdr:col>
      <xdr:colOff>812800</xdr:colOff>
      <xdr:row>18</xdr:row>
      <xdr:rowOff>190500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7BD8776-174D-CB4B-B5C5-8C208E1CD27E}"/>
            </a:ext>
          </a:extLst>
        </xdr:cNvPr>
        <xdr:cNvCxnSpPr/>
      </xdr:nvCxnSpPr>
      <xdr:spPr>
        <a:xfrm flipV="1">
          <a:off x="8382000" y="3632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21</xdr:row>
      <xdr:rowOff>190500</xdr:rowOff>
    </xdr:from>
    <xdr:to>
      <xdr:col>9</xdr:col>
      <xdr:colOff>0</xdr:colOff>
      <xdr:row>23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7ADB0A8-3EE8-EE4C-8841-90FC829D9A18}"/>
            </a:ext>
          </a:extLst>
        </xdr:cNvPr>
        <xdr:cNvCxnSpPr/>
      </xdr:nvCxnSpPr>
      <xdr:spPr>
        <a:xfrm flipV="1">
          <a:off x="8394700" y="44577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30</xdr:row>
      <xdr:rowOff>0</xdr:rowOff>
    </xdr:from>
    <xdr:to>
      <xdr:col>8</xdr:col>
      <xdr:colOff>812800</xdr:colOff>
      <xdr:row>31</xdr:row>
      <xdr:rowOff>12700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9F1AF01-C41C-2941-84ED-E5DFC2F18C7A}"/>
            </a:ext>
          </a:extLst>
        </xdr:cNvPr>
        <xdr:cNvCxnSpPr/>
      </xdr:nvCxnSpPr>
      <xdr:spPr>
        <a:xfrm flipV="1">
          <a:off x="8382000" y="6096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15</xdr:row>
      <xdr:rowOff>190500</xdr:rowOff>
    </xdr:from>
    <xdr:to>
      <xdr:col>11</xdr:col>
      <xdr:colOff>0</xdr:colOff>
      <xdr:row>17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AEAB10F9-4999-7041-AEC2-E119CC06E7A5}"/>
            </a:ext>
          </a:extLst>
        </xdr:cNvPr>
        <xdr:cNvCxnSpPr/>
      </xdr:nvCxnSpPr>
      <xdr:spPr>
        <a:xfrm flipV="1">
          <a:off x="10236200" y="32385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23</xdr:row>
      <xdr:rowOff>190500</xdr:rowOff>
    </xdr:from>
    <xdr:to>
      <xdr:col>10</xdr:col>
      <xdr:colOff>812800</xdr:colOff>
      <xdr:row>25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57A7D5C4-E2E7-6F45-A28A-CC9D06124C6F}"/>
            </a:ext>
          </a:extLst>
        </xdr:cNvPr>
        <xdr:cNvCxnSpPr/>
      </xdr:nvCxnSpPr>
      <xdr:spPr>
        <a:xfrm flipV="1">
          <a:off x="10223500" y="48641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32</xdr:row>
      <xdr:rowOff>0</xdr:rowOff>
    </xdr:from>
    <xdr:to>
      <xdr:col>10</xdr:col>
      <xdr:colOff>812800</xdr:colOff>
      <xdr:row>33</xdr:row>
      <xdr:rowOff>12700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3A17021-D224-E44E-8242-CF7E617641ED}"/>
            </a:ext>
          </a:extLst>
        </xdr:cNvPr>
        <xdr:cNvCxnSpPr/>
      </xdr:nvCxnSpPr>
      <xdr:spPr>
        <a:xfrm flipV="1">
          <a:off x="10223500" y="65024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26</xdr:row>
      <xdr:rowOff>0</xdr:rowOff>
    </xdr:from>
    <xdr:to>
      <xdr:col>8</xdr:col>
      <xdr:colOff>812800</xdr:colOff>
      <xdr:row>27</xdr:row>
      <xdr:rowOff>12700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1F5CA394-83FC-AF4A-A85B-5DE50BB0E43E}"/>
            </a:ext>
          </a:extLst>
        </xdr:cNvPr>
        <xdr:cNvCxnSpPr/>
      </xdr:nvCxnSpPr>
      <xdr:spPr>
        <a:xfrm flipV="1">
          <a:off x="8382000" y="5283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190500</xdr:rowOff>
    </xdr:from>
    <xdr:to>
      <xdr:col>10</xdr:col>
      <xdr:colOff>800100</xdr:colOff>
      <xdr:row>21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285257A-FBB6-174A-B02E-EA8574868373}"/>
            </a:ext>
          </a:extLst>
        </xdr:cNvPr>
        <xdr:cNvCxnSpPr/>
      </xdr:nvCxnSpPr>
      <xdr:spPr>
        <a:xfrm flipV="1">
          <a:off x="10210800" y="40513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53</xdr:row>
      <xdr:rowOff>0</xdr:rowOff>
    </xdr:from>
    <xdr:to>
      <xdr:col>2</xdr:col>
      <xdr:colOff>812800</xdr:colOff>
      <xdr:row>54</xdr:row>
      <xdr:rowOff>12700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0D133FF-C530-1146-94BD-33384198D56C}"/>
            </a:ext>
          </a:extLst>
        </xdr:cNvPr>
        <xdr:cNvCxnSpPr/>
      </xdr:nvCxnSpPr>
      <xdr:spPr>
        <a:xfrm flipV="1">
          <a:off x="2857500" y="107696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12700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3C84D4E-D96F-9C4F-A16B-904B49B2A5F8}"/>
            </a:ext>
          </a:extLst>
        </xdr:cNvPr>
        <xdr:cNvCxnSpPr/>
      </xdr:nvCxnSpPr>
      <xdr:spPr>
        <a:xfrm>
          <a:off x="2844800" y="1117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53</xdr:row>
      <xdr:rowOff>0</xdr:rowOff>
    </xdr:from>
    <xdr:to>
      <xdr:col>9</xdr:col>
      <xdr:colOff>12700</xdr:colOff>
      <xdr:row>54</xdr:row>
      <xdr:rowOff>12700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839D597-6838-5C43-8F1E-953E26DF4375}"/>
            </a:ext>
          </a:extLst>
        </xdr:cNvPr>
        <xdr:cNvCxnSpPr/>
      </xdr:nvCxnSpPr>
      <xdr:spPr>
        <a:xfrm>
          <a:off x="8382000" y="107696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0</xdr:colOff>
      <xdr:row>60</xdr:row>
      <xdr:rowOff>12700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83E003B-9996-9342-A325-67A3D3D00D83}"/>
            </a:ext>
          </a:extLst>
        </xdr:cNvPr>
        <xdr:cNvCxnSpPr/>
      </xdr:nvCxnSpPr>
      <xdr:spPr>
        <a:xfrm>
          <a:off x="10210800" y="11988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57</xdr:row>
      <xdr:rowOff>0</xdr:rowOff>
    </xdr:from>
    <xdr:to>
      <xdr:col>9</xdr:col>
      <xdr:colOff>12700</xdr:colOff>
      <xdr:row>58</xdr:row>
      <xdr:rowOff>12700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7FD51C7-212D-3C40-949F-CFEDFED51A5B}"/>
            </a:ext>
          </a:extLst>
        </xdr:cNvPr>
        <xdr:cNvCxnSpPr/>
      </xdr:nvCxnSpPr>
      <xdr:spPr>
        <a:xfrm>
          <a:off x="8382000" y="11582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55</xdr:row>
      <xdr:rowOff>12700</xdr:rowOff>
    </xdr:from>
    <xdr:to>
      <xdr:col>7</xdr:col>
      <xdr:colOff>0</xdr:colOff>
      <xdr:row>56</xdr:row>
      <xdr:rowOff>25400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9A804B75-1B27-CD43-B80E-D27595C47E7E}"/>
            </a:ext>
          </a:extLst>
        </xdr:cNvPr>
        <xdr:cNvCxnSpPr/>
      </xdr:nvCxnSpPr>
      <xdr:spPr>
        <a:xfrm>
          <a:off x="6527800" y="111887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190500</xdr:rowOff>
    </xdr:from>
    <xdr:to>
      <xdr:col>7</xdr:col>
      <xdr:colOff>0</xdr:colOff>
      <xdr:row>52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3057AB4-DD56-8147-907E-D071DB75528F}"/>
            </a:ext>
          </a:extLst>
        </xdr:cNvPr>
        <xdr:cNvCxnSpPr/>
      </xdr:nvCxnSpPr>
      <xdr:spPr>
        <a:xfrm>
          <a:off x="6527800" y="103505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812800</xdr:colOff>
      <xdr:row>53</xdr:row>
      <xdr:rowOff>0</xdr:rowOff>
    </xdr:from>
    <xdr:to>
      <xdr:col>4</xdr:col>
      <xdr:colOff>812800</xdr:colOff>
      <xdr:row>54</xdr:row>
      <xdr:rowOff>12700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E95BF22-5681-8A4C-A5AE-0D2D12ED94B7}"/>
            </a:ext>
          </a:extLst>
        </xdr:cNvPr>
        <xdr:cNvCxnSpPr/>
      </xdr:nvCxnSpPr>
      <xdr:spPr>
        <a:xfrm>
          <a:off x="4483100" y="10769600"/>
          <a:ext cx="10160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57</xdr:row>
      <xdr:rowOff>12700</xdr:rowOff>
    </xdr:from>
    <xdr:to>
      <xdr:col>5</xdr:col>
      <xdr:colOff>12700</xdr:colOff>
      <xdr:row>58</xdr:row>
      <xdr:rowOff>25400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9869395B-DEBB-0944-B05C-66DEEB0B9BF8}"/>
            </a:ext>
          </a:extLst>
        </xdr:cNvPr>
        <xdr:cNvCxnSpPr/>
      </xdr:nvCxnSpPr>
      <xdr:spPr>
        <a:xfrm>
          <a:off x="4699000" y="115951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0</xdr:colOff>
      <xdr:row>60</xdr:row>
      <xdr:rowOff>12700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635EB61B-DB84-B548-A47B-70FBB40D9F85}"/>
            </a:ext>
          </a:extLst>
        </xdr:cNvPr>
        <xdr:cNvCxnSpPr/>
      </xdr:nvCxnSpPr>
      <xdr:spPr>
        <a:xfrm>
          <a:off x="6527800" y="11988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61</xdr:row>
      <xdr:rowOff>0</xdr:rowOff>
    </xdr:from>
    <xdr:to>
      <xdr:col>9</xdr:col>
      <xdr:colOff>0</xdr:colOff>
      <xdr:row>62</xdr:row>
      <xdr:rowOff>12700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C4CD4DC7-F405-4D46-A624-63D5143D3930}"/>
            </a:ext>
          </a:extLst>
        </xdr:cNvPr>
        <xdr:cNvCxnSpPr/>
      </xdr:nvCxnSpPr>
      <xdr:spPr>
        <a:xfrm>
          <a:off x="8369300" y="12395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62</xdr:row>
      <xdr:rowOff>177800</xdr:rowOff>
    </xdr:from>
    <xdr:to>
      <xdr:col>11</xdr:col>
      <xdr:colOff>0</xdr:colOff>
      <xdr:row>63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62DFA7CE-32A6-7E47-8A9C-D2F09960185C}"/>
            </a:ext>
          </a:extLst>
        </xdr:cNvPr>
        <xdr:cNvCxnSpPr/>
      </xdr:nvCxnSpPr>
      <xdr:spPr>
        <a:xfrm>
          <a:off x="10210800" y="12776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47</xdr:row>
      <xdr:rowOff>0</xdr:rowOff>
    </xdr:from>
    <xdr:to>
      <xdr:col>11</xdr:col>
      <xdr:colOff>12700</xdr:colOff>
      <xdr:row>48</xdr:row>
      <xdr:rowOff>12700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D3C83983-59D1-0747-8FED-E697D9564D8A}"/>
            </a:ext>
          </a:extLst>
        </xdr:cNvPr>
        <xdr:cNvCxnSpPr/>
      </xdr:nvCxnSpPr>
      <xdr:spPr>
        <a:xfrm>
          <a:off x="10223500" y="95504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49</xdr:row>
      <xdr:rowOff>0</xdr:rowOff>
    </xdr:from>
    <xdr:to>
      <xdr:col>9</xdr:col>
      <xdr:colOff>12700</xdr:colOff>
      <xdr:row>50</xdr:row>
      <xdr:rowOff>12700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8C4E295-C4DC-A94D-A14E-AB4A7DC849C4}"/>
            </a:ext>
          </a:extLst>
        </xdr:cNvPr>
        <xdr:cNvCxnSpPr/>
      </xdr:nvCxnSpPr>
      <xdr:spPr>
        <a:xfrm>
          <a:off x="8382000" y="99568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51</xdr:row>
      <xdr:rowOff>0</xdr:rowOff>
    </xdr:from>
    <xdr:to>
      <xdr:col>11</xdr:col>
      <xdr:colOff>0</xdr:colOff>
      <xdr:row>52</xdr:row>
      <xdr:rowOff>12700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0A80551-3252-B046-8D39-1FB4EBE4207D}"/>
            </a:ext>
          </a:extLst>
        </xdr:cNvPr>
        <xdr:cNvCxnSpPr/>
      </xdr:nvCxnSpPr>
      <xdr:spPr>
        <a:xfrm>
          <a:off x="10210800" y="103632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55</xdr:row>
      <xdr:rowOff>0</xdr:rowOff>
    </xdr:from>
    <xdr:to>
      <xdr:col>11</xdr:col>
      <xdr:colOff>12700</xdr:colOff>
      <xdr:row>56</xdr:row>
      <xdr:rowOff>12700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C86EF8C2-E5E2-6442-B150-E7A218A37FF5}"/>
            </a:ext>
          </a:extLst>
        </xdr:cNvPr>
        <xdr:cNvCxnSpPr/>
      </xdr:nvCxnSpPr>
      <xdr:spPr>
        <a:xfrm>
          <a:off x="10223500" y="11176000"/>
          <a:ext cx="8255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50</xdr:row>
      <xdr:rowOff>190500</xdr:rowOff>
    </xdr:from>
    <xdr:to>
      <xdr:col>5</xdr:col>
      <xdr:colOff>0</xdr:colOff>
      <xdr:row>52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95980351-F828-3745-9D22-8EB046BB36FC}"/>
            </a:ext>
          </a:extLst>
        </xdr:cNvPr>
        <xdr:cNvCxnSpPr/>
      </xdr:nvCxnSpPr>
      <xdr:spPr>
        <a:xfrm flipV="1">
          <a:off x="4711700" y="103505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55</xdr:row>
      <xdr:rowOff>0</xdr:rowOff>
    </xdr:from>
    <xdr:to>
      <xdr:col>4</xdr:col>
      <xdr:colOff>812800</xdr:colOff>
      <xdr:row>56</xdr:row>
      <xdr:rowOff>12700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DEE958EA-EA14-2549-80D9-589A2695EC7F}"/>
            </a:ext>
          </a:extLst>
        </xdr:cNvPr>
        <xdr:cNvCxnSpPr/>
      </xdr:nvCxnSpPr>
      <xdr:spPr>
        <a:xfrm flipV="1">
          <a:off x="4699000" y="11176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48</xdr:row>
      <xdr:rowOff>190500</xdr:rowOff>
    </xdr:from>
    <xdr:to>
      <xdr:col>6</xdr:col>
      <xdr:colOff>812800</xdr:colOff>
      <xdr:row>50</xdr:row>
      <xdr:rowOff>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9E57E393-ADBC-A240-9128-333C1B2EBEA8}"/>
            </a:ext>
          </a:extLst>
        </xdr:cNvPr>
        <xdr:cNvCxnSpPr/>
      </xdr:nvCxnSpPr>
      <xdr:spPr>
        <a:xfrm flipV="1">
          <a:off x="6540500" y="99441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53</xdr:row>
      <xdr:rowOff>0</xdr:rowOff>
    </xdr:from>
    <xdr:to>
      <xdr:col>6</xdr:col>
      <xdr:colOff>800100</xdr:colOff>
      <xdr:row>54</xdr:row>
      <xdr:rowOff>12700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C5220D6-9C4E-E440-8D5B-806466442EAA}"/>
            </a:ext>
          </a:extLst>
        </xdr:cNvPr>
        <xdr:cNvCxnSpPr/>
      </xdr:nvCxnSpPr>
      <xdr:spPr>
        <a:xfrm flipV="1">
          <a:off x="6527800" y="107696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57</xdr:row>
      <xdr:rowOff>0</xdr:rowOff>
    </xdr:from>
    <xdr:to>
      <xdr:col>6</xdr:col>
      <xdr:colOff>812800</xdr:colOff>
      <xdr:row>58</xdr:row>
      <xdr:rowOff>12700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B72B699-58D8-7B43-A532-677FAFE2F085}"/>
            </a:ext>
          </a:extLst>
        </xdr:cNvPr>
        <xdr:cNvCxnSpPr/>
      </xdr:nvCxnSpPr>
      <xdr:spPr>
        <a:xfrm flipV="1">
          <a:off x="6540500" y="115824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46</xdr:row>
      <xdr:rowOff>177800</xdr:rowOff>
    </xdr:from>
    <xdr:to>
      <xdr:col>8</xdr:col>
      <xdr:colOff>812800</xdr:colOff>
      <xdr:row>47</xdr:row>
      <xdr:rowOff>190500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B92B53C-0800-A64B-A433-A826B0AC17BB}"/>
            </a:ext>
          </a:extLst>
        </xdr:cNvPr>
        <xdr:cNvCxnSpPr/>
      </xdr:nvCxnSpPr>
      <xdr:spPr>
        <a:xfrm flipV="1">
          <a:off x="8382000" y="9525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50</xdr:row>
      <xdr:rowOff>190500</xdr:rowOff>
    </xdr:from>
    <xdr:to>
      <xdr:col>9</xdr:col>
      <xdr:colOff>0</xdr:colOff>
      <xdr:row>52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B3239D22-344B-D145-88CF-D8F0905303C9}"/>
            </a:ext>
          </a:extLst>
        </xdr:cNvPr>
        <xdr:cNvCxnSpPr/>
      </xdr:nvCxnSpPr>
      <xdr:spPr>
        <a:xfrm flipV="1">
          <a:off x="8394700" y="103505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59</xdr:row>
      <xdr:rowOff>0</xdr:rowOff>
    </xdr:from>
    <xdr:to>
      <xdr:col>8</xdr:col>
      <xdr:colOff>812800</xdr:colOff>
      <xdr:row>60</xdr:row>
      <xdr:rowOff>12700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93419CB-F3D1-0246-B30B-B3739E79360B}"/>
            </a:ext>
          </a:extLst>
        </xdr:cNvPr>
        <xdr:cNvCxnSpPr/>
      </xdr:nvCxnSpPr>
      <xdr:spPr>
        <a:xfrm flipV="1">
          <a:off x="8382000" y="119888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44</xdr:row>
      <xdr:rowOff>190500</xdr:rowOff>
    </xdr:from>
    <xdr:to>
      <xdr:col>11</xdr:col>
      <xdr:colOff>0</xdr:colOff>
      <xdr:row>46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882F0C7C-92A9-C848-83FA-443848DF2BD9}"/>
            </a:ext>
          </a:extLst>
        </xdr:cNvPr>
        <xdr:cNvCxnSpPr/>
      </xdr:nvCxnSpPr>
      <xdr:spPr>
        <a:xfrm flipV="1">
          <a:off x="10236200" y="91313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52</xdr:row>
      <xdr:rowOff>190500</xdr:rowOff>
    </xdr:from>
    <xdr:to>
      <xdr:col>10</xdr:col>
      <xdr:colOff>812800</xdr:colOff>
      <xdr:row>54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48785BE8-DD91-3A4C-BCF3-B792B38B3E4B}"/>
            </a:ext>
          </a:extLst>
        </xdr:cNvPr>
        <xdr:cNvCxnSpPr/>
      </xdr:nvCxnSpPr>
      <xdr:spPr>
        <a:xfrm flipV="1">
          <a:off x="10223500" y="107569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61</xdr:row>
      <xdr:rowOff>0</xdr:rowOff>
    </xdr:from>
    <xdr:to>
      <xdr:col>10</xdr:col>
      <xdr:colOff>812800</xdr:colOff>
      <xdr:row>62</xdr:row>
      <xdr:rowOff>12700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31F3C8E0-1608-7943-ABDC-0FD2887724BC}"/>
            </a:ext>
          </a:extLst>
        </xdr:cNvPr>
        <xdr:cNvCxnSpPr/>
      </xdr:nvCxnSpPr>
      <xdr:spPr>
        <a:xfrm flipV="1">
          <a:off x="10223500" y="123952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55</xdr:row>
      <xdr:rowOff>0</xdr:rowOff>
    </xdr:from>
    <xdr:to>
      <xdr:col>8</xdr:col>
      <xdr:colOff>812800</xdr:colOff>
      <xdr:row>56</xdr:row>
      <xdr:rowOff>12700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D15DDFD3-F2D0-8C46-8647-9DF5CD8F1F28}"/>
            </a:ext>
          </a:extLst>
        </xdr:cNvPr>
        <xdr:cNvCxnSpPr/>
      </xdr:nvCxnSpPr>
      <xdr:spPr>
        <a:xfrm flipV="1">
          <a:off x="8382000" y="111760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48</xdr:row>
      <xdr:rowOff>190500</xdr:rowOff>
    </xdr:from>
    <xdr:to>
      <xdr:col>10</xdr:col>
      <xdr:colOff>800100</xdr:colOff>
      <xdr:row>50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62F9FB3-7DF4-8046-AEB4-ACC2273FA013}"/>
            </a:ext>
          </a:extLst>
        </xdr:cNvPr>
        <xdr:cNvCxnSpPr/>
      </xdr:nvCxnSpPr>
      <xdr:spPr>
        <a:xfrm flipV="1">
          <a:off x="10210800" y="99441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57</xdr:row>
      <xdr:rowOff>0</xdr:rowOff>
    </xdr:from>
    <xdr:to>
      <xdr:col>11</xdr:col>
      <xdr:colOff>12700</xdr:colOff>
      <xdr:row>58</xdr:row>
      <xdr:rowOff>12700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D8F98FA7-B541-1C4A-B445-ED3863DE73D8}"/>
            </a:ext>
          </a:extLst>
        </xdr:cNvPr>
        <xdr:cNvCxnSpPr/>
      </xdr:nvCxnSpPr>
      <xdr:spPr>
        <a:xfrm flipV="1">
          <a:off x="10248900" y="115824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27</xdr:row>
      <xdr:rowOff>190500</xdr:rowOff>
    </xdr:from>
    <xdr:to>
      <xdr:col>11</xdr:col>
      <xdr:colOff>0</xdr:colOff>
      <xdr:row>29</xdr:row>
      <xdr:rowOff>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FA1F8B3-296E-154B-9FFD-F4C6B65062E2}"/>
            </a:ext>
          </a:extLst>
        </xdr:cNvPr>
        <xdr:cNvCxnSpPr/>
      </xdr:nvCxnSpPr>
      <xdr:spPr>
        <a:xfrm flipV="1">
          <a:off x="10236200" y="5676900"/>
          <a:ext cx="800100" cy="21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306016</xdr:colOff>
      <xdr:row>26</xdr:row>
      <xdr:rowOff>101776</xdr:rowOff>
    </xdr:from>
    <xdr:to>
      <xdr:col>2</xdr:col>
      <xdr:colOff>398722</xdr:colOff>
      <xdr:row>38</xdr:row>
      <xdr:rowOff>3403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93244C2-2DBB-424E-9603-190C25885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016" y="5384976"/>
          <a:ext cx="2937506" cy="2340027"/>
        </a:xfrm>
        <a:prstGeom prst="rect">
          <a:avLst/>
        </a:prstGeom>
      </xdr:spPr>
    </xdr:pic>
    <xdr:clientData/>
  </xdr:twoCellAnchor>
  <xdr:twoCellAnchor editAs="oneCell">
    <xdr:from>
      <xdr:col>0</xdr:col>
      <xdr:colOff>73701</xdr:colOff>
      <xdr:row>57</xdr:row>
      <xdr:rowOff>53191</xdr:rowOff>
    </xdr:from>
    <xdr:to>
      <xdr:col>4</xdr:col>
      <xdr:colOff>785955</xdr:colOff>
      <xdr:row>68</xdr:row>
      <xdr:rowOff>163561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DFEA3C2-0DD8-D14A-A141-3E998B200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01" y="11635591"/>
          <a:ext cx="5398554" cy="2345570"/>
        </a:xfrm>
        <a:prstGeom prst="rect">
          <a:avLst/>
        </a:prstGeom>
      </xdr:spPr>
    </xdr:pic>
    <xdr:clientData/>
  </xdr:twoCellAnchor>
  <xdr:twoCellAnchor editAs="oneCell">
    <xdr:from>
      <xdr:col>18</xdr:col>
      <xdr:colOff>787401</xdr:colOff>
      <xdr:row>31</xdr:row>
      <xdr:rowOff>118657</xdr:rowOff>
    </xdr:from>
    <xdr:to>
      <xdr:col>23</xdr:col>
      <xdr:colOff>452874</xdr:colOff>
      <xdr:row>41</xdr:row>
      <xdr:rowOff>76200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EC7F699-56F4-0043-A2A2-5BB0C77A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9101" y="6417857"/>
          <a:ext cx="3894573" cy="1989543"/>
        </a:xfrm>
        <a:prstGeom prst="rect">
          <a:avLst/>
        </a:prstGeom>
      </xdr:spPr>
    </xdr:pic>
    <xdr:clientData/>
  </xdr:twoCellAnchor>
  <xdr:twoCellAnchor editAs="oneCell">
    <xdr:from>
      <xdr:col>0</xdr:col>
      <xdr:colOff>1161201</xdr:colOff>
      <xdr:row>69</xdr:row>
      <xdr:rowOff>36512</xdr:rowOff>
    </xdr:from>
    <xdr:to>
      <xdr:col>5</xdr:col>
      <xdr:colOff>159459</xdr:colOff>
      <xdr:row>80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E00E516-9652-A84A-A63E-6192B9683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201" y="14057312"/>
          <a:ext cx="4510058" cy="2198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437315</xdr:colOff>
      <xdr:row>8</xdr:row>
      <xdr:rowOff>133691</xdr:rowOff>
    </xdr:from>
    <xdr:to>
      <xdr:col>17</xdr:col>
      <xdr:colOff>773442</xdr:colOff>
      <xdr:row>21</xdr:row>
      <xdr:rowOff>108243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46630-E5BF-1222-43DC-6FF93027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1715" y="1759291"/>
          <a:ext cx="7765627" cy="2616152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698500</xdr:colOff>
      <xdr:row>13</xdr:row>
      <xdr:rowOff>12700</xdr:rowOff>
    </xdr:from>
    <xdr:to>
      <xdr:col>8</xdr:col>
      <xdr:colOff>241300</xdr:colOff>
      <xdr:row>22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9E9C00-4EC4-E0F6-9DEE-9107A0381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" y="2654300"/>
          <a:ext cx="6807200" cy="1854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754380</xdr:colOff>
      <xdr:row>0</xdr:row>
      <xdr:rowOff>175260</xdr:rowOff>
    </xdr:from>
    <xdr:to>
      <xdr:col>14</xdr:col>
      <xdr:colOff>481177</xdr:colOff>
      <xdr:row>25</xdr:row>
      <xdr:rowOff>116782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F2AACF-6D65-2E32-E671-CC9AE890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863" y="175260"/>
          <a:ext cx="5551281" cy="5050717"/>
        </a:xfrm>
        <a:prstGeom prst="rect">
          <a:avLst/>
        </a:prstGeom>
      </xdr:spPr>
    </xdr:pic>
    <xdr:clientData/>
  </xdr:twoCellAnchor>
  <xdr:twoCellAnchor editAs="oneCell">
    <xdr:from>
      <xdr:col>1</xdr:col>
      <xdr:colOff>296751</xdr:colOff>
      <xdr:row>29</xdr:row>
      <xdr:rowOff>47044</xdr:rowOff>
    </xdr:from>
    <xdr:to>
      <xdr:col>8</xdr:col>
      <xdr:colOff>496338</xdr:colOff>
      <xdr:row>41</xdr:row>
      <xdr:rowOff>194744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4B1BB3-8C3F-4C42-8A23-3C77BA91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251" y="5939844"/>
          <a:ext cx="7819587" cy="258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B1E4-4CAC-9440-8F11-8B3B7601D9FE}">
  <dimension ref="A3:X65"/>
  <sheetViews>
    <sheetView topLeftCell="K35" zoomScale="125" workbookViewId="0">
      <selection activeCell="X55" sqref="X55"/>
    </sheetView>
  </sheetViews>
  <sheetFormatPr baseColWidth="10" defaultRowHeight="16" x14ac:dyDescent="0.2"/>
  <cols>
    <col min="1" max="1" width="23.6640625" bestFit="1" customWidth="1"/>
    <col min="2" max="2" width="13.6640625" bestFit="1" customWidth="1"/>
    <col min="4" max="4" width="13.33203125" bestFit="1" customWidth="1"/>
    <col min="6" max="6" width="13.33203125" bestFit="1" customWidth="1"/>
    <col min="8" max="8" width="13.33203125" bestFit="1" customWidth="1"/>
    <col min="10" max="10" width="13.33203125" bestFit="1" customWidth="1"/>
    <col min="12" max="12" width="13.1640625" bestFit="1" customWidth="1"/>
    <col min="14" max="14" width="12.6640625" bestFit="1" customWidth="1"/>
    <col min="16" max="16" width="12.6640625" bestFit="1" customWidth="1"/>
    <col min="18" max="18" width="12.6640625" bestFit="1" customWidth="1"/>
    <col min="20" max="20" width="11.5" bestFit="1" customWidth="1"/>
    <col min="22" max="22" width="11.5" bestFit="1" customWidth="1"/>
    <col min="24" max="24" width="11.5" bestFit="1" customWidth="1"/>
  </cols>
  <sheetData>
    <row r="3" spans="1:24" x14ac:dyDescent="0.2">
      <c r="A3" s="1" t="s">
        <v>0</v>
      </c>
      <c r="B3" s="2">
        <v>100</v>
      </c>
    </row>
    <row r="4" spans="1:24" x14ac:dyDescent="0.2">
      <c r="A4" s="1" t="s">
        <v>1</v>
      </c>
      <c r="B4" s="2">
        <v>100</v>
      </c>
    </row>
    <row r="5" spans="1:24" x14ac:dyDescent="0.2">
      <c r="A5" s="1" t="s">
        <v>3</v>
      </c>
      <c r="B5" s="1">
        <v>1</v>
      </c>
    </row>
    <row r="6" spans="1:24" x14ac:dyDescent="0.2">
      <c r="A6" s="1" t="s">
        <v>2</v>
      </c>
      <c r="B6" s="3">
        <v>0.04</v>
      </c>
    </row>
    <row r="7" spans="1:24" x14ac:dyDescent="0.2">
      <c r="A7" s="1" t="s">
        <v>4</v>
      </c>
      <c r="B7" s="3">
        <v>0.03</v>
      </c>
    </row>
    <row r="8" spans="1:24" x14ac:dyDescent="0.2">
      <c r="A8" s="1" t="s">
        <v>5</v>
      </c>
      <c r="B8" s="3">
        <v>0.3</v>
      </c>
    </row>
    <row r="11" spans="1:24" x14ac:dyDescent="0.2"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3" spans="1:24" x14ac:dyDescent="0.2">
      <c r="B13" s="4" t="s">
        <v>6</v>
      </c>
      <c r="N13" s="4" t="s">
        <v>12</v>
      </c>
    </row>
    <row r="14" spans="1:24" x14ac:dyDescent="0.2">
      <c r="B14" s="5">
        <v>0</v>
      </c>
      <c r="D14" s="5">
        <v>1</v>
      </c>
      <c r="F14" s="5">
        <v>2</v>
      </c>
      <c r="H14" s="5">
        <v>3</v>
      </c>
      <c r="J14" s="5">
        <v>4</v>
      </c>
      <c r="L14" s="5">
        <v>5</v>
      </c>
      <c r="N14" s="5">
        <v>5</v>
      </c>
      <c r="P14" s="5">
        <v>4</v>
      </c>
      <c r="R14" s="5">
        <v>3</v>
      </c>
      <c r="T14" s="5">
        <v>2</v>
      </c>
      <c r="V14" s="5">
        <v>1</v>
      </c>
      <c r="X14" s="5">
        <v>0</v>
      </c>
    </row>
    <row r="16" spans="1:24" x14ac:dyDescent="0.2">
      <c r="A16" s="1" t="s">
        <v>11</v>
      </c>
      <c r="B16" s="5">
        <f>B5/L14</f>
        <v>0.2</v>
      </c>
      <c r="L16" s="7">
        <f>J18*B17</f>
        <v>195.58412215673539</v>
      </c>
      <c r="N16" s="7">
        <f>MAX(L16-$B$4,0)</f>
        <v>95.58412215673539</v>
      </c>
    </row>
    <row r="17" spans="1:24" x14ac:dyDescent="0.2">
      <c r="A17" s="6" t="s">
        <v>9</v>
      </c>
      <c r="B17" s="5">
        <f>EXP(B8*SQRT(B16))</f>
        <v>1.1435804413868396</v>
      </c>
      <c r="N17" s="9"/>
    </row>
    <row r="18" spans="1:24" x14ac:dyDescent="0.2">
      <c r="A18" s="6" t="s">
        <v>10</v>
      </c>
      <c r="B18" s="5">
        <f>1/B17</f>
        <v>0.87444657481836863</v>
      </c>
      <c r="J18" s="7">
        <f>H20*B17</f>
        <v>171.02786570881466</v>
      </c>
      <c r="N18" s="9"/>
      <c r="P18" s="7">
        <f>EXP(-B6*B16)*(B19*N16+(1-B19)*N20)</f>
        <v>70.801579384659732</v>
      </c>
    </row>
    <row r="19" spans="1:24" x14ac:dyDescent="0.2">
      <c r="A19" s="1" t="s">
        <v>13</v>
      </c>
      <c r="B19" s="1">
        <f>(EXP((B6-B7)*B16)-B18)/(B17-B18)</f>
        <v>0.47394788378734204</v>
      </c>
      <c r="N19" s="9"/>
    </row>
    <row r="20" spans="1:24" x14ac:dyDescent="0.2">
      <c r="H20" s="7">
        <f>F22*B17</f>
        <v>149.55473136756891</v>
      </c>
      <c r="L20" s="7">
        <f>J18*B18</f>
        <v>149.55473136756891</v>
      </c>
      <c r="N20" s="7">
        <f t="shared" ref="N20:N36" si="0">MAX(L20-$B$4,0)</f>
        <v>49.554731367568905</v>
      </c>
      <c r="R20" s="7">
        <f>EXP(-B6*B16)*(B19*P18+(1-B19)*P22)</f>
        <v>49.358067583431193</v>
      </c>
    </row>
    <row r="21" spans="1:24" x14ac:dyDescent="0.2">
      <c r="N21" s="9"/>
    </row>
    <row r="22" spans="1:24" x14ac:dyDescent="0.2">
      <c r="F22" s="7">
        <f>D24*B17</f>
        <v>130.77762259225187</v>
      </c>
      <c r="J22" s="7">
        <f>H20*B18</f>
        <v>130.77762259225187</v>
      </c>
      <c r="N22" s="9"/>
      <c r="P22" s="7">
        <f>EXP(-B6*B16)*(B19*N20+(1-B19)*N24)</f>
        <v>30.792114669258069</v>
      </c>
      <c r="T22" s="7">
        <f>EXP(-B6*B16)*(B19*R20+(1-B19)*R24)</f>
        <v>32.600512191206569</v>
      </c>
    </row>
    <row r="23" spans="1:24" x14ac:dyDescent="0.2">
      <c r="N23" s="9"/>
    </row>
    <row r="24" spans="1:24" x14ac:dyDescent="0.2">
      <c r="D24" s="7">
        <f>B26*B17</f>
        <v>114.35804413868395</v>
      </c>
      <c r="H24" s="7">
        <f>F26*B17</f>
        <v>114.35804413868395</v>
      </c>
      <c r="L24" s="7">
        <f>J22*B18</f>
        <v>114.35804413868395</v>
      </c>
      <c r="N24" s="7">
        <f t="shared" si="0"/>
        <v>14.358044138683951</v>
      </c>
      <c r="R24" s="7">
        <f>EXP(-B6*B16)*(B19*P22+(1-B19)*P26)</f>
        <v>18.000518050918117</v>
      </c>
      <c r="V24" s="7">
        <f>EXP(-B6*B16)*(B19*T22+(1-B19)*T26)</f>
        <v>20.608910092289953</v>
      </c>
    </row>
    <row r="25" spans="1:24" x14ac:dyDescent="0.2">
      <c r="N25" s="9"/>
    </row>
    <row r="26" spans="1:24" x14ac:dyDescent="0.2">
      <c r="B26" s="7">
        <f>B3</f>
        <v>100</v>
      </c>
      <c r="F26" s="7">
        <f>D24*B18</f>
        <v>100</v>
      </c>
      <c r="J26" s="7">
        <f>H28*B17</f>
        <v>100</v>
      </c>
      <c r="N26" s="9"/>
      <c r="P26" s="7">
        <f>EXP(-B6*B16)*(B19*N24+(1-B19)*N28)</f>
        <v>6.7507420971131973</v>
      </c>
      <c r="T26" s="7">
        <f>EXP(-B6*B16)*(B19*R24+(1-B19)*R28)</f>
        <v>10.119717596085616</v>
      </c>
      <c r="X26" s="14">
        <f>EXP(-B6*B16)*(B19*V24+(1-B19)*V28)</f>
        <v>12.579151825695691</v>
      </c>
    </row>
    <row r="27" spans="1:24" x14ac:dyDescent="0.2">
      <c r="N27" s="9"/>
    </row>
    <row r="28" spans="1:24" x14ac:dyDescent="0.2">
      <c r="D28" s="7">
        <f>B26*B18</f>
        <v>87.444657481836856</v>
      </c>
      <c r="H28" s="7">
        <f>F30*B17</f>
        <v>87.444657481836856</v>
      </c>
      <c r="L28" s="7">
        <f>J26*B18</f>
        <v>87.444657481836856</v>
      </c>
      <c r="N28" s="7">
        <f t="shared" si="0"/>
        <v>0</v>
      </c>
      <c r="R28" s="7">
        <f>EXP(-B6*B16)*(B19*P26+(1-B19)*P30)</f>
        <v>3.1740060429925268</v>
      </c>
      <c r="V28" s="7">
        <f>EXP(-B6*B16)*(B19*T26+(1-B19)*T30)</f>
        <v>5.5367885301863407</v>
      </c>
    </row>
    <row r="29" spans="1:24" x14ac:dyDescent="0.2">
      <c r="N29" s="9"/>
    </row>
    <row r="30" spans="1:24" x14ac:dyDescent="0.2">
      <c r="F30" s="7">
        <f>D28*B18</f>
        <v>76.465681221157666</v>
      </c>
      <c r="J30" s="7">
        <f>H32*B17</f>
        <v>76.465681221157681</v>
      </c>
      <c r="N30" s="9"/>
      <c r="P30" s="7">
        <f>EXP(-B6*B16)*(B19*N28+(1-B19)*N32)</f>
        <v>0</v>
      </c>
      <c r="T30" s="7">
        <f>EXP(-B6*B16)*(B19*R28+(1-B19)*R32)</f>
        <v>1.4923269495454627</v>
      </c>
    </row>
    <row r="31" spans="1:24" x14ac:dyDescent="0.2">
      <c r="N31" s="9"/>
    </row>
    <row r="32" spans="1:24" x14ac:dyDescent="0.2">
      <c r="H32" s="7">
        <f>F30*B18</f>
        <v>66.865153034994577</v>
      </c>
      <c r="L32" s="7">
        <f>J34*B17</f>
        <v>66.865153034994577</v>
      </c>
      <c r="N32" s="7">
        <f t="shared" si="0"/>
        <v>0</v>
      </c>
      <c r="R32" s="7">
        <f>EXP(-B6*B16)*(B19*P30+(1-B19)*P34)</f>
        <v>0</v>
      </c>
    </row>
    <row r="33" spans="1:24" x14ac:dyDescent="0.2">
      <c r="N33" s="9"/>
    </row>
    <row r="34" spans="1:24" x14ac:dyDescent="0.2">
      <c r="J34" s="7">
        <f>H32*B18</f>
        <v>58.470004046157051</v>
      </c>
      <c r="N34" s="9"/>
      <c r="P34" s="7">
        <f>EXP(-B6*B16)*(B19*N32+(1-B19)*N36)</f>
        <v>0</v>
      </c>
    </row>
    <row r="35" spans="1:24" x14ac:dyDescent="0.2">
      <c r="N35" s="9"/>
    </row>
    <row r="36" spans="1:24" x14ac:dyDescent="0.2">
      <c r="L36" s="7">
        <f>J34*B18</f>
        <v>51.128894767778185</v>
      </c>
      <c r="N36" s="7">
        <f t="shared" si="0"/>
        <v>0</v>
      </c>
    </row>
    <row r="40" spans="1:24" x14ac:dyDescent="0.2">
      <c r="B40" s="10" t="s">
        <v>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2" spans="1:24" x14ac:dyDescent="0.2">
      <c r="B42" s="4" t="s">
        <v>6</v>
      </c>
      <c r="N42" s="4" t="s">
        <v>12</v>
      </c>
    </row>
    <row r="43" spans="1:24" x14ac:dyDescent="0.2">
      <c r="B43" s="5">
        <v>0</v>
      </c>
      <c r="D43" s="5">
        <v>1</v>
      </c>
      <c r="F43" s="5">
        <v>2</v>
      </c>
      <c r="H43" s="5">
        <v>3</v>
      </c>
      <c r="J43" s="5">
        <v>4</v>
      </c>
      <c r="L43" s="5">
        <v>5</v>
      </c>
      <c r="N43" s="5">
        <v>5</v>
      </c>
      <c r="P43" s="5">
        <v>4</v>
      </c>
      <c r="R43" s="5">
        <v>3</v>
      </c>
      <c r="T43" s="5">
        <v>2</v>
      </c>
      <c r="V43" s="5">
        <v>1</v>
      </c>
      <c r="X43" s="5">
        <v>0</v>
      </c>
    </row>
    <row r="45" spans="1:24" x14ac:dyDescent="0.2">
      <c r="A45" s="1" t="s">
        <v>11</v>
      </c>
      <c r="B45" s="5">
        <f>B5/L43</f>
        <v>0.2</v>
      </c>
      <c r="L45" s="8">
        <f>J47*B46</f>
        <v>188.85708768852524</v>
      </c>
      <c r="N45" s="7">
        <f>MAX(L45-$B$4,0)</f>
        <v>88.85708768852524</v>
      </c>
    </row>
    <row r="46" spans="1:24" x14ac:dyDescent="0.2">
      <c r="A46" s="6" t="s">
        <v>9</v>
      </c>
      <c r="B46" s="5">
        <f>EXP((B6-B7-0.5*B8^2)*B45+B8*SQRT(B45))</f>
        <v>1.1356033307575095</v>
      </c>
    </row>
    <row r="47" spans="1:24" x14ac:dyDescent="0.2">
      <c r="A47" s="6" t="s">
        <v>10</v>
      </c>
      <c r="B47" s="5">
        <f>EXP((B6-B7-0.5*B8^2)*B45-B8*SQRT(B45))</f>
        <v>0.86834682283388598</v>
      </c>
      <c r="J47" s="8">
        <f>H49*B46</f>
        <v>166.30550701409729</v>
      </c>
      <c r="P47" s="7">
        <f>EXP(-B6*B45)*($B$48*N45+$B$48*N49)</f>
        <v>66.103027989097768</v>
      </c>
    </row>
    <row r="48" spans="1:24" x14ac:dyDescent="0.2">
      <c r="A48" s="1" t="s">
        <v>13</v>
      </c>
      <c r="B48" s="1">
        <v>0.5</v>
      </c>
    </row>
    <row r="49" spans="2:24" x14ac:dyDescent="0.2">
      <c r="H49" s="8">
        <f>F51*B46</f>
        <v>146.44682919621451</v>
      </c>
      <c r="L49" s="8">
        <f>J47*B47</f>
        <v>144.41085863546991</v>
      </c>
      <c r="N49" s="7">
        <f>MAX(L49-$B$4,0)</f>
        <v>44.410858635469907</v>
      </c>
      <c r="R49" s="7">
        <f>EXP(-B6*B45)*($B$48*P47+$B$48*P51)</f>
        <v>46.279461074663189</v>
      </c>
    </row>
    <row r="51" spans="2:24" x14ac:dyDescent="0.2">
      <c r="F51" s="8">
        <f>D53*B46</f>
        <v>128.95949248275494</v>
      </c>
      <c r="J51" s="8">
        <f>H53*B46</f>
        <v>127.16663884662967</v>
      </c>
      <c r="P51" s="7">
        <f>EXP(-B6*B45)*($B$48*N49+$B$48*N53)</f>
        <v>27.199335337115386</v>
      </c>
      <c r="T51" s="7">
        <f>EXP(-B6*B45)*($B$48*R49+$B$48*R53)</f>
        <v>30.91944485957687</v>
      </c>
    </row>
    <row r="53" spans="2:24" x14ac:dyDescent="0.2">
      <c r="D53" s="8">
        <f>B55*B46</f>
        <v>113.56033307575095</v>
      </c>
      <c r="H53" s="8">
        <f>F55*B46</f>
        <v>111.98156557167067</v>
      </c>
      <c r="L53" s="8">
        <f>J51*B47</f>
        <v>110.4247468129351</v>
      </c>
      <c r="N53" s="7">
        <f>MAX(L53-$B$4,0)</f>
        <v>10.424746812935098</v>
      </c>
      <c r="R53" s="7">
        <f>EXP(-B6*B45)*($B$48*P51+$B$48*P55)</f>
        <v>16.056123894204127</v>
      </c>
      <c r="V53" s="7">
        <f>EXP(-B6*B45)*($B$48*T51+$B$48*T55)</f>
        <v>19.917882833544461</v>
      </c>
    </row>
    <row r="55" spans="2:24" x14ac:dyDescent="0.2">
      <c r="B55" s="8">
        <f>B3</f>
        <v>100</v>
      </c>
      <c r="F55" s="8">
        <f>D57*B46</f>
        <v>98.609754426286202</v>
      </c>
      <c r="J55" s="8">
        <f>H53*B47</f>
        <v>97.238836680124692</v>
      </c>
      <c r="P55" s="7">
        <f>EXP(-B6*B45)*($B$48*N53+$B$48*N57)</f>
        <v>5.1708407712637756</v>
      </c>
      <c r="T55" s="7">
        <f>EXP(-B6*B45)*($B$48*R53+$B$48*R57)</f>
        <v>9.2362850834783075</v>
      </c>
      <c r="X55" s="14">
        <f>EXP(-B6*B45)*($B$48*V53+$B$48*V57)</f>
        <v>12.465007427663972</v>
      </c>
    </row>
    <row r="57" spans="2:24" x14ac:dyDescent="0.2">
      <c r="D57" s="8">
        <f>B55*B47</f>
        <v>86.834682283388602</v>
      </c>
      <c r="H57" s="8">
        <f>F55*B47</f>
        <v>85.627466956495354</v>
      </c>
      <c r="L57" s="8">
        <f>J55*B47</f>
        <v>84.437034887249411</v>
      </c>
      <c r="N57" s="7">
        <f>MAX(L57-$B$4,0)</f>
        <v>0</v>
      </c>
      <c r="R57" s="7">
        <f>EXP(-B6*B45)*($B$48*P55+$B$48*P59)</f>
        <v>2.5648195358171733</v>
      </c>
      <c r="V57" s="7">
        <f>EXP(-B6*B45)*($B$48*T55+$B$48*T59)</f>
        <v>5.2123720327242813</v>
      </c>
    </row>
    <row r="59" spans="2:24" x14ac:dyDescent="0.2">
      <c r="F59" s="8">
        <f>D57*B47</f>
        <v>75.402620472570419</v>
      </c>
      <c r="J59" s="8">
        <f>H57*B47</f>
        <v>74.354338878986297</v>
      </c>
      <c r="P59" s="7">
        <f>EXP(-B6*B45)*($B$48*N57+$B$48*N61)</f>
        <v>0</v>
      </c>
      <c r="T59" s="7">
        <f>EXP(-B6*B45)*($B$48*R57+$B$48*R61)</f>
        <v>1.2721914176641058</v>
      </c>
    </row>
    <row r="61" spans="2:24" x14ac:dyDescent="0.2">
      <c r="H61" s="8">
        <f>F59*B47</f>
        <v>65.475625920705852</v>
      </c>
      <c r="L61" s="8">
        <f>J59*B47</f>
        <v>64.56535392948183</v>
      </c>
      <c r="N61" s="7">
        <f>MAX(L61-$B$4,0)</f>
        <v>0</v>
      </c>
      <c r="R61" s="7">
        <f>EXP(-B6*B45)*($B$48*P59+$B$48*P63)</f>
        <v>0</v>
      </c>
    </row>
    <row r="63" spans="2:24" x14ac:dyDescent="0.2">
      <c r="J63" s="8">
        <f>H61*B47</f>
        <v>56.855551741304957</v>
      </c>
      <c r="P63" s="7">
        <f>EXP(-B6*B45)*($B$48*N61+$B$48*N65)</f>
        <v>0</v>
      </c>
    </row>
    <row r="65" spans="12:14" x14ac:dyDescent="0.2">
      <c r="L65" s="8">
        <f>J63*B47</f>
        <v>49.37033771502977</v>
      </c>
      <c r="N65" s="7">
        <f>MAX(L65-$B$4,0)</f>
        <v>0</v>
      </c>
    </row>
  </sheetData>
  <mergeCells count="2">
    <mergeCell ref="B11:L11"/>
    <mergeCell ref="B40:L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DC47-E5BD-E845-A624-7801F0EB9C91}">
  <dimension ref="A3:X65"/>
  <sheetViews>
    <sheetView topLeftCell="J33" zoomScale="111" workbookViewId="0">
      <selection activeCell="B6" sqref="B6"/>
    </sheetView>
  </sheetViews>
  <sheetFormatPr baseColWidth="10" defaultRowHeight="16" x14ac:dyDescent="0.2"/>
  <cols>
    <col min="1" max="1" width="23.6640625" bestFit="1" customWidth="1"/>
    <col min="2" max="2" width="13.6640625" bestFit="1" customWidth="1"/>
    <col min="4" max="4" width="13.33203125" bestFit="1" customWidth="1"/>
    <col min="6" max="6" width="13.33203125" bestFit="1" customWidth="1"/>
    <col min="8" max="8" width="13.33203125" bestFit="1" customWidth="1"/>
    <col min="10" max="10" width="13.33203125" bestFit="1" customWidth="1"/>
    <col min="12" max="12" width="13.1640625" bestFit="1" customWidth="1"/>
    <col min="14" max="14" width="12.6640625" bestFit="1" customWidth="1"/>
    <col min="16" max="16" width="12.6640625" bestFit="1" customWidth="1"/>
    <col min="18" max="18" width="12.6640625" bestFit="1" customWidth="1"/>
    <col min="20" max="20" width="11.5" bestFit="1" customWidth="1"/>
    <col min="22" max="22" width="11.5" bestFit="1" customWidth="1"/>
    <col min="24" max="24" width="11.5" bestFit="1" customWidth="1"/>
  </cols>
  <sheetData>
    <row r="3" spans="1:24" x14ac:dyDescent="0.2">
      <c r="A3" s="1" t="s">
        <v>0</v>
      </c>
      <c r="B3" s="2">
        <v>100</v>
      </c>
    </row>
    <row r="4" spans="1:24" x14ac:dyDescent="0.2">
      <c r="A4" s="1" t="s">
        <v>1</v>
      </c>
      <c r="B4" s="2">
        <v>100</v>
      </c>
    </row>
    <row r="5" spans="1:24" x14ac:dyDescent="0.2">
      <c r="A5" s="1" t="s">
        <v>3</v>
      </c>
      <c r="B5" s="1">
        <v>1</v>
      </c>
    </row>
    <row r="6" spans="1:24" x14ac:dyDescent="0.2">
      <c r="A6" s="1" t="s">
        <v>2</v>
      </c>
      <c r="B6" s="3">
        <v>0.04</v>
      </c>
    </row>
    <row r="7" spans="1:24" x14ac:dyDescent="0.2">
      <c r="A7" s="1" t="s">
        <v>4</v>
      </c>
      <c r="B7" s="3">
        <v>0.03</v>
      </c>
    </row>
    <row r="8" spans="1:24" x14ac:dyDescent="0.2">
      <c r="A8" s="1" t="s">
        <v>5</v>
      </c>
      <c r="B8" s="3">
        <v>0.3</v>
      </c>
    </row>
    <row r="11" spans="1:24" x14ac:dyDescent="0.2"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3" spans="1:24" x14ac:dyDescent="0.2">
      <c r="B13" s="4" t="s">
        <v>6</v>
      </c>
      <c r="N13" s="4" t="s">
        <v>12</v>
      </c>
    </row>
    <row r="14" spans="1:24" x14ac:dyDescent="0.2">
      <c r="B14" s="5">
        <v>0</v>
      </c>
      <c r="D14" s="5">
        <v>1</v>
      </c>
      <c r="F14" s="5">
        <v>2</v>
      </c>
      <c r="H14" s="5">
        <v>3</v>
      </c>
      <c r="J14" s="5">
        <v>4</v>
      </c>
      <c r="L14" s="5">
        <v>5</v>
      </c>
      <c r="N14" s="5">
        <v>5</v>
      </c>
      <c r="P14" s="5">
        <v>4</v>
      </c>
      <c r="R14" s="5">
        <v>3</v>
      </c>
      <c r="T14" s="5">
        <v>2</v>
      </c>
      <c r="V14" s="5">
        <v>1</v>
      </c>
      <c r="X14" s="5">
        <v>0</v>
      </c>
    </row>
    <row r="16" spans="1:24" x14ac:dyDescent="0.2">
      <c r="A16" s="1" t="s">
        <v>11</v>
      </c>
      <c r="B16" s="5">
        <f>B5/L14</f>
        <v>0.2</v>
      </c>
      <c r="L16" s="7">
        <f>J18*B17</f>
        <v>195.58412215673539</v>
      </c>
      <c r="N16" s="7">
        <f>MAX($B$4-L16,0)</f>
        <v>0</v>
      </c>
    </row>
    <row r="17" spans="1:24" x14ac:dyDescent="0.2">
      <c r="A17" s="6" t="s">
        <v>9</v>
      </c>
      <c r="B17" s="5">
        <f>EXP(B8*SQRT(B16))</f>
        <v>1.1435804413868396</v>
      </c>
      <c r="N17" s="9"/>
    </row>
    <row r="18" spans="1:24" x14ac:dyDescent="0.2">
      <c r="A18" s="6" t="s">
        <v>10</v>
      </c>
      <c r="B18" s="5">
        <f>1/B17</f>
        <v>0.87444657481836863</v>
      </c>
      <c r="J18" s="7">
        <f>H20*B17</f>
        <v>171.02786570881466</v>
      </c>
      <c r="N18" s="9"/>
      <c r="P18" s="7">
        <f>EXP(-B6*B16)*(B19*N16+(1-B19)*N20)</f>
        <v>0</v>
      </c>
    </row>
    <row r="19" spans="1:24" x14ac:dyDescent="0.2">
      <c r="A19" s="1" t="s">
        <v>13</v>
      </c>
      <c r="B19" s="1">
        <f>(EXP((B6-B7)*B16)-B18)/(B17-B18)</f>
        <v>0.47394788378734204</v>
      </c>
      <c r="N19" s="9"/>
    </row>
    <row r="20" spans="1:24" x14ac:dyDescent="0.2">
      <c r="H20" s="7">
        <f>F22*B17</f>
        <v>149.55473136756891</v>
      </c>
      <c r="L20" s="7">
        <f>J18*B18</f>
        <v>149.55473136756891</v>
      </c>
      <c r="N20" s="7">
        <f>MAX($B$4-L20,0)</f>
        <v>0</v>
      </c>
      <c r="R20" s="7">
        <f>EXP(-B6*B16)*(B19*P18+(1-B19)*P22)</f>
        <v>0</v>
      </c>
    </row>
    <row r="21" spans="1:24" x14ac:dyDescent="0.2">
      <c r="N21" s="9"/>
    </row>
    <row r="22" spans="1:24" x14ac:dyDescent="0.2">
      <c r="F22" s="7">
        <f>D24*B17</f>
        <v>130.77762259225187</v>
      </c>
      <c r="J22" s="7">
        <f>H20*B18</f>
        <v>130.77762259225187</v>
      </c>
      <c r="N22" s="9"/>
      <c r="P22" s="7">
        <f>EXP(-B6*B16)*(B19*N20+(1-B19)*N24)</f>
        <v>0</v>
      </c>
      <c r="T22" s="7">
        <f>EXP(-B6*B16)*(B19*R20+(1-B19)*R24)</f>
        <v>1.7843983524271636</v>
      </c>
    </row>
    <row r="23" spans="1:24" x14ac:dyDescent="0.2">
      <c r="N23" s="9"/>
    </row>
    <row r="24" spans="1:24" x14ac:dyDescent="0.2">
      <c r="D24" s="7">
        <f>B26*B17</f>
        <v>114.35804413868395</v>
      </c>
      <c r="H24" s="7">
        <f>F26*B17</f>
        <v>114.35804413868395</v>
      </c>
      <c r="L24" s="7">
        <f>J22*B18</f>
        <v>114.35804413868395</v>
      </c>
      <c r="N24" s="7">
        <f>MAX($B$4-L24,0)</f>
        <v>0</v>
      </c>
      <c r="R24" s="7">
        <f>EXP(-B6*B16)*(B19*P22+(1-B19)*P26)</f>
        <v>3.4193015047969157</v>
      </c>
      <c r="V24" s="7">
        <f>EXP(-B6*B16)*(B19*T22+(1-B19)*T26)</f>
        <v>5.8134440117483175</v>
      </c>
    </row>
    <row r="25" spans="1:24" x14ac:dyDescent="0.2">
      <c r="N25" s="9"/>
    </row>
    <row r="26" spans="1:24" x14ac:dyDescent="0.2">
      <c r="B26" s="7">
        <f>B3</f>
        <v>100</v>
      </c>
      <c r="F26" s="7">
        <f>D24*B18</f>
        <v>100</v>
      </c>
      <c r="J26" s="7">
        <f>H28*B17</f>
        <v>100</v>
      </c>
      <c r="N26" s="9"/>
      <c r="P26" s="7">
        <f>EXP(-B6*B16)*(B19*N24+(1-B19)*N28)</f>
        <v>6.5521371754257354</v>
      </c>
      <c r="T26" s="7">
        <f>EXP(-B6*B16)*(B19*R24+(1-B19)*R28)</f>
        <v>9.5321853360464708</v>
      </c>
      <c r="X26" s="14">
        <f>EXP(-B6*B16)*(B19*V24+(1-B19)*V28)</f>
        <v>11.61354238607718</v>
      </c>
    </row>
    <row r="27" spans="1:24" x14ac:dyDescent="0.2">
      <c r="N27" s="9"/>
    </row>
    <row r="28" spans="1:24" x14ac:dyDescent="0.2">
      <c r="D28" s="7">
        <f>B26*B18</f>
        <v>87.444657481836856</v>
      </c>
      <c r="H28" s="7">
        <f>F30*B17</f>
        <v>87.444657481836856</v>
      </c>
      <c r="L28" s="7">
        <f>J26*B18</f>
        <v>87.444657481836856</v>
      </c>
      <c r="N28" s="7">
        <f>MAX($B$4-L28,0)</f>
        <v>12.555342518163144</v>
      </c>
      <c r="R28" s="7">
        <f>EXP(-B6*B16)*(B19*P26+(1-B19)*P30)</f>
        <v>15.185145549817658</v>
      </c>
      <c r="V28" s="7">
        <f>EXP(-B6*B16)*(B19*T26+(1-B19)*T30)</f>
        <v>17.016477243913712</v>
      </c>
    </row>
    <row r="29" spans="1:24" x14ac:dyDescent="0.2">
      <c r="N29" s="9"/>
    </row>
    <row r="30" spans="1:24" x14ac:dyDescent="0.2">
      <c r="F30" s="7">
        <f>D28*B18</f>
        <v>76.465681221157666</v>
      </c>
      <c r="J30" s="7">
        <f>H32*B17</f>
        <v>76.465681221157681</v>
      </c>
      <c r="N30" s="9"/>
      <c r="P30" s="7">
        <f>EXP(-B6*B16)*(B19*N28+(1-B19)*N32)</f>
        <v>23.19493071625368</v>
      </c>
      <c r="T30" s="7">
        <f>EXP(-B6*B16)*(B19*R28+(1-B19)*R32)</f>
        <v>24.019285517183437</v>
      </c>
    </row>
    <row r="31" spans="1:24" x14ac:dyDescent="0.2">
      <c r="N31" s="9"/>
    </row>
    <row r="32" spans="1:24" x14ac:dyDescent="0.2">
      <c r="H32" s="7">
        <f>F30*B18</f>
        <v>66.865153034994577</v>
      </c>
      <c r="L32" s="7">
        <f>J34*B17</f>
        <v>66.865153034994577</v>
      </c>
      <c r="N32" s="7">
        <f>MAX($B$4-L32,0)</f>
        <v>33.134846965005423</v>
      </c>
      <c r="R32" s="7">
        <f>EXP(-B6*B16)*(B19*P30+(1-B19)*P34)</f>
        <v>32.345165715466301</v>
      </c>
    </row>
    <row r="33" spans="1:24" x14ac:dyDescent="0.2">
      <c r="N33" s="9"/>
    </row>
    <row r="34" spans="1:24" x14ac:dyDescent="0.2">
      <c r="J34" s="7">
        <f>H32*B18</f>
        <v>58.470004046157051</v>
      </c>
      <c r="N34" s="9"/>
      <c r="P34" s="7">
        <f>EXP(-B6*B16)*(B19*N32+(1-B19)*N36)</f>
        <v>41.082957103519675</v>
      </c>
    </row>
    <row r="35" spans="1:24" x14ac:dyDescent="0.2">
      <c r="N35" s="9"/>
    </row>
    <row r="36" spans="1:24" x14ac:dyDescent="0.2">
      <c r="L36" s="7">
        <f>J34*B18</f>
        <v>51.128894767778185</v>
      </c>
      <c r="N36" s="7">
        <f>MAX($B$4-L36,0)</f>
        <v>48.871105232221815</v>
      </c>
    </row>
    <row r="40" spans="1:24" x14ac:dyDescent="0.2">
      <c r="B40" s="10" t="s">
        <v>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2" spans="1:24" x14ac:dyDescent="0.2">
      <c r="B42" s="4" t="s">
        <v>6</v>
      </c>
      <c r="N42" s="4" t="s">
        <v>12</v>
      </c>
    </row>
    <row r="43" spans="1:24" x14ac:dyDescent="0.2">
      <c r="B43" s="5">
        <v>0</v>
      </c>
      <c r="D43" s="5">
        <v>1</v>
      </c>
      <c r="F43" s="5">
        <v>2</v>
      </c>
      <c r="H43" s="5">
        <v>3</v>
      </c>
      <c r="J43" s="5">
        <v>4</v>
      </c>
      <c r="L43" s="5">
        <v>5</v>
      </c>
      <c r="N43" s="5">
        <v>5</v>
      </c>
      <c r="P43" s="5">
        <v>4</v>
      </c>
      <c r="R43" s="5">
        <v>3</v>
      </c>
      <c r="T43" s="5">
        <v>2</v>
      </c>
      <c r="V43" s="5">
        <v>1</v>
      </c>
      <c r="X43" s="5">
        <v>0</v>
      </c>
    </row>
    <row r="45" spans="1:24" x14ac:dyDescent="0.2">
      <c r="A45" s="1" t="s">
        <v>11</v>
      </c>
      <c r="B45" s="5">
        <f>B5/L43</f>
        <v>0.2</v>
      </c>
      <c r="L45" s="8">
        <f>J47*B46</f>
        <v>188.85708768852524</v>
      </c>
      <c r="N45" s="7">
        <f>MAX($B$4-L45,0)</f>
        <v>0</v>
      </c>
    </row>
    <row r="46" spans="1:24" x14ac:dyDescent="0.2">
      <c r="A46" s="6" t="s">
        <v>9</v>
      </c>
      <c r="B46" s="5">
        <f>EXP((B6-B7-0.5*B8^2)*B45+B8*SQRT(B45))</f>
        <v>1.1356033307575095</v>
      </c>
    </row>
    <row r="47" spans="1:24" x14ac:dyDescent="0.2">
      <c r="A47" s="6" t="s">
        <v>10</v>
      </c>
      <c r="B47" s="5">
        <f>EXP((B6-B7-0.5*B8^2)*B45-B8*SQRT(B45))</f>
        <v>0.86834682283388598</v>
      </c>
      <c r="J47" s="8">
        <f>H49*B46</f>
        <v>166.30550701409729</v>
      </c>
      <c r="P47" s="7">
        <f>EXP(-B6*B45)*($B$48*N45+$B$48*N49)</f>
        <v>0</v>
      </c>
    </row>
    <row r="48" spans="1:24" x14ac:dyDescent="0.2">
      <c r="A48" s="1" t="s">
        <v>13</v>
      </c>
      <c r="B48" s="1">
        <v>0.5</v>
      </c>
    </row>
    <row r="49" spans="2:24" x14ac:dyDescent="0.2">
      <c r="H49" s="8">
        <f>F51*B46</f>
        <v>146.44682919621451</v>
      </c>
      <c r="L49" s="8">
        <f>J47*B47</f>
        <v>144.41085863546991</v>
      </c>
      <c r="N49" s="7">
        <f>MAX($B$4-L49,0)</f>
        <v>0</v>
      </c>
      <c r="R49" s="7">
        <f>EXP(-B6*B45)*($B$48*P47+$B$48*P51)</f>
        <v>0</v>
      </c>
    </row>
    <row r="51" spans="2:24" x14ac:dyDescent="0.2">
      <c r="F51" s="8">
        <f>D53*B46</f>
        <v>128.95949248275494</v>
      </c>
      <c r="J51" s="8">
        <f>H53*B46</f>
        <v>127.16663884662967</v>
      </c>
      <c r="P51" s="7">
        <f>EXP(-B6*B45)*($B$48*N49+$B$48*N53)</f>
        <v>0</v>
      </c>
      <c r="T51" s="7">
        <f>EXP(-B6*B45)*($B$48*R49+$B$48*R53)</f>
        <v>1.8992375551299114</v>
      </c>
    </row>
    <row r="53" spans="2:24" x14ac:dyDescent="0.2">
      <c r="D53" s="8">
        <f>B55*B46</f>
        <v>113.56033307575095</v>
      </c>
      <c r="H53" s="8">
        <f>F55*B46</f>
        <v>111.98156557167067</v>
      </c>
      <c r="L53" s="8">
        <f>J51*B47</f>
        <v>110.4247468129351</v>
      </c>
      <c r="N53" s="7">
        <f>MAX($B$4-L53,0)</f>
        <v>0</v>
      </c>
      <c r="R53" s="7">
        <f>EXP(-B6*B45)*($B$48*P51+$B$48*P55)</f>
        <v>3.8289847871312843</v>
      </c>
      <c r="V53" s="7">
        <f>EXP(-B6*B45)*($B$48*T51+$B$48*T55)</f>
        <v>5.913126534150944</v>
      </c>
    </row>
    <row r="55" spans="2:24" x14ac:dyDescent="0.2">
      <c r="B55" s="8">
        <f>B3</f>
        <v>100</v>
      </c>
      <c r="F55" s="8">
        <f>D57*B46</f>
        <v>98.609754426286202</v>
      </c>
      <c r="J55" s="8">
        <f>H53*B47</f>
        <v>97.238836680124692</v>
      </c>
      <c r="P55" s="7">
        <f>EXP(-B6*B45)*($B$48*N53+$B$48*N57)</f>
        <v>7.7194790406721694</v>
      </c>
      <c r="T55" s="7">
        <f>EXP(-B6*B45)*($B$48*R53+$B$48*R57)</f>
        <v>10.022004989011753</v>
      </c>
      <c r="X55" s="14">
        <f>EXP(-B6*B45)*($B$48*V53+$B$48*V57)</f>
        <v>11.512435583649607</v>
      </c>
    </row>
    <row r="57" spans="2:24" x14ac:dyDescent="0.2">
      <c r="D57" s="8">
        <f>B55*B47</f>
        <v>86.834682283388602</v>
      </c>
      <c r="H57" s="8">
        <f>F55*B47</f>
        <v>85.627466956495354</v>
      </c>
      <c r="L57" s="8">
        <f>J55*B47</f>
        <v>84.437034887249411</v>
      </c>
      <c r="N57" s="7">
        <f>MAX($B$4-L57,0)</f>
        <v>15.562965112750589</v>
      </c>
      <c r="R57" s="7">
        <f>EXP(-B6*B45)*($B$48*P55+$B$48*P59)</f>
        <v>16.376020392884218</v>
      </c>
      <c r="V57" s="7">
        <f>EXP(-B6*B45)*($B$48*T55+$B$48*T59)</f>
        <v>17.296682367088895</v>
      </c>
    </row>
    <row r="59" spans="2:24" x14ac:dyDescent="0.2">
      <c r="F59" s="8">
        <f>D57*B47</f>
        <v>75.402620472570419</v>
      </c>
      <c r="J59" s="8">
        <f>H57*B47</f>
        <v>74.354338878986297</v>
      </c>
      <c r="P59" s="7">
        <f>EXP(-B6*B45)*($B$48*N57+$B$48*N61)</f>
        <v>25.295628937127002</v>
      </c>
      <c r="T59" s="7">
        <f>EXP(-B6*B45)*($B$48*R57+$B$48*R61)</f>
        <v>24.849216608591473</v>
      </c>
    </row>
    <row r="61" spans="2:24" x14ac:dyDescent="0.2">
      <c r="H61" s="8">
        <f>F59*B47</f>
        <v>65.475625920705852</v>
      </c>
      <c r="L61" s="8">
        <f>J59*B47</f>
        <v>64.56535392948183</v>
      </c>
      <c r="N61" s="7">
        <f>MAX($B$4-L61,0)</f>
        <v>35.43464607051817</v>
      </c>
      <c r="R61" s="7">
        <f>EXP(-B6*B45)*($B$48*P59+$B$48*P63)</f>
        <v>33.721594889327555</v>
      </c>
    </row>
    <row r="63" spans="2:24" x14ac:dyDescent="0.2">
      <c r="J63" s="8">
        <f>H61*B47</f>
        <v>56.855551741304957</v>
      </c>
      <c r="P63" s="7">
        <f>EXP(-B6*B45)*($B$48*N61+$B$48*N65)</f>
        <v>42.689270308511205</v>
      </c>
    </row>
    <row r="65" spans="12:14" x14ac:dyDescent="0.2">
      <c r="L65" s="8">
        <f>J63*B47</f>
        <v>49.37033771502977</v>
      </c>
      <c r="N65" s="7">
        <f>MAX($B$4-L65,0)</f>
        <v>50.62966228497023</v>
      </c>
    </row>
  </sheetData>
  <mergeCells count="2">
    <mergeCell ref="B11:L11"/>
    <mergeCell ref="B40:L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AB58-CCDD-864E-A882-40C0DAC0B87B}">
  <dimension ref="B3:L11"/>
  <sheetViews>
    <sheetView tabSelected="1" workbookViewId="0">
      <selection activeCell="J33" sqref="J33"/>
    </sheetView>
  </sheetViews>
  <sheetFormatPr baseColWidth="10" defaultRowHeight="16" x14ac:dyDescent="0.2"/>
  <cols>
    <col min="3" max="3" width="18" bestFit="1" customWidth="1"/>
    <col min="4" max="4" width="12.33203125" bestFit="1" customWidth="1"/>
  </cols>
  <sheetData>
    <row r="3" spans="2:12" x14ac:dyDescent="0.2">
      <c r="B3" s="10" t="s">
        <v>7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2:12" x14ac:dyDescent="0.2">
      <c r="B5" s="5" t="s">
        <v>22</v>
      </c>
      <c r="C5" s="5" t="s">
        <v>23</v>
      </c>
      <c r="D5" s="5" t="s">
        <v>24</v>
      </c>
    </row>
    <row r="6" spans="2:12" x14ac:dyDescent="0.2">
      <c r="B6" s="5">
        <f>'Call Price'!X26+'Black-Scholes'!F10</f>
        <v>108.658095740928</v>
      </c>
      <c r="C6" s="12">
        <f>'Put Price'!X26+'Put Price'!B3*EXP(-'Put Price'!B7*'Put Price'!B5)</f>
        <v>108.658095740928</v>
      </c>
      <c r="D6" s="12">
        <f>B6-C6</f>
        <v>0</v>
      </c>
    </row>
    <row r="8" spans="2:12" x14ac:dyDescent="0.2">
      <c r="B8" s="10" t="s">
        <v>8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10" spans="2:12" x14ac:dyDescent="0.2">
      <c r="B10" s="5" t="s">
        <v>22</v>
      </c>
      <c r="C10" s="5" t="s">
        <v>23</v>
      </c>
      <c r="D10" s="5" t="s">
        <v>24</v>
      </c>
    </row>
    <row r="11" spans="2:12" x14ac:dyDescent="0.2">
      <c r="B11" s="5">
        <f>'Call Price'!X55+'Black-Scholes'!F10</f>
        <v>108.54395134289629</v>
      </c>
      <c r="C11" s="13">
        <f>'Put Price'!X55+'Put Price'!B3*EXP(-'Put Price'!B7*'Put Price'!B5)</f>
        <v>108.55698893850042</v>
      </c>
      <c r="D11" s="12">
        <f>B11-C11</f>
        <v>-1.303759560413198E-2</v>
      </c>
    </row>
  </sheetData>
  <mergeCells count="2">
    <mergeCell ref="B3:L3"/>
    <mergeCell ref="B8:L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91A1-9FB4-C44F-8D72-432292647302}">
  <dimension ref="B6:L18"/>
  <sheetViews>
    <sheetView workbookViewId="0">
      <selection activeCell="C19" sqref="C19"/>
    </sheetView>
  </sheetViews>
  <sheetFormatPr baseColWidth="10" defaultRowHeight="16" x14ac:dyDescent="0.2"/>
  <cols>
    <col min="2" max="2" width="23.6640625" bestFit="1" customWidth="1"/>
    <col min="3" max="3" width="18.1640625" bestFit="1" customWidth="1"/>
    <col min="5" max="5" width="14.83203125" bestFit="1" customWidth="1"/>
  </cols>
  <sheetData>
    <row r="6" spans="2:12" x14ac:dyDescent="0.2">
      <c r="B6" s="1" t="s">
        <v>0</v>
      </c>
      <c r="C6" s="2">
        <v>100</v>
      </c>
      <c r="E6" s="1" t="s">
        <v>14</v>
      </c>
      <c r="F6" s="5">
        <f>(1/(C11*SQRT(C8)))*(LOG(C6/C7)+(C9-C10+C11^2/2)*C8)</f>
        <v>0.18333333333333335</v>
      </c>
    </row>
    <row r="7" spans="2:12" x14ac:dyDescent="0.2">
      <c r="B7" s="1" t="s">
        <v>1</v>
      </c>
      <c r="C7" s="2">
        <v>100</v>
      </c>
      <c r="E7" s="1" t="s">
        <v>15</v>
      </c>
      <c r="F7" s="5">
        <f>F6-C11*SQRT(C8)</f>
        <v>-0.11666666666666664</v>
      </c>
    </row>
    <row r="8" spans="2:12" x14ac:dyDescent="0.2">
      <c r="B8" s="1" t="s">
        <v>3</v>
      </c>
      <c r="C8" s="1">
        <v>1</v>
      </c>
      <c r="E8" s="1" t="s">
        <v>16</v>
      </c>
      <c r="F8" s="5">
        <f>-F6</f>
        <v>-0.18333333333333335</v>
      </c>
    </row>
    <row r="9" spans="2:12" x14ac:dyDescent="0.2">
      <c r="B9" s="1" t="s">
        <v>2</v>
      </c>
      <c r="C9" s="3">
        <v>0.04</v>
      </c>
      <c r="E9" s="1" t="s">
        <v>17</v>
      </c>
      <c r="F9" s="5">
        <f>-F7</f>
        <v>0.11666666666666664</v>
      </c>
    </row>
    <row r="10" spans="2:12" x14ac:dyDescent="0.2">
      <c r="B10" s="1" t="s">
        <v>4</v>
      </c>
      <c r="C10" s="3">
        <v>0.03</v>
      </c>
      <c r="E10" s="1" t="s">
        <v>18</v>
      </c>
      <c r="F10" s="5">
        <f>C7*EXP(-C9*SQRT(C8))</f>
        <v>96.078943915232315</v>
      </c>
    </row>
    <row r="11" spans="2:12" x14ac:dyDescent="0.2">
      <c r="B11" s="1" t="s">
        <v>5</v>
      </c>
      <c r="C11" s="3">
        <v>0.3</v>
      </c>
    </row>
    <row r="12" spans="2:12" x14ac:dyDescent="0.2">
      <c r="E12" s="1" t="s">
        <v>19</v>
      </c>
      <c r="F12" s="11">
        <f>_xlfn.NORM.DIST(F6,0,1,TRUE)*C6 - _xlfn.NORM.DIST(F7,0,1,TRUE)*F10</f>
        <v>13.695408074565158</v>
      </c>
    </row>
    <row r="13" spans="2:12" x14ac:dyDescent="0.2">
      <c r="E13" s="1" t="s">
        <v>20</v>
      </c>
      <c r="F13" s="11">
        <f>_xlfn.NORM.DIST(F9,0,1,TRUE)*F10 - _xlfn.NORM.DIST(F8,0,1,TRUE)*C6</f>
        <v>9.7743519897974664</v>
      </c>
    </row>
    <row r="15" spans="2:12" x14ac:dyDescent="0.2">
      <c r="B15" s="10" t="s">
        <v>21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7" spans="2:4" x14ac:dyDescent="0.2">
      <c r="B17" s="5" t="s">
        <v>22</v>
      </c>
      <c r="C17" s="5" t="s">
        <v>23</v>
      </c>
      <c r="D17" s="5" t="s">
        <v>24</v>
      </c>
    </row>
    <row r="18" spans="2:4" x14ac:dyDescent="0.2">
      <c r="B18" s="11">
        <f>F12+F10</f>
        <v>109.77435198979748</v>
      </c>
      <c r="C18" s="11">
        <f>F13+C6</f>
        <v>109.77435198979747</v>
      </c>
      <c r="D18" s="5">
        <f>B18-C18</f>
        <v>0</v>
      </c>
    </row>
  </sheetData>
  <mergeCells count="1">
    <mergeCell ref="B15:L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 Price</vt:lpstr>
      <vt:lpstr>Put Price</vt:lpstr>
      <vt:lpstr>Put Call Parity</vt:lpstr>
      <vt:lpstr>Black-Scholes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Huang</dc:creator>
  <cp:lastModifiedBy>James Huang</cp:lastModifiedBy>
  <dcterms:created xsi:type="dcterms:W3CDTF">2026-02-05T19:09:19Z</dcterms:created>
  <dcterms:modified xsi:type="dcterms:W3CDTF">2026-02-05T23:57:51Z</dcterms:modified>
</cp:coreProperties>
</file>