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tabRatio="687" firstSheet="1"/>
  </bookViews>
  <sheets>
    <sheet name="LBO Model" sheetId="11" r:id="rId1"/>
    <sheet name="BS 2021 10K" sheetId="5" r:id="rId2"/>
    <sheet name="CF 2021 10K" sheetId="6" r:id="rId3"/>
    <sheet name="IS 2021 10K" sheetId="7" r:id="rId4"/>
    <sheet name="BS 10Q 2022" sheetId="8" r:id="rId5"/>
    <sheet name="IS 2022" sheetId="9" r:id="rId6"/>
    <sheet name="CF 2022" sheetId="10" r:id="rId7"/>
  </sheets>
  <definedNames>
    <definedName name="CASE">#REF!</definedName>
    <definedName name="CIRC">#REF!</definedName>
  </definedName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<sst xmlns="http://schemas.openxmlformats.org/spreadsheetml/2006/main" count="535" uniqueCount="255">
  <si>
    <r>
      <rPr>
        <b/>
        <sz val="16"/>
        <color theme="1"/>
        <rFont val="Calibri"/>
        <charset val="134"/>
        <scheme val="minor"/>
      </rPr>
      <t xml:space="preserve">Twitter Inc. LBO Model </t>
    </r>
    <r>
      <rPr>
        <b/>
        <sz val="12"/>
        <color theme="1"/>
        <rFont val="Calibri"/>
        <charset val="134"/>
        <scheme val="minor"/>
      </rPr>
      <t>($ USD in thousands)</t>
    </r>
  </si>
  <si>
    <t>x</t>
  </si>
  <si>
    <t>Switches</t>
  </si>
  <si>
    <t>Case</t>
  </si>
  <si>
    <t>IRR (for reference)</t>
  </si>
  <si>
    <t>Assumptions</t>
  </si>
  <si>
    <t>Transaction Background</t>
  </si>
  <si>
    <t>Valuation at Entry</t>
  </si>
  <si>
    <t>Company name</t>
  </si>
  <si>
    <t>Twitter Inc.</t>
  </si>
  <si>
    <t>Offer value / share</t>
  </si>
  <si>
    <t>Ticker</t>
  </si>
  <si>
    <t>TWTR</t>
  </si>
  <si>
    <t>% Premium / discount</t>
  </si>
  <si>
    <t>Latest closing share price</t>
  </si>
  <si>
    <t>Latest closing share price date</t>
  </si>
  <si>
    <t>Offer value (Equity value)</t>
  </si>
  <si>
    <t>Diluted shares outstanding</t>
  </si>
  <si>
    <t>Transaction Financials and Assumptions</t>
  </si>
  <si>
    <t>Debt</t>
  </si>
  <si>
    <t>LTM EBITDA (FY 2021)</t>
  </si>
  <si>
    <t>Cash</t>
  </si>
  <si>
    <t>Enterprise Value</t>
  </si>
  <si>
    <t>Exit Multiple</t>
  </si>
  <si>
    <t>LTM EBITDA</t>
  </si>
  <si>
    <t>Minimum Cash as Op-Ex %</t>
  </si>
  <si>
    <t>Projected EBITDA at time of purchase</t>
  </si>
  <si>
    <t>SOFR</t>
  </si>
  <si>
    <t>Entry Multiple</t>
  </si>
  <si>
    <t>Capital Structure</t>
  </si>
  <si>
    <t>Amount</t>
  </si>
  <si>
    <t>xEBITDA</t>
  </si>
  <si>
    <t>Interest (%) (above SOFR)</t>
  </si>
  <si>
    <t>Undrawn Fee</t>
  </si>
  <si>
    <t>Overdrawn Fees (%)</t>
  </si>
  <si>
    <t>Cash Flow Sweep</t>
  </si>
  <si>
    <t>Term</t>
  </si>
  <si>
    <t>Amortization</t>
  </si>
  <si>
    <t>Revolver</t>
  </si>
  <si>
    <t>Term Loan &amp; Senior Secured</t>
  </si>
  <si>
    <t>Margin Loan</t>
  </si>
  <si>
    <t>Unsecured Debt</t>
  </si>
  <si>
    <t>Excess Cash</t>
  </si>
  <si>
    <t>Investor Equity</t>
  </si>
  <si>
    <t>Total</t>
  </si>
  <si>
    <t>Sources and Uses</t>
  </si>
  <si>
    <t>Sources</t>
  </si>
  <si>
    <t>Uses</t>
  </si>
  <si>
    <t>% Capital</t>
  </si>
  <si>
    <t>Purchase Equity Value:</t>
  </si>
  <si>
    <t>Assume/Replace Existing Debt:</t>
  </si>
  <si>
    <t>Financing Fees:</t>
  </si>
  <si>
    <t>Transaction Fees:</t>
  </si>
  <si>
    <t>Income Statement Projections</t>
  </si>
  <si>
    <t>Revenue</t>
  </si>
  <si>
    <t>% growth</t>
  </si>
  <si>
    <t>Revenue - Conservative</t>
  </si>
  <si>
    <t>Revenue - Optimistic</t>
  </si>
  <si>
    <t>Cost of Revenue</t>
  </si>
  <si>
    <t>% of sales</t>
  </si>
  <si>
    <t>Gross Profit</t>
  </si>
  <si>
    <t>OpEx</t>
  </si>
  <si>
    <t>Litigation Settlement Cost (Non-Reccuring)</t>
  </si>
  <si>
    <t>EBIT</t>
  </si>
  <si>
    <t>Interest Expense</t>
  </si>
  <si>
    <t>Interest Income</t>
  </si>
  <si>
    <t>Other Net Income/Expense</t>
  </si>
  <si>
    <t>EBT</t>
  </si>
  <si>
    <t>Taxes</t>
  </si>
  <si>
    <t>% tax rate</t>
  </si>
  <si>
    <t>Net Income</t>
  </si>
  <si>
    <t>EBITDA Reconciliation</t>
  </si>
  <si>
    <t>D&amp;A</t>
  </si>
  <si>
    <t>Adjustments</t>
  </si>
  <si>
    <t>EBITDA</t>
  </si>
  <si>
    <t>Cash Flow Items</t>
  </si>
  <si>
    <t>Total Current Assets</t>
  </si>
  <si>
    <t>Total Current Liabilities</t>
  </si>
  <si>
    <t>Net Working Capital</t>
  </si>
  <si>
    <t>Change in Net Working Capital</t>
  </si>
  <si>
    <t>D&amp;A - Conservative</t>
  </si>
  <si>
    <t>D&amp;A - Management</t>
  </si>
  <si>
    <t>CapEx</t>
  </si>
  <si>
    <t>Levered Free Cash Flow</t>
  </si>
  <si>
    <t>Change in NWC</t>
  </si>
  <si>
    <t>Free Cash Flow</t>
  </si>
  <si>
    <t>Cash:</t>
  </si>
  <si>
    <t>Beginning of Period:</t>
  </si>
  <si>
    <t>(+) Free Cash Flow:</t>
  </si>
  <si>
    <t>(+) Debt Drawdown / (-) Repayment:</t>
  </si>
  <si>
    <t>End of Period:</t>
  </si>
  <si>
    <t>Debt Schedule</t>
  </si>
  <si>
    <t>Debt Paydown</t>
  </si>
  <si>
    <t>Inflow / (Outflow):</t>
  </si>
  <si>
    <t>Total Amortization:</t>
  </si>
  <si>
    <t>Minimum Cash (10% of OpEx)</t>
  </si>
  <si>
    <t>Cash Flow Surplus / (Shortfall):</t>
  </si>
  <si>
    <t>Revolver:</t>
  </si>
  <si>
    <t>Repayments/Drawdowns:</t>
  </si>
  <si>
    <t>Ending of Period:</t>
  </si>
  <si>
    <t>Cash Interest Expense:</t>
  </si>
  <si>
    <t>Sweep</t>
  </si>
  <si>
    <t>Ending Balance</t>
  </si>
  <si>
    <t>Paydown</t>
  </si>
  <si>
    <t>Debt (Repayment) / Drawdown:</t>
  </si>
  <si>
    <t>Cash Interest Income:</t>
  </si>
  <si>
    <t>Total Debt</t>
  </si>
  <si>
    <t>Beginning Balance</t>
  </si>
  <si>
    <t>CHECK</t>
  </si>
  <si>
    <t xml:space="preserve">IRR </t>
  </si>
  <si>
    <t>LTM EBITDA at Exit</t>
  </si>
  <si>
    <t>Net Debt</t>
  </si>
  <si>
    <t>Sponsor Equity Value</t>
  </si>
  <si>
    <t>Sponsor Equity at Entry</t>
  </si>
  <si>
    <t>MOIC</t>
  </si>
  <si>
    <t>IRR</t>
  </si>
  <si>
    <t>December 31,</t>
  </si>
  <si>
    <t>Assets</t>
  </si>
  <si>
    <t>Current assets:</t>
  </si>
  <si>
    <t>Cash and cash equivalents</t>
  </si>
  <si>
    <t>$</t>
  </si>
  <si>
    <t>Short-term investments</t>
  </si>
  <si>
    <t>Accounts receivable, net of allowance for doubtful accounts of $15,278 and $16,946</t>
  </si>
  <si>
    <t>Prepaid expenses and other current assets</t>
  </si>
  <si>
    <t>Assets held for sale</t>
  </si>
  <si>
    <t>—</t>
  </si>
  <si>
    <t>Total current assets</t>
  </si>
  <si>
    <t>Property and equipment, net</t>
  </si>
  <si>
    <t>Operating lease right-of-use assets</t>
  </si>
  <si>
    <t>Intangible assets, net</t>
  </si>
  <si>
    <t>Goodwill</t>
  </si>
  <si>
    <t>Deferred tax assets, net</t>
  </si>
  <si>
    <t>Other assets</t>
  </si>
  <si>
    <t>Total assets</t>
  </si>
  <si>
    <t>Liabilities and stockholders' equity</t>
  </si>
  <si>
    <t>Current liabilities:</t>
  </si>
  <si>
    <t>Accounts payable</t>
  </si>
  <si>
    <t>Accrued and other current liabilities</t>
  </si>
  <si>
    <t>Convertible notes, short-term</t>
  </si>
  <si>
    <t>Operating lease liabilities, short-term</t>
  </si>
  <si>
    <t>Total current liabilities</t>
  </si>
  <si>
    <t>Convertible notes, long-term</t>
  </si>
  <si>
    <t>Senior notes, long-term</t>
  </si>
  <si>
    <t>Operating lease liabilities, long-term</t>
  </si>
  <si>
    <t>Deferred and other long-term tax liabilities, net</t>
  </si>
  <si>
    <t>Other long-term liabilities</t>
  </si>
  <si>
    <t>Total liabilities</t>
  </si>
  <si>
    <t>Commitments and contingencies (Note 16)</t>
  </si>
  <si>
    <t>Stockholders' equity:</t>
  </si>
  <si>
    <t>Preferred stock, $0.000005 par value-- 200,000 shares authorized; none issued and outstanding</t>
  </si>
  <si>
    <t>Common stock, $0.000005 par value-- 5,000,000 shares authorized; 799,384 and 796,000 shares issued and outstanding</t>
  </si>
  <si>
    <t>Additional paid-in capital</t>
  </si>
  <si>
    <t>Treasury stock, at cost-- 120 and 98 shares</t>
  </si>
  <si>
    <t>Accumulated other comprehensive loss</t>
  </si>
  <si>
    <t>Accumulated deficit</t>
  </si>
  <si>
    <t>Total stockholders' equity</t>
  </si>
  <si>
    <t>Total liabilities and stockholders' equity</t>
  </si>
  <si>
    <t>The accompanying notes are an integral part of these consolidated financial statements.</t>
  </si>
  <si>
    <t>Year Ended December 31,</t>
  </si>
  <si>
    <t>Cash flows from operating activities</t>
  </si>
  <si>
    <t>Net income (loss)</t>
  </si>
  <si>
    <t>Adjustments to reconcile net income (loss) to net cash provided by operating activities:</t>
  </si>
  <si>
    <t>Depreciation and amortization expense</t>
  </si>
  <si>
    <t>Stock-based compensation expense</t>
  </si>
  <si>
    <t>Amortization of discount on convertible notes</t>
  </si>
  <si>
    <t>Bad debt expense</t>
  </si>
  <si>
    <t>Deferred income taxes</t>
  </si>
  <si>
    <t>Deferred tax assets establishment related to intra-entity transfers of intangible assets</t>
  </si>
  <si>
    <t>Deferred tax assets valuation allowance establishment</t>
  </si>
  <si>
    <t>Impairment (gain) on investments in privately-held companies</t>
  </si>
  <si>
    <t>Other adjustments</t>
  </si>
  <si>
    <t>Changes in assets and liabilities, net of assets acquired and liabilities assumed from acquisitions:</t>
  </si>
  <si>
    <t>Accounts receivable</t>
  </si>
  <si>
    <t>Prepaid expenses and other assets</t>
  </si>
  <si>
    <t>Accrued and other liabilities</t>
  </si>
  <si>
    <t>Operating lease liabilities</t>
  </si>
  <si>
    <t>Net cash provided by operating activities</t>
  </si>
  <si>
    <t>Cash flows from investing activities</t>
  </si>
  <si>
    <t>Purchases of property and equipment</t>
  </si>
  <si>
    <t>Proceeds from sales of property and equipment</t>
  </si>
  <si>
    <t>Purchases of marketable securities</t>
  </si>
  <si>
    <t>Proceeds from maturities of marketable securities</t>
  </si>
  <si>
    <t>Proceeds from sales of marketable securities</t>
  </si>
  <si>
    <t>Purchases of investments in privately-held companies</t>
  </si>
  <si>
    <t>Investments in Finance Justice Fund</t>
  </si>
  <si>
    <t>Business combinations, net of cash acquired</t>
  </si>
  <si>
    <t>Other investing activities</t>
  </si>
  <si>
    <t>Net cash provided by (used in) investing activities</t>
  </si>
  <si>
    <t>Cash flows from financing activities</t>
  </si>
  <si>
    <t>Proceeds from issuance of convertible notes</t>
  </si>
  <si>
    <t>Proceeds from issuance of senior notes</t>
  </si>
  <si>
    <t>Purchases of convertible note hedges</t>
  </si>
  <si>
    <t>Proceeds from issuance of warrants concurrent with note hedges</t>
  </si>
  <si>
    <t>Debt issuance costs</t>
  </si>
  <si>
    <t>Repayment of convertible notes</t>
  </si>
  <si>
    <t>Repurchases of common stock</t>
  </si>
  <si>
    <t>Taxes paid related to net share settlement of equity awards</t>
  </si>
  <si>
    <t>Payments of finance lease obligations</t>
  </si>
  <si>
    <t>Proceeds from exercise of stock options</t>
  </si>
  <si>
    <t>Proceeds from issuances of common stock under employee stock purchase plan</t>
  </si>
  <si>
    <t>Net cash provided by (used in) financing activities</t>
  </si>
  <si>
    <t>Net increase (decrease) in cash, cash equivalents and restricted cash</t>
  </si>
  <si>
    <t>Foreign exchange effect on cash, cash equivalents and restricted cash</t>
  </si>
  <si>
    <t>Cash, cash equivalents and restricted cash at beginning of period</t>
  </si>
  <si>
    <t>Cash, cash equivalents and restricted cash at end of period</t>
  </si>
  <si>
    <t>Supplemental cash flow data</t>
  </si>
  <si>
    <t>Interest paid in cash</t>
  </si>
  <si>
    <t>Income taxes paid in cash</t>
  </si>
  <si>
    <t>Supplemental disclosures of non-cash investing and financing activities</t>
  </si>
  <si>
    <t>Common stock issued in connection with acquisitions</t>
  </si>
  <si>
    <t>Changes in accrued property and equipment purchases</t>
  </si>
  <si>
    <t>Reconciliation of cash, cash equivalents and restricted cash as shown in the consolidated statements of cash flows</t>
  </si>
  <si>
    <t>Restricted cash included in prepaid expenses and other current assets</t>
  </si>
  <si>
    <t>Restricted cash included in other assets</t>
  </si>
  <si>
    <t>Total cash, cash equivalents and restricted cash</t>
  </si>
  <si>
    <t>Costs and expenses</t>
  </si>
  <si>
    <t>Cost of revenue</t>
  </si>
  <si>
    <t>Research and development</t>
  </si>
  <si>
    <t>Sales and marketing</t>
  </si>
  <si>
    <t>General and administrative</t>
  </si>
  <si>
    <t>Litigation settlement, net</t>
  </si>
  <si>
    <t>Total costs and expenses</t>
  </si>
  <si>
    <t>Income (loss) from operations</t>
  </si>
  <si>
    <t>Interest expense</t>
  </si>
  <si>
    <t>Interest income</t>
  </si>
  <si>
    <t>Other income (expense), net</t>
  </si>
  <si>
    <t>Income (loss) before income taxes</t>
  </si>
  <si>
    <t>Provision (benefit) for income taxes</t>
  </si>
  <si>
    <t>Net income (loss) per share:</t>
  </si>
  <si>
    <t>Basic</t>
  </si>
  <si>
    <t>Diluted</t>
  </si>
  <si>
    <t>Weighted-average shares used to compute net income (loss) per share:</t>
  </si>
  <si>
    <t>June 30,</t>
  </si>
  <si>
    <t>Accounts receivable, net of allowance for doubtful accounts of $13,459 and $15,278</t>
  </si>
  <si>
    <t>Commitments and contingencies (Note 15)</t>
  </si>
  <si>
    <t>Common stock, $0.000005 par value-- 5,000,000 shares authorized; 770,978 and 799,384 shares issued and outstanding</t>
  </si>
  <si>
    <t>Treasury stock, at cost-- 0 and 120 shares</t>
  </si>
  <si>
    <t>Six Months Ended</t>
  </si>
  <si>
    <t>Three Months Ended</t>
  </si>
  <si>
    <t>Other income, net</t>
  </si>
  <si>
    <t>Gain (loss) on sale of asset group</t>
  </si>
  <si>
    <t>Numerator used to compute net income (loss) per share:</t>
  </si>
  <si>
    <t>TWITTER, INC.</t>
  </si>
  <si>
    <t>CONSOLIDATED STATEMENTS OF CASH FLOWS</t>
  </si>
  <si>
    <t>(In thousands)</t>
  </si>
  <si>
    <t>(Unaudited)</t>
  </si>
  <si>
    <t>Six Months Ended June 30,</t>
  </si>
  <si>
    <t>Net income</t>
  </si>
  <si>
    <t>Adjustments to reconcile net income to net cash provided by operating activities:</t>
  </si>
  <si>
    <t>Gain on investments in privately-held companies</t>
  </si>
  <si>
    <t>Gain on sale of asset group</t>
  </si>
  <si>
    <t>Proceeds from sale of asset group</t>
  </si>
  <si>
    <t>Net cash provided by investing activities</t>
  </si>
  <si>
    <t>Net increase in cash, cash equivalents and restricted cash</t>
  </si>
  <si>
    <t>2,704,57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</si>
</sst>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yy_)"/>
    <numFmt numFmtId="181" formatCode="0.0\x_)"/>
    <numFmt numFmtId="182" formatCode="0.0%"/>
    <numFmt numFmtId="183" formatCode="_ * #,##0_ ;_ * \-#,##0_ ;_ * &quot;-&quot;??_ ;_ @_ "/>
    <numFmt numFmtId="184" formatCode="0&quot;A&quot;"/>
    <numFmt numFmtId="185" formatCode="0&quot;E&quot;"/>
    <numFmt numFmtId="186" formatCode="0.0%_);\(0.0%\);@_)"/>
    <numFmt numFmtId="187" formatCode="0\ &quot;yrs&quot;"/>
  </numFmts>
  <fonts count="52">
    <font>
      <sz val="11"/>
      <color theme="1"/>
      <name val="Calibri"/>
      <charset val="134"/>
      <scheme val="minor"/>
    </font>
    <font>
      <b/>
      <sz val="9"/>
      <color rgb="FF000000"/>
      <name val="Arial"/>
      <charset val="134"/>
    </font>
    <font>
      <b/>
      <sz val="8"/>
      <color rgb="FF000000"/>
      <name val="Arial"/>
      <charset val="134"/>
    </font>
    <font>
      <sz val="8"/>
      <color rgb="FF000000"/>
      <name val="Arial"/>
      <charset val="134"/>
    </font>
    <font>
      <sz val="11"/>
      <color theme="1"/>
      <name val="Times New Roman"/>
      <charset val="134"/>
    </font>
    <font>
      <sz val="9"/>
      <color rgb="FF000000"/>
      <name val="Arial"/>
      <charset val="134"/>
    </font>
    <font>
      <b/>
      <sz val="16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rgb="FF0000FF"/>
      <name val="Calibri"/>
      <charset val="134"/>
      <scheme val="minor"/>
    </font>
    <font>
      <sz val="11"/>
      <color indexed="12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4" tint="0.4"/>
      <name val="Calibri"/>
      <charset val="134"/>
      <scheme val="minor"/>
    </font>
    <font>
      <sz val="11"/>
      <color theme="4" tint="-0.25"/>
      <name val="Calibri"/>
      <charset val="134"/>
      <scheme val="minor"/>
    </font>
    <font>
      <i/>
      <sz val="11"/>
      <color rgb="FF7030A0"/>
      <name val="Calibri"/>
      <charset val="134"/>
      <scheme val="minor"/>
    </font>
    <font>
      <i/>
      <sz val="11"/>
      <color theme="4" tint="-0.25"/>
      <name val="Calibri"/>
      <charset val="134"/>
      <scheme val="minor"/>
    </font>
    <font>
      <i/>
      <sz val="11"/>
      <name val="Calibri"/>
      <charset val="134"/>
      <scheme val="minor"/>
    </font>
    <font>
      <sz val="11"/>
      <color rgb="FF0000FF"/>
      <name val="Calibri"/>
      <charset val="134"/>
      <scheme val="minor"/>
    </font>
    <font>
      <sz val="11"/>
      <color rgb="FF7030A0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sz val="10"/>
      <color rgb="FF000000"/>
      <name val="Times New Roman"/>
      <charset val="134"/>
    </font>
    <font>
      <b/>
      <sz val="11"/>
      <color theme="4" tint="-0.5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4" tint="-0.5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i/>
      <sz val="11"/>
      <color rgb="FFC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8" borderId="23" applyNumberFormat="0" applyAlignment="0" applyProtection="0">
      <alignment vertical="center"/>
    </xf>
    <xf numFmtId="0" fontId="41" fillId="9" borderId="24" applyNumberFormat="0" applyAlignment="0" applyProtection="0">
      <alignment vertical="center"/>
    </xf>
    <xf numFmtId="0" fontId="42" fillId="9" borderId="23" applyNumberFormat="0" applyAlignment="0" applyProtection="0">
      <alignment vertical="center"/>
    </xf>
    <xf numFmtId="0" fontId="43" fillId="10" borderId="25" applyNumberFormat="0" applyAlignment="0" applyProtection="0">
      <alignment vertical="center"/>
    </xf>
    <xf numFmtId="0" fontId="44" fillId="0" borderId="26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</cellStyleXfs>
  <cellXfs count="29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3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>
      <alignment horizontal="right" vertical="top" wrapText="1"/>
    </xf>
    <xf numFmtId="0" fontId="0" fillId="3" borderId="0" xfId="0" applyFill="1" applyAlignment="1">
      <alignment horizontal="right" vertical="top" wrapText="1"/>
    </xf>
    <xf numFmtId="0" fontId="0" fillId="3" borderId="0" xfId="0" applyFill="1" applyAlignment="1">
      <alignment wrapTex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right" vertical="top" wrapText="1"/>
    </xf>
    <xf numFmtId="3" fontId="3" fillId="2" borderId="0" xfId="0" applyNumberFormat="1" applyFont="1" applyFill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0" fillId="2" borderId="0" xfId="0" applyFill="1" applyAlignment="1">
      <alignment horizontal="right" vertical="top" wrapText="1"/>
    </xf>
    <xf numFmtId="0" fontId="3" fillId="3" borderId="0" xfId="0" applyFont="1" applyFill="1" applyAlignment="1">
      <alignment horizontal="right" wrapText="1"/>
    </xf>
    <xf numFmtId="0" fontId="0" fillId="3" borderId="0" xfId="0" applyFill="1" applyAlignment="1">
      <alignment horizontal="right" wrapText="1"/>
    </xf>
    <xf numFmtId="3" fontId="3" fillId="2" borderId="0" xfId="0" applyNumberFormat="1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horizontal="left" vertical="top" wrapText="1" indent="1"/>
    </xf>
    <xf numFmtId="0" fontId="3" fillId="2" borderId="0" xfId="0" applyFont="1" applyFill="1" applyAlignment="1">
      <alignment horizontal="left" vertical="top" wrapText="1" indent="1"/>
    </xf>
    <xf numFmtId="3" fontId="3" fillId="3" borderId="0" xfId="0" applyNumberFormat="1" applyFont="1" applyFill="1" applyAlignment="1">
      <alignment horizontal="right" wrapText="1"/>
    </xf>
    <xf numFmtId="3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3" fillId="3" borderId="0" xfId="0" applyNumberFormat="1" applyFont="1" applyFill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0" fontId="3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right" vertical="top" wrapText="1"/>
    </xf>
    <xf numFmtId="0" fontId="0" fillId="3" borderId="1" xfId="0" applyFill="1" applyBorder="1" applyAlignment="1">
      <alignment horizontal="right" vertical="top" wrapText="1"/>
    </xf>
    <xf numFmtId="0" fontId="0" fillId="2" borderId="2" xfId="0" applyFill="1" applyBorder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left" vertical="top" wrapText="1"/>
    </xf>
    <xf numFmtId="3" fontId="5" fillId="2" borderId="1" xfId="0" applyNumberFormat="1" applyFont="1" applyFill="1" applyBorder="1" applyAlignment="1">
      <alignment horizontal="right" vertical="top" wrapText="1"/>
    </xf>
    <xf numFmtId="0" fontId="5" fillId="3" borderId="0" xfId="0" applyFont="1" applyFill="1" applyAlignment="1">
      <alignment horizontal="left" wrapText="1"/>
    </xf>
    <xf numFmtId="0" fontId="4" fillId="3" borderId="0" xfId="0" applyFont="1" applyFill="1" applyAlignment="1">
      <alignment wrapText="1"/>
    </xf>
    <xf numFmtId="3" fontId="5" fillId="2" borderId="0" xfId="0" applyNumberFormat="1" applyFont="1" applyFill="1" applyAlignment="1">
      <alignment horizontal="right" vertical="top" wrapText="1"/>
    </xf>
    <xf numFmtId="0" fontId="5" fillId="2" borderId="0" xfId="0" applyFont="1" applyFill="1" applyAlignment="1">
      <alignment horizontal="right" vertical="top" wrapText="1"/>
    </xf>
    <xf numFmtId="3" fontId="5" fillId="3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horizontal="right" vertical="top" wrapText="1"/>
    </xf>
    <xf numFmtId="0" fontId="5" fillId="2" borderId="1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NumberFormat="1" applyFont="1" applyFill="1" applyAlignment="1">
      <alignment horizontal="right" vertical="top" wrapText="1"/>
    </xf>
    <xf numFmtId="0" fontId="5" fillId="3" borderId="2" xfId="0" applyFont="1" applyFill="1" applyBorder="1" applyAlignment="1">
      <alignment horizontal="left" wrapText="1"/>
    </xf>
    <xf numFmtId="0" fontId="5" fillId="3" borderId="2" xfId="0" applyNumberFormat="1" applyFont="1" applyFill="1" applyBorder="1" applyAlignment="1">
      <alignment horizontal="right" wrapText="1"/>
    </xf>
    <xf numFmtId="0" fontId="4" fillId="2" borderId="2" xfId="0" applyFont="1" applyFill="1" applyBorder="1" applyAlignment="1">
      <alignment wrapText="1"/>
    </xf>
    <xf numFmtId="0" fontId="5" fillId="3" borderId="0" xfId="0" applyFont="1" applyFill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3" fontId="5" fillId="2" borderId="2" xfId="0" applyNumberFormat="1" applyFont="1" applyFill="1" applyBorder="1" applyAlignment="1">
      <alignment horizontal="right" vertical="top" wrapText="1"/>
    </xf>
    <xf numFmtId="3" fontId="5" fillId="2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3" borderId="4" xfId="0" applyNumberFormat="1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wrapText="1"/>
    </xf>
    <xf numFmtId="3" fontId="5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vertical="top" wrapText="1"/>
    </xf>
    <xf numFmtId="3" fontId="5" fillId="3" borderId="0" xfId="0" applyNumberFormat="1" applyFont="1" applyFill="1" applyAlignment="1">
      <alignment horizontal="right" wrapText="1"/>
    </xf>
    <xf numFmtId="0" fontId="5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5" fillId="2" borderId="0" xfId="0" applyNumberFormat="1" applyFont="1" applyFill="1" applyAlignment="1">
      <alignment horizontal="right" wrapText="1"/>
    </xf>
    <xf numFmtId="0" fontId="4" fillId="3" borderId="2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3" fontId="5" fillId="3" borderId="4" xfId="0" applyNumberFormat="1" applyFont="1" applyFill="1" applyBorder="1" applyAlignment="1">
      <alignment horizontal="right" vertical="top" wrapText="1"/>
    </xf>
    <xf numFmtId="0" fontId="5" fillId="3" borderId="4" xfId="0" applyFont="1" applyFill="1" applyBorder="1" applyAlignment="1">
      <alignment horizontal="right" vertical="top" wrapText="1"/>
    </xf>
    <xf numFmtId="0" fontId="4" fillId="3" borderId="4" xfId="0" applyFont="1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3" fontId="5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3" fontId="5" fillId="3" borderId="0" xfId="0" applyNumberFormat="1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left" vertical="center" wrapText="1" indent="1"/>
    </xf>
    <xf numFmtId="3" fontId="5" fillId="3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5" fillId="2" borderId="0" xfId="0" applyFont="1" applyFill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2" xfId="0" applyFill="1" applyBorder="1" applyAlignment="1">
      <alignment wrapText="1"/>
    </xf>
    <xf numFmtId="0" fontId="5" fillId="2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wrapText="1"/>
    </xf>
    <xf numFmtId="0" fontId="5" fillId="2" borderId="0" xfId="0" applyNumberFormat="1" applyFont="1" applyFill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 wrapText="1"/>
    </xf>
    <xf numFmtId="3" fontId="5" fillId="2" borderId="3" xfId="0" applyNumberFormat="1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3" fontId="5" fillId="3" borderId="1" xfId="0" applyNumberFormat="1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3" fontId="5" fillId="2" borderId="4" xfId="0" applyNumberFormat="1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4" fillId="2" borderId="4" xfId="0" applyFont="1" applyFill="1" applyBorder="1" applyAlignment="1">
      <alignment horizontal="right" vertical="top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3" fontId="3" fillId="3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3" fontId="3" fillId="2" borderId="3" xfId="0" applyNumberFormat="1" applyFont="1" applyFill="1" applyBorder="1" applyAlignment="1">
      <alignment horizontal="right" vertical="center" wrapText="1"/>
    </xf>
    <xf numFmtId="0" fontId="3" fillId="3" borderId="0" xfId="0" applyNumberFormat="1" applyFont="1" applyFill="1" applyAlignment="1">
      <alignment horizontal="right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3" borderId="0" xfId="0" applyNumberFormat="1" applyFont="1" applyFill="1" applyAlignment="1">
      <alignment horizontal="right" vertical="center" wrapText="1"/>
    </xf>
    <xf numFmtId="0" fontId="5" fillId="3" borderId="3" xfId="0" applyFont="1" applyFill="1" applyBorder="1" applyAlignment="1">
      <alignment horizontal="left" vertical="center" wrapText="1"/>
    </xf>
    <xf numFmtId="3" fontId="5" fillId="3" borderId="3" xfId="0" applyNumberFormat="1" applyFont="1" applyFill="1" applyBorder="1" applyAlignment="1">
      <alignment horizontal="right" vertical="center" wrapText="1"/>
    </xf>
    <xf numFmtId="0" fontId="0" fillId="3" borderId="3" xfId="0" applyFill="1" applyBorder="1" applyAlignment="1">
      <alignment horizontal="right" vertical="center" wrapText="1"/>
    </xf>
    <xf numFmtId="3" fontId="0" fillId="0" borderId="0" xfId="0" applyNumberFormat="1"/>
    <xf numFmtId="0" fontId="0" fillId="0" borderId="5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6" fillId="0" borderId="5" xfId="0" applyFont="1" applyBorder="1"/>
    <xf numFmtId="0" fontId="7" fillId="4" borderId="0" xfId="0" applyFont="1" applyFill="1"/>
    <xf numFmtId="37" fontId="0" fillId="5" borderId="6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7" fillId="6" borderId="0" xfId="0" applyFont="1" applyFill="1"/>
    <xf numFmtId="0" fontId="9" fillId="0" borderId="0" xfId="0" applyFont="1"/>
    <xf numFmtId="39" fontId="0" fillId="5" borderId="6" xfId="0" applyNumberFormat="1" applyFont="1" applyFill="1" applyBorder="1" applyAlignment="1">
      <alignment horizontal="right"/>
    </xf>
    <xf numFmtId="0" fontId="0" fillId="0" borderId="0" xfId="0" applyAlignment="1">
      <alignment horizontal="left" indent="1"/>
    </xf>
    <xf numFmtId="180" fontId="0" fillId="5" borderId="6" xfId="0" applyNumberFormat="1" applyFont="1" applyFill="1" applyBorder="1" applyAlignment="1">
      <alignment horizontal="right"/>
    </xf>
    <xf numFmtId="181" fontId="0" fillId="5" borderId="6" xfId="0" applyNumberFormat="1" applyFont="1" applyFill="1" applyBorder="1"/>
    <xf numFmtId="9" fontId="0" fillId="5" borderId="6" xfId="3" applyFont="1" applyFill="1" applyBorder="1" applyAlignment="1">
      <alignment horizontal="right"/>
    </xf>
    <xf numFmtId="182" fontId="0" fillId="5" borderId="6" xfId="3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83" fontId="0" fillId="0" borderId="0" xfId="1" applyNumberFormat="1" applyFont="1" applyAlignment="1">
      <alignment horizontal="right"/>
    </xf>
    <xf numFmtId="181" fontId="0" fillId="0" borderId="0" xfId="0" applyNumberFormat="1"/>
    <xf numFmtId="182" fontId="8" fillId="0" borderId="0" xfId="3" applyNumberFormat="1" applyFont="1" applyAlignment="1">
      <alignment horizontal="right"/>
    </xf>
    <xf numFmtId="10" fontId="8" fillId="5" borderId="6" xfId="3" applyNumberFormat="1" applyFont="1" applyFill="1" applyBorder="1" applyAlignment="1">
      <alignment horizontal="right"/>
    </xf>
    <xf numFmtId="37" fontId="0" fillId="0" borderId="0" xfId="0" applyNumberFormat="1" applyFont="1"/>
    <xf numFmtId="0" fontId="0" fillId="0" borderId="0" xfId="0" applyFont="1"/>
    <xf numFmtId="182" fontId="11" fillId="0" borderId="0" xfId="3" applyNumberFormat="1" applyFont="1"/>
    <xf numFmtId="182" fontId="8" fillId="0" borderId="0" xfId="3" applyNumberFormat="1" applyFont="1"/>
    <xf numFmtId="37" fontId="0" fillId="0" borderId="0" xfId="0" applyNumberFormat="1" applyFont="1" applyAlignment="1">
      <alignment horizontal="right"/>
    </xf>
    <xf numFmtId="37" fontId="12" fillId="0" borderId="0" xfId="0" applyNumberFormat="1" applyFont="1" applyAlignment="1">
      <alignment horizontal="right"/>
    </xf>
    <xf numFmtId="37" fontId="13" fillId="0" borderId="0" xfId="0" applyNumberFormat="1" applyFont="1"/>
    <xf numFmtId="0" fontId="9" fillId="5" borderId="7" xfId="0" applyFont="1" applyFill="1" applyBorder="1"/>
    <xf numFmtId="0" fontId="9" fillId="5" borderId="8" xfId="0" applyFont="1" applyFill="1" applyBorder="1"/>
    <xf numFmtId="37" fontId="9" fillId="5" borderId="8" xfId="0" applyNumberFormat="1" applyFont="1" applyFill="1" applyBorder="1"/>
    <xf numFmtId="181" fontId="9" fillId="5" borderId="8" xfId="0" applyNumberFormat="1" applyFont="1" applyFill="1" applyBorder="1"/>
    <xf numFmtId="9" fontId="14" fillId="5" borderId="8" xfId="3" applyFont="1" applyFill="1" applyBorder="1" applyAlignment="1">
      <alignment horizontal="right"/>
    </xf>
    <xf numFmtId="0" fontId="15" fillId="6" borderId="0" xfId="0" applyFont="1" applyFill="1"/>
    <xf numFmtId="9" fontId="0" fillId="0" borderId="0" xfId="3" applyFont="1" applyAlignment="1">
      <alignment horizontal="right"/>
    </xf>
    <xf numFmtId="9" fontId="9" fillId="5" borderId="9" xfId="3" applyFont="1" applyFill="1" applyBorder="1"/>
    <xf numFmtId="184" fontId="7" fillId="4" borderId="0" xfId="0" applyNumberFormat="1" applyFont="1" applyFill="1"/>
    <xf numFmtId="185" fontId="7" fillId="4" borderId="0" xfId="0" applyNumberFormat="1" applyFont="1" applyFill="1"/>
    <xf numFmtId="37" fontId="16" fillId="0" borderId="0" xfId="0" applyNumberFormat="1" applyFont="1"/>
    <xf numFmtId="0" fontId="8" fillId="0" borderId="0" xfId="0" applyFont="1" applyAlignment="1">
      <alignment horizontal="left" indent="1"/>
    </xf>
    <xf numFmtId="186" fontId="17" fillId="0" borderId="0" xfId="0" applyNumberFormat="1" applyFont="1" applyAlignment="1">
      <alignment horizontal="right"/>
    </xf>
    <xf numFmtId="186" fontId="8" fillId="0" borderId="0" xfId="0" applyNumberFormat="1" applyFont="1" applyAlignment="1">
      <alignment horizontal="right"/>
    </xf>
    <xf numFmtId="186" fontId="18" fillId="0" borderId="0" xfId="0" applyNumberFormat="1" applyFont="1" applyAlignment="1">
      <alignment horizontal="right"/>
    </xf>
    <xf numFmtId="186" fontId="19" fillId="0" borderId="0" xfId="0" applyNumberFormat="1" applyFont="1" applyAlignment="1">
      <alignment horizontal="right"/>
    </xf>
    <xf numFmtId="37" fontId="16" fillId="0" borderId="0" xfId="0" applyNumberFormat="1" applyFont="1" applyAlignment="1">
      <alignment horizontal="right"/>
    </xf>
    <xf numFmtId="0" fontId="9" fillId="0" borderId="7" xfId="0" applyFont="1" applyBorder="1"/>
    <xf numFmtId="182" fontId="9" fillId="0" borderId="9" xfId="0" applyNumberFormat="1" applyFont="1" applyBorder="1"/>
    <xf numFmtId="39" fontId="9" fillId="5" borderId="6" xfId="0" applyNumberFormat="1" applyFont="1" applyFill="1" applyBorder="1" applyAlignment="1">
      <alignment horizontal="right"/>
    </xf>
    <xf numFmtId="9" fontId="8" fillId="0" borderId="0" xfId="3" applyFont="1"/>
    <xf numFmtId="37" fontId="9" fillId="5" borderId="10" xfId="0" applyNumberFormat="1" applyFont="1" applyFill="1" applyBorder="1" applyAlignment="1">
      <alignment horizontal="right"/>
    </xf>
    <xf numFmtId="37" fontId="0" fillId="5" borderId="11" xfId="0" applyNumberFormat="1" applyFont="1" applyFill="1" applyBorder="1" applyAlignment="1">
      <alignment horizontal="right"/>
    </xf>
    <xf numFmtId="37" fontId="0" fillId="5" borderId="10" xfId="0" applyNumberFormat="1" applyFont="1" applyFill="1" applyBorder="1" applyAlignment="1">
      <alignment horizontal="right"/>
    </xf>
    <xf numFmtId="37" fontId="0" fillId="5" borderId="12" xfId="0" applyNumberFormat="1" applyFont="1" applyFill="1" applyBorder="1" applyAlignment="1">
      <alignment horizontal="right"/>
    </xf>
    <xf numFmtId="37" fontId="9" fillId="5" borderId="10" xfId="0" applyNumberFormat="1" applyFont="1" applyFill="1" applyBorder="1"/>
    <xf numFmtId="181" fontId="0" fillId="5" borderId="11" xfId="0" applyNumberFormat="1" applyFont="1" applyFill="1" applyBorder="1"/>
    <xf numFmtId="0" fontId="10" fillId="0" borderId="0" xfId="0" applyFont="1" applyAlignment="1"/>
    <xf numFmtId="187" fontId="0" fillId="0" borderId="0" xfId="0" applyNumberFormat="1" applyFont="1"/>
    <xf numFmtId="182" fontId="8" fillId="5" borderId="6" xfId="3" applyNumberFormat="1" applyFont="1" applyFill="1" applyBorder="1" applyAlignment="1">
      <alignment horizontal="right"/>
    </xf>
    <xf numFmtId="187" fontId="0" fillId="5" borderId="6" xfId="0" applyNumberFormat="1" applyFont="1" applyFill="1" applyBorder="1"/>
    <xf numFmtId="37" fontId="13" fillId="0" borderId="0" xfId="0" applyNumberFormat="1" applyFont="1" applyAlignment="1">
      <alignment horizontal="right"/>
    </xf>
    <xf numFmtId="187" fontId="20" fillId="0" borderId="0" xfId="0" applyNumberFormat="1" applyFont="1"/>
    <xf numFmtId="9" fontId="14" fillId="5" borderId="9" xfId="3" applyFont="1" applyFill="1" applyBorder="1" applyAlignment="1">
      <alignment horizontal="right"/>
    </xf>
    <xf numFmtId="182" fontId="0" fillId="0" borderId="0" xfId="3" applyNumberFormat="1" applyFont="1" applyAlignment="1">
      <alignment horizontal="right"/>
    </xf>
    <xf numFmtId="37" fontId="21" fillId="0" borderId="0" xfId="0" applyNumberFormat="1" applyFont="1"/>
    <xf numFmtId="9" fontId="0" fillId="0" borderId="0" xfId="3" applyFont="1"/>
    <xf numFmtId="37" fontId="20" fillId="0" borderId="0" xfId="0" applyNumberFormat="1" applyFont="1"/>
    <xf numFmtId="4" fontId="0" fillId="0" borderId="0" xfId="0" applyNumberFormat="1" applyFont="1"/>
    <xf numFmtId="37" fontId="0" fillId="0" borderId="0" xfId="0" applyNumberFormat="1"/>
    <xf numFmtId="0" fontId="9" fillId="5" borderId="13" xfId="0" applyFont="1" applyFill="1" applyBorder="1"/>
    <xf numFmtId="0" fontId="9" fillId="5" borderId="14" xfId="0" applyFont="1" applyFill="1" applyBorder="1"/>
    <xf numFmtId="37" fontId="9" fillId="5" borderId="14" xfId="0" applyNumberFormat="1" applyFont="1" applyFill="1" applyBorder="1"/>
    <xf numFmtId="37" fontId="22" fillId="5" borderId="14" xfId="0" applyNumberFormat="1" applyFont="1" applyFill="1" applyBorder="1"/>
    <xf numFmtId="0" fontId="23" fillId="5" borderId="15" xfId="0" applyFont="1" applyFill="1" applyBorder="1" applyAlignment="1">
      <alignment horizontal="left" indent="1"/>
    </xf>
    <xf numFmtId="0" fontId="9" fillId="5" borderId="5" xfId="0" applyFont="1" applyFill="1" applyBorder="1"/>
    <xf numFmtId="186" fontId="24" fillId="5" borderId="5" xfId="0" applyNumberFormat="1" applyFont="1" applyFill="1" applyBorder="1" applyAlignment="1">
      <alignment horizontal="right"/>
    </xf>
    <xf numFmtId="186" fontId="25" fillId="5" borderId="5" xfId="0" applyNumberFormat="1" applyFont="1" applyFill="1" applyBorder="1" applyAlignment="1">
      <alignment horizontal="right"/>
    </xf>
    <xf numFmtId="0" fontId="16" fillId="0" borderId="0" xfId="0" applyFont="1"/>
    <xf numFmtId="9" fontId="18" fillId="0" borderId="0" xfId="3" applyFont="1" applyAlignment="1">
      <alignment horizontal="right"/>
    </xf>
    <xf numFmtId="0" fontId="10" fillId="0" borderId="0" xfId="0" applyFont="1"/>
    <xf numFmtId="37" fontId="16" fillId="3" borderId="0" xfId="0" applyNumberFormat="1" applyFont="1" applyFill="1" applyAlignment="1">
      <alignment horizontal="right"/>
    </xf>
    <xf numFmtId="37" fontId="0" fillId="0" borderId="5" xfId="0" applyNumberFormat="1" applyFont="1" applyBorder="1"/>
    <xf numFmtId="0" fontId="16" fillId="0" borderId="5" xfId="0" applyFont="1" applyBorder="1"/>
    <xf numFmtId="37" fontId="9" fillId="0" borderId="0" xfId="0" applyNumberFormat="1" applyFont="1"/>
    <xf numFmtId="186" fontId="23" fillId="5" borderId="5" xfId="0" applyNumberFormat="1" applyFont="1" applyFill="1" applyBorder="1"/>
    <xf numFmtId="186" fontId="25" fillId="5" borderId="5" xfId="0" applyNumberFormat="1" applyFont="1" applyFill="1" applyBorder="1"/>
    <xf numFmtId="0" fontId="26" fillId="0" borderId="0" xfId="0" applyFont="1" applyAlignment="1">
      <alignment vertical="center" wrapText="1"/>
    </xf>
    <xf numFmtId="3" fontId="0" fillId="0" borderId="0" xfId="0" applyNumberFormat="1" applyFont="1"/>
    <xf numFmtId="186" fontId="23" fillId="5" borderId="5" xfId="0" applyNumberFormat="1" applyFont="1" applyFill="1" applyBorder="1" applyAlignment="1">
      <alignment horizontal="right"/>
    </xf>
    <xf numFmtId="186" fontId="17" fillId="0" borderId="0" xfId="0" applyNumberFormat="1" applyFont="1"/>
    <xf numFmtId="37" fontId="22" fillId="5" borderId="16" xfId="0" applyNumberFormat="1" applyFont="1" applyFill="1" applyBorder="1"/>
    <xf numFmtId="186" fontId="25" fillId="5" borderId="17" xfId="0" applyNumberFormat="1" applyFont="1" applyFill="1" applyBorder="1" applyAlignment="1">
      <alignment horizontal="right"/>
    </xf>
    <xf numFmtId="186" fontId="24" fillId="5" borderId="17" xfId="0" applyNumberFormat="1" applyFont="1" applyFill="1" applyBorder="1" applyAlignment="1">
      <alignment horizontal="right"/>
    </xf>
    <xf numFmtId="186" fontId="25" fillId="5" borderId="17" xfId="0" applyNumberFormat="1" applyFont="1" applyFill="1" applyBorder="1"/>
    <xf numFmtId="0" fontId="26" fillId="3" borderId="0" xfId="0" applyFont="1" applyFill="1" applyAlignment="1">
      <alignment horizontal="left"/>
    </xf>
    <xf numFmtId="0" fontId="0" fillId="0" borderId="5" xfId="0" applyFont="1" applyBorder="1"/>
    <xf numFmtId="37" fontId="16" fillId="0" borderId="5" xfId="0" applyNumberFormat="1" applyFont="1" applyBorder="1"/>
    <xf numFmtId="37" fontId="27" fillId="0" borderId="0" xfId="0" applyNumberFormat="1" applyFont="1"/>
    <xf numFmtId="3" fontId="16" fillId="0" borderId="0" xfId="0" applyNumberFormat="1" applyFont="1"/>
    <xf numFmtId="0" fontId="0" fillId="0" borderId="14" xfId="0" applyBorder="1"/>
    <xf numFmtId="0" fontId="0" fillId="0" borderId="14" xfId="0" applyFont="1" applyBorder="1"/>
    <xf numFmtId="3" fontId="16" fillId="0" borderId="14" xfId="0" applyNumberFormat="1" applyFont="1" applyBorder="1"/>
    <xf numFmtId="37" fontId="27" fillId="0" borderId="14" xfId="0" applyNumberFormat="1" applyFont="1" applyBorder="1"/>
    <xf numFmtId="184" fontId="7" fillId="6" borderId="0" xfId="0" applyNumberFormat="1" applyFont="1" applyFill="1"/>
    <xf numFmtId="185" fontId="7" fillId="6" borderId="0" xfId="0" applyNumberFormat="1" applyFont="1" applyFill="1"/>
    <xf numFmtId="0" fontId="9" fillId="0" borderId="5" xfId="0" applyFont="1" applyBorder="1"/>
    <xf numFmtId="0" fontId="0" fillId="0" borderId="0" xfId="0" applyAlignment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0" fontId="0" fillId="0" borderId="0" xfId="0" applyFont="1" applyAlignment="1">
      <alignment horizontal="left" indent="1"/>
    </xf>
    <xf numFmtId="37" fontId="30" fillId="0" borderId="0" xfId="0" applyNumberFormat="1" applyFont="1"/>
    <xf numFmtId="0" fontId="9" fillId="0" borderId="14" xfId="0" applyFont="1" applyBorder="1"/>
    <xf numFmtId="37" fontId="9" fillId="0" borderId="14" xfId="0" applyNumberFormat="1" applyFont="1" applyBorder="1"/>
    <xf numFmtId="0" fontId="29" fillId="0" borderId="0" xfId="0" applyFont="1"/>
    <xf numFmtId="0" fontId="9" fillId="0" borderId="14" xfId="0" applyFont="1" applyBorder="1" applyAlignment="1">
      <alignment horizontal="left" indent="1"/>
    </xf>
    <xf numFmtId="37" fontId="0" fillId="0" borderId="5" xfId="0" applyNumberFormat="1" applyBorder="1"/>
    <xf numFmtId="37" fontId="30" fillId="0" borderId="14" xfId="0" applyNumberFormat="1" applyFont="1" applyBorder="1"/>
    <xf numFmtId="0" fontId="9" fillId="0" borderId="0" xfId="0" applyFont="1" applyAlignment="1">
      <alignment horizontal="left" indent="1"/>
    </xf>
    <xf numFmtId="0" fontId="0" fillId="5" borderId="14" xfId="0" applyFill="1" applyBorder="1"/>
    <xf numFmtId="0" fontId="0" fillId="5" borderId="18" xfId="0" applyFill="1" applyBorder="1" applyAlignment="1">
      <alignment horizontal="left" indent="1"/>
    </xf>
    <xf numFmtId="0" fontId="0" fillId="5" borderId="0" xfId="0" applyFill="1"/>
    <xf numFmtId="37" fontId="0" fillId="5" borderId="0" xfId="0" applyNumberFormat="1" applyFill="1"/>
    <xf numFmtId="37" fontId="29" fillId="5" borderId="0" xfId="0" applyNumberFormat="1" applyFont="1" applyFill="1"/>
    <xf numFmtId="0" fontId="0" fillId="5" borderId="16" xfId="0" applyFill="1" applyBorder="1"/>
    <xf numFmtId="37" fontId="29" fillId="5" borderId="19" xfId="0" applyNumberFormat="1" applyFont="1" applyFill="1" applyBorder="1"/>
    <xf numFmtId="0" fontId="9" fillId="5" borderId="15" xfId="0" applyFont="1" applyFill="1" applyBorder="1" applyAlignment="1">
      <alignment horizontal="left" indent="1"/>
    </xf>
    <xf numFmtId="0" fontId="0" fillId="5" borderId="5" xfId="0" applyFill="1" applyBorder="1"/>
    <xf numFmtId="37" fontId="9" fillId="5" borderId="5" xfId="0" applyNumberFormat="1" applyFont="1" applyFill="1" applyBorder="1"/>
    <xf numFmtId="0" fontId="31" fillId="0" borderId="0" xfId="0" applyFont="1"/>
    <xf numFmtId="0" fontId="31" fillId="0" borderId="0" xfId="0" applyFont="1" applyAlignment="1">
      <alignment horizontal="right"/>
    </xf>
    <xf numFmtId="0" fontId="9" fillId="0" borderId="8" xfId="0" applyFont="1" applyBorder="1"/>
    <xf numFmtId="0" fontId="9" fillId="5" borderId="15" xfId="0" applyFont="1" applyFill="1" applyBorder="1"/>
    <xf numFmtId="37" fontId="9" fillId="5" borderId="17" xfId="0" applyNumberFormat="1" applyFont="1" applyFill="1" applyBorder="1"/>
    <xf numFmtId="181" fontId="21" fillId="0" borderId="5" xfId="0" applyNumberFormat="1" applyFont="1" applyBorder="1"/>
    <xf numFmtId="181" fontId="0" fillId="0" borderId="5" xfId="0" applyNumberFormat="1" applyBorder="1"/>
    <xf numFmtId="37" fontId="14" fillId="0" borderId="0" xfId="0" applyNumberFormat="1" applyFont="1"/>
    <xf numFmtId="37" fontId="9" fillId="0" borderId="8" xfId="0" applyNumberFormat="1" applyFont="1" applyBorder="1"/>
    <xf numFmtId="37" fontId="9" fillId="0" borderId="9" xfId="0" applyNumberFormat="1" applyFont="1" applyBorder="1"/>
    <xf numFmtId="181" fontId="14" fillId="5" borderId="14" xfId="0" applyNumberFormat="1" applyFont="1" applyFill="1" applyBorder="1"/>
    <xf numFmtId="181" fontId="14" fillId="5" borderId="16" xfId="0" applyNumberFormat="1" applyFont="1" applyFill="1" applyBorder="1"/>
    <xf numFmtId="182" fontId="9" fillId="5" borderId="5" xfId="3" applyNumberFormat="1" applyFont="1" applyFill="1" applyBorder="1"/>
    <xf numFmtId="182" fontId="9" fillId="5" borderId="17" xfId="3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09"/>
  <sheetViews>
    <sheetView showGridLines="0" tabSelected="1" workbookViewId="0">
      <selection activeCell="K47" sqref="K47"/>
    </sheetView>
  </sheetViews>
  <sheetFormatPr defaultColWidth="15.6666666666667" defaultRowHeight="14.4"/>
  <cols>
    <col min="1" max="1" width="3.66666666666667" style="151" customWidth="1"/>
    <col min="3" max="3" width="23.4907407407407" customWidth="1"/>
    <col min="7" max="8" width="16.8981481481481" customWidth="1"/>
    <col min="10" max="10" width="17.1574074074074" customWidth="1"/>
  </cols>
  <sheetData>
    <row r="2" s="150" customFormat="1" ht="19" customHeight="1" spans="1:2">
      <c r="A2" s="152"/>
      <c r="B2" s="153" t="s">
        <v>0</v>
      </c>
    </row>
    <row r="4" spans="1:11">
      <c r="A4" s="151" t="s">
        <v>1</v>
      </c>
      <c r="B4" s="154" t="s">
        <v>2</v>
      </c>
      <c r="C4" s="154"/>
      <c r="D4" s="154"/>
      <c r="E4" s="154"/>
      <c r="F4" s="154"/>
      <c r="G4" s="154"/>
      <c r="H4" s="154"/>
      <c r="I4" s="154"/>
      <c r="J4" s="154"/>
      <c r="K4" s="154"/>
    </row>
    <row r="5" ht="5" customHeight="1"/>
    <row r="6" customFormat="1" spans="1:11">
      <c r="A6" s="151"/>
      <c r="B6" t="s">
        <v>3</v>
      </c>
      <c r="E6" s="155">
        <v>1</v>
      </c>
      <c r="F6" s="156"/>
      <c r="J6" s="195" t="s">
        <v>4</v>
      </c>
      <c r="K6" s="196">
        <f>L209</f>
        <v>0.195326717448861</v>
      </c>
    </row>
    <row r="8" spans="1:11">
      <c r="A8" s="151" t="s">
        <v>1</v>
      </c>
      <c r="B8" s="154" t="s">
        <v>5</v>
      </c>
      <c r="C8" s="154"/>
      <c r="D8" s="154"/>
      <c r="E8" s="154"/>
      <c r="F8" s="154"/>
      <c r="G8" s="154"/>
      <c r="H8" s="154"/>
      <c r="I8" s="154"/>
      <c r="J8" s="154"/>
      <c r="K8" s="154"/>
    </row>
    <row r="9" ht="5" customHeight="1"/>
    <row r="10" customFormat="1" spans="1:11">
      <c r="A10" s="151"/>
      <c r="B10" s="157" t="s">
        <v>6</v>
      </c>
      <c r="C10" s="157"/>
      <c r="D10" s="157"/>
      <c r="E10" s="157"/>
      <c r="H10" s="157" t="s">
        <v>7</v>
      </c>
      <c r="I10" s="157"/>
      <c r="J10" s="157"/>
      <c r="K10" s="157"/>
    </row>
    <row r="11" customFormat="1" spans="1:8">
      <c r="A11" s="151"/>
      <c r="H11" s="158"/>
    </row>
    <row r="12" customFormat="1" spans="1:11">
      <c r="A12" s="151"/>
      <c r="B12" t="s">
        <v>8</v>
      </c>
      <c r="E12" s="159" t="s">
        <v>9</v>
      </c>
      <c r="H12" s="158" t="s">
        <v>10</v>
      </c>
      <c r="K12" s="197">
        <v>54.2</v>
      </c>
    </row>
    <row r="13" customFormat="1" spans="1:11">
      <c r="A13" s="151"/>
      <c r="B13" t="s">
        <v>11</v>
      </c>
      <c r="E13" s="159" t="s">
        <v>12</v>
      </c>
      <c r="H13" s="160" t="s">
        <v>13</v>
      </c>
      <c r="K13" s="198">
        <f>K12/E14-1</f>
        <v>0.378433367243133</v>
      </c>
    </row>
    <row r="14" customFormat="1" spans="1:5">
      <c r="A14" s="151"/>
      <c r="B14" t="s">
        <v>14</v>
      </c>
      <c r="E14" s="159">
        <v>39.32</v>
      </c>
    </row>
    <row r="15" customFormat="1" spans="1:11">
      <c r="A15" s="151"/>
      <c r="B15" t="s">
        <v>15</v>
      </c>
      <c r="E15" s="161">
        <v>44861</v>
      </c>
      <c r="H15" s="158" t="s">
        <v>16</v>
      </c>
      <c r="K15" s="199">
        <f>K16*K12</f>
        <v>45292826.2</v>
      </c>
    </row>
    <row r="16" customFormat="1" spans="1:11">
      <c r="A16" s="151"/>
      <c r="H16" t="s">
        <v>17</v>
      </c>
      <c r="K16" s="200">
        <f>'IS 2022'!G29</f>
        <v>835661</v>
      </c>
    </row>
    <row r="18" customFormat="1" spans="1:11">
      <c r="A18" s="151"/>
      <c r="B18" s="157" t="s">
        <v>18</v>
      </c>
      <c r="C18" s="157"/>
      <c r="D18" s="157"/>
      <c r="E18" s="157"/>
      <c r="H18" s="160" t="s">
        <v>19</v>
      </c>
      <c r="K18" s="201">
        <f>E21</f>
        <v>5246849</v>
      </c>
    </row>
    <row r="19" customFormat="1" spans="1:11">
      <c r="A19" s="151"/>
      <c r="H19" s="160"/>
      <c r="K19" s="202"/>
    </row>
    <row r="20" customFormat="1" spans="1:11">
      <c r="A20" s="151"/>
      <c r="B20" t="s">
        <v>20</v>
      </c>
      <c r="E20" s="159">
        <v>817810</v>
      </c>
      <c r="H20" s="160" t="s">
        <v>21</v>
      </c>
      <c r="K20" s="200">
        <f>E22</f>
        <v>6393682</v>
      </c>
    </row>
    <row r="21" customFormat="1" spans="1:5">
      <c r="A21" s="151"/>
      <c r="B21" t="s">
        <v>19</v>
      </c>
      <c r="E21" s="155">
        <f>'BS 10Q 2022'!D28+'BS 10Q 2022'!D29</f>
        <v>5246849</v>
      </c>
    </row>
    <row r="22" customFormat="1" spans="1:11">
      <c r="A22" s="151"/>
      <c r="B22" t="s">
        <v>21</v>
      </c>
      <c r="E22" s="155">
        <f>'BS 2021 10K'!E5+'BS 2021 10K'!D6</f>
        <v>6393682</v>
      </c>
      <c r="H22" s="158" t="s">
        <v>22</v>
      </c>
      <c r="K22" s="203">
        <f>K15+K18-K20</f>
        <v>44145993.2</v>
      </c>
    </row>
    <row r="23" customFormat="1" spans="1:11">
      <c r="A23" s="151"/>
      <c r="B23" t="s">
        <v>23</v>
      </c>
      <c r="E23" s="162">
        <v>25</v>
      </c>
      <c r="H23" t="s">
        <v>24</v>
      </c>
      <c r="K23" s="202">
        <f>E20</f>
        <v>817810</v>
      </c>
    </row>
    <row r="24" customFormat="1" spans="1:11">
      <c r="A24" s="151"/>
      <c r="B24" t="s">
        <v>25</v>
      </c>
      <c r="E24" s="163">
        <v>0.1</v>
      </c>
      <c r="H24" t="s">
        <v>26</v>
      </c>
      <c r="K24" s="202">
        <f>K22/28</f>
        <v>1576642.61428571</v>
      </c>
    </row>
    <row r="25" customFormat="1" spans="1:11">
      <c r="A25" s="151"/>
      <c r="B25" t="s">
        <v>27</v>
      </c>
      <c r="E25" s="164">
        <v>0.025</v>
      </c>
      <c r="H25" s="158" t="s">
        <v>28</v>
      </c>
      <c r="K25" s="204">
        <f>K22/K23</f>
        <v>53.9807451608564</v>
      </c>
    </row>
    <row r="28" customFormat="1" ht="15" customHeight="1" spans="1:12">
      <c r="A28" s="151"/>
      <c r="B28" s="154" t="s">
        <v>29</v>
      </c>
      <c r="C28" s="154"/>
      <c r="D28" s="154"/>
      <c r="E28" s="154"/>
      <c r="F28" s="154"/>
      <c r="G28" s="154"/>
      <c r="H28" s="154"/>
      <c r="I28" s="154"/>
      <c r="J28" s="154"/>
      <c r="K28" s="154"/>
      <c r="L28" s="154"/>
    </row>
    <row r="29" customFormat="1" spans="1:12">
      <c r="A29" s="151"/>
      <c r="E29" s="165" t="s">
        <v>30</v>
      </c>
      <c r="F29" s="165" t="s">
        <v>31</v>
      </c>
      <c r="G29" s="166" t="s">
        <v>32</v>
      </c>
      <c r="H29" s="165" t="s">
        <v>33</v>
      </c>
      <c r="I29" s="205" t="s">
        <v>34</v>
      </c>
      <c r="J29" s="165" t="s">
        <v>35</v>
      </c>
      <c r="K29" s="165" t="s">
        <v>36</v>
      </c>
      <c r="L29" s="165" t="s">
        <v>37</v>
      </c>
    </row>
    <row r="30" customFormat="1" spans="1:12">
      <c r="A30" s="151"/>
      <c r="E30" s="167"/>
      <c r="F30" s="168"/>
      <c r="G30" s="169"/>
      <c r="J30" s="175"/>
      <c r="K30" s="206"/>
      <c r="L30" s="175"/>
    </row>
    <row r="31" customFormat="1" spans="1:12">
      <c r="A31" s="151"/>
      <c r="B31" t="s">
        <v>38</v>
      </c>
      <c r="E31" s="167">
        <v>500000</v>
      </c>
      <c r="F31" s="168">
        <f t="shared" ref="F31:F36" si="0">E31/$E$38*$F$38</f>
        <v>0.3171295736076</v>
      </c>
      <c r="G31" s="169">
        <v>0.045</v>
      </c>
      <c r="H31" s="170">
        <v>0.00375</v>
      </c>
      <c r="I31" s="207">
        <v>0.01</v>
      </c>
      <c r="J31" s="175"/>
      <c r="K31" s="206"/>
      <c r="L31" s="175"/>
    </row>
    <row r="32" customFormat="1" spans="1:12">
      <c r="A32" s="151"/>
      <c r="B32" t="s">
        <v>39</v>
      </c>
      <c r="E32" s="171">
        <v>9500000</v>
      </c>
      <c r="F32" s="168">
        <f t="shared" si="0"/>
        <v>6.0254618985444</v>
      </c>
      <c r="G32" s="169">
        <v>0.055</v>
      </c>
      <c r="H32" s="172"/>
      <c r="I32" s="174"/>
      <c r="J32" s="207">
        <v>0.5</v>
      </c>
      <c r="K32" s="208">
        <v>7</v>
      </c>
      <c r="L32" s="207">
        <v>0.01</v>
      </c>
    </row>
    <row r="33" customFormat="1" spans="1:12">
      <c r="A33" s="151"/>
      <c r="B33" t="s">
        <v>40</v>
      </c>
      <c r="E33" s="171">
        <v>12500000</v>
      </c>
      <c r="F33" s="168">
        <f t="shared" si="0"/>
        <v>7.92823934018999</v>
      </c>
      <c r="G33" s="169">
        <v>0.03</v>
      </c>
      <c r="H33" s="172"/>
      <c r="I33" s="174"/>
      <c r="J33" s="175"/>
      <c r="K33" s="208">
        <v>7</v>
      </c>
      <c r="L33" s="207">
        <v>0.05</v>
      </c>
    </row>
    <row r="34" customFormat="1" spans="1:11">
      <c r="A34" s="151"/>
      <c r="B34" t="s">
        <v>41</v>
      </c>
      <c r="E34" s="171">
        <v>3000000</v>
      </c>
      <c r="F34" s="168">
        <f t="shared" si="0"/>
        <v>1.9027774416456</v>
      </c>
      <c r="G34" s="169">
        <v>0.1</v>
      </c>
      <c r="H34" s="173"/>
      <c r="I34" s="209"/>
      <c r="J34" s="210"/>
      <c r="K34" s="209"/>
    </row>
    <row r="35" customFormat="1" spans="1:11">
      <c r="A35" s="151"/>
      <c r="B35" t="s">
        <v>42</v>
      </c>
      <c r="E35" s="171">
        <v>1569380</v>
      </c>
      <c r="F35" s="168">
        <f t="shared" si="0"/>
        <v>0.99539362045659</v>
      </c>
      <c r="G35" s="174">
        <v>0.025</v>
      </c>
      <c r="H35" s="173"/>
      <c r="I35" s="209"/>
      <c r="J35" s="210"/>
      <c r="K35" s="209"/>
    </row>
    <row r="36" customFormat="1" spans="1:11">
      <c r="A36" s="151"/>
      <c r="B36" t="s">
        <v>43</v>
      </c>
      <c r="E36" s="175">
        <f>E38-SUM(E32:E35)</f>
        <v>23278906.2</v>
      </c>
      <c r="F36" s="168">
        <f t="shared" si="0"/>
        <v>14.7648591945146</v>
      </c>
      <c r="G36" s="173"/>
      <c r="H36" s="173"/>
      <c r="I36" s="209"/>
      <c r="J36" s="210"/>
      <c r="K36" s="209"/>
    </row>
    <row r="37" customFormat="1" ht="5" customHeight="1" spans="1:11">
      <c r="A37" s="151"/>
      <c r="E37" s="176"/>
      <c r="F37" s="177"/>
      <c r="G37" s="173"/>
      <c r="H37" s="173"/>
      <c r="I37" s="209"/>
      <c r="J37" s="210"/>
      <c r="K37" s="209"/>
    </row>
    <row r="38" customFormat="1" spans="1:12">
      <c r="A38" s="151"/>
      <c r="B38" s="178" t="s">
        <v>44</v>
      </c>
      <c r="C38" s="179"/>
      <c r="D38" s="179"/>
      <c r="E38" s="180">
        <f>D51</f>
        <v>49848286.2</v>
      </c>
      <c r="F38" s="181">
        <f>J51</f>
        <v>31.6167314953512</v>
      </c>
      <c r="G38" s="179"/>
      <c r="H38" s="182"/>
      <c r="I38" s="182"/>
      <c r="J38" s="182"/>
      <c r="K38" s="182"/>
      <c r="L38" s="211"/>
    </row>
    <row r="40" spans="1:11">
      <c r="A40" s="151" t="s">
        <v>1</v>
      </c>
      <c r="B40" s="154" t="s">
        <v>45</v>
      </c>
      <c r="C40" s="154"/>
      <c r="D40" s="154"/>
      <c r="E40" s="154"/>
      <c r="F40" s="154"/>
      <c r="G40" s="154"/>
      <c r="H40" s="154"/>
      <c r="I40" s="154"/>
      <c r="J40" s="154"/>
      <c r="K40" s="154"/>
    </row>
    <row r="41" ht="5" customHeight="1"/>
    <row r="42" customFormat="1" spans="1:11">
      <c r="A42" s="151"/>
      <c r="B42" s="157" t="s">
        <v>46</v>
      </c>
      <c r="C42" s="183"/>
      <c r="D42" s="183"/>
      <c r="E42" s="183"/>
      <c r="F42" s="183"/>
      <c r="H42" s="157" t="s">
        <v>47</v>
      </c>
      <c r="I42" s="157"/>
      <c r="J42" s="157"/>
      <c r="K42" s="157"/>
    </row>
    <row r="43" customFormat="1" spans="1:11">
      <c r="A43" s="151"/>
      <c r="D43" s="165" t="s">
        <v>30</v>
      </c>
      <c r="E43" s="165" t="s">
        <v>31</v>
      </c>
      <c r="F43" s="165" t="s">
        <v>48</v>
      </c>
      <c r="I43" s="165" t="s">
        <v>30</v>
      </c>
      <c r="J43" s="165" t="s">
        <v>31</v>
      </c>
      <c r="K43" s="165" t="s">
        <v>48</v>
      </c>
    </row>
    <row r="44" customFormat="1" spans="1:11">
      <c r="A44" s="151"/>
      <c r="B44" t="s">
        <v>38</v>
      </c>
      <c r="D44" s="167">
        <v>500000</v>
      </c>
      <c r="E44" s="168">
        <f>$D44/$D$51*$E$51</f>
        <v>0.3171295736076</v>
      </c>
      <c r="F44" s="184">
        <f>D44/$D$51</f>
        <v>0.0100304351085193</v>
      </c>
      <c r="H44" t="s">
        <v>49</v>
      </c>
      <c r="I44" s="171">
        <f>K15</f>
        <v>45292826.2</v>
      </c>
      <c r="J44" s="168">
        <f>(I44/$I$51)*$J$51</f>
        <v>28.7273893205782</v>
      </c>
      <c r="K44" s="184">
        <f>I44/$I$51</f>
        <v>0.908613508161089</v>
      </c>
    </row>
    <row r="45" customFormat="1" spans="1:11">
      <c r="A45" s="151"/>
      <c r="B45" t="s">
        <v>39</v>
      </c>
      <c r="D45" s="167">
        <v>9500000</v>
      </c>
      <c r="E45" s="168">
        <f t="shared" ref="E45:E48" si="1">$D45/$D$51*$E$51</f>
        <v>6.0254618985444</v>
      </c>
      <c r="F45" s="184">
        <f>D45/$D$51</f>
        <v>0.190578267061867</v>
      </c>
      <c r="H45" t="s">
        <v>50</v>
      </c>
      <c r="I45" s="171">
        <v>4290000</v>
      </c>
      <c r="J45" s="168">
        <f>(I45/$I$51)*$J$51</f>
        <v>2.72097174155321</v>
      </c>
      <c r="K45" s="184">
        <f>I45/$I$51</f>
        <v>0.0860611332310959</v>
      </c>
    </row>
    <row r="46" customFormat="1" spans="1:11">
      <c r="A46" s="151"/>
      <c r="B46" t="s">
        <v>40</v>
      </c>
      <c r="D46" s="167">
        <v>12500000</v>
      </c>
      <c r="E46" s="168">
        <f t="shared" si="1"/>
        <v>7.92823934018999</v>
      </c>
      <c r="F46" s="184">
        <f>D46/$D$51</f>
        <v>0.250760877712983</v>
      </c>
      <c r="H46" t="s">
        <v>51</v>
      </c>
      <c r="I46" s="171">
        <v>125000</v>
      </c>
      <c r="J46" s="168">
        <f>(I46/$I$51)*$J$51</f>
        <v>0.0792823934018999</v>
      </c>
      <c r="K46" s="212">
        <f>I46/$I$51</f>
        <v>0.00250760877712983</v>
      </c>
    </row>
    <row r="47" customFormat="1" spans="1:11">
      <c r="A47" s="151"/>
      <c r="B47" t="s">
        <v>41</v>
      </c>
      <c r="D47" s="167">
        <v>3000000</v>
      </c>
      <c r="E47" s="168">
        <f t="shared" si="1"/>
        <v>1.9027774416456</v>
      </c>
      <c r="F47" s="184">
        <f>D47/$D$51</f>
        <v>0.060182610651116</v>
      </c>
      <c r="H47" t="s">
        <v>52</v>
      </c>
      <c r="I47" s="171">
        <v>140460</v>
      </c>
      <c r="J47" s="168">
        <f>(I47/$I$51)*$J$51</f>
        <v>0.0890880398178469</v>
      </c>
      <c r="K47" s="212">
        <f>I47/$I$51</f>
        <v>0.00281774983068525</v>
      </c>
    </row>
    <row r="48" customFormat="1" spans="1:11">
      <c r="A48" s="151"/>
      <c r="B48" t="s">
        <v>42</v>
      </c>
      <c r="D48" s="167">
        <v>1569380</v>
      </c>
      <c r="E48" s="168">
        <f t="shared" si="1"/>
        <v>0.99539362045659</v>
      </c>
      <c r="F48" s="184">
        <f>D48/$D$51</f>
        <v>0.0314831285012162</v>
      </c>
      <c r="I48" s="213"/>
      <c r="J48" s="168"/>
      <c r="K48" s="214"/>
    </row>
    <row r="49" customFormat="1" spans="1:11">
      <c r="A49" s="151"/>
      <c r="B49" t="s">
        <v>43</v>
      </c>
      <c r="D49" s="167">
        <f>D51-SUM(D45:D48)</f>
        <v>23278906.2</v>
      </c>
      <c r="E49" s="168">
        <f>E51-SUM(E45:E48)</f>
        <v>14.7648591945146</v>
      </c>
      <c r="F49" s="184">
        <f>D49/$D$51</f>
        <v>0.466995116072817</v>
      </c>
      <c r="I49" s="215"/>
      <c r="J49" s="168"/>
      <c r="K49" s="214"/>
    </row>
    <row r="50" ht="5" customHeight="1"/>
    <row r="51" customFormat="1" spans="1:11">
      <c r="A51" s="151"/>
      <c r="B51" s="178" t="s">
        <v>44</v>
      </c>
      <c r="C51" s="179"/>
      <c r="D51" s="180">
        <f>I51</f>
        <v>49848286.2</v>
      </c>
      <c r="E51" s="181">
        <f>J51</f>
        <v>31.6167314953512</v>
      </c>
      <c r="F51" s="185"/>
      <c r="G51" s="158"/>
      <c r="H51" s="178" t="s">
        <v>44</v>
      </c>
      <c r="I51" s="180">
        <f>I44+I45+I46+I47</f>
        <v>49848286.2</v>
      </c>
      <c r="J51" s="181">
        <f>I51/K24</f>
        <v>31.6167314953512</v>
      </c>
      <c r="K51" s="185"/>
    </row>
    <row r="54" spans="1:12">
      <c r="A54" s="151" t="s">
        <v>1</v>
      </c>
      <c r="B54" s="154" t="s">
        <v>53</v>
      </c>
      <c r="C54" s="154"/>
      <c r="D54" s="186">
        <v>2019</v>
      </c>
      <c r="E54" s="186">
        <v>2020</v>
      </c>
      <c r="F54" s="186">
        <v>2021</v>
      </c>
      <c r="G54" s="187">
        <v>2022</v>
      </c>
      <c r="H54" s="187">
        <v>2023</v>
      </c>
      <c r="I54" s="187">
        <v>2024</v>
      </c>
      <c r="J54" s="187">
        <v>2025</v>
      </c>
      <c r="K54" s="187">
        <v>2026</v>
      </c>
      <c r="L54" s="187">
        <v>2027</v>
      </c>
    </row>
    <row r="55" ht="5" customHeight="1"/>
    <row r="56" customFormat="1" spans="1:12">
      <c r="A56" s="151"/>
      <c r="B56" t="s">
        <v>54</v>
      </c>
      <c r="D56" s="171">
        <f>'IS 2021 10K'!Q2</f>
        <v>3459329</v>
      </c>
      <c r="E56" s="171">
        <f>'IS 2021 10K'!K2</f>
        <v>3716349</v>
      </c>
      <c r="F56" s="171">
        <f>'IS 2021 10K'!E2</f>
        <v>5077482</v>
      </c>
      <c r="G56" s="188">
        <f t="shared" ref="G56:L56" si="2">F56*(1+G57)</f>
        <v>5712167.25</v>
      </c>
      <c r="H56" s="188">
        <f t="shared" si="2"/>
        <v>6426188.15625</v>
      </c>
      <c r="I56" s="188">
        <f t="shared" si="2"/>
        <v>7550771.08359375</v>
      </c>
      <c r="J56" s="188">
        <f t="shared" si="2"/>
        <v>8872156.02322266</v>
      </c>
      <c r="K56" s="188">
        <f t="shared" si="2"/>
        <v>9981175.52612549</v>
      </c>
      <c r="L56" s="188">
        <f t="shared" si="2"/>
        <v>11228822.4668912</v>
      </c>
    </row>
    <row r="57" customFormat="1" spans="1:12">
      <c r="A57" s="151"/>
      <c r="B57" s="189" t="s">
        <v>55</v>
      </c>
      <c r="D57" s="190"/>
      <c r="E57" s="191">
        <f>E56/D56-1</f>
        <v>0.0742976455838691</v>
      </c>
      <c r="F57" s="191">
        <f>F56/E56-1</f>
        <v>0.366255429724173</v>
      </c>
      <c r="G57" s="192">
        <f>CHOOSE($E$6,G58,G59)</f>
        <v>0.125</v>
      </c>
      <c r="H57" s="192">
        <f>CHOOSE($E$6,H58,H59)</f>
        <v>0.125</v>
      </c>
      <c r="I57" s="192">
        <f>CHOOSE($E$6,I58,I59)</f>
        <v>0.175</v>
      </c>
      <c r="J57" s="192">
        <f>CHOOSE($E$6,J58,J59)</f>
        <v>0.175</v>
      </c>
      <c r="K57" s="192">
        <f>CHOOSE($E$6,K58,K59)</f>
        <v>0.125</v>
      </c>
      <c r="L57" s="192">
        <f>CHOOSE($E$6,L58,L59)</f>
        <v>0.125</v>
      </c>
    </row>
    <row r="58" customFormat="1" spans="1:12">
      <c r="A58" s="151"/>
      <c r="B58" t="s">
        <v>56</v>
      </c>
      <c r="G58" s="192">
        <v>0.125</v>
      </c>
      <c r="H58" s="192">
        <v>0.125</v>
      </c>
      <c r="I58" s="192">
        <v>0.175</v>
      </c>
      <c r="J58" s="192">
        <v>0.175</v>
      </c>
      <c r="K58" s="192">
        <v>0.125</v>
      </c>
      <c r="L58" s="192">
        <v>0.125</v>
      </c>
    </row>
    <row r="59" customFormat="1" spans="1:12">
      <c r="A59" s="151"/>
      <c r="B59" t="s">
        <v>57</v>
      </c>
      <c r="G59" s="192">
        <v>0.15</v>
      </c>
      <c r="H59" s="192">
        <v>0.15</v>
      </c>
      <c r="I59" s="192">
        <v>0.2</v>
      </c>
      <c r="J59" s="192">
        <v>0.2</v>
      </c>
      <c r="K59" s="192">
        <v>0.15</v>
      </c>
      <c r="L59" s="192">
        <v>0.15</v>
      </c>
    </row>
    <row r="61" customFormat="1" spans="1:12">
      <c r="A61" s="151"/>
      <c r="B61" t="s">
        <v>58</v>
      </c>
      <c r="D61" s="171">
        <f>'IS 2021 10K'!P4</f>
        <v>1137041</v>
      </c>
      <c r="E61" s="171">
        <f>'IS 2021 10K'!J4</f>
        <v>1366388</v>
      </c>
      <c r="F61" s="175">
        <f>'IS 2021 10K'!D4</f>
        <v>1797510</v>
      </c>
      <c r="G61" s="188">
        <f t="shared" ref="G61:L61" si="3">G62*G56</f>
        <v>1999258.5375</v>
      </c>
      <c r="H61" s="188">
        <f t="shared" si="3"/>
        <v>2249165.8546875</v>
      </c>
      <c r="I61" s="188">
        <f t="shared" si="3"/>
        <v>2265231.32507813</v>
      </c>
      <c r="J61" s="188">
        <f t="shared" si="3"/>
        <v>2661646.8069668</v>
      </c>
      <c r="K61" s="188">
        <f t="shared" si="3"/>
        <v>2994352.65783765</v>
      </c>
      <c r="L61" s="188">
        <f t="shared" si="3"/>
        <v>3368646.74006735</v>
      </c>
    </row>
    <row r="62" customFormat="1" spans="1:12">
      <c r="A62" s="151"/>
      <c r="B62" s="189" t="s">
        <v>59</v>
      </c>
      <c r="D62" s="193">
        <f t="shared" ref="D62:F62" si="4">D61/D$56</f>
        <v>0.328688309206785</v>
      </c>
      <c r="E62" s="193">
        <f t="shared" si="4"/>
        <v>0.367669451927147</v>
      </c>
      <c r="F62" s="193">
        <f t="shared" si="4"/>
        <v>0.354016026053859</v>
      </c>
      <c r="G62" s="192">
        <v>0.35</v>
      </c>
      <c r="H62" s="192">
        <v>0.35</v>
      </c>
      <c r="I62" s="192">
        <v>0.3</v>
      </c>
      <c r="J62" s="192">
        <v>0.3</v>
      </c>
      <c r="K62" s="192">
        <v>0.3</v>
      </c>
      <c r="L62" s="192">
        <v>0.3</v>
      </c>
    </row>
    <row r="64" customFormat="1" spans="1:12">
      <c r="A64" s="151"/>
      <c r="B64" t="s">
        <v>60</v>
      </c>
      <c r="D64" s="171">
        <f t="shared" ref="D64:L64" si="5">D56-D61</f>
        <v>2322288</v>
      </c>
      <c r="E64" s="171">
        <f t="shared" si="5"/>
        <v>2349961</v>
      </c>
      <c r="F64" s="171">
        <f t="shared" si="5"/>
        <v>3279972</v>
      </c>
      <c r="G64" s="194">
        <f t="shared" si="5"/>
        <v>3712908.7125</v>
      </c>
      <c r="H64" s="194">
        <f t="shared" si="5"/>
        <v>4177022.3015625</v>
      </c>
      <c r="I64" s="194">
        <f t="shared" si="5"/>
        <v>5285539.75851563</v>
      </c>
      <c r="J64" s="194">
        <f t="shared" si="5"/>
        <v>6210509.21625586</v>
      </c>
      <c r="K64" s="194">
        <f t="shared" si="5"/>
        <v>6986822.86828784</v>
      </c>
      <c r="L64" s="194">
        <f t="shared" si="5"/>
        <v>7860175.72682382</v>
      </c>
    </row>
    <row r="65" customFormat="1" spans="1:12">
      <c r="A65" s="151"/>
      <c r="B65" s="189" t="s">
        <v>59</v>
      </c>
      <c r="D65" s="191">
        <f t="shared" ref="D65:F65" si="6">D64/D$56</f>
        <v>0.671311690793215</v>
      </c>
      <c r="E65" s="191">
        <f t="shared" si="6"/>
        <v>0.632330548072853</v>
      </c>
      <c r="F65" s="191">
        <f t="shared" si="6"/>
        <v>0.645983973946141</v>
      </c>
      <c r="G65" s="192">
        <f t="shared" ref="G65:K65" si="7">1-G62</f>
        <v>0.65</v>
      </c>
      <c r="H65" s="192">
        <f t="shared" si="7"/>
        <v>0.65</v>
      </c>
      <c r="I65" s="192">
        <f t="shared" si="7"/>
        <v>0.7</v>
      </c>
      <c r="J65" s="192">
        <f t="shared" si="7"/>
        <v>0.7</v>
      </c>
      <c r="K65" s="192">
        <f t="shared" si="7"/>
        <v>0.7</v>
      </c>
      <c r="L65" s="192">
        <v>0.7</v>
      </c>
    </row>
    <row r="66" spans="4:6">
      <c r="D66" s="172"/>
      <c r="E66" s="172"/>
      <c r="F66" s="172"/>
    </row>
    <row r="67" customFormat="1" spans="1:12">
      <c r="A67" s="151"/>
      <c r="B67" t="s">
        <v>61</v>
      </c>
      <c r="D67" s="171">
        <f>'IS 2021 10K'!P5+'IS 2021 10K'!P6+'IS 2021 10K'!P7</f>
        <v>1955915</v>
      </c>
      <c r="E67" s="171">
        <f>'IS 2021 10K'!J5+'IS 2021 10K'!J6+'IS 2021 10K'!J7</f>
        <v>2323303</v>
      </c>
      <c r="F67" s="171">
        <f>'IS 2021 10K'!D5+'IS 2021 10K'!D6+'IS 2021 10K'!D7</f>
        <v>3007010</v>
      </c>
      <c r="G67" s="194">
        <f t="shared" ref="G67:L67" si="8">G68*G56</f>
        <v>3427300.35</v>
      </c>
      <c r="H67" s="194">
        <f t="shared" si="8"/>
        <v>3855712.89375</v>
      </c>
      <c r="I67" s="194">
        <f t="shared" si="8"/>
        <v>4152924.09597656</v>
      </c>
      <c r="J67" s="194">
        <f t="shared" si="8"/>
        <v>4879685.81277246</v>
      </c>
      <c r="K67" s="194">
        <f t="shared" si="8"/>
        <v>5489646.53936902</v>
      </c>
      <c r="L67" s="194">
        <f t="shared" si="8"/>
        <v>6175852.35679015</v>
      </c>
    </row>
    <row r="68" customFormat="1" ht="14.5" customHeight="1" spans="1:12">
      <c r="A68" s="151"/>
      <c r="B68" s="189" t="s">
        <v>59</v>
      </c>
      <c r="D68" s="191">
        <f t="shared" ref="D68:F68" si="9">D67/D$56</f>
        <v>0.565403001564754</v>
      </c>
      <c r="E68" s="191">
        <f t="shared" si="9"/>
        <v>0.625157378922163</v>
      </c>
      <c r="F68" s="191">
        <f t="shared" si="9"/>
        <v>0.592224649934751</v>
      </c>
      <c r="G68" s="192">
        <v>0.6</v>
      </c>
      <c r="H68" s="192">
        <v>0.6</v>
      </c>
      <c r="I68" s="192">
        <v>0.55</v>
      </c>
      <c r="J68" s="192">
        <v>0.55</v>
      </c>
      <c r="K68" s="192">
        <v>0.55</v>
      </c>
      <c r="L68" s="192">
        <v>0.55</v>
      </c>
    </row>
    <row r="69" customFormat="1" spans="1:7">
      <c r="A69" s="151"/>
      <c r="D69" s="216"/>
      <c r="E69" s="216"/>
      <c r="F69" s="216"/>
      <c r="G69" s="217"/>
    </row>
    <row r="70" customFormat="1" spans="1:12">
      <c r="A70" s="151"/>
      <c r="B70" t="s">
        <v>62</v>
      </c>
      <c r="D70" s="171">
        <v>0</v>
      </c>
      <c r="E70" s="171">
        <v>0</v>
      </c>
      <c r="F70" s="171">
        <f>'IS 2021 10K'!D8</f>
        <v>765701</v>
      </c>
      <c r="G70" s="217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customFormat="1" spans="1:7">
      <c r="A71" s="151"/>
      <c r="D71" s="216"/>
      <c r="E71" s="216"/>
      <c r="F71" s="216"/>
      <c r="G71" s="217"/>
    </row>
    <row r="72" customFormat="1" spans="1:12">
      <c r="A72" s="151"/>
      <c r="B72" s="218" t="s">
        <v>63</v>
      </c>
      <c r="C72" s="219"/>
      <c r="D72" s="220">
        <f t="shared" ref="D72:L72" si="10">D56-D61-D67-D70</f>
        <v>366373</v>
      </c>
      <c r="E72" s="220">
        <f t="shared" si="10"/>
        <v>26658</v>
      </c>
      <c r="F72" s="220">
        <f t="shared" si="10"/>
        <v>-492739</v>
      </c>
      <c r="G72" s="221">
        <f t="shared" si="10"/>
        <v>285608.3625</v>
      </c>
      <c r="H72" s="221">
        <f t="shared" si="10"/>
        <v>321309.4078125</v>
      </c>
      <c r="I72" s="221">
        <f t="shared" si="10"/>
        <v>1132615.66253906</v>
      </c>
      <c r="J72" s="221">
        <f t="shared" si="10"/>
        <v>1330823.4034834</v>
      </c>
      <c r="K72" s="221">
        <f t="shared" si="10"/>
        <v>1497176.32891882</v>
      </c>
      <c r="L72" s="239">
        <f t="shared" si="10"/>
        <v>1684323.37003368</v>
      </c>
    </row>
    <row r="73" customFormat="1" spans="1:12">
      <c r="A73" s="151"/>
      <c r="B73" s="222" t="s">
        <v>59</v>
      </c>
      <c r="C73" s="223"/>
      <c r="D73" s="224">
        <f t="shared" ref="D73:L73" si="11">D72/D56</f>
        <v>0.10590868922846</v>
      </c>
      <c r="E73" s="224">
        <f t="shared" si="11"/>
        <v>0.00717316915069064</v>
      </c>
      <c r="F73" s="224">
        <f t="shared" si="11"/>
        <v>-0.0970439678565084</v>
      </c>
      <c r="G73" s="225">
        <f t="shared" si="11"/>
        <v>0.0500000000000001</v>
      </c>
      <c r="H73" s="225">
        <f t="shared" si="11"/>
        <v>0.0500000000000001</v>
      </c>
      <c r="I73" s="225">
        <f t="shared" si="11"/>
        <v>0.15</v>
      </c>
      <c r="J73" s="225">
        <f t="shared" si="11"/>
        <v>0.15</v>
      </c>
      <c r="K73" s="225">
        <f t="shared" si="11"/>
        <v>0.15</v>
      </c>
      <c r="L73" s="240">
        <f t="shared" si="11"/>
        <v>0.15</v>
      </c>
    </row>
    <row r="75" customFormat="1" spans="1:12">
      <c r="A75" s="151"/>
      <c r="B75" t="s">
        <v>64</v>
      </c>
      <c r="D75" s="171">
        <f>-'IS 2021 10K'!P11</f>
        <v>138180</v>
      </c>
      <c r="E75" s="171">
        <f>-'IS 2021 10K'!J11</f>
        <v>152878</v>
      </c>
      <c r="F75" s="171">
        <f>-'IS 2021 10K'!D11</f>
        <v>51186</v>
      </c>
      <c r="G75" s="188"/>
      <c r="H75" s="188">
        <f>H185</f>
        <v>1822500</v>
      </c>
      <c r="I75" s="188">
        <f>I185</f>
        <v>1607421.30081211</v>
      </c>
      <c r="J75" s="188">
        <f>J185</f>
        <v>1523505.58341088</v>
      </c>
      <c r="K75" s="188">
        <f>K185</f>
        <v>1479518.2191288</v>
      </c>
      <c r="L75" s="188">
        <f>L185</f>
        <v>1455363.19444304</v>
      </c>
    </row>
    <row r="76" customFormat="1" spans="1:12">
      <c r="A76" s="151"/>
      <c r="B76" t="s">
        <v>65</v>
      </c>
      <c r="D76" s="171">
        <f>'IS 2021 10K'!P12</f>
        <v>157703</v>
      </c>
      <c r="E76" s="171">
        <f>'IS 2021 10K'!J12</f>
        <v>88178</v>
      </c>
      <c r="F76" s="171">
        <f>'IS 2021 10K'!D12</f>
        <v>35683</v>
      </c>
      <c r="G76" s="188"/>
      <c r="H76" s="188">
        <f>H186</f>
        <v>330323.923104946</v>
      </c>
      <c r="I76" s="188">
        <f>I186</f>
        <v>127468.376461181</v>
      </c>
      <c r="J76" s="188">
        <f>J186</f>
        <v>46977.5688556527</v>
      </c>
      <c r="K76" s="188">
        <f>K186</f>
        <v>25656.1567401643</v>
      </c>
      <c r="L76" s="188">
        <f>L186</f>
        <v>27448.2326968451</v>
      </c>
    </row>
    <row r="77" customFormat="1" spans="1:12">
      <c r="A77" s="151"/>
      <c r="B77" t="s">
        <v>66</v>
      </c>
      <c r="D77" s="171">
        <f>'IS 2021 10K'!P13</f>
        <v>4243</v>
      </c>
      <c r="E77" s="171">
        <f>'IS 2021 10K'!J13</f>
        <v>-12897</v>
      </c>
      <c r="F77" s="171">
        <f>'IS 2021 10K'!D13</f>
        <v>97129</v>
      </c>
      <c r="G77" s="226"/>
      <c r="H77" s="188">
        <f>AVERAGE(D77:F77)</f>
        <v>29491.6666666667</v>
      </c>
      <c r="I77" s="188">
        <f>AVERAGE(E77:G77)</f>
        <v>42116</v>
      </c>
      <c r="J77" s="188">
        <f>AVERAGE(F77:H77)</f>
        <v>63310.3333333333</v>
      </c>
      <c r="K77" s="188">
        <f>AVERAGE(G77:I77)</f>
        <v>35803.8333333333</v>
      </c>
      <c r="L77" s="188">
        <f>AVERAGE(H77:J77)</f>
        <v>44972.6666666667</v>
      </c>
    </row>
    <row r="78" customFormat="1" spans="1:12">
      <c r="A78" s="151"/>
      <c r="D78" s="171"/>
      <c r="E78" s="171"/>
      <c r="F78" s="171"/>
      <c r="G78" s="188"/>
      <c r="H78" s="188"/>
      <c r="I78" s="188"/>
      <c r="J78" s="188"/>
      <c r="K78" s="188"/>
      <c r="L78" s="226"/>
    </row>
    <row r="79" customFormat="1" spans="1:12">
      <c r="A79" s="151"/>
      <c r="B79" t="s">
        <v>67</v>
      </c>
      <c r="D79" s="171">
        <f t="shared" ref="D79:L79" si="12">D72-D75+D76+D77</f>
        <v>390139</v>
      </c>
      <c r="E79" s="171">
        <f t="shared" si="12"/>
        <v>-50939</v>
      </c>
      <c r="F79" s="171">
        <f t="shared" si="12"/>
        <v>-411113</v>
      </c>
      <c r="G79" s="188">
        <f t="shared" si="12"/>
        <v>285608.3625</v>
      </c>
      <c r="H79" s="188">
        <f t="shared" si="12"/>
        <v>-1141375.00241589</v>
      </c>
      <c r="I79" s="188">
        <f t="shared" si="12"/>
        <v>-305221.261811868</v>
      </c>
      <c r="J79" s="188">
        <f t="shared" si="12"/>
        <v>-82394.2777384946</v>
      </c>
      <c r="K79" s="188">
        <f t="shared" si="12"/>
        <v>79118.099863525</v>
      </c>
      <c r="L79" s="188">
        <f t="shared" si="12"/>
        <v>301381.074954145</v>
      </c>
    </row>
    <row r="80" customFormat="1" spans="1:12">
      <c r="A80" s="151"/>
      <c r="B80" s="189" t="s">
        <v>59</v>
      </c>
      <c r="D80" s="191"/>
      <c r="E80" s="191"/>
      <c r="F80" s="191"/>
      <c r="G80" s="227">
        <f t="shared" ref="G80:L80" si="13">G79/G56</f>
        <v>0.0500000000000001</v>
      </c>
      <c r="H80" s="227">
        <f t="shared" si="13"/>
        <v>-0.17761306931323</v>
      </c>
      <c r="I80" s="227">
        <f t="shared" si="13"/>
        <v>-0.0404225288295456</v>
      </c>
      <c r="J80" s="227">
        <f t="shared" si="13"/>
        <v>-0.00928683822994429</v>
      </c>
      <c r="K80" s="227">
        <f t="shared" si="13"/>
        <v>0.0079267316416223</v>
      </c>
      <c r="L80" s="227">
        <f t="shared" si="13"/>
        <v>0.0268399536855075</v>
      </c>
    </row>
    <row r="81" spans="4:12">
      <c r="D81" s="172"/>
      <c r="E81" s="172"/>
      <c r="F81" s="172"/>
      <c r="G81" s="226"/>
      <c r="H81" s="226"/>
      <c r="I81" s="226"/>
      <c r="J81" s="226"/>
      <c r="K81" s="226"/>
      <c r="L81" s="226"/>
    </row>
    <row r="82" customFormat="1" spans="1:12">
      <c r="A82" s="151"/>
      <c r="B82" t="s">
        <v>68</v>
      </c>
      <c r="D82" s="171">
        <f>'IS 2021 10K'!P15</f>
        <v>-1075520</v>
      </c>
      <c r="E82" s="171">
        <f>'IS 2021 10K'!J15</f>
        <v>1084687</v>
      </c>
      <c r="F82" s="171">
        <f>'IS 2021 10K'!D15</f>
        <v>-189704</v>
      </c>
      <c r="G82" s="188"/>
      <c r="H82" s="188"/>
      <c r="I82" s="188"/>
      <c r="J82" s="188"/>
      <c r="K82" s="188"/>
      <c r="L82" s="226"/>
    </row>
    <row r="83" customFormat="1" spans="1:12">
      <c r="A83" s="151"/>
      <c r="B83" s="189" t="s">
        <v>69</v>
      </c>
      <c r="D83" s="191">
        <f t="shared" ref="D83:F83" si="14">D82/D79</f>
        <v>-2.75676105183024</v>
      </c>
      <c r="E83" s="191">
        <f t="shared" si="14"/>
        <v>-21.2938416537427</v>
      </c>
      <c r="F83" s="191">
        <f t="shared" si="14"/>
        <v>0.461440042032239</v>
      </c>
      <c r="G83" s="192">
        <v>0.25</v>
      </c>
      <c r="H83" s="192">
        <v>0.25</v>
      </c>
      <c r="I83" s="192">
        <v>0.25</v>
      </c>
      <c r="J83" s="192">
        <v>0.25</v>
      </c>
      <c r="K83" s="192">
        <v>0.25</v>
      </c>
      <c r="L83" s="192">
        <v>0.25</v>
      </c>
    </row>
    <row r="85" customFormat="1" spans="1:12">
      <c r="A85" s="151"/>
      <c r="B85" s="218" t="s">
        <v>70</v>
      </c>
      <c r="C85" s="219"/>
      <c r="D85" s="220">
        <f t="shared" ref="D85:F85" si="15">D79-D82</f>
        <v>1465659</v>
      </c>
      <c r="E85" s="220">
        <f t="shared" si="15"/>
        <v>-1135626</v>
      </c>
      <c r="F85" s="220">
        <f t="shared" si="15"/>
        <v>-221409</v>
      </c>
      <c r="G85" s="221">
        <f>G79*(1-G83)</f>
        <v>214206.271875</v>
      </c>
      <c r="H85" s="221">
        <f>H79*IF(H79&gt;0,(1-H83),1)</f>
        <v>-1141375.00241589</v>
      </c>
      <c r="I85" s="221">
        <f>I79*IF(I79&gt;0,(1-I83),1)</f>
        <v>-305221.261811868</v>
      </c>
      <c r="J85" s="221">
        <f>J79*IF(J79&gt;0,(1-J83),1)</f>
        <v>-82394.2777384946</v>
      </c>
      <c r="K85" s="221">
        <f>K79*IF(K79&gt;0,(1-K83),1)</f>
        <v>59338.5748976437</v>
      </c>
      <c r="L85" s="239">
        <f>L79*IF(L79&gt;0,(1-L83),1)</f>
        <v>226035.806215609</v>
      </c>
    </row>
    <row r="86" customFormat="1" spans="1:12">
      <c r="A86" s="151"/>
      <c r="B86" s="222" t="s">
        <v>59</v>
      </c>
      <c r="C86" s="223"/>
      <c r="D86" s="224"/>
      <c r="E86" s="224"/>
      <c r="F86" s="224"/>
      <c r="G86" s="224"/>
      <c r="H86" s="224"/>
      <c r="I86" s="224"/>
      <c r="J86" s="224"/>
      <c r="K86" s="224"/>
      <c r="L86" s="241"/>
    </row>
    <row r="88" customFormat="1" spans="1:2">
      <c r="A88" s="151"/>
      <c r="B88" s="228" t="s">
        <v>71</v>
      </c>
    </row>
    <row r="89" customFormat="1" spans="1:12">
      <c r="A89" s="151"/>
      <c r="B89" t="s">
        <v>63</v>
      </c>
      <c r="D89" s="171">
        <f t="shared" ref="D89:L89" si="16">D72</f>
        <v>366373</v>
      </c>
      <c r="E89" s="171">
        <f t="shared" si="16"/>
        <v>26658</v>
      </c>
      <c r="F89" s="171">
        <f t="shared" si="16"/>
        <v>-492739</v>
      </c>
      <c r="G89" s="188">
        <f t="shared" si="16"/>
        <v>285608.3625</v>
      </c>
      <c r="H89" s="188">
        <f t="shared" si="16"/>
        <v>321309.4078125</v>
      </c>
      <c r="I89" s="188">
        <f t="shared" si="16"/>
        <v>1132615.66253906</v>
      </c>
      <c r="J89" s="188">
        <f t="shared" si="16"/>
        <v>1330823.4034834</v>
      </c>
      <c r="K89" s="188">
        <f t="shared" si="16"/>
        <v>1497176.32891882</v>
      </c>
      <c r="L89" s="188">
        <f t="shared" si="16"/>
        <v>1684323.37003368</v>
      </c>
    </row>
    <row r="90" customFormat="1" spans="1:12">
      <c r="A90" s="151"/>
      <c r="B90" t="s">
        <v>72</v>
      </c>
      <c r="D90" s="171">
        <f>'CF 2021 10K'!P7</f>
        <v>465549</v>
      </c>
      <c r="E90" s="171">
        <f>'CF 2021 10K'!J7</f>
        <v>495177</v>
      </c>
      <c r="F90" s="171">
        <f>'CF 2021 10K'!D7</f>
        <v>544848</v>
      </c>
      <c r="G90" s="229">
        <f t="shared" ref="G90:L90" si="17">G113</f>
        <v>714263.545842971</v>
      </c>
      <c r="H90" s="229">
        <f t="shared" si="17"/>
        <v>783121.160206151</v>
      </c>
      <c r="I90" s="229">
        <f t="shared" si="17"/>
        <v>891527.685551131</v>
      </c>
      <c r="J90" s="229">
        <f t="shared" si="17"/>
        <v>1079379.35126969</v>
      </c>
      <c r="K90" s="229">
        <f t="shared" si="17"/>
        <v>1203045.38760071</v>
      </c>
      <c r="L90" s="229">
        <f t="shared" si="17"/>
        <v>1348438.24391888</v>
      </c>
    </row>
    <row r="91" customFormat="1" spans="1:12">
      <c r="A91" s="151"/>
      <c r="B91" s="150" t="s">
        <v>73</v>
      </c>
      <c r="C91" s="150"/>
      <c r="D91" s="230">
        <v>0</v>
      </c>
      <c r="E91" s="230">
        <v>0</v>
      </c>
      <c r="F91" s="230">
        <f>F70</f>
        <v>765701</v>
      </c>
      <c r="G91" s="231">
        <v>0</v>
      </c>
      <c r="H91" s="231">
        <v>0</v>
      </c>
      <c r="I91" s="231">
        <v>0</v>
      </c>
      <c r="J91" s="231">
        <v>0</v>
      </c>
      <c r="K91" s="231">
        <v>0</v>
      </c>
      <c r="L91" s="231">
        <v>0</v>
      </c>
    </row>
    <row r="92" customFormat="1" spans="1:12">
      <c r="A92" s="151"/>
      <c r="B92" s="158" t="s">
        <v>74</v>
      </c>
      <c r="C92" s="158"/>
      <c r="D92" s="232">
        <f t="shared" ref="D92:L92" si="18">D89+D90</f>
        <v>831922</v>
      </c>
      <c r="E92" s="232">
        <f t="shared" si="18"/>
        <v>521835</v>
      </c>
      <c r="F92" s="232">
        <f>F89+F90+F91</f>
        <v>817810</v>
      </c>
      <c r="G92" s="188">
        <f t="shared" si="18"/>
        <v>999871.908342971</v>
      </c>
      <c r="H92" s="188">
        <f t="shared" si="18"/>
        <v>1104430.56801865</v>
      </c>
      <c r="I92" s="188">
        <f t="shared" si="18"/>
        <v>2024143.34809019</v>
      </c>
      <c r="J92" s="188">
        <f t="shared" si="18"/>
        <v>2410202.75475309</v>
      </c>
      <c r="K92" s="188">
        <f t="shared" si="18"/>
        <v>2700221.71651953</v>
      </c>
      <c r="L92" s="188">
        <f t="shared" si="18"/>
        <v>3032761.61395256</v>
      </c>
    </row>
    <row r="93" customFormat="1" spans="1:12">
      <c r="A93" s="151"/>
      <c r="B93" s="189" t="s">
        <v>59</v>
      </c>
      <c r="D93" s="193"/>
      <c r="E93" s="193"/>
      <c r="F93" s="193"/>
      <c r="G93" s="226"/>
      <c r="H93" s="226"/>
      <c r="I93" s="226"/>
      <c r="J93" s="226"/>
      <c r="K93" s="226"/>
      <c r="L93" s="226"/>
    </row>
    <row r="94" spans="7:12">
      <c r="G94" s="226"/>
      <c r="H94" s="226"/>
      <c r="I94" s="226"/>
      <c r="J94" s="226"/>
      <c r="K94" s="226"/>
      <c r="L94" s="226"/>
    </row>
    <row r="95" customFormat="1" spans="1:12">
      <c r="A95" s="151"/>
      <c r="B95" s="218" t="s">
        <v>74</v>
      </c>
      <c r="C95" s="219"/>
      <c r="D95" s="220">
        <f t="shared" ref="D95:L95" si="19">D92</f>
        <v>831922</v>
      </c>
      <c r="E95" s="220">
        <f t="shared" si="19"/>
        <v>521835</v>
      </c>
      <c r="F95" s="220">
        <f t="shared" si="19"/>
        <v>817810</v>
      </c>
      <c r="G95" s="221">
        <f t="shared" si="19"/>
        <v>999871.908342971</v>
      </c>
      <c r="H95" s="221">
        <f t="shared" si="19"/>
        <v>1104430.56801865</v>
      </c>
      <c r="I95" s="221">
        <f t="shared" si="19"/>
        <v>2024143.34809019</v>
      </c>
      <c r="J95" s="221">
        <f t="shared" si="19"/>
        <v>2410202.75475309</v>
      </c>
      <c r="K95" s="221">
        <f t="shared" si="19"/>
        <v>2700221.71651953</v>
      </c>
      <c r="L95" s="239">
        <f t="shared" si="19"/>
        <v>3032761.61395256</v>
      </c>
    </row>
    <row r="96" customFormat="1" spans="1:12">
      <c r="A96" s="151"/>
      <c r="B96" s="222" t="s">
        <v>59</v>
      </c>
      <c r="C96" s="223"/>
      <c r="D96" s="233">
        <f t="shared" ref="D96:L96" si="20">D95/D56</f>
        <v>0.240486522097204</v>
      </c>
      <c r="E96" s="233">
        <f t="shared" si="20"/>
        <v>0.140416037352789</v>
      </c>
      <c r="F96" s="233">
        <f t="shared" si="20"/>
        <v>0.161066055970262</v>
      </c>
      <c r="G96" s="234">
        <f t="shared" si="20"/>
        <v>0.175042477676572</v>
      </c>
      <c r="H96" s="234">
        <f t="shared" si="20"/>
        <v>0.171864025945848</v>
      </c>
      <c r="I96" s="234">
        <f t="shared" si="20"/>
        <v>0.268071078527097</v>
      </c>
      <c r="J96" s="234">
        <f t="shared" si="20"/>
        <v>0.271659194049839</v>
      </c>
      <c r="K96" s="234">
        <f t="shared" si="20"/>
        <v>0.270531432840928</v>
      </c>
      <c r="L96" s="242">
        <f t="shared" si="20"/>
        <v>0.270087235139288</v>
      </c>
    </row>
    <row r="99" spans="1:12">
      <c r="A99" s="151" t="s">
        <v>1</v>
      </c>
      <c r="B99" s="154" t="s">
        <v>75</v>
      </c>
      <c r="C99" s="154"/>
      <c r="D99" s="186">
        <v>2019</v>
      </c>
      <c r="E99" s="186">
        <v>2020</v>
      </c>
      <c r="F99" s="186">
        <v>2021</v>
      </c>
      <c r="G99" s="187">
        <v>2022</v>
      </c>
      <c r="H99" s="187">
        <v>2023</v>
      </c>
      <c r="I99" s="187">
        <v>2024</v>
      </c>
      <c r="J99" s="187">
        <v>2025</v>
      </c>
      <c r="K99" s="187">
        <v>2026</v>
      </c>
      <c r="L99" s="187">
        <v>2027</v>
      </c>
    </row>
    <row r="100" ht="5" customHeight="1"/>
    <row r="101" customFormat="1" spans="1:2">
      <c r="A101" s="151"/>
      <c r="B101" s="228"/>
    </row>
    <row r="102" customFormat="1" spans="1:14">
      <c r="A102" s="151"/>
      <c r="B102" t="s">
        <v>76</v>
      </c>
      <c r="C102" s="235"/>
      <c r="D102" s="171">
        <v>7620075</v>
      </c>
      <c r="E102" s="171">
        <f>'BS 2021 10K'!G10</f>
        <v>8637108</v>
      </c>
      <c r="F102" s="171">
        <f>'BS 2021 10K'!D10</f>
        <v>7918370</v>
      </c>
      <c r="N102" s="228"/>
    </row>
    <row r="103" customFormat="1" spans="1:6">
      <c r="A103" s="151"/>
      <c r="C103" s="235"/>
      <c r="D103" s="171"/>
      <c r="E103" s="171"/>
      <c r="F103" s="171"/>
    </row>
    <row r="104" customFormat="1" spans="1:6">
      <c r="A104" s="151"/>
      <c r="B104" t="s">
        <v>77</v>
      </c>
      <c r="D104" s="236">
        <v>832476</v>
      </c>
      <c r="E104" s="236">
        <f>'BS 2021 10K'!G26</f>
        <v>1952826</v>
      </c>
      <c r="F104" s="236">
        <f>'BS 2021 10K'!D26</f>
        <v>1343867</v>
      </c>
    </row>
    <row r="105" customFormat="1" spans="1:6">
      <c r="A105" s="151"/>
      <c r="B105" s="228"/>
      <c r="D105" s="172"/>
      <c r="E105" s="172"/>
      <c r="F105" s="172"/>
    </row>
    <row r="106" customFormat="1" spans="1:6">
      <c r="A106" s="151"/>
      <c r="B106" t="s">
        <v>78</v>
      </c>
      <c r="C106" s="235"/>
      <c r="D106" s="171">
        <f t="shared" ref="D106:F106" si="21">D102-D104</f>
        <v>6787599</v>
      </c>
      <c r="E106" s="171">
        <f t="shared" si="21"/>
        <v>6684282</v>
      </c>
      <c r="F106" s="171">
        <f t="shared" si="21"/>
        <v>6574503</v>
      </c>
    </row>
    <row r="107" customFormat="1" spans="1:6">
      <c r="A107" s="151"/>
      <c r="C107" s="235"/>
      <c r="D107" s="171"/>
      <c r="E107" s="171"/>
      <c r="F107" s="171"/>
    </row>
    <row r="108" customFormat="1" spans="1:6">
      <c r="A108" s="151"/>
      <c r="C108" s="235"/>
      <c r="D108" s="171"/>
      <c r="E108" s="171"/>
      <c r="F108" s="171"/>
    </row>
    <row r="109" spans="4:6">
      <c r="D109" s="172"/>
      <c r="E109" s="172"/>
      <c r="F109" s="172"/>
    </row>
    <row r="110" customFormat="1" spans="1:12">
      <c r="A110" s="151"/>
      <c r="B110" s="218" t="s">
        <v>79</v>
      </c>
      <c r="C110" s="219"/>
      <c r="D110" s="220"/>
      <c r="E110" s="220">
        <f>E106-D106</f>
        <v>-103317</v>
      </c>
      <c r="F110" s="220">
        <f>F106-E106</f>
        <v>-109779</v>
      </c>
      <c r="G110" s="221">
        <f t="shared" ref="G110:L110" si="22">G111*G56</f>
        <v>-141151.731880957</v>
      </c>
      <c r="H110" s="221">
        <f t="shared" si="22"/>
        <v>-148867.372620538</v>
      </c>
      <c r="I110" s="221">
        <f t="shared" si="22"/>
        <v>-180752.054204636</v>
      </c>
      <c r="J110" s="221">
        <f t="shared" si="22"/>
        <v>-208956.840007339</v>
      </c>
      <c r="K110" s="221">
        <f t="shared" si="22"/>
        <v>-237004.033330005</v>
      </c>
      <c r="L110" s="239">
        <f t="shared" si="22"/>
        <v>-265545.269065272</v>
      </c>
    </row>
    <row r="111" customFormat="1" spans="1:12">
      <c r="A111" s="151"/>
      <c r="B111" s="222" t="s">
        <v>59</v>
      </c>
      <c r="C111" s="223"/>
      <c r="D111" s="237"/>
      <c r="E111" s="237">
        <f>E110/E56</f>
        <v>-0.0278006721112576</v>
      </c>
      <c r="F111" s="237">
        <f>F110/F56</f>
        <v>-0.0216207561149404</v>
      </c>
      <c r="G111" s="234">
        <f t="shared" ref="G111:L111" si="23">AVERAGE(E111:F111)</f>
        <v>-0.024710714113099</v>
      </c>
      <c r="H111" s="234">
        <f t="shared" si="23"/>
        <v>-0.0231657351140197</v>
      </c>
      <c r="I111" s="234">
        <f t="shared" si="23"/>
        <v>-0.0239382246135594</v>
      </c>
      <c r="J111" s="234">
        <f t="shared" si="23"/>
        <v>-0.0235519798637895</v>
      </c>
      <c r="K111" s="234">
        <f t="shared" si="23"/>
        <v>-0.0237451022386745</v>
      </c>
      <c r="L111" s="242">
        <f t="shared" si="23"/>
        <v>-0.023648541051232</v>
      </c>
    </row>
    <row r="112" spans="4:12">
      <c r="D112" s="172"/>
      <c r="E112" s="172"/>
      <c r="F112" s="172"/>
      <c r="G112" s="226"/>
      <c r="H112" s="226"/>
      <c r="I112" s="226"/>
      <c r="J112" s="226"/>
      <c r="K112" s="226"/>
      <c r="L112" s="226"/>
    </row>
    <row r="113" customFormat="1" spans="1:12">
      <c r="A113" s="151"/>
      <c r="B113" s="218" t="s">
        <v>72</v>
      </c>
      <c r="C113" s="219"/>
      <c r="D113" s="220">
        <f t="shared" ref="D113:F113" si="24">D90</f>
        <v>465549</v>
      </c>
      <c r="E113" s="220">
        <f t="shared" si="24"/>
        <v>495177</v>
      </c>
      <c r="F113" s="220">
        <f t="shared" si="24"/>
        <v>544848</v>
      </c>
      <c r="G113" s="221">
        <f t="shared" ref="G113:L113" si="25">G114*G56</f>
        <v>714263.545842971</v>
      </c>
      <c r="H113" s="221">
        <f t="shared" si="25"/>
        <v>783121.160206151</v>
      </c>
      <c r="I113" s="221">
        <f t="shared" si="25"/>
        <v>891527.685551131</v>
      </c>
      <c r="J113" s="221">
        <f t="shared" si="25"/>
        <v>1079379.35126969</v>
      </c>
      <c r="K113" s="221">
        <f t="shared" si="25"/>
        <v>1203045.38760071</v>
      </c>
      <c r="L113" s="239">
        <f t="shared" si="25"/>
        <v>1348438.24391888</v>
      </c>
    </row>
    <row r="114" customFormat="1" spans="1:12">
      <c r="A114" s="151"/>
      <c r="B114" s="222" t="s">
        <v>59</v>
      </c>
      <c r="C114" s="223"/>
      <c r="D114" s="237">
        <f t="shared" ref="D114:F114" si="26">D113/D56</f>
        <v>0.134577832868744</v>
      </c>
      <c r="E114" s="237">
        <f t="shared" si="26"/>
        <v>0.133242868202098</v>
      </c>
      <c r="F114" s="237">
        <f t="shared" si="26"/>
        <v>0.107306731958873</v>
      </c>
      <c r="G114" s="225">
        <f t="shared" ref="G114:L114" si="27">AVERAGE(D114:F114)</f>
        <v>0.125042477676572</v>
      </c>
      <c r="H114" s="225">
        <f t="shared" si="27"/>
        <v>0.121864025945848</v>
      </c>
      <c r="I114" s="225">
        <f t="shared" si="27"/>
        <v>0.118071078527097</v>
      </c>
      <c r="J114" s="225">
        <f t="shared" si="27"/>
        <v>0.121659194049839</v>
      </c>
      <c r="K114" s="225">
        <f t="shared" si="27"/>
        <v>0.120531432840928</v>
      </c>
      <c r="L114" s="240">
        <f t="shared" si="27"/>
        <v>0.120087235139288</v>
      </c>
    </row>
    <row r="115" spans="4:6">
      <c r="D115" s="172"/>
      <c r="E115" s="172"/>
      <c r="F115" s="172"/>
    </row>
    <row r="116" customFormat="1" spans="1:11">
      <c r="A116" s="151"/>
      <c r="B116" t="s">
        <v>80</v>
      </c>
      <c r="D116" s="171"/>
      <c r="E116" s="171"/>
      <c r="F116" s="171"/>
      <c r="G116" s="217"/>
      <c r="H116" s="217"/>
      <c r="I116" s="217"/>
      <c r="J116" s="217"/>
      <c r="K116" s="217"/>
    </row>
    <row r="117" customFormat="1" spans="1:11">
      <c r="A117" s="151"/>
      <c r="B117" s="189" t="s">
        <v>59</v>
      </c>
      <c r="D117" s="191"/>
      <c r="E117" s="191"/>
      <c r="F117" s="191"/>
      <c r="G117" s="238"/>
      <c r="H117" s="238"/>
      <c r="I117" s="238"/>
      <c r="J117" s="238"/>
      <c r="K117" s="238"/>
    </row>
    <row r="118" spans="4:6">
      <c r="D118" s="172"/>
      <c r="E118" s="172"/>
      <c r="F118" s="172"/>
    </row>
    <row r="119" customFormat="1" spans="1:11">
      <c r="A119" s="151"/>
      <c r="B119" t="s">
        <v>81</v>
      </c>
      <c r="D119" s="172"/>
      <c r="E119" s="172"/>
      <c r="F119" s="172"/>
      <c r="G119" s="217"/>
      <c r="H119" s="217"/>
      <c r="I119" s="217"/>
      <c r="J119" s="217"/>
      <c r="K119" s="217"/>
    </row>
    <row r="120" customFormat="1" spans="1:11">
      <c r="A120" s="151"/>
      <c r="B120" s="189" t="s">
        <v>59</v>
      </c>
      <c r="D120" s="191"/>
      <c r="E120" s="191"/>
      <c r="F120" s="191"/>
      <c r="G120" s="193"/>
      <c r="H120" s="193"/>
      <c r="I120" s="193"/>
      <c r="J120" s="193"/>
      <c r="K120" s="193"/>
    </row>
    <row r="121" spans="4:6">
      <c r="D121" s="172"/>
      <c r="E121" s="172"/>
      <c r="F121" s="172"/>
    </row>
    <row r="122" customFormat="1" spans="1:13">
      <c r="A122" s="151"/>
      <c r="B122" s="218" t="s">
        <v>82</v>
      </c>
      <c r="C122" s="219"/>
      <c r="D122" s="220">
        <f>-'CF 2021 10K'!P26</f>
        <v>540688</v>
      </c>
      <c r="E122" s="220">
        <f>-'CF 2021 10K'!J26</f>
        <v>873354</v>
      </c>
      <c r="F122" s="220">
        <f>-'CF 2021 10K'!D26</f>
        <v>1011546</v>
      </c>
      <c r="G122" s="221">
        <f t="shared" ref="G122:L122" si="28">G123*G56</f>
        <v>856825.0875</v>
      </c>
      <c r="H122" s="221">
        <f t="shared" si="28"/>
        <v>963928.2234375</v>
      </c>
      <c r="I122" s="221">
        <f t="shared" si="28"/>
        <v>1132615.66253906</v>
      </c>
      <c r="J122" s="221">
        <f t="shared" si="28"/>
        <v>887215.602322266</v>
      </c>
      <c r="K122" s="221">
        <f t="shared" si="28"/>
        <v>998117.552612549</v>
      </c>
      <c r="L122" s="239">
        <f t="shared" si="28"/>
        <v>1122882.24668912</v>
      </c>
      <c r="M122" s="243"/>
    </row>
    <row r="123" customFormat="1" spans="1:12">
      <c r="A123" s="151"/>
      <c r="B123" s="222" t="s">
        <v>59</v>
      </c>
      <c r="C123" s="223"/>
      <c r="D123" s="237">
        <f t="shared" ref="D123:F123" si="29">D122/D56</f>
        <v>0.156298519163688</v>
      </c>
      <c r="E123" s="237">
        <f t="shared" si="29"/>
        <v>0.235003224939315</v>
      </c>
      <c r="F123" s="237">
        <f t="shared" si="29"/>
        <v>0.199221976562398</v>
      </c>
      <c r="G123" s="234">
        <f>15%</f>
        <v>0.15</v>
      </c>
      <c r="H123" s="234">
        <f>15%</f>
        <v>0.15</v>
      </c>
      <c r="I123" s="234">
        <v>0.15</v>
      </c>
      <c r="J123" s="234">
        <v>0.1</v>
      </c>
      <c r="K123" s="234">
        <v>0.1</v>
      </c>
      <c r="L123" s="242">
        <v>0.1</v>
      </c>
    </row>
    <row r="124" spans="4:6">
      <c r="D124" s="172"/>
      <c r="E124" s="172"/>
      <c r="F124" s="172"/>
    </row>
    <row r="125" spans="1:12">
      <c r="A125" s="151" t="s">
        <v>1</v>
      </c>
      <c r="B125" s="154" t="s">
        <v>83</v>
      </c>
      <c r="C125" s="154"/>
      <c r="D125" s="186">
        <v>2019</v>
      </c>
      <c r="E125" s="186">
        <v>2020</v>
      </c>
      <c r="F125" s="186">
        <v>2021</v>
      </c>
      <c r="G125" s="187">
        <v>2022</v>
      </c>
      <c r="H125" s="187">
        <v>2023</v>
      </c>
      <c r="I125" s="187">
        <v>2024</v>
      </c>
      <c r="J125" s="187">
        <v>2025</v>
      </c>
      <c r="K125" s="187">
        <v>2026</v>
      </c>
      <c r="L125" s="187">
        <v>2027</v>
      </c>
    </row>
    <row r="126" ht="5" customHeight="1" spans="4:6">
      <c r="D126" s="172"/>
      <c r="E126" s="172"/>
      <c r="F126" s="172"/>
    </row>
    <row r="127" customFormat="1" spans="1:12">
      <c r="A127" s="151"/>
      <c r="B127" t="s">
        <v>70</v>
      </c>
      <c r="D127" s="171">
        <f t="shared" ref="D127:L127" si="30">D85</f>
        <v>1465659</v>
      </c>
      <c r="E127" s="171">
        <f t="shared" si="30"/>
        <v>-1135626</v>
      </c>
      <c r="F127" s="171">
        <f t="shared" si="30"/>
        <v>-221409</v>
      </c>
      <c r="G127" s="188">
        <f t="shared" si="30"/>
        <v>214206.271875</v>
      </c>
      <c r="H127" s="188">
        <f t="shared" si="30"/>
        <v>-1141375.00241589</v>
      </c>
      <c r="I127" s="188">
        <f t="shared" si="30"/>
        <v>-305221.261811868</v>
      </c>
      <c r="J127" s="188">
        <f t="shared" si="30"/>
        <v>-82394.2777384946</v>
      </c>
      <c r="K127" s="188">
        <f t="shared" si="30"/>
        <v>59338.5748976437</v>
      </c>
      <c r="L127" s="188">
        <f t="shared" si="30"/>
        <v>226035.806215609</v>
      </c>
    </row>
    <row r="128" customFormat="1" spans="1:12">
      <c r="A128" s="151"/>
      <c r="B128" t="s">
        <v>72</v>
      </c>
      <c r="D128" s="171">
        <f t="shared" ref="D128:L128" si="31">D113</f>
        <v>465549</v>
      </c>
      <c r="E128" s="171">
        <f t="shared" si="31"/>
        <v>495177</v>
      </c>
      <c r="F128" s="171">
        <f t="shared" si="31"/>
        <v>544848</v>
      </c>
      <c r="G128" s="188">
        <f t="shared" si="31"/>
        <v>714263.545842971</v>
      </c>
      <c r="H128" s="188">
        <f t="shared" si="31"/>
        <v>783121.160206151</v>
      </c>
      <c r="I128" s="188">
        <f t="shared" si="31"/>
        <v>891527.685551131</v>
      </c>
      <c r="J128" s="188">
        <f t="shared" si="31"/>
        <v>1079379.35126969</v>
      </c>
      <c r="K128" s="188">
        <f t="shared" si="31"/>
        <v>1203045.38760071</v>
      </c>
      <c r="L128" s="188">
        <f t="shared" si="31"/>
        <v>1348438.24391888</v>
      </c>
    </row>
    <row r="129" customFormat="1" spans="1:12">
      <c r="A129" s="151"/>
      <c r="B129" t="s">
        <v>82</v>
      </c>
      <c r="D129" s="171">
        <f t="shared" ref="D129:L129" si="32">D122</f>
        <v>540688</v>
      </c>
      <c r="E129" s="171">
        <f t="shared" si="32"/>
        <v>873354</v>
      </c>
      <c r="F129" s="171">
        <f t="shared" si="32"/>
        <v>1011546</v>
      </c>
      <c r="G129" s="188">
        <f t="shared" si="32"/>
        <v>856825.0875</v>
      </c>
      <c r="H129" s="188">
        <f t="shared" si="32"/>
        <v>963928.2234375</v>
      </c>
      <c r="I129" s="188">
        <f t="shared" si="32"/>
        <v>1132615.66253906</v>
      </c>
      <c r="J129" s="188">
        <f t="shared" si="32"/>
        <v>887215.602322266</v>
      </c>
      <c r="K129" s="188">
        <f t="shared" si="32"/>
        <v>998117.552612549</v>
      </c>
      <c r="L129" s="188">
        <f t="shared" si="32"/>
        <v>1122882.24668912</v>
      </c>
    </row>
    <row r="130" customFormat="1" spans="1:12">
      <c r="A130" s="151"/>
      <c r="B130" t="s">
        <v>84</v>
      </c>
      <c r="D130" s="172"/>
      <c r="E130" s="171">
        <f t="shared" ref="E130:L130" si="33">E110</f>
        <v>-103317</v>
      </c>
      <c r="F130" s="171">
        <f t="shared" si="33"/>
        <v>-109779</v>
      </c>
      <c r="G130" s="188">
        <f t="shared" si="33"/>
        <v>-141151.731880957</v>
      </c>
      <c r="H130" s="188">
        <f t="shared" si="33"/>
        <v>-148867.372620538</v>
      </c>
      <c r="I130" s="188">
        <f t="shared" si="33"/>
        <v>-180752.054204636</v>
      </c>
      <c r="J130" s="188">
        <f t="shared" si="33"/>
        <v>-208956.840007339</v>
      </c>
      <c r="K130" s="188">
        <f t="shared" si="33"/>
        <v>-237004.033330005</v>
      </c>
      <c r="L130" s="188">
        <f t="shared" si="33"/>
        <v>-265545.269065272</v>
      </c>
    </row>
    <row r="131" customFormat="1" spans="1:12">
      <c r="A131" s="151"/>
      <c r="B131" s="150"/>
      <c r="C131" s="150"/>
      <c r="D131" s="244"/>
      <c r="E131" s="244"/>
      <c r="F131" s="244"/>
      <c r="G131" s="245"/>
      <c r="H131" s="245"/>
      <c r="I131" s="245"/>
      <c r="J131" s="245"/>
      <c r="K131" s="245"/>
      <c r="L131" s="226"/>
    </row>
    <row r="132" customFormat="1" spans="1:12">
      <c r="A132" s="151"/>
      <c r="B132" s="158" t="s">
        <v>85</v>
      </c>
      <c r="C132" s="158"/>
      <c r="D132" s="158"/>
      <c r="E132" s="232">
        <f t="shared" ref="E132:L132" si="34">E127+E128-E129-E130-E131</f>
        <v>-1410486</v>
      </c>
      <c r="F132" s="232">
        <f t="shared" si="34"/>
        <v>-578328</v>
      </c>
      <c r="G132" s="246">
        <f t="shared" si="34"/>
        <v>212796.462098928</v>
      </c>
      <c r="H132" s="246">
        <f t="shared" si="34"/>
        <v>-1173314.6930267</v>
      </c>
      <c r="I132" s="246">
        <f t="shared" si="34"/>
        <v>-365557.184595163</v>
      </c>
      <c r="J132" s="246">
        <f t="shared" si="34"/>
        <v>318726.311216271</v>
      </c>
      <c r="K132" s="246">
        <f t="shared" si="34"/>
        <v>501270.443215809</v>
      </c>
      <c r="L132" s="251">
        <f t="shared" si="34"/>
        <v>717137.072510644</v>
      </c>
    </row>
    <row r="133" customFormat="1" spans="1:12">
      <c r="A133" s="151"/>
      <c r="D133" s="172"/>
      <c r="E133" s="172"/>
      <c r="F133" s="172"/>
      <c r="G133" s="226"/>
      <c r="H133" s="226"/>
      <c r="I133" s="226"/>
      <c r="J133" s="226"/>
      <c r="K133" s="226"/>
      <c r="L133" s="226"/>
    </row>
    <row r="134" spans="2:12">
      <c r="B134" s="158" t="s">
        <v>86</v>
      </c>
      <c r="D134" s="172"/>
      <c r="E134" s="172"/>
      <c r="F134" s="172"/>
      <c r="G134" s="226"/>
      <c r="H134" s="226"/>
      <c r="I134" s="226"/>
      <c r="J134" s="226"/>
      <c r="K134" s="226"/>
      <c r="L134" s="226"/>
    </row>
    <row r="135" customFormat="1" spans="1:12">
      <c r="A135" s="151"/>
      <c r="B135" t="s">
        <v>87</v>
      </c>
      <c r="D135" s="172"/>
      <c r="E135" s="172"/>
      <c r="F135" s="172"/>
      <c r="G135" s="247">
        <f>'BS 2021 10K'!E5+'BS 2021 10K'!D6</f>
        <v>6393682</v>
      </c>
      <c r="H135" s="188">
        <f>G138</f>
        <v>6606478.46209893</v>
      </c>
      <c r="I135" s="188">
        <f t="shared" ref="I135:L135" si="35">H138</f>
        <v>2549367.52922362</v>
      </c>
      <c r="J135" s="188">
        <f t="shared" si="35"/>
        <v>939551.377113054</v>
      </c>
      <c r="K135" s="188">
        <f t="shared" si="35"/>
        <v>513123.134803286</v>
      </c>
      <c r="L135" s="188">
        <f t="shared" si="35"/>
        <v>548964.653936902</v>
      </c>
    </row>
    <row r="136" customFormat="1" spans="1:12">
      <c r="A136" s="151"/>
      <c r="B136" t="s">
        <v>88</v>
      </c>
      <c r="D136" s="172"/>
      <c r="E136" s="172"/>
      <c r="F136" s="172"/>
      <c r="G136" s="188">
        <f>G132</f>
        <v>212796.462098928</v>
      </c>
      <c r="H136" s="188">
        <f t="shared" ref="H136:L136" si="36">H132</f>
        <v>-1173314.6930267</v>
      </c>
      <c r="I136" s="188">
        <f t="shared" si="36"/>
        <v>-365557.184595163</v>
      </c>
      <c r="J136" s="188">
        <f t="shared" si="36"/>
        <v>318726.311216271</v>
      </c>
      <c r="K136" s="188">
        <f t="shared" si="36"/>
        <v>501270.443215809</v>
      </c>
      <c r="L136" s="188">
        <f t="shared" si="36"/>
        <v>717137.072510644</v>
      </c>
    </row>
    <row r="137" customFormat="1" spans="1:12">
      <c r="A137" s="151"/>
      <c r="B137" t="s">
        <v>89</v>
      </c>
      <c r="D137" s="172"/>
      <c r="E137" s="172"/>
      <c r="F137" s="172"/>
      <c r="G137" s="226"/>
      <c r="H137" s="188">
        <f>-H184</f>
        <v>-2883796.23984862</v>
      </c>
      <c r="I137" s="188">
        <f>-I184</f>
        <v>-1244258.9675154</v>
      </c>
      <c r="J137" s="188">
        <f>-J184</f>
        <v>-745154.55352604</v>
      </c>
      <c r="K137" s="188">
        <f>-K184</f>
        <v>-465428.924082193</v>
      </c>
      <c r="L137" s="188">
        <f>-L184</f>
        <v>-648516.490768531</v>
      </c>
    </row>
    <row r="138" customFormat="1" spans="1:12">
      <c r="A138" s="151"/>
      <c r="B138" s="248" t="s">
        <v>90</v>
      </c>
      <c r="C138" s="248"/>
      <c r="D138" s="249"/>
      <c r="E138" s="249"/>
      <c r="F138" s="249"/>
      <c r="G138" s="250">
        <f>SUM(G135:G137)</f>
        <v>6606478.46209893</v>
      </c>
      <c r="H138" s="251">
        <f t="shared" ref="H138:L138" si="37">H135+H136+H137</f>
        <v>2549367.52922362</v>
      </c>
      <c r="I138" s="251">
        <f t="shared" si="37"/>
        <v>939551.377113054</v>
      </c>
      <c r="J138" s="251">
        <f t="shared" si="37"/>
        <v>513123.134803286</v>
      </c>
      <c r="K138" s="251">
        <f t="shared" si="37"/>
        <v>548964.653936902</v>
      </c>
      <c r="L138" s="251">
        <f t="shared" si="37"/>
        <v>617585.235679015</v>
      </c>
    </row>
    <row r="144" spans="1:12">
      <c r="A144" s="151" t="s">
        <v>1</v>
      </c>
      <c r="B144" s="154" t="s">
        <v>91</v>
      </c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</row>
    <row r="145" ht="5" customHeight="1"/>
    <row r="146" customFormat="1" spans="1:12">
      <c r="A146" s="151"/>
      <c r="B146" s="157" t="s">
        <v>92</v>
      </c>
      <c r="C146" s="157"/>
      <c r="D146" s="252">
        <v>2019</v>
      </c>
      <c r="E146" s="252">
        <v>2020</v>
      </c>
      <c r="F146" s="252">
        <v>2021</v>
      </c>
      <c r="G146" s="253">
        <v>2022</v>
      </c>
      <c r="H146" s="253">
        <v>2023</v>
      </c>
      <c r="I146" s="253">
        <v>2024</v>
      </c>
      <c r="J146" s="253">
        <v>2025</v>
      </c>
      <c r="K146" s="253">
        <v>2026</v>
      </c>
      <c r="L146" s="253">
        <v>2027</v>
      </c>
    </row>
    <row r="147" customFormat="1" spans="1:2">
      <c r="A147" s="151"/>
      <c r="B147" s="158"/>
    </row>
    <row r="148" customFormat="1" spans="1:12">
      <c r="A148" s="151"/>
      <c r="B148" s="254" t="s">
        <v>21</v>
      </c>
      <c r="C148" s="150"/>
      <c r="D148" s="150"/>
      <c r="E148" s="150"/>
      <c r="F148" s="150"/>
      <c r="G148" s="150"/>
      <c r="H148" s="150"/>
      <c r="I148" s="150"/>
      <c r="J148" s="150"/>
      <c r="K148" s="150"/>
      <c r="L148" s="150"/>
    </row>
    <row r="149" customFormat="1" spans="1:12">
      <c r="A149" s="151"/>
      <c r="B149" s="160" t="s">
        <v>87</v>
      </c>
      <c r="C149" s="255"/>
      <c r="G149" s="256"/>
      <c r="H149" s="257">
        <f t="shared" ref="H149:L149" si="38">H135</f>
        <v>6606478.46209893</v>
      </c>
      <c r="I149" s="257">
        <f t="shared" si="38"/>
        <v>2549367.52922362</v>
      </c>
      <c r="J149" s="257">
        <f t="shared" si="38"/>
        <v>939551.377113054</v>
      </c>
      <c r="K149" s="257">
        <f t="shared" si="38"/>
        <v>513123.134803286</v>
      </c>
      <c r="L149" s="257">
        <f t="shared" si="38"/>
        <v>548964.653936902</v>
      </c>
    </row>
    <row r="150" customFormat="1" spans="1:12">
      <c r="A150" s="151"/>
      <c r="B150" s="160" t="s">
        <v>93</v>
      </c>
      <c r="C150" s="255"/>
      <c r="G150" s="215"/>
      <c r="H150" s="257">
        <f t="shared" ref="H150:L150" si="39">H132</f>
        <v>-1173314.6930267</v>
      </c>
      <c r="I150" s="257">
        <f t="shared" si="39"/>
        <v>-365557.184595163</v>
      </c>
      <c r="J150" s="257">
        <f t="shared" si="39"/>
        <v>318726.311216271</v>
      </c>
      <c r="K150" s="257">
        <f t="shared" si="39"/>
        <v>501270.443215809</v>
      </c>
      <c r="L150" s="257">
        <f t="shared" si="39"/>
        <v>717137.072510644</v>
      </c>
    </row>
    <row r="151" customFormat="1" spans="1:12">
      <c r="A151" s="151"/>
      <c r="B151" s="258" t="s">
        <v>94</v>
      </c>
      <c r="C151" s="255"/>
      <c r="F151" s="259"/>
      <c r="G151" s="232"/>
      <c r="H151" s="257">
        <f t="shared" ref="H151:L151" si="40">-(H164+H171)</f>
        <v>-720000</v>
      </c>
      <c r="I151" s="257">
        <f t="shared" si="40"/>
        <v>-720000</v>
      </c>
      <c r="J151" s="257">
        <f t="shared" si="40"/>
        <v>-720000</v>
      </c>
      <c r="K151" s="257">
        <f t="shared" si="40"/>
        <v>-720000</v>
      </c>
      <c r="L151" s="257">
        <f t="shared" si="40"/>
        <v>-720000</v>
      </c>
    </row>
    <row r="152" customFormat="1" spans="1:12">
      <c r="A152" s="151"/>
      <c r="B152" s="258" t="s">
        <v>95</v>
      </c>
      <c r="C152" s="255"/>
      <c r="F152" s="259"/>
      <c r="G152" s="232"/>
      <c r="H152" s="257">
        <f>-H67*$E$24</f>
        <v>-385571.289375</v>
      </c>
      <c r="I152" s="257">
        <f>-I67*$E$24</f>
        <v>-415292.409597656</v>
      </c>
      <c r="J152" s="257">
        <f>-J67*$E$24</f>
        <v>-487968.581277246</v>
      </c>
      <c r="K152" s="257">
        <f>-K67*$E$24</f>
        <v>-548964.653936902</v>
      </c>
      <c r="L152" s="257">
        <f>-L67*$E$24</f>
        <v>-617585.235679015</v>
      </c>
    </row>
    <row r="153" customFormat="1" spans="1:12">
      <c r="A153" s="151"/>
      <c r="B153" s="260" t="s">
        <v>96</v>
      </c>
      <c r="C153" s="260"/>
      <c r="D153" s="260"/>
      <c r="E153" s="260"/>
      <c r="F153" s="260"/>
      <c r="G153" s="260"/>
      <c r="H153" s="261">
        <f t="shared" ref="H153:L153" si="41">H149+H150+H151+H152</f>
        <v>4327592.47969723</v>
      </c>
      <c r="I153" s="261">
        <f t="shared" si="41"/>
        <v>1048517.9350308</v>
      </c>
      <c r="J153" s="261">
        <f t="shared" si="41"/>
        <v>50309.1070520795</v>
      </c>
      <c r="K153" s="261">
        <f t="shared" si="41"/>
        <v>-254571.075917807</v>
      </c>
      <c r="L153" s="261">
        <f t="shared" si="41"/>
        <v>-71483.5092314688</v>
      </c>
    </row>
    <row r="155" customFormat="1" spans="1:12">
      <c r="A155" s="151"/>
      <c r="B155" s="254" t="s">
        <v>97</v>
      </c>
      <c r="C155" s="150"/>
      <c r="D155" s="150"/>
      <c r="E155" s="150"/>
      <c r="F155" s="150"/>
      <c r="G155" s="150"/>
      <c r="H155" s="150"/>
      <c r="I155" s="264"/>
      <c r="J155" s="264"/>
      <c r="K155" s="264"/>
      <c r="L155" s="264"/>
    </row>
    <row r="156" customFormat="1" spans="1:12">
      <c r="A156" s="151"/>
      <c r="B156" s="160" t="s">
        <v>87</v>
      </c>
      <c r="H156" s="262">
        <f t="shared" ref="H156:L156" si="42">G158</f>
        <v>0</v>
      </c>
      <c r="I156" s="257">
        <f t="shared" si="42"/>
        <v>0</v>
      </c>
      <c r="J156" s="257">
        <f t="shared" si="42"/>
        <v>0</v>
      </c>
      <c r="K156" s="257">
        <f t="shared" si="42"/>
        <v>0</v>
      </c>
      <c r="L156" s="257">
        <f t="shared" si="42"/>
        <v>254571.075917807</v>
      </c>
    </row>
    <row r="157" customFormat="1" spans="1:12">
      <c r="A157" s="151"/>
      <c r="B157" s="160" t="s">
        <v>98</v>
      </c>
      <c r="H157" s="257">
        <f>IF(H153&gt;0,-MIN(H153,H156),-H153)</f>
        <v>0</v>
      </c>
      <c r="I157" s="257">
        <f>IF(I153&gt;0,-MIN(I153,I156),-I153)</f>
        <v>0</v>
      </c>
      <c r="J157" s="257">
        <f>IF(J153&gt;0,-MIN(J153,J156),-J153)</f>
        <v>0</v>
      </c>
      <c r="K157" s="257">
        <f>IF(K153&gt;0,-MIN(K153,K156),-K153)</f>
        <v>254571.075917807</v>
      </c>
      <c r="L157" s="257">
        <f>IF(L153&gt;0,-MIN(L153,L156),-L153)</f>
        <v>71483.5092314688</v>
      </c>
    </row>
    <row r="158" customFormat="1" spans="1:12">
      <c r="A158" s="151"/>
      <c r="B158" s="263" t="s">
        <v>99</v>
      </c>
      <c r="C158" s="260"/>
      <c r="D158" s="260"/>
      <c r="E158" s="260"/>
      <c r="F158" s="260"/>
      <c r="G158" s="260">
        <v>0</v>
      </c>
      <c r="H158" s="261">
        <f t="shared" ref="H158:L158" si="43">SUM(H156:H157)</f>
        <v>0</v>
      </c>
      <c r="I158" s="261">
        <f t="shared" si="43"/>
        <v>0</v>
      </c>
      <c r="J158" s="261">
        <f t="shared" si="43"/>
        <v>0</v>
      </c>
      <c r="K158" s="261">
        <f t="shared" si="43"/>
        <v>254571.075917807</v>
      </c>
      <c r="L158" s="261">
        <f t="shared" si="43"/>
        <v>326054.585149276</v>
      </c>
    </row>
    <row r="159" customFormat="1" spans="1:12">
      <c r="A159" s="151"/>
      <c r="B159" s="160" t="s">
        <v>100</v>
      </c>
      <c r="H159" s="257">
        <f>H156*($E$25+$G$31)</f>
        <v>0</v>
      </c>
      <c r="I159" s="257">
        <f>I156*($E$25+$G$31)</f>
        <v>0</v>
      </c>
      <c r="J159" s="257">
        <f>J156*($E$25+$G$31)</f>
        <v>0</v>
      </c>
      <c r="K159" s="257">
        <f>K156*($E$25+$G$31)</f>
        <v>0</v>
      </c>
      <c r="L159" s="257">
        <f>L156*($E$25+$G$31)</f>
        <v>17819.9753142465</v>
      </c>
    </row>
    <row r="160" customFormat="1" spans="1:12">
      <c r="A160" s="151"/>
      <c r="H160" s="217"/>
      <c r="I160" s="217"/>
      <c r="J160" s="217"/>
      <c r="K160" s="217"/>
      <c r="L160" s="217"/>
    </row>
    <row r="161" customFormat="1" spans="1:12">
      <c r="A161" s="151"/>
      <c r="H161" s="217"/>
      <c r="I161" s="217"/>
      <c r="J161" s="217"/>
      <c r="K161" s="217"/>
      <c r="L161" s="217"/>
    </row>
    <row r="162" customFormat="1" spans="1:12">
      <c r="A162" s="151"/>
      <c r="B162" s="254" t="str">
        <f>B45</f>
        <v>Term Loan &amp; Senior Secured</v>
      </c>
      <c r="C162" s="150"/>
      <c r="D162" s="150"/>
      <c r="E162" s="150"/>
      <c r="F162" s="150"/>
      <c r="G162" s="150"/>
      <c r="H162" s="264"/>
      <c r="I162" s="264"/>
      <c r="J162" s="264"/>
      <c r="K162" s="264"/>
      <c r="L162" s="264"/>
    </row>
    <row r="163" customFormat="1" spans="1:12">
      <c r="A163" s="151"/>
      <c r="B163" s="160" t="s">
        <v>87</v>
      </c>
      <c r="G163" s="213"/>
      <c r="H163" s="257">
        <f>E32</f>
        <v>9500000</v>
      </c>
      <c r="I163" s="257">
        <f t="shared" ref="I163:L163" si="44">H166</f>
        <v>7241203.76015138</v>
      </c>
      <c r="J163" s="257">
        <f t="shared" si="44"/>
        <v>6621944.79263599</v>
      </c>
      <c r="K163" s="257">
        <f t="shared" si="44"/>
        <v>6501790.23910995</v>
      </c>
      <c r="L163" s="257">
        <f t="shared" si="44"/>
        <v>6406790.23910995</v>
      </c>
    </row>
    <row r="164" customFormat="1" spans="1:12">
      <c r="A164" s="151"/>
      <c r="B164" s="160" t="s">
        <v>37</v>
      </c>
      <c r="G164" s="217"/>
      <c r="H164" s="257">
        <f t="shared" ref="H164:L164" si="45">$H$163*$L$32</f>
        <v>95000</v>
      </c>
      <c r="I164" s="257">
        <f t="shared" si="45"/>
        <v>95000</v>
      </c>
      <c r="J164" s="257">
        <f t="shared" si="45"/>
        <v>95000</v>
      </c>
      <c r="K164" s="257">
        <f t="shared" si="45"/>
        <v>95000</v>
      </c>
      <c r="L164" s="257">
        <f t="shared" si="45"/>
        <v>95000</v>
      </c>
    </row>
    <row r="165" customFormat="1" spans="1:12">
      <c r="A165" s="151"/>
      <c r="B165" s="258" t="s">
        <v>101</v>
      </c>
      <c r="F165" s="259"/>
      <c r="G165" s="232"/>
      <c r="H165" s="257">
        <f t="shared" ref="H165:L165" si="46">IF(H153+H157&gt;0,MIN((H153+H157)*$J$32,H163-H164),0)</f>
        <v>2163796.23984862</v>
      </c>
      <c r="I165" s="257">
        <f t="shared" si="46"/>
        <v>524258.967515398</v>
      </c>
      <c r="J165" s="257">
        <f t="shared" si="46"/>
        <v>25154.5535260398</v>
      </c>
      <c r="K165" s="257">
        <f t="shared" si="46"/>
        <v>0</v>
      </c>
      <c r="L165" s="257">
        <f t="shared" si="46"/>
        <v>0</v>
      </c>
    </row>
    <row r="166" customFormat="1" spans="1:12">
      <c r="A166" s="151"/>
      <c r="B166" s="263" t="s">
        <v>102</v>
      </c>
      <c r="C166" s="260"/>
      <c r="D166" s="260"/>
      <c r="E166" s="260"/>
      <c r="F166" s="265"/>
      <c r="G166" s="261"/>
      <c r="H166" s="261">
        <f t="shared" ref="H166:L166" si="47">H163-H164-H165</f>
        <v>7241203.76015138</v>
      </c>
      <c r="I166" s="261">
        <f t="shared" si="47"/>
        <v>6621944.79263599</v>
      </c>
      <c r="J166" s="261">
        <f t="shared" si="47"/>
        <v>6501790.23910995</v>
      </c>
      <c r="K166" s="261">
        <f t="shared" si="47"/>
        <v>6406790.23910995</v>
      </c>
      <c r="L166" s="261">
        <f t="shared" si="47"/>
        <v>6311790.23910995</v>
      </c>
    </row>
    <row r="167" customFormat="1" spans="1:12">
      <c r="A167" s="151"/>
      <c r="B167" s="160" t="s">
        <v>100</v>
      </c>
      <c r="H167" s="257">
        <f>H163*($G$32+$E$25)</f>
        <v>760000</v>
      </c>
      <c r="I167" s="257">
        <f>I163*($G$32+$E$25)</f>
        <v>579296.300812111</v>
      </c>
      <c r="J167" s="257">
        <f>J163*($G$32+$E$25)</f>
        <v>529755.583410879</v>
      </c>
      <c r="K167" s="257">
        <f>K163*($G$32+$E$25)</f>
        <v>520143.219128796</v>
      </c>
      <c r="L167" s="257">
        <f>L163*($G$32+$E$25)</f>
        <v>512543.219128796</v>
      </c>
    </row>
    <row r="168" customFormat="1" spans="1:12">
      <c r="A168" s="151"/>
      <c r="B168" s="228"/>
      <c r="H168" s="217"/>
      <c r="I168" s="217"/>
      <c r="J168" s="217"/>
      <c r="K168" s="217"/>
      <c r="L168" s="217"/>
    </row>
    <row r="169" customFormat="1" spans="1:12">
      <c r="A169" s="151"/>
      <c r="B169" s="254" t="str">
        <f>B46</f>
        <v>Margin Loan</v>
      </c>
      <c r="C169" s="150"/>
      <c r="D169" s="150"/>
      <c r="E169" s="150"/>
      <c r="F169" s="150"/>
      <c r="G169" s="150"/>
      <c r="H169" s="150"/>
      <c r="I169" s="264"/>
      <c r="J169" s="264"/>
      <c r="K169" s="264"/>
      <c r="L169" s="264"/>
    </row>
    <row r="170" customFormat="1" spans="1:12">
      <c r="A170" s="151"/>
      <c r="B170" s="160" t="s">
        <v>87</v>
      </c>
      <c r="G170" s="213"/>
      <c r="H170" s="257">
        <v>12500000</v>
      </c>
      <c r="I170" s="257">
        <f t="shared" ref="I170:L170" si="48">H173</f>
        <v>11875000</v>
      </c>
      <c r="J170" s="257">
        <f t="shared" si="48"/>
        <v>11250000</v>
      </c>
      <c r="K170" s="257">
        <f t="shared" si="48"/>
        <v>10625000</v>
      </c>
      <c r="L170" s="257">
        <f t="shared" si="48"/>
        <v>10000000</v>
      </c>
    </row>
    <row r="171" customFormat="1" spans="1:12">
      <c r="A171" s="151"/>
      <c r="B171" s="160" t="s">
        <v>37</v>
      </c>
      <c r="G171" s="217"/>
      <c r="H171" s="257">
        <f t="shared" ref="H171:L171" si="49">MIN($H$170*$L$33,H170)</f>
        <v>625000</v>
      </c>
      <c r="I171" s="257">
        <f t="shared" si="49"/>
        <v>625000</v>
      </c>
      <c r="J171" s="257">
        <f t="shared" si="49"/>
        <v>625000</v>
      </c>
      <c r="K171" s="257">
        <f t="shared" si="49"/>
        <v>625000</v>
      </c>
      <c r="L171" s="257">
        <f t="shared" si="49"/>
        <v>625000</v>
      </c>
    </row>
    <row r="172" customFormat="1" spans="1:12">
      <c r="A172" s="151"/>
      <c r="B172" s="258" t="s">
        <v>101</v>
      </c>
      <c r="F172" s="259"/>
      <c r="G172" s="232"/>
      <c r="H172" s="257">
        <v>0</v>
      </c>
      <c r="I172" s="257">
        <v>0</v>
      </c>
      <c r="J172" s="257">
        <v>0</v>
      </c>
      <c r="K172" s="257">
        <v>0</v>
      </c>
      <c r="L172" s="257">
        <v>0</v>
      </c>
    </row>
    <row r="173" customFormat="1" spans="1:12">
      <c r="A173" s="151"/>
      <c r="B173" s="263" t="s">
        <v>102</v>
      </c>
      <c r="C173" s="260"/>
      <c r="D173" s="260"/>
      <c r="E173" s="260"/>
      <c r="F173" s="265"/>
      <c r="G173" s="261"/>
      <c r="H173" s="261">
        <f t="shared" ref="H173:L173" si="50">H170-H171</f>
        <v>11875000</v>
      </c>
      <c r="I173" s="261">
        <f t="shared" si="50"/>
        <v>11250000</v>
      </c>
      <c r="J173" s="261">
        <f t="shared" si="50"/>
        <v>10625000</v>
      </c>
      <c r="K173" s="261">
        <f t="shared" si="50"/>
        <v>10000000</v>
      </c>
      <c r="L173" s="261">
        <f t="shared" si="50"/>
        <v>9375000</v>
      </c>
    </row>
    <row r="174" customFormat="1" spans="1:12">
      <c r="A174" s="151"/>
      <c r="B174" s="160" t="s">
        <v>100</v>
      </c>
      <c r="H174" s="257">
        <f>H170*($E$25+$G$33)</f>
        <v>687500</v>
      </c>
      <c r="I174" s="257">
        <f>I170*($E$25+$G$33)</f>
        <v>653125</v>
      </c>
      <c r="J174" s="257">
        <f>J170*($E$25+$G$33)</f>
        <v>618750</v>
      </c>
      <c r="K174" s="257">
        <f>K170*($E$25+$G$33)</f>
        <v>584375</v>
      </c>
      <c r="L174" s="257">
        <f>L170*($E$25+$G$33)</f>
        <v>550000</v>
      </c>
    </row>
    <row r="175" customFormat="1" spans="1:12">
      <c r="A175" s="151"/>
      <c r="B175" s="228"/>
      <c r="H175" s="217"/>
      <c r="I175" s="217"/>
      <c r="J175" s="217"/>
      <c r="K175" s="217"/>
      <c r="L175" s="217"/>
    </row>
    <row r="176" customFormat="1" spans="1:12">
      <c r="A176" s="151"/>
      <c r="B176" s="254" t="str">
        <f>B47</f>
        <v>Unsecured Debt</v>
      </c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</row>
    <row r="177" customFormat="1" spans="1:12">
      <c r="A177" s="151"/>
      <c r="B177" s="160" t="s">
        <v>87</v>
      </c>
      <c r="G177" s="213"/>
      <c r="H177" s="257">
        <v>3000000</v>
      </c>
      <c r="I177" s="257">
        <v>3000000</v>
      </c>
      <c r="J177" s="257">
        <v>3000000</v>
      </c>
      <c r="K177" s="257">
        <v>3000000</v>
      </c>
      <c r="L177" s="257">
        <v>3000000</v>
      </c>
    </row>
    <row r="178" customFormat="1" spans="1:12">
      <c r="A178" s="151"/>
      <c r="B178" s="160" t="s">
        <v>103</v>
      </c>
      <c r="G178" s="217"/>
      <c r="H178" s="257">
        <v>0</v>
      </c>
      <c r="I178" s="257">
        <v>0</v>
      </c>
      <c r="J178" s="257">
        <v>0</v>
      </c>
      <c r="K178" s="257">
        <v>0</v>
      </c>
      <c r="L178" s="257">
        <v>0</v>
      </c>
    </row>
    <row r="179" customFormat="1" spans="1:12">
      <c r="A179" s="151"/>
      <c r="B179" s="258" t="s">
        <v>37</v>
      </c>
      <c r="F179" s="259"/>
      <c r="G179" s="232"/>
      <c r="H179" s="257">
        <v>0</v>
      </c>
      <c r="I179" s="257">
        <v>0</v>
      </c>
      <c r="J179" s="257">
        <v>0</v>
      </c>
      <c r="K179" s="257">
        <v>0</v>
      </c>
      <c r="L179" s="257">
        <v>0</v>
      </c>
    </row>
    <row r="180" customFormat="1" spans="1:12">
      <c r="A180" s="151"/>
      <c r="B180" s="263" t="s">
        <v>102</v>
      </c>
      <c r="C180" s="260"/>
      <c r="D180" s="260"/>
      <c r="E180" s="260"/>
      <c r="F180" s="265"/>
      <c r="G180" s="261"/>
      <c r="H180" s="261">
        <v>3000000</v>
      </c>
      <c r="I180" s="261">
        <v>3000000</v>
      </c>
      <c r="J180" s="261">
        <v>3000000</v>
      </c>
      <c r="K180" s="261">
        <v>3000000</v>
      </c>
      <c r="L180" s="261">
        <v>3000000</v>
      </c>
    </row>
    <row r="181" customFormat="1" spans="1:12">
      <c r="A181" s="151"/>
      <c r="B181" s="160" t="s">
        <v>100</v>
      </c>
      <c r="H181" s="257">
        <f>H180*($E$25+$G$34)</f>
        <v>375000</v>
      </c>
      <c r="I181" s="257">
        <f>I180*($E$25+$G$34)</f>
        <v>375000</v>
      </c>
      <c r="J181" s="257">
        <f>J180*($E$25+$G$34)</f>
        <v>375000</v>
      </c>
      <c r="K181" s="257">
        <f>K180*($E$25+$G$34)</f>
        <v>375000</v>
      </c>
      <c r="L181" s="257">
        <f>L180*($E$25+$G$34)</f>
        <v>375000</v>
      </c>
    </row>
    <row r="183" customFormat="1" spans="1:2">
      <c r="A183" s="151"/>
      <c r="B183" s="228"/>
    </row>
    <row r="184" customFormat="1" spans="1:12">
      <c r="A184" s="151"/>
      <c r="B184" s="260" t="s">
        <v>104</v>
      </c>
      <c r="C184" s="260"/>
      <c r="D184" s="260"/>
      <c r="E184" s="260"/>
      <c r="F184" s="260"/>
      <c r="G184" s="260"/>
      <c r="H184" s="261">
        <f>-H157+H164+H165+H171+H172+H179</f>
        <v>2883796.23984862</v>
      </c>
      <c r="I184" s="261">
        <f>-I157+I164+I165+I171+I172+I179</f>
        <v>1244258.9675154</v>
      </c>
      <c r="J184" s="261">
        <f>-J157+J164+J165+J171+J172+J179</f>
        <v>745154.55352604</v>
      </c>
      <c r="K184" s="261">
        <f>K164+K165+K171+K172+K179-K157</f>
        <v>465428.924082193</v>
      </c>
      <c r="L184" s="261">
        <f>L164+L165+L171+L172+L179-L157</f>
        <v>648516.490768531</v>
      </c>
    </row>
    <row r="185" customFormat="1" spans="1:12">
      <c r="A185" s="151"/>
      <c r="B185" t="s">
        <v>100</v>
      </c>
      <c r="H185" s="257">
        <f>SUM(H159,H167,H174,H181)</f>
        <v>1822500</v>
      </c>
      <c r="I185" s="257">
        <f>SUM(I159,I167,I174,I181)</f>
        <v>1607421.30081211</v>
      </c>
      <c r="J185" s="257">
        <f>SUM(J159,J167,J174,J181)</f>
        <v>1523505.58341088</v>
      </c>
      <c r="K185" s="257">
        <f>SUM(K159,K167,K174,K181)</f>
        <v>1479518.2191288</v>
      </c>
      <c r="L185" s="257">
        <f>SUM(L159,L167,L174,L181)</f>
        <v>1455363.19444304</v>
      </c>
    </row>
    <row r="186" customFormat="1" spans="1:12">
      <c r="A186" s="151"/>
      <c r="B186" t="s">
        <v>105</v>
      </c>
      <c r="H186" s="257">
        <f>H135*($G$35+$E$25)</f>
        <v>330323.923104946</v>
      </c>
      <c r="I186" s="257">
        <f>I135*($G$35+$E$25)</f>
        <v>127468.376461181</v>
      </c>
      <c r="J186" s="257">
        <f>J135*($G$35+$E$25)</f>
        <v>46977.5688556527</v>
      </c>
      <c r="K186" s="257">
        <f>K135*($G$35+$E$25)</f>
        <v>25656.1567401643</v>
      </c>
      <c r="L186" s="257">
        <f>L135*($G$35+$E$25)</f>
        <v>27448.2326968451</v>
      </c>
    </row>
    <row r="187" customFormat="1" spans="1:2">
      <c r="A187" s="151"/>
      <c r="B187" s="266"/>
    </row>
    <row r="191" customFormat="1" spans="1:12">
      <c r="A191" s="151"/>
      <c r="B191" s="218" t="s">
        <v>106</v>
      </c>
      <c r="C191" s="267"/>
      <c r="D191" s="267"/>
      <c r="E191" s="267"/>
      <c r="F191" s="267"/>
      <c r="G191" s="267"/>
      <c r="H191" s="267"/>
      <c r="I191" s="267"/>
      <c r="J191" s="267"/>
      <c r="K191" s="267"/>
      <c r="L191" s="272"/>
    </row>
    <row r="192" customFormat="1" spans="1:12">
      <c r="A192" s="151"/>
      <c r="B192" s="268" t="s">
        <v>107</v>
      </c>
      <c r="C192" s="269"/>
      <c r="D192" s="269"/>
      <c r="E192" s="269"/>
      <c r="F192" s="269"/>
      <c r="G192" s="270"/>
      <c r="H192" s="271">
        <f>SUM(H163,H170,H177,H156)</f>
        <v>25000000</v>
      </c>
      <c r="I192" s="271">
        <f>SUM(I163,I170,I177,I156)</f>
        <v>22116203.7601514</v>
      </c>
      <c r="J192" s="271">
        <f>SUM(J163,J170,J177,J156)</f>
        <v>20871944.792636</v>
      </c>
      <c r="K192" s="271">
        <f>SUM(K163,K170,K177,K156)</f>
        <v>20126790.2391099</v>
      </c>
      <c r="L192" s="273">
        <f>SUM(L163,L170,L177,L156)</f>
        <v>19661361.3150278</v>
      </c>
    </row>
    <row r="193" customFormat="1" spans="1:12">
      <c r="A193" s="151"/>
      <c r="B193" s="268" t="s">
        <v>103</v>
      </c>
      <c r="C193" s="269"/>
      <c r="D193" s="269"/>
      <c r="E193" s="269"/>
      <c r="F193" s="269"/>
      <c r="G193" s="270"/>
      <c r="H193" s="271">
        <f>H184</f>
        <v>2883796.23984862</v>
      </c>
      <c r="I193" s="271">
        <f>I184</f>
        <v>1244258.9675154</v>
      </c>
      <c r="J193" s="271">
        <f>J184</f>
        <v>745154.55352604</v>
      </c>
      <c r="K193" s="271">
        <f>K184</f>
        <v>465428.924082193</v>
      </c>
      <c r="L193" s="273">
        <f>L184</f>
        <v>648516.490768531</v>
      </c>
    </row>
    <row r="194" customFormat="1" spans="1:12">
      <c r="A194" s="151"/>
      <c r="B194" s="274" t="s">
        <v>102</v>
      </c>
      <c r="C194" s="275"/>
      <c r="D194" s="275"/>
      <c r="E194" s="275"/>
      <c r="F194" s="276"/>
      <c r="G194" s="276"/>
      <c r="H194" s="276">
        <f>H192-H193</f>
        <v>22116203.7601514</v>
      </c>
      <c r="I194" s="276">
        <f>I192-I193</f>
        <v>20871944.792636</v>
      </c>
      <c r="J194" s="276">
        <f>J192-J193</f>
        <v>20126790.2391099</v>
      </c>
      <c r="K194" s="276">
        <f>K192-K193</f>
        <v>19661361.3150278</v>
      </c>
      <c r="L194" s="281">
        <f>L192-L193</f>
        <v>19012844.8242592</v>
      </c>
    </row>
    <row r="195" customFormat="1" spans="1:12">
      <c r="A195" s="151"/>
      <c r="B195" s="277" t="s">
        <v>108</v>
      </c>
      <c r="C195" s="277"/>
      <c r="D195" s="277"/>
      <c r="E195" s="277"/>
      <c r="F195" s="277"/>
      <c r="G195" s="278"/>
      <c r="H195" s="278" t="b">
        <f>IF(H194=I192,TRUE,FALSE)</f>
        <v>1</v>
      </c>
      <c r="I195" s="278" t="b">
        <f>IF(I194=J192,TRUE,FALSE)</f>
        <v>1</v>
      </c>
      <c r="J195" s="278" t="b">
        <f>IF(J194=K192,TRUE,FALSE)</f>
        <v>1</v>
      </c>
      <c r="K195" s="278" t="b">
        <f>IF(K194=L192,TRUE,FALSE)</f>
        <v>1</v>
      </c>
      <c r="L195" s="278"/>
    </row>
    <row r="198" spans="1:12">
      <c r="A198" s="151" t="s">
        <v>1</v>
      </c>
      <c r="B198" s="154" t="s">
        <v>109</v>
      </c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</row>
    <row r="199" ht="5" customHeight="1"/>
    <row r="200" customFormat="1" spans="1:12">
      <c r="A200" s="151"/>
      <c r="B200" t="s">
        <v>110</v>
      </c>
      <c r="K200" s="213"/>
      <c r="L200" s="217">
        <f>L95</f>
        <v>3032761.61395256</v>
      </c>
    </row>
    <row r="201" customFormat="1" spans="1:12">
      <c r="A201" s="151"/>
      <c r="B201" s="150" t="s">
        <v>23</v>
      </c>
      <c r="C201" s="150"/>
      <c r="D201" s="150"/>
      <c r="E201" s="150"/>
      <c r="F201" s="150"/>
      <c r="G201" s="150"/>
      <c r="H201" s="150"/>
      <c r="I201" s="150"/>
      <c r="J201" s="150"/>
      <c r="K201" s="282"/>
      <c r="L201" s="283">
        <f>E23</f>
        <v>25</v>
      </c>
    </row>
    <row r="202" customFormat="1" spans="1:12">
      <c r="A202" s="151"/>
      <c r="B202" s="158" t="s">
        <v>22</v>
      </c>
      <c r="C202" s="158"/>
      <c r="D202" s="158"/>
      <c r="E202" s="158"/>
      <c r="F202" s="158"/>
      <c r="G202" s="158"/>
      <c r="H202" s="158"/>
      <c r="I202" s="158"/>
      <c r="J202" s="158"/>
      <c r="K202" s="284"/>
      <c r="L202" s="217">
        <f>L200*L201</f>
        <v>75819040.3488139</v>
      </c>
    </row>
    <row r="203" customFormat="1" spans="1:12">
      <c r="A203" s="151"/>
      <c r="B203" t="s">
        <v>111</v>
      </c>
      <c r="K203" s="217"/>
      <c r="L203" s="217">
        <f>L194</f>
        <v>19012844.8242592</v>
      </c>
    </row>
    <row r="204" customFormat="1" spans="1:12">
      <c r="A204" s="151"/>
      <c r="B204" s="195" t="s">
        <v>112</v>
      </c>
      <c r="C204" s="279"/>
      <c r="D204" s="279"/>
      <c r="E204" s="279"/>
      <c r="F204" s="279"/>
      <c r="G204" s="279"/>
      <c r="H204" s="279"/>
      <c r="I204" s="279"/>
      <c r="J204" s="279"/>
      <c r="K204" s="285"/>
      <c r="L204" s="286">
        <f>L202-L203</f>
        <v>56806195.5245547</v>
      </c>
    </row>
    <row r="206" customFormat="1" spans="1:12">
      <c r="A206" s="151"/>
      <c r="B206" s="158" t="s">
        <v>113</v>
      </c>
      <c r="K206" s="213"/>
      <c r="L206" s="232">
        <f>D49</f>
        <v>23278906.2</v>
      </c>
    </row>
    <row r="208" customFormat="1" spans="1:12">
      <c r="A208" s="151"/>
      <c r="B208" s="218" t="s">
        <v>114</v>
      </c>
      <c r="C208" s="219"/>
      <c r="D208" s="219"/>
      <c r="E208" s="219"/>
      <c r="F208" s="219"/>
      <c r="G208" s="219"/>
      <c r="H208" s="219"/>
      <c r="I208" s="219"/>
      <c r="J208" s="219"/>
      <c r="K208" s="287"/>
      <c r="L208" s="288">
        <f>L204/L206</f>
        <v>2.44024332743584</v>
      </c>
    </row>
    <row r="209" spans="1:12">
      <c r="A209" s="151" t="s">
        <v>1</v>
      </c>
      <c r="B209" s="280" t="s">
        <v>115</v>
      </c>
      <c r="C209" s="223"/>
      <c r="D209" s="223"/>
      <c r="E209" s="223"/>
      <c r="F209" s="223"/>
      <c r="G209" s="223"/>
      <c r="H209" s="223"/>
      <c r="I209" s="223"/>
      <c r="J209" s="223"/>
      <c r="K209" s="289"/>
      <c r="L209" s="290">
        <f>(L208^(1/5))-1</f>
        <v>0.195326717448861</v>
      </c>
    </row>
  </sheetData>
  <dataValidations count="1">
    <dataValidation type="list" allowBlank="1" showInputMessage="1" showErrorMessage="1" sqref="E6">
      <formula1>"1,2"</formula1>
    </dataValidation>
  </dataValidations>
  <pageMargins left="0.75" right="0.75" top="1" bottom="1" header="0.5" footer="0.5"/>
  <pageSetup paperSize="1" orientation="portrait"/>
  <headerFooter/>
  <ignoredErrors>
    <ignoredError sqref="D49 E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selection activeCell="E5" sqref="E5"/>
    </sheetView>
  </sheetViews>
  <sheetFormatPr defaultColWidth="8.88888888888889" defaultRowHeight="14.4"/>
  <cols>
    <col min="5" max="5" width="9.88888888888889"/>
    <col min="8" max="8" width="9.88888888888889"/>
    <col min="10" max="11" width="11.1111111111111"/>
  </cols>
  <sheetData>
    <row r="1" customHeight="1" spans="4:9">
      <c r="D1" s="90" t="s">
        <v>116</v>
      </c>
      <c r="E1" s="90"/>
      <c r="F1" s="90"/>
      <c r="G1" s="90" t="s">
        <v>116</v>
      </c>
      <c r="H1" s="90"/>
      <c r="I1" s="90"/>
    </row>
    <row r="2" ht="15.9" customHeight="1" spans="4:11">
      <c r="D2" s="90">
        <v>2021</v>
      </c>
      <c r="E2" s="90"/>
      <c r="F2" s="90"/>
      <c r="G2" s="90">
        <v>2020</v>
      </c>
      <c r="H2" s="90"/>
      <c r="I2" s="90"/>
      <c r="J2">
        <v>2021</v>
      </c>
      <c r="K2">
        <v>2020</v>
      </c>
    </row>
    <row r="3" customHeight="1" spans="1:9">
      <c r="A3" s="91" t="s">
        <v>117</v>
      </c>
      <c r="B3" s="91"/>
      <c r="C3" s="91"/>
      <c r="D3" s="7"/>
      <c r="E3" s="7"/>
      <c r="F3" s="7"/>
      <c r="G3" s="7"/>
      <c r="H3" s="7"/>
      <c r="I3" s="7"/>
    </row>
    <row r="4" customHeight="1" spans="1:9">
      <c r="A4" s="92" t="s">
        <v>118</v>
      </c>
      <c r="B4" s="92"/>
      <c r="C4" s="92"/>
      <c r="D4" s="12"/>
      <c r="E4" s="12"/>
      <c r="F4" s="12"/>
      <c r="G4" s="12"/>
      <c r="H4" s="12"/>
      <c r="I4" s="12"/>
    </row>
    <row r="5" customHeight="1" spans="1:11">
      <c r="A5" s="93" t="s">
        <v>119</v>
      </c>
      <c r="B5" s="93"/>
      <c r="C5" s="93"/>
      <c r="D5" s="93" t="s">
        <v>120</v>
      </c>
      <c r="E5" s="94">
        <v>2186549</v>
      </c>
      <c r="F5" s="95"/>
      <c r="G5" s="93" t="s">
        <v>120</v>
      </c>
      <c r="H5" s="94">
        <v>1988429</v>
      </c>
      <c r="I5" s="95"/>
      <c r="J5" s="149">
        <f>E5/1000</f>
        <v>2186.549</v>
      </c>
      <c r="K5" s="149">
        <f>H5/1000</f>
        <v>1988.429</v>
      </c>
    </row>
    <row r="6" customHeight="1" spans="1:11">
      <c r="A6" s="92" t="s">
        <v>121</v>
      </c>
      <c r="B6" s="92"/>
      <c r="C6" s="92"/>
      <c r="D6" s="96">
        <v>4207133</v>
      </c>
      <c r="E6" s="97"/>
      <c r="F6" s="98"/>
      <c r="G6" s="96">
        <v>5483873</v>
      </c>
      <c r="H6" s="97"/>
      <c r="I6" s="98"/>
      <c r="J6" s="149">
        <f>D6/1000</f>
        <v>4207.133</v>
      </c>
      <c r="K6" s="149">
        <f>G6/1000</f>
        <v>5483.873</v>
      </c>
    </row>
    <row r="7" ht="34.2" customHeight="1" spans="1:11">
      <c r="A7" s="93" t="s">
        <v>122</v>
      </c>
      <c r="B7" s="93"/>
      <c r="C7" s="93"/>
      <c r="D7" s="94">
        <v>1217404</v>
      </c>
      <c r="E7" s="99"/>
      <c r="F7" s="95"/>
      <c r="G7" s="94">
        <v>1041743</v>
      </c>
      <c r="H7" s="99"/>
      <c r="I7" s="95"/>
      <c r="J7" s="149">
        <f t="shared" ref="J7:J16" si="0">D7/1000</f>
        <v>1217.404</v>
      </c>
      <c r="K7" s="149">
        <f t="shared" ref="K7:K17" si="1">G7/1000</f>
        <v>1041.743</v>
      </c>
    </row>
    <row r="8" ht="22.8" customHeight="1" spans="1:11">
      <c r="A8" s="92" t="s">
        <v>123</v>
      </c>
      <c r="B8" s="92"/>
      <c r="C8" s="92"/>
      <c r="D8" s="96">
        <v>266484</v>
      </c>
      <c r="E8" s="97"/>
      <c r="F8" s="98"/>
      <c r="G8" s="96">
        <v>123063</v>
      </c>
      <c r="H8" s="97"/>
      <c r="I8" s="98"/>
      <c r="J8" s="149">
        <f t="shared" si="0"/>
        <v>266.484</v>
      </c>
      <c r="K8" s="149">
        <f t="shared" si="1"/>
        <v>123.063</v>
      </c>
    </row>
    <row r="9" ht="15.9" customHeight="1" spans="1:11">
      <c r="A9" s="93" t="s">
        <v>124</v>
      </c>
      <c r="B9" s="93"/>
      <c r="C9" s="93"/>
      <c r="D9" s="94">
        <v>40800</v>
      </c>
      <c r="E9" s="99"/>
      <c r="F9" s="95"/>
      <c r="G9" s="99" t="s">
        <v>125</v>
      </c>
      <c r="H9" s="99"/>
      <c r="I9" s="95"/>
      <c r="J9" s="149">
        <f t="shared" si="0"/>
        <v>40.8</v>
      </c>
      <c r="K9" s="149" t="e">
        <f t="shared" si="1"/>
        <v>#VALUE!</v>
      </c>
    </row>
    <row r="10" customHeight="1" spans="1:11">
      <c r="A10" s="100" t="s">
        <v>126</v>
      </c>
      <c r="B10" s="100"/>
      <c r="C10" s="100"/>
      <c r="D10" s="101">
        <v>7918370</v>
      </c>
      <c r="E10" s="102"/>
      <c r="F10" s="103"/>
      <c r="G10" s="101">
        <v>8637108</v>
      </c>
      <c r="H10" s="102"/>
      <c r="I10" s="103"/>
      <c r="J10" s="149">
        <f t="shared" si="0"/>
        <v>7918.37</v>
      </c>
      <c r="K10" s="149">
        <f t="shared" si="1"/>
        <v>8637.108</v>
      </c>
    </row>
    <row r="11" customHeight="1" spans="1:11">
      <c r="A11" s="93" t="s">
        <v>127</v>
      </c>
      <c r="B11" s="93"/>
      <c r="C11" s="93"/>
      <c r="D11" s="94">
        <v>2082160</v>
      </c>
      <c r="E11" s="99"/>
      <c r="F11" s="95"/>
      <c r="G11" s="94">
        <v>1493794</v>
      </c>
      <c r="H11" s="99"/>
      <c r="I11" s="95"/>
      <c r="J11" s="149">
        <f t="shared" si="0"/>
        <v>2082.16</v>
      </c>
      <c r="K11" s="149">
        <f t="shared" si="1"/>
        <v>1493.794</v>
      </c>
    </row>
    <row r="12" customHeight="1" spans="1:11">
      <c r="A12" s="92" t="s">
        <v>128</v>
      </c>
      <c r="B12" s="92"/>
      <c r="C12" s="92"/>
      <c r="D12" s="96">
        <v>1195124</v>
      </c>
      <c r="E12" s="97"/>
      <c r="F12" s="98"/>
      <c r="G12" s="96">
        <v>930139</v>
      </c>
      <c r="H12" s="97"/>
      <c r="I12" s="98"/>
      <c r="J12" s="149">
        <f t="shared" si="0"/>
        <v>1195.124</v>
      </c>
      <c r="K12" s="149">
        <f t="shared" si="1"/>
        <v>930.139</v>
      </c>
    </row>
    <row r="13" customHeight="1" spans="1:11">
      <c r="A13" s="93" t="s">
        <v>129</v>
      </c>
      <c r="B13" s="93"/>
      <c r="C13" s="93"/>
      <c r="D13" s="94">
        <v>69324</v>
      </c>
      <c r="E13" s="99"/>
      <c r="F13" s="95"/>
      <c r="G13" s="94">
        <v>58338</v>
      </c>
      <c r="H13" s="99"/>
      <c r="I13" s="95"/>
      <c r="J13" s="149">
        <f t="shared" si="0"/>
        <v>69.324</v>
      </c>
      <c r="K13" s="149">
        <f t="shared" si="1"/>
        <v>58.338</v>
      </c>
    </row>
    <row r="14" customHeight="1" spans="1:11">
      <c r="A14" s="92" t="s">
        <v>130</v>
      </c>
      <c r="B14" s="92"/>
      <c r="C14" s="92"/>
      <c r="D14" s="96">
        <v>1301520</v>
      </c>
      <c r="E14" s="97"/>
      <c r="F14" s="98"/>
      <c r="G14" s="96">
        <v>1312346</v>
      </c>
      <c r="H14" s="97"/>
      <c r="I14" s="98"/>
      <c r="J14" s="149">
        <f t="shared" si="0"/>
        <v>1301.52</v>
      </c>
      <c r="K14" s="149">
        <f t="shared" si="1"/>
        <v>1312.346</v>
      </c>
    </row>
    <row r="15" customHeight="1" spans="1:11">
      <c r="A15" s="93" t="s">
        <v>131</v>
      </c>
      <c r="B15" s="93"/>
      <c r="C15" s="93"/>
      <c r="D15" s="94">
        <v>1148573</v>
      </c>
      <c r="E15" s="99"/>
      <c r="F15" s="95"/>
      <c r="G15" s="94">
        <v>796326</v>
      </c>
      <c r="H15" s="99"/>
      <c r="I15" s="95"/>
      <c r="J15" s="149">
        <f t="shared" si="0"/>
        <v>1148.573</v>
      </c>
      <c r="K15" s="149">
        <f t="shared" si="1"/>
        <v>796.326</v>
      </c>
    </row>
    <row r="16" ht="15.9" customHeight="1" spans="1:11">
      <c r="A16" s="92" t="s">
        <v>132</v>
      </c>
      <c r="B16" s="92"/>
      <c r="C16" s="92"/>
      <c r="D16" s="96">
        <v>344445</v>
      </c>
      <c r="E16" s="97"/>
      <c r="F16" s="98"/>
      <c r="G16" s="96">
        <v>151039</v>
      </c>
      <c r="H16" s="97"/>
      <c r="I16" s="98"/>
      <c r="J16" s="149">
        <f t="shared" si="0"/>
        <v>344.445</v>
      </c>
      <c r="K16" s="149">
        <f t="shared" si="1"/>
        <v>151.039</v>
      </c>
    </row>
    <row r="17" ht="24.3" customHeight="1" spans="1:11">
      <c r="A17" s="104" t="s">
        <v>133</v>
      </c>
      <c r="B17" s="104"/>
      <c r="C17" s="104"/>
      <c r="D17" s="105" t="s">
        <v>120</v>
      </c>
      <c r="E17" s="106">
        <v>14059516</v>
      </c>
      <c r="F17" s="107"/>
      <c r="G17" s="105" t="s">
        <v>120</v>
      </c>
      <c r="H17" s="106">
        <v>13379090</v>
      </c>
      <c r="I17" s="107"/>
      <c r="J17" s="149">
        <f>E17</f>
        <v>14059516</v>
      </c>
      <c r="K17" s="149">
        <f>H17</f>
        <v>13379090</v>
      </c>
    </row>
    <row r="18" ht="24.75" customHeight="1" spans="1:9">
      <c r="A18" s="108" t="s">
        <v>134</v>
      </c>
      <c r="B18" s="108"/>
      <c r="C18" s="108"/>
      <c r="D18" s="109"/>
      <c r="E18" s="109"/>
      <c r="F18" s="109"/>
      <c r="G18" s="109"/>
      <c r="H18" s="109"/>
      <c r="I18" s="109"/>
    </row>
    <row r="19" customHeight="1" spans="1:9">
      <c r="A19" s="93" t="s">
        <v>135</v>
      </c>
      <c r="B19" s="93"/>
      <c r="C19" s="93"/>
      <c r="D19" s="8"/>
      <c r="E19" s="8"/>
      <c r="F19" s="8"/>
      <c r="G19" s="8"/>
      <c r="H19" s="8"/>
      <c r="I19" s="8"/>
    </row>
    <row r="20" customHeight="1" spans="1:9">
      <c r="A20" s="92" t="s">
        <v>136</v>
      </c>
      <c r="B20" s="92"/>
      <c r="C20" s="92"/>
      <c r="D20" s="92" t="s">
        <v>120</v>
      </c>
      <c r="E20" s="96">
        <v>203171</v>
      </c>
      <c r="F20" s="98"/>
      <c r="G20" s="92" t="s">
        <v>120</v>
      </c>
      <c r="H20" s="96">
        <v>194281</v>
      </c>
      <c r="I20" s="98"/>
    </row>
    <row r="21" customHeight="1" spans="1:9">
      <c r="A21" s="93" t="s">
        <v>137</v>
      </c>
      <c r="B21" s="93"/>
      <c r="C21" s="93"/>
      <c r="D21" s="94">
        <v>918350</v>
      </c>
      <c r="E21" s="99"/>
      <c r="F21" s="95"/>
      <c r="G21" s="94">
        <v>663532</v>
      </c>
      <c r="H21" s="99"/>
      <c r="I21" s="95"/>
    </row>
    <row r="22" customHeight="1" spans="1:9">
      <c r="A22" s="92" t="s">
        <v>138</v>
      </c>
      <c r="B22" s="92"/>
      <c r="C22" s="92"/>
      <c r="D22" s="97" t="s">
        <v>125</v>
      </c>
      <c r="E22" s="97"/>
      <c r="F22" s="98"/>
      <c r="G22" s="96">
        <v>917866</v>
      </c>
      <c r="H22" s="97"/>
      <c r="I22" s="98"/>
    </row>
    <row r="23" ht="22.8" customHeight="1" spans="1:9">
      <c r="A23" s="93" t="s">
        <v>139</v>
      </c>
      <c r="B23" s="93"/>
      <c r="C23" s="93"/>
      <c r="D23" s="94">
        <v>222346</v>
      </c>
      <c r="E23" s="99"/>
      <c r="F23" s="95"/>
      <c r="G23" s="94">
        <v>177147</v>
      </c>
      <c r="H23" s="99"/>
      <c r="I23" s="95"/>
    </row>
    <row r="25" ht="15.15"/>
    <row r="26" customHeight="1" spans="1:9">
      <c r="A26" s="100" t="s">
        <v>140</v>
      </c>
      <c r="B26" s="100"/>
      <c r="C26" s="100"/>
      <c r="D26" s="101">
        <v>1343867</v>
      </c>
      <c r="E26" s="102"/>
      <c r="F26" s="103"/>
      <c r="G26" s="101">
        <v>1952826</v>
      </c>
      <c r="H26" s="102"/>
      <c r="I26" s="103"/>
    </row>
    <row r="27" customHeight="1" spans="1:9">
      <c r="A27" s="93" t="s">
        <v>141</v>
      </c>
      <c r="B27" s="93"/>
      <c r="C27" s="93"/>
      <c r="D27" s="94">
        <v>3559023</v>
      </c>
      <c r="E27" s="99"/>
      <c r="F27" s="95"/>
      <c r="G27" s="94">
        <v>1875878</v>
      </c>
      <c r="H27" s="99"/>
      <c r="I27" s="95"/>
    </row>
    <row r="28" customHeight="1" spans="1:9">
      <c r="A28" s="92" t="s">
        <v>142</v>
      </c>
      <c r="B28" s="92"/>
      <c r="C28" s="92"/>
      <c r="D28" s="96">
        <v>693996</v>
      </c>
      <c r="E28" s="97"/>
      <c r="F28" s="98"/>
      <c r="G28" s="96">
        <v>692994</v>
      </c>
      <c r="H28" s="97"/>
      <c r="I28" s="98"/>
    </row>
    <row r="29" customHeight="1" spans="1:12">
      <c r="A29" s="93" t="s">
        <v>143</v>
      </c>
      <c r="B29" s="93"/>
      <c r="C29" s="93"/>
      <c r="D29" s="94">
        <v>1071209</v>
      </c>
      <c r="E29" s="99"/>
      <c r="F29" s="95"/>
      <c r="G29" s="94">
        <v>819748</v>
      </c>
      <c r="H29" s="99"/>
      <c r="I29" s="95"/>
      <c r="L29" s="149">
        <f>E5/1000</f>
        <v>2186.549</v>
      </c>
    </row>
    <row r="31" ht="22.8" customHeight="1" spans="1:9">
      <c r="A31" s="92" t="s">
        <v>144</v>
      </c>
      <c r="B31" s="92"/>
      <c r="C31" s="92"/>
      <c r="D31" s="96">
        <v>40691</v>
      </c>
      <c r="E31" s="97"/>
      <c r="F31" s="98"/>
      <c r="G31" s="96">
        <v>31463</v>
      </c>
      <c r="H31" s="97"/>
      <c r="I31" s="98"/>
    </row>
    <row r="32" ht="15.9" customHeight="1" spans="1:9">
      <c r="A32" s="93" t="s">
        <v>145</v>
      </c>
      <c r="B32" s="93"/>
      <c r="C32" s="93"/>
      <c r="D32" s="94">
        <v>43531</v>
      </c>
      <c r="E32" s="99"/>
      <c r="F32" s="95"/>
      <c r="G32" s="94">
        <v>36099</v>
      </c>
      <c r="H32" s="99"/>
      <c r="I32" s="95"/>
    </row>
    <row r="33" ht="15.9" customHeight="1" spans="1:9">
      <c r="A33" s="100" t="s">
        <v>146</v>
      </c>
      <c r="B33" s="100"/>
      <c r="C33" s="100"/>
      <c r="D33" s="101">
        <v>6752317</v>
      </c>
      <c r="E33" s="102"/>
      <c r="F33" s="103"/>
      <c r="G33" s="101">
        <v>5409008</v>
      </c>
      <c r="H33" s="102"/>
      <c r="I33" s="103"/>
    </row>
    <row r="34" ht="22.8" customHeight="1" spans="1:9">
      <c r="A34" s="93" t="s">
        <v>147</v>
      </c>
      <c r="B34" s="93"/>
      <c r="C34" s="93"/>
      <c r="D34" s="7"/>
      <c r="E34" s="7"/>
      <c r="F34" s="7"/>
      <c r="G34" s="7"/>
      <c r="H34" s="7"/>
      <c r="I34" s="7"/>
    </row>
    <row r="35" customHeight="1" spans="1:9">
      <c r="A35" s="92" t="s">
        <v>148</v>
      </c>
      <c r="B35" s="92"/>
      <c r="C35" s="92"/>
      <c r="D35" s="12"/>
      <c r="E35" s="12"/>
      <c r="F35" s="12"/>
      <c r="G35" s="12"/>
      <c r="H35" s="12"/>
      <c r="I35" s="12"/>
    </row>
    <row r="36" ht="34.2" customHeight="1" spans="1:9">
      <c r="A36" s="93" t="s">
        <v>149</v>
      </c>
      <c r="B36" s="93"/>
      <c r="C36" s="93"/>
      <c r="D36" s="99" t="s">
        <v>125</v>
      </c>
      <c r="E36" s="99"/>
      <c r="F36" s="95"/>
      <c r="G36" s="99" t="s">
        <v>125</v>
      </c>
      <c r="H36" s="99"/>
      <c r="I36" s="95"/>
    </row>
    <row r="37" ht="45.6" customHeight="1" spans="1:9">
      <c r="A37" s="92" t="s">
        <v>150</v>
      </c>
      <c r="B37" s="92"/>
      <c r="C37" s="92"/>
      <c r="D37" s="145">
        <v>4</v>
      </c>
      <c r="E37" s="97"/>
      <c r="F37" s="98"/>
      <c r="G37" s="145">
        <v>4</v>
      </c>
      <c r="H37" s="97"/>
      <c r="I37" s="98"/>
    </row>
    <row r="38" customHeight="1" spans="1:9">
      <c r="A38" s="93" t="s">
        <v>151</v>
      </c>
      <c r="B38" s="93"/>
      <c r="C38" s="93"/>
      <c r="D38" s="94">
        <v>8432112</v>
      </c>
      <c r="E38" s="99"/>
      <c r="F38" s="95"/>
      <c r="G38" s="94">
        <v>9167138</v>
      </c>
      <c r="H38" s="99"/>
      <c r="I38" s="95"/>
    </row>
    <row r="39" ht="22.8" customHeight="1" spans="1:9">
      <c r="A39" s="92" t="s">
        <v>152</v>
      </c>
      <c r="B39" s="92"/>
      <c r="C39" s="92"/>
      <c r="D39" s="76">
        <v>-5295</v>
      </c>
      <c r="E39" s="76"/>
      <c r="F39" s="19"/>
      <c r="G39" s="76">
        <v>-5297</v>
      </c>
      <c r="H39" s="76"/>
      <c r="I39" s="19"/>
    </row>
    <row r="40" ht="22.8" customHeight="1" spans="1:9">
      <c r="A40" s="93" t="s">
        <v>153</v>
      </c>
      <c r="B40" s="93"/>
      <c r="C40" s="93"/>
      <c r="D40" s="94">
        <v>-117320</v>
      </c>
      <c r="E40" s="94"/>
      <c r="F40" s="95"/>
      <c r="G40" s="94">
        <v>-66094</v>
      </c>
      <c r="H40" s="94"/>
      <c r="I40" s="95"/>
    </row>
    <row r="41" ht="15.9" customHeight="1" spans="1:9">
      <c r="A41" s="92" t="s">
        <v>154</v>
      </c>
      <c r="B41" s="92"/>
      <c r="C41" s="92"/>
      <c r="D41" s="96">
        <v>-1002302</v>
      </c>
      <c r="E41" s="96"/>
      <c r="F41" s="98"/>
      <c r="G41" s="96">
        <v>-1125669</v>
      </c>
      <c r="H41" s="96"/>
      <c r="I41" s="98"/>
    </row>
    <row r="42" ht="15.9" customHeight="1" spans="1:9">
      <c r="A42" s="93" t="s">
        <v>155</v>
      </c>
      <c r="B42" s="93"/>
      <c r="C42" s="93"/>
      <c r="D42" s="106">
        <v>7307199</v>
      </c>
      <c r="E42" s="110"/>
      <c r="F42" s="107"/>
      <c r="G42" s="106">
        <v>7970082</v>
      </c>
      <c r="H42" s="110"/>
      <c r="I42" s="107"/>
    </row>
    <row r="43" ht="24.3" customHeight="1" spans="1:9">
      <c r="A43" s="100" t="s">
        <v>156</v>
      </c>
      <c r="B43" s="100"/>
      <c r="C43" s="100"/>
      <c r="D43" s="146" t="s">
        <v>120</v>
      </c>
      <c r="E43" s="147">
        <v>14059516</v>
      </c>
      <c r="F43" s="148"/>
      <c r="G43" s="146" t="s">
        <v>120</v>
      </c>
      <c r="H43" s="147">
        <v>13379090</v>
      </c>
      <c r="I43" s="148"/>
    </row>
    <row r="44" ht="126.15" spans="1:1">
      <c r="A44" s="143" t="s">
        <v>157</v>
      </c>
    </row>
  </sheetData>
  <mergeCells count="110">
    <mergeCell ref="D1:F1"/>
    <mergeCell ref="G1:I1"/>
    <mergeCell ref="D2:F2"/>
    <mergeCell ref="G2:I2"/>
    <mergeCell ref="A3:C3"/>
    <mergeCell ref="D3:F3"/>
    <mergeCell ref="G3:I3"/>
    <mergeCell ref="A4:C4"/>
    <mergeCell ref="D4:F4"/>
    <mergeCell ref="G4:I4"/>
    <mergeCell ref="A5:C5"/>
    <mergeCell ref="A6:C6"/>
    <mergeCell ref="D6:E6"/>
    <mergeCell ref="G6:H6"/>
    <mergeCell ref="A7:C7"/>
    <mergeCell ref="D7:E7"/>
    <mergeCell ref="G7:H7"/>
    <mergeCell ref="A8:C8"/>
    <mergeCell ref="D8:E8"/>
    <mergeCell ref="G8:H8"/>
    <mergeCell ref="A9:C9"/>
    <mergeCell ref="D9:E9"/>
    <mergeCell ref="G9:H9"/>
    <mergeCell ref="A10:C10"/>
    <mergeCell ref="D10:E10"/>
    <mergeCell ref="G10:H10"/>
    <mergeCell ref="A11:C11"/>
    <mergeCell ref="D11:E11"/>
    <mergeCell ref="G11:H11"/>
    <mergeCell ref="A12:C12"/>
    <mergeCell ref="D12:E12"/>
    <mergeCell ref="G12:H12"/>
    <mergeCell ref="A13:C13"/>
    <mergeCell ref="D13:E13"/>
    <mergeCell ref="G13:H13"/>
    <mergeCell ref="A14:C14"/>
    <mergeCell ref="D14:E14"/>
    <mergeCell ref="G14:H14"/>
    <mergeCell ref="A15:C15"/>
    <mergeCell ref="D15:E15"/>
    <mergeCell ref="G15:H15"/>
    <mergeCell ref="A16:C16"/>
    <mergeCell ref="D16:E16"/>
    <mergeCell ref="G16:H16"/>
    <mergeCell ref="A17:C17"/>
    <mergeCell ref="A18:C18"/>
    <mergeCell ref="D18:F18"/>
    <mergeCell ref="G18:I18"/>
    <mergeCell ref="A19:C19"/>
    <mergeCell ref="D19:F19"/>
    <mergeCell ref="G19:I19"/>
    <mergeCell ref="A20:C20"/>
    <mergeCell ref="A21:C21"/>
    <mergeCell ref="D21:E21"/>
    <mergeCell ref="G21:H21"/>
    <mergeCell ref="A22:C22"/>
    <mergeCell ref="D22:E22"/>
    <mergeCell ref="G22:H22"/>
    <mergeCell ref="A23:C23"/>
    <mergeCell ref="D23:E23"/>
    <mergeCell ref="G23:H23"/>
    <mergeCell ref="A26:C26"/>
    <mergeCell ref="D26:E26"/>
    <mergeCell ref="G26:H26"/>
    <mergeCell ref="A27:C27"/>
    <mergeCell ref="D27:E27"/>
    <mergeCell ref="G27:H27"/>
    <mergeCell ref="A28:C28"/>
    <mergeCell ref="D28:E28"/>
    <mergeCell ref="G28:H28"/>
    <mergeCell ref="A29:C29"/>
    <mergeCell ref="D29:E29"/>
    <mergeCell ref="G29:H29"/>
    <mergeCell ref="A31:C31"/>
    <mergeCell ref="D31:E31"/>
    <mergeCell ref="G31:H31"/>
    <mergeCell ref="A32:C32"/>
    <mergeCell ref="D32:E32"/>
    <mergeCell ref="G32:H32"/>
    <mergeCell ref="A33:C33"/>
    <mergeCell ref="D33:E33"/>
    <mergeCell ref="G33:H33"/>
    <mergeCell ref="A34:C34"/>
    <mergeCell ref="D34:F34"/>
    <mergeCell ref="G34:I34"/>
    <mergeCell ref="A35:C35"/>
    <mergeCell ref="D35:F35"/>
    <mergeCell ref="G35:I35"/>
    <mergeCell ref="A36:C36"/>
    <mergeCell ref="D36:E36"/>
    <mergeCell ref="G36:H36"/>
    <mergeCell ref="A37:C37"/>
    <mergeCell ref="D37:E37"/>
    <mergeCell ref="G37:H37"/>
    <mergeCell ref="A38:C38"/>
    <mergeCell ref="D38:E38"/>
    <mergeCell ref="G38:H38"/>
    <mergeCell ref="A39:C39"/>
    <mergeCell ref="D39:E39"/>
    <mergeCell ref="G39:H39"/>
    <mergeCell ref="A40:C40"/>
    <mergeCell ref="D40:E40"/>
    <mergeCell ref="G40:H40"/>
    <mergeCell ref="A41:C41"/>
    <mergeCell ref="D41:E41"/>
    <mergeCell ref="G41:H41"/>
    <mergeCell ref="A42:C42"/>
    <mergeCell ref="D42:E42"/>
    <mergeCell ref="G42:H42"/>
    <mergeCell ref="A43:C43"/>
  </mergeCell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topLeftCell="A6" workbookViewId="0">
      <selection activeCell="S4" sqref="S4"/>
    </sheetView>
  </sheetViews>
  <sheetFormatPr defaultColWidth="8.88888888888889" defaultRowHeight="14.4"/>
  <sheetData>
    <row r="1" spans="1:1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5.9" customHeight="1" spans="1:18">
      <c r="A2" s="2"/>
      <c r="B2" s="2"/>
      <c r="C2" s="2"/>
      <c r="D2" s="3" t="s">
        <v>158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5.9" customHeight="1" spans="1:18">
      <c r="A3" s="2"/>
      <c r="B3" s="2"/>
      <c r="C3" s="2"/>
      <c r="D3" s="127">
        <v>2021</v>
      </c>
      <c r="E3" s="127"/>
      <c r="F3" s="127"/>
      <c r="G3" s="5"/>
      <c r="H3" s="5"/>
      <c r="I3" s="5"/>
      <c r="J3" s="127">
        <v>2020</v>
      </c>
      <c r="K3" s="127"/>
      <c r="L3" s="127"/>
      <c r="M3" s="5"/>
      <c r="N3" s="5"/>
      <c r="O3" s="5"/>
      <c r="P3" s="127">
        <v>2019</v>
      </c>
      <c r="Q3" s="127"/>
      <c r="R3" s="127"/>
    </row>
    <row r="4" customHeight="1" spans="1:18">
      <c r="A4" s="128" t="s">
        <v>159</v>
      </c>
      <c r="B4" s="128"/>
      <c r="C4" s="128"/>
      <c r="D4" s="7"/>
      <c r="E4" s="7"/>
      <c r="F4" s="7"/>
      <c r="G4" s="8"/>
      <c r="H4" s="8"/>
      <c r="I4" s="8"/>
      <c r="J4" s="7"/>
      <c r="K4" s="7"/>
      <c r="L4" s="7"/>
      <c r="M4" s="8"/>
      <c r="N4" s="8"/>
      <c r="O4" s="8"/>
      <c r="P4" s="7"/>
      <c r="Q4" s="7"/>
      <c r="R4" s="7"/>
    </row>
    <row r="5" customHeight="1" spans="1:18">
      <c r="A5" s="34" t="s">
        <v>160</v>
      </c>
      <c r="B5" s="34"/>
      <c r="C5" s="34"/>
      <c r="D5" s="34" t="s">
        <v>120</v>
      </c>
      <c r="E5" s="129">
        <v>-221409</v>
      </c>
      <c r="F5" s="98"/>
      <c r="G5" s="12"/>
      <c r="H5" s="12"/>
      <c r="I5" s="12"/>
      <c r="J5" s="34" t="s">
        <v>120</v>
      </c>
      <c r="K5" s="129">
        <v>-1135626</v>
      </c>
      <c r="L5" s="98"/>
      <c r="M5" s="12"/>
      <c r="N5" s="12"/>
      <c r="O5" s="12"/>
      <c r="P5" s="34" t="s">
        <v>120</v>
      </c>
      <c r="Q5" s="129">
        <v>1465659</v>
      </c>
      <c r="R5" s="98"/>
    </row>
    <row r="6" ht="30.6" customHeight="1" spans="1:18">
      <c r="A6" s="40" t="s">
        <v>161</v>
      </c>
      <c r="B6" s="40"/>
      <c r="C6" s="4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customHeight="1" spans="1:18">
      <c r="A7" s="34" t="s">
        <v>162</v>
      </c>
      <c r="B7" s="34"/>
      <c r="C7" s="34"/>
      <c r="D7" s="129">
        <v>544848</v>
      </c>
      <c r="E7" s="130"/>
      <c r="F7" s="98"/>
      <c r="G7" s="12"/>
      <c r="H7" s="12"/>
      <c r="I7" s="12"/>
      <c r="J7" s="129">
        <v>495177</v>
      </c>
      <c r="K7" s="130"/>
      <c r="L7" s="98"/>
      <c r="M7" s="12"/>
      <c r="N7" s="12"/>
      <c r="O7" s="12"/>
      <c r="P7" s="129">
        <v>465549</v>
      </c>
      <c r="Q7" s="130"/>
      <c r="R7" s="98"/>
    </row>
    <row r="8" customHeight="1" spans="1:18">
      <c r="A8" s="40" t="s">
        <v>163</v>
      </c>
      <c r="B8" s="40"/>
      <c r="C8" s="40"/>
      <c r="D8" s="131">
        <v>629901</v>
      </c>
      <c r="E8" s="132"/>
      <c r="F8" s="95"/>
      <c r="G8" s="8"/>
      <c r="H8" s="8"/>
      <c r="I8" s="8"/>
      <c r="J8" s="131">
        <v>474932</v>
      </c>
      <c r="K8" s="132"/>
      <c r="L8" s="95"/>
      <c r="M8" s="8"/>
      <c r="N8" s="8"/>
      <c r="O8" s="8"/>
      <c r="P8" s="131">
        <v>378025</v>
      </c>
      <c r="Q8" s="132"/>
      <c r="R8" s="95"/>
    </row>
    <row r="9" ht="20.4" customHeight="1" spans="1:18">
      <c r="A9" s="34" t="s">
        <v>164</v>
      </c>
      <c r="B9" s="34"/>
      <c r="C9" s="34"/>
      <c r="D9" s="130" t="s">
        <v>125</v>
      </c>
      <c r="E9" s="130"/>
      <c r="F9" s="98"/>
      <c r="G9" s="12"/>
      <c r="H9" s="12"/>
      <c r="I9" s="12"/>
      <c r="J9" s="129">
        <v>101733</v>
      </c>
      <c r="K9" s="130"/>
      <c r="L9" s="98"/>
      <c r="M9" s="12"/>
      <c r="N9" s="12"/>
      <c r="O9" s="12"/>
      <c r="P9" s="129">
        <v>113298</v>
      </c>
      <c r="Q9" s="130"/>
      <c r="R9" s="98"/>
    </row>
    <row r="10" customHeight="1" spans="1:18">
      <c r="A10" s="40" t="s">
        <v>165</v>
      </c>
      <c r="B10" s="40"/>
      <c r="C10" s="40"/>
      <c r="D10" s="131">
        <v>1560</v>
      </c>
      <c r="E10" s="132"/>
      <c r="F10" s="95"/>
      <c r="G10" s="8"/>
      <c r="H10" s="8"/>
      <c r="I10" s="8"/>
      <c r="J10" s="131">
        <v>18775</v>
      </c>
      <c r="K10" s="132"/>
      <c r="L10" s="95"/>
      <c r="M10" s="8"/>
      <c r="N10" s="8"/>
      <c r="O10" s="8"/>
      <c r="P10" s="131">
        <v>3083</v>
      </c>
      <c r="Q10" s="132"/>
      <c r="R10" s="95"/>
    </row>
    <row r="11" customHeight="1" spans="1:18">
      <c r="A11" s="34" t="s">
        <v>166</v>
      </c>
      <c r="B11" s="34"/>
      <c r="C11" s="34"/>
      <c r="D11" s="129">
        <v>-228774</v>
      </c>
      <c r="E11" s="129"/>
      <c r="F11" s="98"/>
      <c r="G11" s="12"/>
      <c r="H11" s="12"/>
      <c r="I11" s="12"/>
      <c r="J11" s="129">
        <v>-36978</v>
      </c>
      <c r="K11" s="129"/>
      <c r="L11" s="98"/>
      <c r="M11" s="12"/>
      <c r="N11" s="12"/>
      <c r="O11" s="12"/>
      <c r="P11" s="129">
        <v>84369</v>
      </c>
      <c r="Q11" s="130"/>
      <c r="R11" s="98"/>
    </row>
    <row r="13" ht="30.6" customHeight="1" spans="1:18">
      <c r="A13" s="40" t="s">
        <v>167</v>
      </c>
      <c r="B13" s="40"/>
      <c r="C13" s="40"/>
      <c r="D13" s="132" t="s">
        <v>125</v>
      </c>
      <c r="E13" s="132"/>
      <c r="F13" s="95"/>
      <c r="G13" s="8"/>
      <c r="H13" s="8"/>
      <c r="I13" s="8"/>
      <c r="J13" s="132" t="s">
        <v>125</v>
      </c>
      <c r="K13" s="132"/>
      <c r="L13" s="95"/>
      <c r="M13" s="8"/>
      <c r="N13" s="8"/>
      <c r="O13" s="8"/>
      <c r="P13" s="131">
        <v>-1206880</v>
      </c>
      <c r="Q13" s="131"/>
      <c r="R13" s="95"/>
    </row>
    <row r="14" ht="20.4" customHeight="1" spans="1:18">
      <c r="A14" s="34" t="s">
        <v>168</v>
      </c>
      <c r="B14" s="34"/>
      <c r="C14" s="34"/>
      <c r="D14" s="130" t="s">
        <v>125</v>
      </c>
      <c r="E14" s="130"/>
      <c r="F14" s="98"/>
      <c r="G14" s="12"/>
      <c r="H14" s="12"/>
      <c r="I14" s="12"/>
      <c r="J14" s="129">
        <v>1101374</v>
      </c>
      <c r="K14" s="130"/>
      <c r="L14" s="98"/>
      <c r="M14" s="12"/>
      <c r="N14" s="12"/>
      <c r="O14" s="12"/>
      <c r="P14" s="130" t="s">
        <v>125</v>
      </c>
      <c r="Q14" s="130"/>
      <c r="R14" s="98"/>
    </row>
    <row r="15" ht="20.4" customHeight="1" spans="1:18">
      <c r="A15" s="40" t="s">
        <v>169</v>
      </c>
      <c r="B15" s="40"/>
      <c r="C15" s="40"/>
      <c r="D15" s="131">
        <v>-101445</v>
      </c>
      <c r="E15" s="131"/>
      <c r="F15" s="95"/>
      <c r="G15" s="8"/>
      <c r="H15" s="8"/>
      <c r="I15" s="8"/>
      <c r="J15" s="131">
        <v>8842</v>
      </c>
      <c r="K15" s="132"/>
      <c r="L15" s="95"/>
      <c r="M15" s="8"/>
      <c r="N15" s="8"/>
      <c r="O15" s="8"/>
      <c r="P15" s="131">
        <v>1550</v>
      </c>
      <c r="Q15" s="132"/>
      <c r="R15" s="95"/>
    </row>
    <row r="16" customHeight="1" spans="1:18">
      <c r="A16" s="34" t="s">
        <v>170</v>
      </c>
      <c r="B16" s="34"/>
      <c r="C16" s="34"/>
      <c r="D16" s="129">
        <v>2975</v>
      </c>
      <c r="E16" s="130"/>
      <c r="F16" s="98"/>
      <c r="G16" s="12"/>
      <c r="H16" s="12"/>
      <c r="I16" s="12"/>
      <c r="J16" s="129">
        <v>-10764</v>
      </c>
      <c r="K16" s="129"/>
      <c r="L16" s="98"/>
      <c r="M16" s="12"/>
      <c r="N16" s="12"/>
      <c r="O16" s="12"/>
      <c r="P16" s="129">
        <v>-19989</v>
      </c>
      <c r="Q16" s="129"/>
      <c r="R16" s="98"/>
    </row>
    <row r="17" ht="30.6" customHeight="1" spans="1:18">
      <c r="A17" s="40" t="s">
        <v>171</v>
      </c>
      <c r="B17" s="40"/>
      <c r="C17" s="4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customHeight="1" spans="1:18">
      <c r="A18" s="133" t="s">
        <v>172</v>
      </c>
      <c r="B18" s="133"/>
      <c r="C18" s="133"/>
      <c r="D18" s="129">
        <v>-189946</v>
      </c>
      <c r="E18" s="129"/>
      <c r="F18" s="98"/>
      <c r="G18" s="12"/>
      <c r="H18" s="12"/>
      <c r="I18" s="12"/>
      <c r="J18" s="129">
        <v>-188039</v>
      </c>
      <c r="K18" s="129"/>
      <c r="L18" s="98"/>
      <c r="M18" s="12"/>
      <c r="N18" s="12"/>
      <c r="O18" s="12"/>
      <c r="P18" s="129">
        <v>-67000</v>
      </c>
      <c r="Q18" s="129"/>
      <c r="R18" s="98"/>
    </row>
    <row r="19" customHeight="1" spans="1:18">
      <c r="A19" s="134" t="s">
        <v>173</v>
      </c>
      <c r="B19" s="134"/>
      <c r="C19" s="134"/>
      <c r="D19" s="131">
        <v>-121501</v>
      </c>
      <c r="E19" s="131"/>
      <c r="F19" s="95"/>
      <c r="G19" s="8"/>
      <c r="H19" s="8"/>
      <c r="I19" s="8"/>
      <c r="J19" s="131">
        <v>6398</v>
      </c>
      <c r="K19" s="132"/>
      <c r="L19" s="95"/>
      <c r="M19" s="8"/>
      <c r="N19" s="8"/>
      <c r="O19" s="8"/>
      <c r="P19" s="131">
        <v>-29602</v>
      </c>
      <c r="Q19" s="131"/>
      <c r="R19" s="95"/>
    </row>
    <row r="20" customHeight="1" spans="1:18">
      <c r="A20" s="133" t="s">
        <v>128</v>
      </c>
      <c r="B20" s="133"/>
      <c r="C20" s="133"/>
      <c r="D20" s="129">
        <v>219287</v>
      </c>
      <c r="E20" s="130"/>
      <c r="F20" s="98"/>
      <c r="G20" s="12"/>
      <c r="H20" s="12"/>
      <c r="I20" s="12"/>
      <c r="J20" s="129">
        <v>168000</v>
      </c>
      <c r="K20" s="130"/>
      <c r="L20" s="98"/>
      <c r="M20" s="12"/>
      <c r="N20" s="12"/>
      <c r="O20" s="12"/>
      <c r="P20" s="129">
        <v>149880</v>
      </c>
      <c r="Q20" s="130"/>
      <c r="R20" s="98"/>
    </row>
    <row r="21" customHeight="1" spans="1:18">
      <c r="A21" s="134" t="s">
        <v>136</v>
      </c>
      <c r="B21" s="134"/>
      <c r="C21" s="134"/>
      <c r="D21" s="131">
        <v>20869</v>
      </c>
      <c r="E21" s="132"/>
      <c r="F21" s="95"/>
      <c r="G21" s="8"/>
      <c r="H21" s="8"/>
      <c r="I21" s="8"/>
      <c r="J21" s="131">
        <v>18232</v>
      </c>
      <c r="K21" s="132"/>
      <c r="L21" s="95"/>
      <c r="M21" s="8"/>
      <c r="N21" s="8"/>
      <c r="O21" s="8"/>
      <c r="P21" s="131">
        <v>2946</v>
      </c>
      <c r="Q21" s="132"/>
      <c r="R21" s="95"/>
    </row>
    <row r="22" customHeight="1" spans="1:18">
      <c r="A22" s="133" t="s">
        <v>174</v>
      </c>
      <c r="B22" s="133"/>
      <c r="C22" s="133"/>
      <c r="D22" s="129">
        <v>260475</v>
      </c>
      <c r="E22" s="130"/>
      <c r="F22" s="98"/>
      <c r="G22" s="12"/>
      <c r="H22" s="12"/>
      <c r="I22" s="12"/>
      <c r="J22" s="129">
        <v>123345</v>
      </c>
      <c r="K22" s="130"/>
      <c r="L22" s="98"/>
      <c r="M22" s="12"/>
      <c r="N22" s="12"/>
      <c r="O22" s="12"/>
      <c r="P22" s="129">
        <v>92681</v>
      </c>
      <c r="Q22" s="130"/>
      <c r="R22" s="98"/>
    </row>
    <row r="23" ht="15.9" customHeight="1" spans="1:18">
      <c r="A23" s="134" t="s">
        <v>175</v>
      </c>
      <c r="B23" s="134"/>
      <c r="C23" s="134"/>
      <c r="D23" s="131">
        <v>-184151</v>
      </c>
      <c r="E23" s="131"/>
      <c r="F23" s="95"/>
      <c r="G23" s="8"/>
      <c r="H23" s="8"/>
      <c r="I23" s="8"/>
      <c r="J23" s="131">
        <v>-152531</v>
      </c>
      <c r="K23" s="131"/>
      <c r="L23" s="95"/>
      <c r="M23" s="8"/>
      <c r="N23" s="8"/>
      <c r="O23" s="8"/>
      <c r="P23" s="131">
        <v>-130205</v>
      </c>
      <c r="Q23" s="131"/>
      <c r="R23" s="95"/>
    </row>
    <row r="24" ht="21.15" customHeight="1" spans="1:18">
      <c r="A24" s="133" t="s">
        <v>176</v>
      </c>
      <c r="B24" s="133"/>
      <c r="C24" s="133"/>
      <c r="D24" s="135">
        <v>632689</v>
      </c>
      <c r="E24" s="136"/>
      <c r="F24" s="103"/>
      <c r="G24" s="12"/>
      <c r="H24" s="12"/>
      <c r="I24" s="12"/>
      <c r="J24" s="135">
        <v>992870</v>
      </c>
      <c r="K24" s="136"/>
      <c r="L24" s="103"/>
      <c r="M24" s="12"/>
      <c r="N24" s="12"/>
      <c r="O24" s="12"/>
      <c r="P24" s="135">
        <v>1303364</v>
      </c>
      <c r="Q24" s="136"/>
      <c r="R24" s="103"/>
    </row>
    <row r="25" customHeight="1" spans="1:18">
      <c r="A25" s="128" t="s">
        <v>177</v>
      </c>
      <c r="B25" s="128"/>
      <c r="C25" s="128"/>
      <c r="D25" s="7"/>
      <c r="E25" s="7"/>
      <c r="F25" s="7"/>
      <c r="G25" s="8"/>
      <c r="H25" s="8"/>
      <c r="I25" s="8"/>
      <c r="J25" s="7"/>
      <c r="K25" s="7"/>
      <c r="L25" s="7"/>
      <c r="M25" s="8"/>
      <c r="N25" s="8"/>
      <c r="O25" s="8"/>
      <c r="P25" s="7"/>
      <c r="Q25" s="7"/>
      <c r="R25" s="7"/>
    </row>
    <row r="26" customHeight="1" spans="1:18">
      <c r="A26" s="34" t="s">
        <v>178</v>
      </c>
      <c r="B26" s="34"/>
      <c r="C26" s="34"/>
      <c r="D26" s="129">
        <v>-1011546</v>
      </c>
      <c r="E26" s="129"/>
      <c r="F26" s="98"/>
      <c r="G26" s="12"/>
      <c r="H26" s="12"/>
      <c r="I26" s="12"/>
      <c r="J26" s="129">
        <v>-873354</v>
      </c>
      <c r="K26" s="129"/>
      <c r="L26" s="98"/>
      <c r="M26" s="12"/>
      <c r="N26" s="12"/>
      <c r="O26" s="12"/>
      <c r="P26" s="129">
        <v>-540688</v>
      </c>
      <c r="Q26" s="129"/>
      <c r="R26" s="98"/>
    </row>
    <row r="27" ht="20.4" customHeight="1" spans="1:18">
      <c r="A27" s="40" t="s">
        <v>179</v>
      </c>
      <c r="B27" s="40"/>
      <c r="C27" s="40"/>
      <c r="D27" s="131">
        <v>8462</v>
      </c>
      <c r="E27" s="132"/>
      <c r="F27" s="95"/>
      <c r="G27" s="8"/>
      <c r="H27" s="8"/>
      <c r="I27" s="8"/>
      <c r="J27" s="131">
        <v>9170</v>
      </c>
      <c r="K27" s="132"/>
      <c r="L27" s="95"/>
      <c r="M27" s="8"/>
      <c r="N27" s="8"/>
      <c r="O27" s="8"/>
      <c r="P27" s="131">
        <v>6158</v>
      </c>
      <c r="Q27" s="132"/>
      <c r="R27" s="95"/>
    </row>
    <row r="28" customHeight="1" spans="1:18">
      <c r="A28" s="34" t="s">
        <v>180</v>
      </c>
      <c r="B28" s="34"/>
      <c r="C28" s="34"/>
      <c r="D28" s="129">
        <v>-3736659</v>
      </c>
      <c r="E28" s="129"/>
      <c r="F28" s="98"/>
      <c r="G28" s="12"/>
      <c r="H28" s="12"/>
      <c r="I28" s="12"/>
      <c r="J28" s="129">
        <v>-6272395</v>
      </c>
      <c r="K28" s="129"/>
      <c r="L28" s="98"/>
      <c r="M28" s="12"/>
      <c r="N28" s="12"/>
      <c r="O28" s="12"/>
      <c r="P28" s="129">
        <v>-5798111</v>
      </c>
      <c r="Q28" s="129"/>
      <c r="R28" s="98"/>
    </row>
    <row r="29" ht="20.4" customHeight="1" spans="1:18">
      <c r="A29" s="40" t="s">
        <v>181</v>
      </c>
      <c r="B29" s="40"/>
      <c r="C29" s="40"/>
      <c r="D29" s="131">
        <v>3811768</v>
      </c>
      <c r="E29" s="132"/>
      <c r="F29" s="95"/>
      <c r="G29" s="8"/>
      <c r="H29" s="8"/>
      <c r="I29" s="8"/>
      <c r="J29" s="131">
        <v>4554238</v>
      </c>
      <c r="K29" s="132"/>
      <c r="L29" s="95"/>
      <c r="M29" s="8"/>
      <c r="N29" s="8"/>
      <c r="O29" s="8"/>
      <c r="P29" s="131">
        <v>4928097</v>
      </c>
      <c r="Q29" s="132"/>
      <c r="R29" s="95"/>
    </row>
    <row r="30" ht="20.4" customHeight="1" spans="1:18">
      <c r="A30" s="34" t="s">
        <v>182</v>
      </c>
      <c r="B30" s="34"/>
      <c r="C30" s="34"/>
      <c r="D30" s="129">
        <v>1172626</v>
      </c>
      <c r="E30" s="130"/>
      <c r="F30" s="98"/>
      <c r="G30" s="12"/>
      <c r="H30" s="12"/>
      <c r="I30" s="12"/>
      <c r="J30" s="129">
        <v>1092754</v>
      </c>
      <c r="K30" s="130"/>
      <c r="L30" s="98"/>
      <c r="M30" s="12"/>
      <c r="N30" s="12"/>
      <c r="O30" s="12"/>
      <c r="P30" s="129">
        <v>367116</v>
      </c>
      <c r="Q30" s="130"/>
      <c r="R30" s="98"/>
    </row>
    <row r="31" ht="20.4" customHeight="1" spans="1:18">
      <c r="A31" s="40" t="s">
        <v>183</v>
      </c>
      <c r="B31" s="40"/>
      <c r="C31" s="40"/>
      <c r="D31" s="131">
        <v>-39761</v>
      </c>
      <c r="E31" s="131"/>
      <c r="F31" s="95"/>
      <c r="G31" s="8"/>
      <c r="H31" s="8"/>
      <c r="I31" s="8"/>
      <c r="J31" s="131">
        <v>-11912</v>
      </c>
      <c r="K31" s="131"/>
      <c r="L31" s="95"/>
      <c r="M31" s="8"/>
      <c r="N31" s="8"/>
      <c r="O31" s="8"/>
      <c r="P31" s="131">
        <v>-51163</v>
      </c>
      <c r="Q31" s="131"/>
      <c r="R31" s="95"/>
    </row>
    <row r="32" customHeight="1" spans="1:18">
      <c r="A32" s="34" t="s">
        <v>184</v>
      </c>
      <c r="B32" s="34"/>
      <c r="C32" s="34"/>
      <c r="D32" s="129">
        <v>-69500</v>
      </c>
      <c r="E32" s="129"/>
      <c r="F32" s="98"/>
      <c r="G32" s="12"/>
      <c r="H32" s="12"/>
      <c r="I32" s="12"/>
      <c r="J32" s="130" t="s">
        <v>125</v>
      </c>
      <c r="K32" s="130"/>
      <c r="L32" s="98"/>
      <c r="M32" s="12"/>
      <c r="N32" s="12"/>
      <c r="O32" s="12"/>
      <c r="P32" s="130" t="s">
        <v>125</v>
      </c>
      <c r="Q32" s="130"/>
      <c r="R32" s="98"/>
    </row>
    <row r="33" ht="20.4" customHeight="1" spans="1:18">
      <c r="A33" s="40" t="s">
        <v>185</v>
      </c>
      <c r="B33" s="40"/>
      <c r="C33" s="40"/>
      <c r="D33" s="131">
        <v>-32702</v>
      </c>
      <c r="E33" s="131"/>
      <c r="F33" s="95"/>
      <c r="G33" s="8"/>
      <c r="H33" s="8"/>
      <c r="I33" s="8"/>
      <c r="J33" s="131">
        <v>-48016</v>
      </c>
      <c r="K33" s="131"/>
      <c r="L33" s="95"/>
      <c r="M33" s="8"/>
      <c r="N33" s="8"/>
      <c r="O33" s="8"/>
      <c r="P33" s="131">
        <v>-29664</v>
      </c>
      <c r="Q33" s="131"/>
      <c r="R33" s="95"/>
    </row>
    <row r="34" ht="15.9" customHeight="1" spans="1:18">
      <c r="A34" s="34" t="s">
        <v>186</v>
      </c>
      <c r="B34" s="34"/>
      <c r="C34" s="34"/>
      <c r="D34" s="129">
        <v>-50065</v>
      </c>
      <c r="E34" s="129"/>
      <c r="F34" s="98"/>
      <c r="G34" s="12"/>
      <c r="H34" s="12"/>
      <c r="I34" s="12"/>
      <c r="J34" s="129">
        <v>-11050</v>
      </c>
      <c r="K34" s="129"/>
      <c r="L34" s="98"/>
      <c r="M34" s="12"/>
      <c r="N34" s="12"/>
      <c r="O34" s="12"/>
      <c r="P34" s="129">
        <v>2281</v>
      </c>
      <c r="Q34" s="130"/>
      <c r="R34" s="98"/>
    </row>
    <row r="35" ht="21.15" customHeight="1" spans="1:18">
      <c r="A35" s="134" t="s">
        <v>187</v>
      </c>
      <c r="B35" s="134"/>
      <c r="C35" s="134"/>
      <c r="D35" s="137">
        <v>52623</v>
      </c>
      <c r="E35" s="138"/>
      <c r="F35" s="107"/>
      <c r="G35" s="8"/>
      <c r="H35" s="8"/>
      <c r="I35" s="8"/>
      <c r="J35" s="137">
        <v>-1560565</v>
      </c>
      <c r="K35" s="137"/>
      <c r="L35" s="107"/>
      <c r="M35" s="8"/>
      <c r="N35" s="8"/>
      <c r="O35" s="8"/>
      <c r="P35" s="137">
        <v>-1115974</v>
      </c>
      <c r="Q35" s="137"/>
      <c r="R35" s="107"/>
    </row>
    <row r="36" customHeight="1" spans="1:18">
      <c r="A36" s="139" t="s">
        <v>188</v>
      </c>
      <c r="B36" s="139"/>
      <c r="C36" s="139"/>
      <c r="D36" s="111"/>
      <c r="E36" s="111"/>
      <c r="F36" s="111"/>
      <c r="G36" s="12"/>
      <c r="H36" s="12"/>
      <c r="I36" s="12"/>
      <c r="J36" s="111"/>
      <c r="K36" s="111"/>
      <c r="L36" s="111"/>
      <c r="M36" s="12"/>
      <c r="N36" s="12"/>
      <c r="O36" s="12"/>
      <c r="P36" s="111"/>
      <c r="Q36" s="111"/>
      <c r="R36" s="111"/>
    </row>
    <row r="37" ht="20.4" customHeight="1" spans="1:18">
      <c r="A37" s="40" t="s">
        <v>189</v>
      </c>
      <c r="B37" s="40"/>
      <c r="C37" s="40"/>
      <c r="D37" s="131">
        <v>1437500</v>
      </c>
      <c r="E37" s="132"/>
      <c r="F37" s="95"/>
      <c r="G37" s="8"/>
      <c r="H37" s="8"/>
      <c r="I37" s="8"/>
      <c r="J37" s="131">
        <v>1000000</v>
      </c>
      <c r="K37" s="132"/>
      <c r="L37" s="95"/>
      <c r="M37" s="8"/>
      <c r="N37" s="8"/>
      <c r="O37" s="8"/>
      <c r="P37" s="132" t="s">
        <v>125</v>
      </c>
      <c r="Q37" s="132"/>
      <c r="R37" s="95"/>
    </row>
    <row r="38" customHeight="1" spans="1:18">
      <c r="A38" s="34" t="s">
        <v>190</v>
      </c>
      <c r="B38" s="34"/>
      <c r="C38" s="34"/>
      <c r="D38" s="130" t="s">
        <v>125</v>
      </c>
      <c r="E38" s="130"/>
      <c r="F38" s="98"/>
      <c r="G38" s="12"/>
      <c r="H38" s="12"/>
      <c r="I38" s="12"/>
      <c r="J38" s="130" t="s">
        <v>125</v>
      </c>
      <c r="K38" s="130"/>
      <c r="L38" s="98"/>
      <c r="M38" s="12"/>
      <c r="N38" s="12"/>
      <c r="O38" s="12"/>
      <c r="P38" s="129">
        <v>700000</v>
      </c>
      <c r="Q38" s="130"/>
      <c r="R38" s="98"/>
    </row>
    <row r="39" customHeight="1" spans="1:18">
      <c r="A39" s="40" t="s">
        <v>191</v>
      </c>
      <c r="B39" s="40"/>
      <c r="C39" s="40"/>
      <c r="D39" s="131">
        <v>-213469</v>
      </c>
      <c r="E39" s="131"/>
      <c r="F39" s="95"/>
      <c r="G39" s="8"/>
      <c r="H39" s="8"/>
      <c r="I39" s="8"/>
      <c r="J39" s="132" t="s">
        <v>125</v>
      </c>
      <c r="K39" s="132"/>
      <c r="L39" s="95"/>
      <c r="M39" s="8"/>
      <c r="N39" s="8"/>
      <c r="O39" s="8"/>
      <c r="P39" s="132" t="s">
        <v>125</v>
      </c>
      <c r="Q39" s="132"/>
      <c r="R39" s="95"/>
    </row>
    <row r="40" ht="20.4" customHeight="1" spans="1:18">
      <c r="A40" s="34" t="s">
        <v>192</v>
      </c>
      <c r="B40" s="34"/>
      <c r="C40" s="34"/>
      <c r="D40" s="129">
        <v>161144</v>
      </c>
      <c r="E40" s="130"/>
      <c r="F40" s="98"/>
      <c r="G40" s="12"/>
      <c r="H40" s="12"/>
      <c r="I40" s="12"/>
      <c r="J40" s="130" t="s">
        <v>125</v>
      </c>
      <c r="K40" s="130"/>
      <c r="L40" s="98"/>
      <c r="M40" s="12"/>
      <c r="N40" s="12"/>
      <c r="O40" s="12"/>
      <c r="P40" s="130" t="s">
        <v>125</v>
      </c>
      <c r="Q40" s="130"/>
      <c r="R40" s="98"/>
    </row>
    <row r="41" customHeight="1" spans="1:18">
      <c r="A41" s="40" t="s">
        <v>193</v>
      </c>
      <c r="B41" s="40"/>
      <c r="C41" s="40"/>
      <c r="D41" s="131">
        <v>-16769</v>
      </c>
      <c r="E41" s="131"/>
      <c r="F41" s="95"/>
      <c r="G41" s="8"/>
      <c r="H41" s="8"/>
      <c r="I41" s="8"/>
      <c r="J41" s="131">
        <v>-14662</v>
      </c>
      <c r="K41" s="131"/>
      <c r="L41" s="95"/>
      <c r="M41" s="8"/>
      <c r="N41" s="8"/>
      <c r="O41" s="8"/>
      <c r="P41" s="131">
        <v>-8070</v>
      </c>
      <c r="Q41" s="131"/>
      <c r="R41" s="95"/>
    </row>
    <row r="42" customHeight="1" spans="1:18">
      <c r="A42" s="34" t="s">
        <v>194</v>
      </c>
      <c r="B42" s="34"/>
      <c r="C42" s="34"/>
      <c r="D42" s="129">
        <v>-954000</v>
      </c>
      <c r="E42" s="129"/>
      <c r="F42" s="98"/>
      <c r="G42" s="12"/>
      <c r="H42" s="12"/>
      <c r="I42" s="12"/>
      <c r="J42" s="130" t="s">
        <v>125</v>
      </c>
      <c r="K42" s="130"/>
      <c r="L42" s="98"/>
      <c r="M42" s="12"/>
      <c r="N42" s="12"/>
      <c r="O42" s="12"/>
      <c r="P42" s="129">
        <v>-935000</v>
      </c>
      <c r="Q42" s="129"/>
      <c r="R42" s="98"/>
    </row>
    <row r="43" customHeight="1" spans="1:18">
      <c r="A43" s="40" t="s">
        <v>195</v>
      </c>
      <c r="B43" s="40"/>
      <c r="C43" s="40"/>
      <c r="D43" s="131">
        <v>-930530</v>
      </c>
      <c r="E43" s="131"/>
      <c r="F43" s="95"/>
      <c r="G43" s="8"/>
      <c r="H43" s="8"/>
      <c r="I43" s="8"/>
      <c r="J43" s="131">
        <v>-245292</v>
      </c>
      <c r="K43" s="131"/>
      <c r="L43" s="95"/>
      <c r="M43" s="8"/>
      <c r="N43" s="8"/>
      <c r="O43" s="8"/>
      <c r="P43" s="132" t="s">
        <v>125</v>
      </c>
      <c r="Q43" s="132"/>
      <c r="R43" s="95"/>
    </row>
    <row r="44" ht="20.4" customHeight="1" spans="1:18">
      <c r="A44" s="34" t="s">
        <v>196</v>
      </c>
      <c r="B44" s="34"/>
      <c r="C44" s="34"/>
      <c r="D44" s="129">
        <v>-26982</v>
      </c>
      <c r="E44" s="129"/>
      <c r="F44" s="98"/>
      <c r="G44" s="12"/>
      <c r="H44" s="12"/>
      <c r="I44" s="12"/>
      <c r="J44" s="129">
        <v>-22587</v>
      </c>
      <c r="K44" s="129"/>
      <c r="L44" s="98"/>
      <c r="M44" s="12"/>
      <c r="N44" s="12"/>
      <c r="O44" s="12"/>
      <c r="P44" s="129">
        <v>-19594</v>
      </c>
      <c r="Q44" s="129"/>
      <c r="R44" s="98"/>
    </row>
    <row r="45" customHeight="1" spans="1:18">
      <c r="A45" s="40" t="s">
        <v>197</v>
      </c>
      <c r="B45" s="40"/>
      <c r="C45" s="40"/>
      <c r="D45" s="132">
        <v>-565</v>
      </c>
      <c r="E45" s="132"/>
      <c r="F45" s="95"/>
      <c r="G45" s="8"/>
      <c r="H45" s="8"/>
      <c r="I45" s="8"/>
      <c r="J45" s="131">
        <v>-23062</v>
      </c>
      <c r="K45" s="131"/>
      <c r="L45" s="95"/>
      <c r="M45" s="8"/>
      <c r="N45" s="8"/>
      <c r="O45" s="8"/>
      <c r="P45" s="131">
        <v>-66677</v>
      </c>
      <c r="Q45" s="131"/>
      <c r="R45" s="95"/>
    </row>
    <row r="46" customHeight="1" spans="1:18">
      <c r="A46" s="34" t="s">
        <v>198</v>
      </c>
      <c r="B46" s="34"/>
      <c r="C46" s="34"/>
      <c r="D46" s="129">
        <v>2056</v>
      </c>
      <c r="E46" s="130"/>
      <c r="F46" s="98"/>
      <c r="G46" s="12"/>
      <c r="H46" s="12"/>
      <c r="I46" s="12"/>
      <c r="J46" s="129">
        <v>5442</v>
      </c>
      <c r="K46" s="130"/>
      <c r="L46" s="98"/>
      <c r="M46" s="12"/>
      <c r="N46" s="12"/>
      <c r="O46" s="12"/>
      <c r="P46" s="142">
        <v>788</v>
      </c>
      <c r="Q46" s="130"/>
      <c r="R46" s="98"/>
    </row>
    <row r="47" ht="31.35" customHeight="1" spans="1:18">
      <c r="A47" s="40" t="s">
        <v>199</v>
      </c>
      <c r="B47" s="40"/>
      <c r="C47" s="40"/>
      <c r="D47" s="131">
        <v>68792</v>
      </c>
      <c r="E47" s="132"/>
      <c r="F47" s="95"/>
      <c r="G47" s="8"/>
      <c r="H47" s="8"/>
      <c r="I47" s="8"/>
      <c r="J47" s="131">
        <v>55471</v>
      </c>
      <c r="K47" s="132"/>
      <c r="L47" s="95"/>
      <c r="M47" s="8"/>
      <c r="N47" s="8"/>
      <c r="O47" s="8"/>
      <c r="P47" s="131">
        <v>42378</v>
      </c>
      <c r="Q47" s="132"/>
      <c r="R47" s="95"/>
    </row>
    <row r="48" ht="21.15" customHeight="1" spans="1:18">
      <c r="A48" s="133" t="s">
        <v>200</v>
      </c>
      <c r="B48" s="133"/>
      <c r="C48" s="133"/>
      <c r="D48" s="135">
        <v>-472823</v>
      </c>
      <c r="E48" s="135"/>
      <c r="F48" s="103"/>
      <c r="G48" s="12"/>
      <c r="H48" s="12"/>
      <c r="I48" s="12"/>
      <c r="J48" s="135">
        <v>755310</v>
      </c>
      <c r="K48" s="136"/>
      <c r="L48" s="103"/>
      <c r="M48" s="12"/>
      <c r="N48" s="12"/>
      <c r="O48" s="12"/>
      <c r="P48" s="135">
        <v>-286175</v>
      </c>
      <c r="Q48" s="135"/>
      <c r="R48" s="103"/>
    </row>
    <row r="49" ht="20.4" customHeight="1" spans="1:18">
      <c r="A49" s="40" t="s">
        <v>201</v>
      </c>
      <c r="B49" s="40"/>
      <c r="C49" s="40"/>
      <c r="D49" s="137">
        <v>212489</v>
      </c>
      <c r="E49" s="138"/>
      <c r="F49" s="107"/>
      <c r="G49" s="8"/>
      <c r="H49" s="8"/>
      <c r="I49" s="8"/>
      <c r="J49" s="137">
        <v>187615</v>
      </c>
      <c r="K49" s="138"/>
      <c r="L49" s="107"/>
      <c r="M49" s="8"/>
      <c r="N49" s="8"/>
      <c r="O49" s="8"/>
      <c r="P49" s="137">
        <v>-98785</v>
      </c>
      <c r="Q49" s="137"/>
      <c r="R49" s="107"/>
    </row>
    <row r="50" ht="20.4" customHeight="1" spans="1:18">
      <c r="A50" s="34" t="s">
        <v>202</v>
      </c>
      <c r="B50" s="34"/>
      <c r="C50" s="34"/>
      <c r="D50" s="129">
        <v>-13080</v>
      </c>
      <c r="E50" s="129"/>
      <c r="F50" s="98"/>
      <c r="G50" s="12"/>
      <c r="H50" s="12"/>
      <c r="I50" s="12"/>
      <c r="J50" s="129">
        <v>-4005</v>
      </c>
      <c r="K50" s="129"/>
      <c r="L50" s="98"/>
      <c r="M50" s="12"/>
      <c r="N50" s="12"/>
      <c r="O50" s="12"/>
      <c r="P50" s="129">
        <v>4576</v>
      </c>
      <c r="Q50" s="130"/>
      <c r="R50" s="98"/>
    </row>
    <row r="51" ht="21.15" customHeight="1" spans="1:18">
      <c r="A51" s="40" t="s">
        <v>203</v>
      </c>
      <c r="B51" s="40"/>
      <c r="C51" s="40"/>
      <c r="D51" s="131">
        <v>2011276</v>
      </c>
      <c r="E51" s="132"/>
      <c r="F51" s="95"/>
      <c r="G51" s="8"/>
      <c r="H51" s="8"/>
      <c r="I51" s="8"/>
      <c r="J51" s="131">
        <v>1827666</v>
      </c>
      <c r="K51" s="132"/>
      <c r="L51" s="95"/>
      <c r="M51" s="8"/>
      <c r="N51" s="8"/>
      <c r="O51" s="8"/>
      <c r="P51" s="131">
        <v>1921875</v>
      </c>
      <c r="Q51" s="132"/>
      <c r="R51" s="95"/>
    </row>
    <row r="52" ht="21.15" customHeight="1" spans="1:18">
      <c r="A52" s="34" t="s">
        <v>204</v>
      </c>
      <c r="B52" s="34"/>
      <c r="C52" s="34"/>
      <c r="D52" s="140" t="s">
        <v>120</v>
      </c>
      <c r="E52" s="135">
        <v>2210685</v>
      </c>
      <c r="F52" s="103"/>
      <c r="G52" s="12"/>
      <c r="H52" s="12"/>
      <c r="I52" s="12"/>
      <c r="J52" s="140" t="s">
        <v>120</v>
      </c>
      <c r="K52" s="135">
        <v>2011276</v>
      </c>
      <c r="L52" s="103"/>
      <c r="M52" s="12"/>
      <c r="N52" s="12"/>
      <c r="O52" s="12"/>
      <c r="P52" s="140" t="s">
        <v>120</v>
      </c>
      <c r="Q52" s="135">
        <v>1827666</v>
      </c>
      <c r="R52" s="103"/>
    </row>
    <row r="53" ht="15.9" customHeight="1" spans="1:18">
      <c r="A53" s="128" t="s">
        <v>205</v>
      </c>
      <c r="B53" s="128"/>
      <c r="C53" s="128"/>
      <c r="D53" s="38"/>
      <c r="E53" s="38"/>
      <c r="F53" s="38"/>
      <c r="G53" s="8"/>
      <c r="H53" s="8"/>
      <c r="I53" s="8"/>
      <c r="J53" s="38"/>
      <c r="K53" s="38"/>
      <c r="L53" s="38"/>
      <c r="M53" s="8"/>
      <c r="N53" s="8"/>
      <c r="O53" s="8"/>
      <c r="P53" s="38"/>
      <c r="Q53" s="38"/>
      <c r="R53" s="38"/>
    </row>
    <row r="54" customHeight="1" spans="1:18">
      <c r="A54" s="34" t="s">
        <v>206</v>
      </c>
      <c r="B54" s="34"/>
      <c r="C54" s="34"/>
      <c r="D54" s="34" t="s">
        <v>120</v>
      </c>
      <c r="E54" s="129">
        <v>41754</v>
      </c>
      <c r="F54" s="98"/>
      <c r="G54" s="12"/>
      <c r="H54" s="12"/>
      <c r="I54" s="12"/>
      <c r="J54" s="34" t="s">
        <v>120</v>
      </c>
      <c r="K54" s="129">
        <v>38510</v>
      </c>
      <c r="L54" s="98"/>
      <c r="M54" s="12"/>
      <c r="N54" s="12"/>
      <c r="O54" s="12"/>
      <c r="P54" s="34" t="s">
        <v>120</v>
      </c>
      <c r="Q54" s="129">
        <v>12236</v>
      </c>
      <c r="R54" s="98"/>
    </row>
    <row r="55" customHeight="1" spans="1:18">
      <c r="A55" s="40" t="s">
        <v>207</v>
      </c>
      <c r="B55" s="40"/>
      <c r="C55" s="40"/>
      <c r="D55" s="40" t="s">
        <v>120</v>
      </c>
      <c r="E55" s="131">
        <v>113525</v>
      </c>
      <c r="F55" s="95"/>
      <c r="G55" s="8"/>
      <c r="H55" s="8"/>
      <c r="I55" s="8"/>
      <c r="J55" s="40" t="s">
        <v>120</v>
      </c>
      <c r="K55" s="131">
        <v>11480</v>
      </c>
      <c r="L55" s="95"/>
      <c r="M55" s="8"/>
      <c r="N55" s="8"/>
      <c r="O55" s="8"/>
      <c r="P55" s="40" t="s">
        <v>120</v>
      </c>
      <c r="Q55" s="131">
        <v>20144</v>
      </c>
      <c r="R55" s="95"/>
    </row>
    <row r="56" ht="30.6" customHeight="1" spans="1:18">
      <c r="A56" s="139" t="s">
        <v>208</v>
      </c>
      <c r="B56" s="139"/>
      <c r="C56" s="13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20.4" customHeight="1" spans="1:18">
      <c r="A57" s="40" t="s">
        <v>209</v>
      </c>
      <c r="B57" s="40"/>
      <c r="C57" s="40"/>
      <c r="D57" s="40" t="s">
        <v>120</v>
      </c>
      <c r="E57" s="131">
        <v>12640</v>
      </c>
      <c r="F57" s="95"/>
      <c r="G57" s="8"/>
      <c r="H57" s="8"/>
      <c r="I57" s="8"/>
      <c r="J57" s="40" t="s">
        <v>120</v>
      </c>
      <c r="K57" s="131">
        <v>8311</v>
      </c>
      <c r="L57" s="95"/>
      <c r="M57" s="8"/>
      <c r="N57" s="8"/>
      <c r="O57" s="8"/>
      <c r="P57" s="40" t="s">
        <v>120</v>
      </c>
      <c r="Q57" s="132" t="s">
        <v>125</v>
      </c>
      <c r="R57" s="95"/>
    </row>
    <row r="59" ht="20.4" customHeight="1" spans="1:18">
      <c r="A59" s="34" t="s">
        <v>210</v>
      </c>
      <c r="B59" s="34"/>
      <c r="C59" s="34"/>
      <c r="D59" s="34" t="s">
        <v>120</v>
      </c>
      <c r="E59" s="129">
        <v>-12149</v>
      </c>
      <c r="F59" s="98"/>
      <c r="G59" s="12"/>
      <c r="H59" s="12"/>
      <c r="I59" s="12"/>
      <c r="J59" s="34" t="s">
        <v>120</v>
      </c>
      <c r="K59" s="129">
        <v>24882</v>
      </c>
      <c r="L59" s="98"/>
      <c r="M59" s="12"/>
      <c r="N59" s="12"/>
      <c r="O59" s="12"/>
      <c r="P59" s="34" t="s">
        <v>120</v>
      </c>
      <c r="Q59" s="129">
        <v>14985</v>
      </c>
      <c r="R59" s="98"/>
    </row>
    <row r="60" ht="40.8" customHeight="1" spans="1:18">
      <c r="A60" s="128" t="s">
        <v>211</v>
      </c>
      <c r="B60" s="128"/>
      <c r="C60" s="12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customHeight="1" spans="1:18">
      <c r="A61" s="34" t="s">
        <v>119</v>
      </c>
      <c r="B61" s="34"/>
      <c r="C61" s="34"/>
      <c r="D61" s="34" t="s">
        <v>120</v>
      </c>
      <c r="E61" s="129">
        <v>2186549</v>
      </c>
      <c r="F61" s="98"/>
      <c r="G61" s="12"/>
      <c r="H61" s="12"/>
      <c r="I61" s="12"/>
      <c r="J61" s="34" t="s">
        <v>120</v>
      </c>
      <c r="K61" s="129">
        <v>1988429</v>
      </c>
      <c r="L61" s="98"/>
      <c r="M61" s="12"/>
      <c r="N61" s="12"/>
      <c r="O61" s="12"/>
      <c r="P61" s="34" t="s">
        <v>120</v>
      </c>
      <c r="Q61" s="129">
        <v>1799082</v>
      </c>
      <c r="R61" s="98"/>
    </row>
    <row r="62" ht="20.4" customHeight="1" spans="1:18">
      <c r="A62" s="40" t="s">
        <v>212</v>
      </c>
      <c r="B62" s="40"/>
      <c r="C62" s="40"/>
      <c r="D62" s="131">
        <v>8140</v>
      </c>
      <c r="E62" s="132"/>
      <c r="F62" s="95"/>
      <c r="G62" s="8"/>
      <c r="H62" s="8"/>
      <c r="I62" s="8"/>
      <c r="J62" s="131">
        <v>2287</v>
      </c>
      <c r="K62" s="132"/>
      <c r="L62" s="95"/>
      <c r="M62" s="8"/>
      <c r="N62" s="8"/>
      <c r="O62" s="8"/>
      <c r="P62" s="131">
        <v>1862</v>
      </c>
      <c r="Q62" s="132"/>
      <c r="R62" s="95"/>
    </row>
    <row r="63" ht="15.9" customHeight="1" spans="1:18">
      <c r="A63" s="34" t="s">
        <v>213</v>
      </c>
      <c r="B63" s="34"/>
      <c r="C63" s="34"/>
      <c r="D63" s="129">
        <v>15996</v>
      </c>
      <c r="E63" s="130"/>
      <c r="F63" s="98"/>
      <c r="G63" s="12"/>
      <c r="H63" s="12"/>
      <c r="I63" s="12"/>
      <c r="J63" s="129">
        <v>20560</v>
      </c>
      <c r="K63" s="130"/>
      <c r="L63" s="98"/>
      <c r="M63" s="12"/>
      <c r="N63" s="12"/>
      <c r="O63" s="12"/>
      <c r="P63" s="129">
        <v>26722</v>
      </c>
      <c r="Q63" s="130"/>
      <c r="R63" s="98"/>
    </row>
    <row r="64" ht="21.15" customHeight="1" spans="1:18">
      <c r="A64" s="40" t="s">
        <v>214</v>
      </c>
      <c r="B64" s="40"/>
      <c r="C64" s="40"/>
      <c r="D64" s="41" t="s">
        <v>120</v>
      </c>
      <c r="E64" s="141">
        <v>2210685</v>
      </c>
      <c r="F64" s="115"/>
      <c r="G64" s="8"/>
      <c r="H64" s="8"/>
      <c r="I64" s="8"/>
      <c r="J64" s="41" t="s">
        <v>120</v>
      </c>
      <c r="K64" s="141">
        <v>2011276</v>
      </c>
      <c r="L64" s="115"/>
      <c r="M64" s="8"/>
      <c r="N64" s="8"/>
      <c r="O64" s="8"/>
      <c r="P64" s="41" t="s">
        <v>120</v>
      </c>
      <c r="Q64" s="141">
        <v>1827666</v>
      </c>
      <c r="R64" s="115"/>
    </row>
    <row r="65" ht="126.15" spans="1:1">
      <c r="A65" s="143" t="s">
        <v>157</v>
      </c>
    </row>
    <row r="66" spans="1:1">
      <c r="A66" s="144">
        <v>65</v>
      </c>
    </row>
  </sheetData>
  <mergeCells count="338">
    <mergeCell ref="A2:C2"/>
    <mergeCell ref="D2:R2"/>
    <mergeCell ref="A3:C3"/>
    <mergeCell ref="D3:F3"/>
    <mergeCell ref="G3:I3"/>
    <mergeCell ref="J3:L3"/>
    <mergeCell ref="M3:O3"/>
    <mergeCell ref="P3:R3"/>
    <mergeCell ref="A4:C4"/>
    <mergeCell ref="D4:F4"/>
    <mergeCell ref="G4:I4"/>
    <mergeCell ref="J4:L4"/>
    <mergeCell ref="M4:O4"/>
    <mergeCell ref="P4:R4"/>
    <mergeCell ref="A5:C5"/>
    <mergeCell ref="G5:I5"/>
    <mergeCell ref="M5:O5"/>
    <mergeCell ref="A6:C6"/>
    <mergeCell ref="D6:F6"/>
    <mergeCell ref="G6:I6"/>
    <mergeCell ref="J6:L6"/>
    <mergeCell ref="M6:O6"/>
    <mergeCell ref="P6:R6"/>
    <mergeCell ref="A7:C7"/>
    <mergeCell ref="D7:E7"/>
    <mergeCell ref="G7:I7"/>
    <mergeCell ref="J7:K7"/>
    <mergeCell ref="M7:O7"/>
    <mergeCell ref="P7:Q7"/>
    <mergeCell ref="A8:C8"/>
    <mergeCell ref="D8:E8"/>
    <mergeCell ref="G8:I8"/>
    <mergeCell ref="J8:K8"/>
    <mergeCell ref="M8:O8"/>
    <mergeCell ref="P8:Q8"/>
    <mergeCell ref="A9:C9"/>
    <mergeCell ref="D9:E9"/>
    <mergeCell ref="G9:I9"/>
    <mergeCell ref="J9:K9"/>
    <mergeCell ref="M9:O9"/>
    <mergeCell ref="P9:Q9"/>
    <mergeCell ref="A10:C10"/>
    <mergeCell ref="D10:E10"/>
    <mergeCell ref="G10:I10"/>
    <mergeCell ref="J10:K10"/>
    <mergeCell ref="M10:O10"/>
    <mergeCell ref="P10:Q10"/>
    <mergeCell ref="A11:C11"/>
    <mergeCell ref="D11:E11"/>
    <mergeCell ref="G11:I11"/>
    <mergeCell ref="J11:K11"/>
    <mergeCell ref="M11:O11"/>
    <mergeCell ref="P11:Q11"/>
    <mergeCell ref="A13:C13"/>
    <mergeCell ref="D13:E13"/>
    <mergeCell ref="G13:I13"/>
    <mergeCell ref="J13:K13"/>
    <mergeCell ref="M13:O13"/>
    <mergeCell ref="P13:Q13"/>
    <mergeCell ref="A14:C14"/>
    <mergeCell ref="D14:E14"/>
    <mergeCell ref="G14:I14"/>
    <mergeCell ref="J14:K14"/>
    <mergeCell ref="M14:O14"/>
    <mergeCell ref="P14:Q14"/>
    <mergeCell ref="A15:C15"/>
    <mergeCell ref="D15:E15"/>
    <mergeCell ref="G15:I15"/>
    <mergeCell ref="J15:K15"/>
    <mergeCell ref="M15:O15"/>
    <mergeCell ref="P15:Q15"/>
    <mergeCell ref="A16:C16"/>
    <mergeCell ref="D16:E16"/>
    <mergeCell ref="G16:I16"/>
    <mergeCell ref="J16:K16"/>
    <mergeCell ref="M16:O16"/>
    <mergeCell ref="P16:Q16"/>
    <mergeCell ref="A17:C17"/>
    <mergeCell ref="D17:F17"/>
    <mergeCell ref="G17:I17"/>
    <mergeCell ref="J17:L17"/>
    <mergeCell ref="M17:O17"/>
    <mergeCell ref="P17:R17"/>
    <mergeCell ref="A18:C18"/>
    <mergeCell ref="D18:E18"/>
    <mergeCell ref="G18:I18"/>
    <mergeCell ref="J18:K18"/>
    <mergeCell ref="M18:O18"/>
    <mergeCell ref="P18:Q18"/>
    <mergeCell ref="A19:C19"/>
    <mergeCell ref="D19:E19"/>
    <mergeCell ref="G19:I19"/>
    <mergeCell ref="J19:K19"/>
    <mergeCell ref="M19:O19"/>
    <mergeCell ref="P19:Q19"/>
    <mergeCell ref="A20:C20"/>
    <mergeCell ref="D20:E20"/>
    <mergeCell ref="G20:I20"/>
    <mergeCell ref="J20:K20"/>
    <mergeCell ref="M20:O20"/>
    <mergeCell ref="P20:Q20"/>
    <mergeCell ref="A21:C21"/>
    <mergeCell ref="D21:E21"/>
    <mergeCell ref="G21:I21"/>
    <mergeCell ref="J21:K21"/>
    <mergeCell ref="M21:O21"/>
    <mergeCell ref="P21:Q21"/>
    <mergeCell ref="A22:C22"/>
    <mergeCell ref="D22:E22"/>
    <mergeCell ref="G22:I22"/>
    <mergeCell ref="J22:K22"/>
    <mergeCell ref="M22:O22"/>
    <mergeCell ref="P22:Q22"/>
    <mergeCell ref="A23:C23"/>
    <mergeCell ref="D23:E23"/>
    <mergeCell ref="G23:I23"/>
    <mergeCell ref="J23:K23"/>
    <mergeCell ref="M23:O23"/>
    <mergeCell ref="P23:Q23"/>
    <mergeCell ref="A24:C24"/>
    <mergeCell ref="D24:E24"/>
    <mergeCell ref="G24:I24"/>
    <mergeCell ref="J24:K24"/>
    <mergeCell ref="M24:O24"/>
    <mergeCell ref="P24:Q24"/>
    <mergeCell ref="A25:C25"/>
    <mergeCell ref="D25:F25"/>
    <mergeCell ref="G25:I25"/>
    <mergeCell ref="J25:L25"/>
    <mergeCell ref="M25:O25"/>
    <mergeCell ref="P25:R25"/>
    <mergeCell ref="A26:C26"/>
    <mergeCell ref="D26:E26"/>
    <mergeCell ref="G26:I26"/>
    <mergeCell ref="J26:K26"/>
    <mergeCell ref="M26:O26"/>
    <mergeCell ref="P26:Q26"/>
    <mergeCell ref="A27:C27"/>
    <mergeCell ref="D27:E27"/>
    <mergeCell ref="G27:I27"/>
    <mergeCell ref="J27:K27"/>
    <mergeCell ref="M27:O27"/>
    <mergeCell ref="P27:Q27"/>
    <mergeCell ref="A28:C28"/>
    <mergeCell ref="D28:E28"/>
    <mergeCell ref="G28:I28"/>
    <mergeCell ref="J28:K28"/>
    <mergeCell ref="M28:O28"/>
    <mergeCell ref="P28:Q28"/>
    <mergeCell ref="A29:C29"/>
    <mergeCell ref="D29:E29"/>
    <mergeCell ref="G29:I29"/>
    <mergeCell ref="J29:K29"/>
    <mergeCell ref="M29:O29"/>
    <mergeCell ref="P29:Q29"/>
    <mergeCell ref="A30:C30"/>
    <mergeCell ref="D30:E30"/>
    <mergeCell ref="G30:I30"/>
    <mergeCell ref="J30:K30"/>
    <mergeCell ref="M30:O30"/>
    <mergeCell ref="P30:Q30"/>
    <mergeCell ref="A31:C31"/>
    <mergeCell ref="D31:E31"/>
    <mergeCell ref="G31:I31"/>
    <mergeCell ref="J31:K31"/>
    <mergeCell ref="M31:O31"/>
    <mergeCell ref="P31:Q31"/>
    <mergeCell ref="A32:C32"/>
    <mergeCell ref="D32:E32"/>
    <mergeCell ref="G32:I32"/>
    <mergeCell ref="J32:K32"/>
    <mergeCell ref="M32:O32"/>
    <mergeCell ref="P32:Q32"/>
    <mergeCell ref="A33:C33"/>
    <mergeCell ref="D33:E33"/>
    <mergeCell ref="G33:I33"/>
    <mergeCell ref="J33:K33"/>
    <mergeCell ref="M33:O33"/>
    <mergeCell ref="P33:Q33"/>
    <mergeCell ref="A34:C34"/>
    <mergeCell ref="D34:E34"/>
    <mergeCell ref="G34:I34"/>
    <mergeCell ref="J34:K34"/>
    <mergeCell ref="M34:O34"/>
    <mergeCell ref="P34:Q34"/>
    <mergeCell ref="A35:C35"/>
    <mergeCell ref="D35:E35"/>
    <mergeCell ref="G35:I35"/>
    <mergeCell ref="J35:K35"/>
    <mergeCell ref="M35:O35"/>
    <mergeCell ref="P35:Q35"/>
    <mergeCell ref="A36:C36"/>
    <mergeCell ref="D36:F36"/>
    <mergeCell ref="G36:I36"/>
    <mergeCell ref="J36:L36"/>
    <mergeCell ref="M36:O36"/>
    <mergeCell ref="P36:R36"/>
    <mergeCell ref="A37:C37"/>
    <mergeCell ref="D37:E37"/>
    <mergeCell ref="G37:I37"/>
    <mergeCell ref="J37:K37"/>
    <mergeCell ref="M37:O37"/>
    <mergeCell ref="P37:Q37"/>
    <mergeCell ref="A38:C38"/>
    <mergeCell ref="D38:E38"/>
    <mergeCell ref="G38:I38"/>
    <mergeCell ref="J38:K38"/>
    <mergeCell ref="M38:O38"/>
    <mergeCell ref="P38:Q38"/>
    <mergeCell ref="A39:C39"/>
    <mergeCell ref="D39:E39"/>
    <mergeCell ref="G39:I39"/>
    <mergeCell ref="J39:K39"/>
    <mergeCell ref="M39:O39"/>
    <mergeCell ref="P39:Q39"/>
    <mergeCell ref="A40:C40"/>
    <mergeCell ref="D40:E40"/>
    <mergeCell ref="G40:I40"/>
    <mergeCell ref="J40:K40"/>
    <mergeCell ref="M40:O40"/>
    <mergeCell ref="P40:Q40"/>
    <mergeCell ref="A41:C41"/>
    <mergeCell ref="D41:E41"/>
    <mergeCell ref="G41:I41"/>
    <mergeCell ref="J41:K41"/>
    <mergeCell ref="M41:O41"/>
    <mergeCell ref="P41:Q41"/>
    <mergeCell ref="A42:C42"/>
    <mergeCell ref="D42:E42"/>
    <mergeCell ref="G42:I42"/>
    <mergeCell ref="J42:K42"/>
    <mergeCell ref="M42:O42"/>
    <mergeCell ref="P42:Q42"/>
    <mergeCell ref="A43:C43"/>
    <mergeCell ref="D43:E43"/>
    <mergeCell ref="G43:I43"/>
    <mergeCell ref="J43:K43"/>
    <mergeCell ref="M43:O43"/>
    <mergeCell ref="P43:Q43"/>
    <mergeCell ref="A44:C44"/>
    <mergeCell ref="D44:E44"/>
    <mergeCell ref="G44:I44"/>
    <mergeCell ref="J44:K44"/>
    <mergeCell ref="M44:O44"/>
    <mergeCell ref="P44:Q44"/>
    <mergeCell ref="A45:C45"/>
    <mergeCell ref="D45:E45"/>
    <mergeCell ref="G45:I45"/>
    <mergeCell ref="J45:K45"/>
    <mergeCell ref="M45:O45"/>
    <mergeCell ref="P45:Q45"/>
    <mergeCell ref="A46:C46"/>
    <mergeCell ref="D46:E46"/>
    <mergeCell ref="G46:I46"/>
    <mergeCell ref="J46:K46"/>
    <mergeCell ref="M46:O46"/>
    <mergeCell ref="P46:Q46"/>
    <mergeCell ref="A47:C47"/>
    <mergeCell ref="D47:E47"/>
    <mergeCell ref="G47:I47"/>
    <mergeCell ref="J47:K47"/>
    <mergeCell ref="M47:O47"/>
    <mergeCell ref="P47:Q47"/>
    <mergeCell ref="A48:C48"/>
    <mergeCell ref="D48:E48"/>
    <mergeCell ref="G48:I48"/>
    <mergeCell ref="J48:K48"/>
    <mergeCell ref="M48:O48"/>
    <mergeCell ref="P48:Q48"/>
    <mergeCell ref="A49:C49"/>
    <mergeCell ref="D49:E49"/>
    <mergeCell ref="G49:I49"/>
    <mergeCell ref="J49:K49"/>
    <mergeCell ref="M49:O49"/>
    <mergeCell ref="P49:Q49"/>
    <mergeCell ref="A50:C50"/>
    <mergeCell ref="D50:E50"/>
    <mergeCell ref="G50:I50"/>
    <mergeCell ref="J50:K50"/>
    <mergeCell ref="M50:O50"/>
    <mergeCell ref="P50:Q50"/>
    <mergeCell ref="A51:C51"/>
    <mergeCell ref="D51:E51"/>
    <mergeCell ref="G51:I51"/>
    <mergeCell ref="J51:K51"/>
    <mergeCell ref="M51:O51"/>
    <mergeCell ref="P51:Q51"/>
    <mergeCell ref="A52:C52"/>
    <mergeCell ref="G52:I52"/>
    <mergeCell ref="M52:O52"/>
    <mergeCell ref="A53:C53"/>
    <mergeCell ref="D53:F53"/>
    <mergeCell ref="G53:I53"/>
    <mergeCell ref="J53:L53"/>
    <mergeCell ref="M53:O53"/>
    <mergeCell ref="P53:R53"/>
    <mergeCell ref="A54:C54"/>
    <mergeCell ref="G54:I54"/>
    <mergeCell ref="M54:O54"/>
    <mergeCell ref="A55:C55"/>
    <mergeCell ref="G55:I55"/>
    <mergeCell ref="M55:O55"/>
    <mergeCell ref="A56:C56"/>
    <mergeCell ref="D56:F56"/>
    <mergeCell ref="G56:I56"/>
    <mergeCell ref="J56:L56"/>
    <mergeCell ref="M56:O56"/>
    <mergeCell ref="P56:R56"/>
    <mergeCell ref="A57:C57"/>
    <mergeCell ref="G57:I57"/>
    <mergeCell ref="M57:O57"/>
    <mergeCell ref="A59:C59"/>
    <mergeCell ref="G59:I59"/>
    <mergeCell ref="M59:O59"/>
    <mergeCell ref="A60:C60"/>
    <mergeCell ref="D60:F60"/>
    <mergeCell ref="G60:I60"/>
    <mergeCell ref="J60:L60"/>
    <mergeCell ref="M60:O60"/>
    <mergeCell ref="P60:R60"/>
    <mergeCell ref="A61:C61"/>
    <mergeCell ref="G61:I61"/>
    <mergeCell ref="M61:O61"/>
    <mergeCell ref="A62:C62"/>
    <mergeCell ref="D62:E62"/>
    <mergeCell ref="G62:I62"/>
    <mergeCell ref="J62:K62"/>
    <mergeCell ref="M62:O62"/>
    <mergeCell ref="P62:Q62"/>
    <mergeCell ref="A63:C63"/>
    <mergeCell ref="D63:E63"/>
    <mergeCell ref="G63:I63"/>
    <mergeCell ref="J63:K63"/>
    <mergeCell ref="M63:O63"/>
    <mergeCell ref="P63:Q63"/>
    <mergeCell ref="A64:C64"/>
    <mergeCell ref="G64:I64"/>
    <mergeCell ref="M64:O64"/>
  </mergeCells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workbookViewId="0">
      <selection activeCell="P15" sqref="P15:Q15"/>
    </sheetView>
  </sheetViews>
  <sheetFormatPr defaultColWidth="8.88888888888889" defaultRowHeight="14.4"/>
  <sheetData>
    <row r="1" ht="15.9" customHeight="1" spans="1:15">
      <c r="A1" s="116">
        <v>2021</v>
      </c>
      <c r="B1" s="116"/>
      <c r="C1" s="116"/>
      <c r="D1" s="68"/>
      <c r="E1" s="68"/>
      <c r="F1" s="68"/>
      <c r="G1" s="116">
        <v>2020</v>
      </c>
      <c r="H1" s="116"/>
      <c r="I1" s="116"/>
      <c r="J1" s="68"/>
      <c r="K1" s="68"/>
      <c r="L1" s="68"/>
      <c r="M1" s="116">
        <v>2019</v>
      </c>
      <c r="N1" s="116"/>
      <c r="O1" s="116"/>
    </row>
    <row r="2" customHeight="1" spans="1:18">
      <c r="A2" s="56" t="s">
        <v>54</v>
      </c>
      <c r="B2" s="56"/>
      <c r="C2" s="56"/>
      <c r="D2" s="46" t="s">
        <v>120</v>
      </c>
      <c r="E2" s="47">
        <v>5077482</v>
      </c>
      <c r="F2" s="69"/>
      <c r="G2" s="45"/>
      <c r="H2" s="45"/>
      <c r="I2" s="45"/>
      <c r="J2" s="46" t="s">
        <v>120</v>
      </c>
      <c r="K2" s="47">
        <v>3716349</v>
      </c>
      <c r="L2" s="69"/>
      <c r="M2" s="45"/>
      <c r="N2" s="45"/>
      <c r="O2" s="45"/>
      <c r="P2" s="46" t="s">
        <v>120</v>
      </c>
      <c r="Q2" s="47">
        <v>3459329</v>
      </c>
      <c r="R2" s="69"/>
    </row>
    <row r="3" customHeight="1" spans="1:18">
      <c r="A3" s="61" t="s">
        <v>215</v>
      </c>
      <c r="B3" s="61"/>
      <c r="C3" s="61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customHeight="1" spans="1:18">
      <c r="A4" s="56" t="s">
        <v>216</v>
      </c>
      <c r="B4" s="56"/>
      <c r="C4" s="56"/>
      <c r="D4" s="50">
        <v>1797510</v>
      </c>
      <c r="E4" s="51"/>
      <c r="F4" s="73"/>
      <c r="G4" s="45"/>
      <c r="H4" s="45"/>
      <c r="I4" s="45"/>
      <c r="J4" s="50">
        <v>1366388</v>
      </c>
      <c r="K4" s="51"/>
      <c r="L4" s="73"/>
      <c r="M4" s="45"/>
      <c r="N4" s="45"/>
      <c r="O4" s="45"/>
      <c r="P4" s="50">
        <v>1137041</v>
      </c>
      <c r="Q4" s="51"/>
      <c r="R4" s="73"/>
    </row>
    <row r="5" customHeight="1" spans="1:18">
      <c r="A5" s="61" t="s">
        <v>217</v>
      </c>
      <c r="B5" s="61"/>
      <c r="C5" s="61"/>
      <c r="D5" s="52">
        <v>1246704</v>
      </c>
      <c r="E5" s="53"/>
      <c r="F5" s="75"/>
      <c r="G5" s="49"/>
      <c r="H5" s="49"/>
      <c r="I5" s="49"/>
      <c r="J5" s="52">
        <v>873011</v>
      </c>
      <c r="K5" s="53"/>
      <c r="L5" s="75"/>
      <c r="M5" s="49"/>
      <c r="N5" s="49"/>
      <c r="O5" s="49"/>
      <c r="P5" s="52">
        <v>682281</v>
      </c>
      <c r="Q5" s="53"/>
      <c r="R5" s="75"/>
    </row>
    <row r="6" customHeight="1" spans="1:18">
      <c r="A6" s="56" t="s">
        <v>218</v>
      </c>
      <c r="B6" s="56"/>
      <c r="C6" s="56"/>
      <c r="D6" s="50">
        <v>1175970</v>
      </c>
      <c r="E6" s="51"/>
      <c r="F6" s="73"/>
      <c r="G6" s="45"/>
      <c r="H6" s="45"/>
      <c r="I6" s="45"/>
      <c r="J6" s="50">
        <v>887860</v>
      </c>
      <c r="K6" s="51"/>
      <c r="L6" s="73"/>
      <c r="M6" s="45"/>
      <c r="N6" s="45"/>
      <c r="O6" s="45"/>
      <c r="P6" s="50">
        <v>913813</v>
      </c>
      <c r="Q6" s="51"/>
      <c r="R6" s="73"/>
    </row>
    <row r="7" customHeight="1" spans="1:18">
      <c r="A7" s="61" t="s">
        <v>219</v>
      </c>
      <c r="B7" s="61"/>
      <c r="C7" s="61"/>
      <c r="D7" s="52">
        <v>584336</v>
      </c>
      <c r="E7" s="53"/>
      <c r="F7" s="75"/>
      <c r="G7" s="49"/>
      <c r="H7" s="49"/>
      <c r="I7" s="49"/>
      <c r="J7" s="52">
        <v>562432</v>
      </c>
      <c r="K7" s="53"/>
      <c r="L7" s="75"/>
      <c r="M7" s="49"/>
      <c r="N7" s="49"/>
      <c r="O7" s="49"/>
      <c r="P7" s="52">
        <v>359821</v>
      </c>
      <c r="Q7" s="53"/>
      <c r="R7" s="75"/>
    </row>
    <row r="8" ht="15.9" customHeight="1" spans="1:18">
      <c r="A8" s="56" t="s">
        <v>220</v>
      </c>
      <c r="B8" s="56"/>
      <c r="C8" s="56"/>
      <c r="D8" s="50">
        <v>765701</v>
      </c>
      <c r="E8" s="51"/>
      <c r="F8" s="73"/>
      <c r="G8" s="45"/>
      <c r="H8" s="45"/>
      <c r="I8" s="45"/>
      <c r="J8" s="65" t="s">
        <v>125</v>
      </c>
      <c r="K8" s="65"/>
      <c r="L8" s="74"/>
      <c r="M8" s="45"/>
      <c r="N8" s="45"/>
      <c r="O8" s="45"/>
      <c r="P8" s="65" t="s">
        <v>125</v>
      </c>
      <c r="Q8" s="65"/>
      <c r="R8" s="74"/>
    </row>
    <row r="9" ht="15.9" customHeight="1" spans="1:18">
      <c r="A9" s="61" t="s">
        <v>221</v>
      </c>
      <c r="B9" s="61"/>
      <c r="C9" s="61"/>
      <c r="D9" s="117">
        <v>5570221</v>
      </c>
      <c r="E9" s="118"/>
      <c r="F9" s="119"/>
      <c r="G9" s="49"/>
      <c r="H9" s="49"/>
      <c r="I9" s="49"/>
      <c r="J9" s="117">
        <v>3689691</v>
      </c>
      <c r="K9" s="118"/>
      <c r="L9" s="119"/>
      <c r="M9" s="49"/>
      <c r="N9" s="49"/>
      <c r="O9" s="49"/>
      <c r="P9" s="117">
        <v>3092956</v>
      </c>
      <c r="Q9" s="118"/>
      <c r="R9" s="119"/>
    </row>
    <row r="10" customHeight="1" spans="1:18">
      <c r="A10" s="56" t="s">
        <v>222</v>
      </c>
      <c r="B10" s="56"/>
      <c r="C10" s="56"/>
      <c r="D10" s="47">
        <v>-492739</v>
      </c>
      <c r="E10" s="47"/>
      <c r="F10" s="69"/>
      <c r="G10" s="45"/>
      <c r="H10" s="45"/>
      <c r="I10" s="45"/>
      <c r="J10" s="47">
        <v>26658</v>
      </c>
      <c r="K10" s="54"/>
      <c r="L10" s="69"/>
      <c r="M10" s="45"/>
      <c r="N10" s="45"/>
      <c r="O10" s="45"/>
      <c r="P10" s="47">
        <v>366373</v>
      </c>
      <c r="Q10" s="54"/>
      <c r="R10" s="69"/>
    </row>
    <row r="11" customHeight="1" spans="1:18">
      <c r="A11" s="61" t="s">
        <v>223</v>
      </c>
      <c r="B11" s="61"/>
      <c r="C11" s="61"/>
      <c r="D11" s="52">
        <v>-51186</v>
      </c>
      <c r="E11" s="52"/>
      <c r="F11" s="75"/>
      <c r="G11" s="49"/>
      <c r="H11" s="49"/>
      <c r="I11" s="49"/>
      <c r="J11" s="52">
        <v>-152878</v>
      </c>
      <c r="K11" s="52"/>
      <c r="L11" s="75"/>
      <c r="M11" s="49"/>
      <c r="N11" s="49"/>
      <c r="O11" s="49"/>
      <c r="P11" s="52">
        <v>-138180</v>
      </c>
      <c r="Q11" s="52"/>
      <c r="R11" s="75"/>
    </row>
    <row r="12" customHeight="1" spans="1:18">
      <c r="A12" s="56" t="s">
        <v>224</v>
      </c>
      <c r="B12" s="56"/>
      <c r="C12" s="56"/>
      <c r="D12" s="50">
        <v>35683</v>
      </c>
      <c r="E12" s="51"/>
      <c r="F12" s="73"/>
      <c r="G12" s="45"/>
      <c r="H12" s="45"/>
      <c r="I12" s="45"/>
      <c r="J12" s="50">
        <v>88178</v>
      </c>
      <c r="K12" s="51"/>
      <c r="L12" s="73"/>
      <c r="M12" s="45"/>
      <c r="N12" s="45"/>
      <c r="O12" s="45"/>
      <c r="P12" s="50">
        <v>157703</v>
      </c>
      <c r="Q12" s="51"/>
      <c r="R12" s="73"/>
    </row>
    <row r="13" ht="15.9" customHeight="1" spans="1:18">
      <c r="A13" s="61" t="s">
        <v>225</v>
      </c>
      <c r="B13" s="61"/>
      <c r="C13" s="61"/>
      <c r="D13" s="52">
        <v>97129</v>
      </c>
      <c r="E13" s="53"/>
      <c r="F13" s="75"/>
      <c r="G13" s="49"/>
      <c r="H13" s="49"/>
      <c r="I13" s="49"/>
      <c r="J13" s="52">
        <v>-12897</v>
      </c>
      <c r="K13" s="52"/>
      <c r="L13" s="75"/>
      <c r="M13" s="49"/>
      <c r="N13" s="49"/>
      <c r="O13" s="49"/>
      <c r="P13" s="52">
        <v>4243</v>
      </c>
      <c r="Q13" s="53"/>
      <c r="R13" s="75"/>
    </row>
    <row r="14" customHeight="1" spans="1:18">
      <c r="A14" s="56" t="s">
        <v>226</v>
      </c>
      <c r="B14" s="56"/>
      <c r="C14" s="56"/>
      <c r="D14" s="47">
        <v>-411113</v>
      </c>
      <c r="E14" s="47"/>
      <c r="F14" s="69"/>
      <c r="G14" s="45"/>
      <c r="H14" s="45"/>
      <c r="I14" s="45"/>
      <c r="J14" s="47">
        <v>-50939</v>
      </c>
      <c r="K14" s="47"/>
      <c r="L14" s="69"/>
      <c r="M14" s="45"/>
      <c r="N14" s="45"/>
      <c r="O14" s="45"/>
      <c r="P14" s="47">
        <v>390139</v>
      </c>
      <c r="Q14" s="54"/>
      <c r="R14" s="69"/>
    </row>
    <row r="15" ht="15.9" customHeight="1" spans="1:18">
      <c r="A15" s="61" t="s">
        <v>227</v>
      </c>
      <c r="B15" s="61"/>
      <c r="C15" s="61"/>
      <c r="D15" s="52">
        <v>-189704</v>
      </c>
      <c r="E15" s="52"/>
      <c r="F15" s="75"/>
      <c r="G15" s="49"/>
      <c r="H15" s="49"/>
      <c r="I15" s="49"/>
      <c r="J15" s="52">
        <v>1084687</v>
      </c>
      <c r="K15" s="53"/>
      <c r="L15" s="75"/>
      <c r="M15" s="49"/>
      <c r="N15" s="49"/>
      <c r="O15" s="49"/>
      <c r="P15" s="52">
        <v>-1075520</v>
      </c>
      <c r="Q15" s="52"/>
      <c r="R15" s="75"/>
    </row>
    <row r="16" ht="15.9" customHeight="1" spans="1:18">
      <c r="A16" s="56" t="s">
        <v>160</v>
      </c>
      <c r="B16" s="56"/>
      <c r="C16" s="56"/>
      <c r="D16" s="46" t="s">
        <v>120</v>
      </c>
      <c r="E16" s="47">
        <v>-221409</v>
      </c>
      <c r="F16" s="69"/>
      <c r="G16" s="45"/>
      <c r="H16" s="45"/>
      <c r="I16" s="45"/>
      <c r="J16" s="46" t="s">
        <v>120</v>
      </c>
      <c r="K16" s="47">
        <v>-1135626</v>
      </c>
      <c r="L16" s="69"/>
      <c r="M16" s="45"/>
      <c r="N16" s="45"/>
      <c r="O16" s="45"/>
      <c r="P16" s="46" t="s">
        <v>120</v>
      </c>
      <c r="Q16" s="47">
        <v>1465659</v>
      </c>
      <c r="R16" s="69"/>
    </row>
    <row r="17" ht="15.9" customHeight="1" spans="1:18">
      <c r="A17" s="61" t="s">
        <v>228</v>
      </c>
      <c r="B17" s="61"/>
      <c r="C17" s="61"/>
      <c r="D17" s="55"/>
      <c r="E17" s="55"/>
      <c r="F17" s="55"/>
      <c r="G17" s="49"/>
      <c r="H17" s="49"/>
      <c r="I17" s="49"/>
      <c r="J17" s="55"/>
      <c r="K17" s="55"/>
      <c r="L17" s="55"/>
      <c r="M17" s="49"/>
      <c r="N17" s="49"/>
      <c r="O17" s="49"/>
      <c r="P17" s="55"/>
      <c r="Q17" s="55"/>
      <c r="R17" s="55"/>
    </row>
    <row r="18" ht="15.9" customHeight="1" spans="1:18">
      <c r="A18" s="44" t="s">
        <v>229</v>
      </c>
      <c r="B18" s="44"/>
      <c r="C18" s="44"/>
      <c r="D18" s="56" t="s">
        <v>120</v>
      </c>
      <c r="E18" s="51">
        <v>-0.28</v>
      </c>
      <c r="F18" s="73"/>
      <c r="G18" s="45"/>
      <c r="H18" s="45"/>
      <c r="I18" s="45"/>
      <c r="J18" s="56" t="s">
        <v>120</v>
      </c>
      <c r="K18" s="51">
        <v>-1.44</v>
      </c>
      <c r="L18" s="73"/>
      <c r="M18" s="45"/>
      <c r="N18" s="45"/>
      <c r="O18" s="45"/>
      <c r="P18" s="56" t="s">
        <v>120</v>
      </c>
      <c r="Q18" s="57">
        <v>1.9</v>
      </c>
      <c r="R18" s="73"/>
    </row>
    <row r="19" ht="17.4" customHeight="1" spans="1:18">
      <c r="A19" s="48" t="s">
        <v>230</v>
      </c>
      <c r="B19" s="48"/>
      <c r="C19" s="48"/>
      <c r="D19" s="120" t="s">
        <v>120</v>
      </c>
      <c r="E19" s="121">
        <v>-0.28</v>
      </c>
      <c r="F19" s="122"/>
      <c r="G19" s="49"/>
      <c r="H19" s="49"/>
      <c r="I19" s="49"/>
      <c r="J19" s="120" t="s">
        <v>120</v>
      </c>
      <c r="K19" s="121">
        <v>-1.44</v>
      </c>
      <c r="L19" s="122"/>
      <c r="M19" s="49"/>
      <c r="N19" s="49"/>
      <c r="O19" s="49"/>
      <c r="P19" s="120" t="s">
        <v>120</v>
      </c>
      <c r="Q19" s="126">
        <v>1.87</v>
      </c>
      <c r="R19" s="122"/>
    </row>
    <row r="20" ht="34.95" customHeight="1" spans="1:18">
      <c r="A20" s="44" t="s">
        <v>231</v>
      </c>
      <c r="B20" s="44"/>
      <c r="C20" s="44"/>
      <c r="D20" s="60"/>
      <c r="E20" s="60"/>
      <c r="F20" s="60"/>
      <c r="G20" s="45"/>
      <c r="H20" s="45"/>
      <c r="I20" s="45"/>
      <c r="J20" s="60"/>
      <c r="K20" s="60"/>
      <c r="L20" s="60"/>
      <c r="M20" s="45"/>
      <c r="N20" s="45"/>
      <c r="O20" s="45"/>
      <c r="P20" s="60"/>
      <c r="Q20" s="60"/>
      <c r="R20" s="60"/>
    </row>
    <row r="21" ht="15.9" customHeight="1" spans="1:18">
      <c r="A21" s="61" t="s">
        <v>229</v>
      </c>
      <c r="B21" s="61"/>
      <c r="C21" s="61"/>
      <c r="D21" s="52">
        <v>797573</v>
      </c>
      <c r="E21" s="53"/>
      <c r="F21" s="75"/>
      <c r="G21" s="49"/>
      <c r="H21" s="49"/>
      <c r="I21" s="49"/>
      <c r="J21" s="52">
        <v>787861</v>
      </c>
      <c r="K21" s="53"/>
      <c r="L21" s="75"/>
      <c r="M21" s="49"/>
      <c r="N21" s="49"/>
      <c r="O21" s="49"/>
      <c r="P21" s="52">
        <v>770729</v>
      </c>
      <c r="Q21" s="53"/>
      <c r="R21" s="75"/>
    </row>
    <row r="22" ht="17.4" customHeight="1" spans="1:18">
      <c r="A22" s="56" t="s">
        <v>230</v>
      </c>
      <c r="B22" s="56"/>
      <c r="C22" s="56"/>
      <c r="D22" s="123">
        <v>797573</v>
      </c>
      <c r="E22" s="124"/>
      <c r="F22" s="125"/>
      <c r="G22" s="45"/>
      <c r="H22" s="45"/>
      <c r="I22" s="45"/>
      <c r="J22" s="123">
        <v>787861</v>
      </c>
      <c r="K22" s="124"/>
      <c r="L22" s="125"/>
      <c r="M22" s="45"/>
      <c r="N22" s="45"/>
      <c r="O22" s="45"/>
      <c r="P22" s="123">
        <v>785531</v>
      </c>
      <c r="Q22" s="124"/>
      <c r="R22" s="125"/>
    </row>
    <row r="23" ht="15.15"/>
  </sheetData>
  <mergeCells count="119">
    <mergeCell ref="A1:C1"/>
    <mergeCell ref="D1:F1"/>
    <mergeCell ref="G1:I1"/>
    <mergeCell ref="J1:L1"/>
    <mergeCell ref="M1:O1"/>
    <mergeCell ref="A2:C2"/>
    <mergeCell ref="G2:I2"/>
    <mergeCell ref="M2:O2"/>
    <mergeCell ref="A3:C3"/>
    <mergeCell ref="D3:F3"/>
    <mergeCell ref="G3:I3"/>
    <mergeCell ref="J3:L3"/>
    <mergeCell ref="M3:O3"/>
    <mergeCell ref="P3:R3"/>
    <mergeCell ref="A4:C4"/>
    <mergeCell ref="D4:E4"/>
    <mergeCell ref="G4:I4"/>
    <mergeCell ref="J4:K4"/>
    <mergeCell ref="M4:O4"/>
    <mergeCell ref="P4:Q4"/>
    <mergeCell ref="A5:C5"/>
    <mergeCell ref="D5:E5"/>
    <mergeCell ref="G5:I5"/>
    <mergeCell ref="J5:K5"/>
    <mergeCell ref="M5:O5"/>
    <mergeCell ref="P5:Q5"/>
    <mergeCell ref="A6:C6"/>
    <mergeCell ref="D6:E6"/>
    <mergeCell ref="G6:I6"/>
    <mergeCell ref="J6:K6"/>
    <mergeCell ref="M6:O6"/>
    <mergeCell ref="P6:Q6"/>
    <mergeCell ref="A7:C7"/>
    <mergeCell ref="D7:E7"/>
    <mergeCell ref="G7:I7"/>
    <mergeCell ref="J7:K7"/>
    <mergeCell ref="M7:O7"/>
    <mergeCell ref="P7:Q7"/>
    <mergeCell ref="A8:C8"/>
    <mergeCell ref="D8:E8"/>
    <mergeCell ref="G8:I8"/>
    <mergeCell ref="J8:K8"/>
    <mergeCell ref="M8:O8"/>
    <mergeCell ref="P8:Q8"/>
    <mergeCell ref="A9:C9"/>
    <mergeCell ref="D9:E9"/>
    <mergeCell ref="G9:I9"/>
    <mergeCell ref="J9:K9"/>
    <mergeCell ref="M9:O9"/>
    <mergeCell ref="P9:Q9"/>
    <mergeCell ref="A10:C10"/>
    <mergeCell ref="D10:E10"/>
    <mergeCell ref="G10:I10"/>
    <mergeCell ref="J10:K10"/>
    <mergeCell ref="M10:O10"/>
    <mergeCell ref="P10:Q10"/>
    <mergeCell ref="A11:C11"/>
    <mergeCell ref="D11:E11"/>
    <mergeCell ref="G11:I11"/>
    <mergeCell ref="J11:K11"/>
    <mergeCell ref="M11:O11"/>
    <mergeCell ref="P11:Q11"/>
    <mergeCell ref="A12:C12"/>
    <mergeCell ref="D12:E12"/>
    <mergeCell ref="G12:I12"/>
    <mergeCell ref="J12:K12"/>
    <mergeCell ref="M12:O12"/>
    <mergeCell ref="P12:Q12"/>
    <mergeCell ref="A13:C13"/>
    <mergeCell ref="D13:E13"/>
    <mergeCell ref="G13:I13"/>
    <mergeCell ref="J13:K13"/>
    <mergeCell ref="M13:O13"/>
    <mergeCell ref="P13:Q13"/>
    <mergeCell ref="A14:C14"/>
    <mergeCell ref="D14:E14"/>
    <mergeCell ref="G14:I14"/>
    <mergeCell ref="J14:K14"/>
    <mergeCell ref="M14:O14"/>
    <mergeCell ref="P14:Q14"/>
    <mergeCell ref="A15:C15"/>
    <mergeCell ref="D15:E15"/>
    <mergeCell ref="G15:I15"/>
    <mergeCell ref="J15:K15"/>
    <mergeCell ref="M15:O15"/>
    <mergeCell ref="P15:Q15"/>
    <mergeCell ref="A16:C16"/>
    <mergeCell ref="G16:I16"/>
    <mergeCell ref="M16:O16"/>
    <mergeCell ref="A17:C17"/>
    <mergeCell ref="D17:F17"/>
    <mergeCell ref="G17:I17"/>
    <mergeCell ref="J17:L17"/>
    <mergeCell ref="M17:O17"/>
    <mergeCell ref="P17:R17"/>
    <mergeCell ref="A18:C18"/>
    <mergeCell ref="G18:I18"/>
    <mergeCell ref="M18:O18"/>
    <mergeCell ref="A19:C19"/>
    <mergeCell ref="G19:I19"/>
    <mergeCell ref="M19:O19"/>
    <mergeCell ref="A20:C20"/>
    <mergeCell ref="D20:F20"/>
    <mergeCell ref="G20:I20"/>
    <mergeCell ref="J20:L20"/>
    <mergeCell ref="M20:O20"/>
    <mergeCell ref="P20:R20"/>
    <mergeCell ref="A21:C21"/>
    <mergeCell ref="D21:E21"/>
    <mergeCell ref="G21:I21"/>
    <mergeCell ref="J21:K21"/>
    <mergeCell ref="M21:O21"/>
    <mergeCell ref="P21:Q21"/>
    <mergeCell ref="A22:C22"/>
    <mergeCell ref="D22:E22"/>
    <mergeCell ref="G22:I22"/>
    <mergeCell ref="J22:K22"/>
    <mergeCell ref="M22:O22"/>
    <mergeCell ref="P22:Q22"/>
  </mergeCells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selection activeCell="D11" sqref="D11:E11"/>
    </sheetView>
  </sheetViews>
  <sheetFormatPr defaultColWidth="8.88888888888889" defaultRowHeight="14.4"/>
  <cols>
    <col min="5" max="5" width="9.88888888888889"/>
    <col min="11" max="11" width="9.88888888888889"/>
  </cols>
  <sheetData>
    <row r="1" spans="1:1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1" spans="1:12">
      <c r="A2" s="2"/>
      <c r="B2" s="2"/>
      <c r="C2" s="2"/>
      <c r="D2" s="90" t="s">
        <v>232</v>
      </c>
      <c r="E2" s="90"/>
      <c r="F2" s="90"/>
      <c r="G2" s="2"/>
      <c r="H2" s="2"/>
      <c r="I2" s="2"/>
      <c r="J2" s="90" t="s">
        <v>116</v>
      </c>
      <c r="K2" s="90"/>
      <c r="L2" s="90"/>
    </row>
    <row r="3" ht="15.9" customHeight="1" spans="1:12">
      <c r="A3" s="2"/>
      <c r="B3" s="2"/>
      <c r="C3" s="2"/>
      <c r="D3" s="90">
        <v>2022</v>
      </c>
      <c r="E3" s="90"/>
      <c r="F3" s="90"/>
      <c r="G3" s="2"/>
      <c r="H3" s="2"/>
      <c r="I3" s="2"/>
      <c r="J3" s="90">
        <v>2021</v>
      </c>
      <c r="K3" s="90"/>
      <c r="L3" s="90"/>
    </row>
    <row r="4" customHeight="1" spans="1:12">
      <c r="A4" s="91" t="s">
        <v>117</v>
      </c>
      <c r="B4" s="91"/>
      <c r="C4" s="91"/>
      <c r="D4" s="7"/>
      <c r="E4" s="7"/>
      <c r="F4" s="7"/>
      <c r="G4" s="8"/>
      <c r="H4" s="8"/>
      <c r="I4" s="8"/>
      <c r="J4" s="7"/>
      <c r="K4" s="7"/>
      <c r="L4" s="7"/>
    </row>
    <row r="5" customHeight="1" spans="1:12">
      <c r="A5" s="92" t="s">
        <v>118</v>
      </c>
      <c r="B5" s="92"/>
      <c r="C5" s="92"/>
      <c r="D5" s="12"/>
      <c r="E5" s="12"/>
      <c r="F5" s="12"/>
      <c r="G5" s="12"/>
      <c r="H5" s="12"/>
      <c r="I5" s="12"/>
      <c r="J5" s="12"/>
      <c r="K5" s="12"/>
      <c r="L5" s="12"/>
    </row>
    <row r="6" customHeight="1" spans="1:12">
      <c r="A6" s="93" t="s">
        <v>119</v>
      </c>
      <c r="B6" s="93"/>
      <c r="C6" s="93"/>
      <c r="D6" s="93" t="s">
        <v>120</v>
      </c>
      <c r="E6" s="94">
        <v>2680596</v>
      </c>
      <c r="F6" s="95"/>
      <c r="G6" s="8"/>
      <c r="H6" s="8"/>
      <c r="I6" s="8"/>
      <c r="J6" s="93" t="s">
        <v>120</v>
      </c>
      <c r="K6" s="94">
        <v>2186549</v>
      </c>
      <c r="L6" s="95"/>
    </row>
    <row r="7" customHeight="1" spans="1:12">
      <c r="A7" s="92" t="s">
        <v>121</v>
      </c>
      <c r="B7" s="92"/>
      <c r="C7" s="92"/>
      <c r="D7" s="96">
        <v>3440147</v>
      </c>
      <c r="E7" s="97"/>
      <c r="F7" s="98"/>
      <c r="G7" s="12"/>
      <c r="H7" s="12"/>
      <c r="I7" s="12"/>
      <c r="J7" s="96">
        <v>4207133</v>
      </c>
      <c r="K7" s="97"/>
      <c r="L7" s="98"/>
    </row>
    <row r="8" ht="34.2" customHeight="1" spans="1:12">
      <c r="A8" s="93" t="s">
        <v>233</v>
      </c>
      <c r="B8" s="93"/>
      <c r="C8" s="93"/>
      <c r="D8" s="94">
        <v>972591</v>
      </c>
      <c r="E8" s="99"/>
      <c r="F8" s="95"/>
      <c r="G8" s="8"/>
      <c r="H8" s="8"/>
      <c r="I8" s="8"/>
      <c r="J8" s="94">
        <v>1217404</v>
      </c>
      <c r="K8" s="99"/>
      <c r="L8" s="95"/>
    </row>
    <row r="9" ht="22.8" customHeight="1" spans="1:12">
      <c r="A9" s="92" t="s">
        <v>123</v>
      </c>
      <c r="B9" s="92"/>
      <c r="C9" s="92"/>
      <c r="D9" s="96">
        <v>180247</v>
      </c>
      <c r="E9" s="97"/>
      <c r="F9" s="98"/>
      <c r="G9" s="12"/>
      <c r="H9" s="12"/>
      <c r="I9" s="12"/>
      <c r="J9" s="96">
        <v>266484</v>
      </c>
      <c r="K9" s="97"/>
      <c r="L9" s="98"/>
    </row>
    <row r="10" ht="15.9" customHeight="1" spans="1:12">
      <c r="A10" s="93" t="s">
        <v>124</v>
      </c>
      <c r="B10" s="93"/>
      <c r="C10" s="93"/>
      <c r="D10" s="99" t="s">
        <v>125</v>
      </c>
      <c r="E10" s="99"/>
      <c r="F10" s="95"/>
      <c r="G10" s="8"/>
      <c r="H10" s="8"/>
      <c r="I10" s="8"/>
      <c r="J10" s="94">
        <v>40800</v>
      </c>
      <c r="K10" s="99"/>
      <c r="L10" s="95"/>
    </row>
    <row r="11" customHeight="1" spans="1:12">
      <c r="A11" s="100" t="s">
        <v>126</v>
      </c>
      <c r="B11" s="100"/>
      <c r="C11" s="100"/>
      <c r="D11" s="101">
        <v>7273581</v>
      </c>
      <c r="E11" s="102"/>
      <c r="F11" s="103"/>
      <c r="G11" s="12"/>
      <c r="H11" s="12"/>
      <c r="I11" s="12"/>
      <c r="J11" s="101">
        <v>7918370</v>
      </c>
      <c r="K11" s="102"/>
      <c r="L11" s="103"/>
    </row>
    <row r="12" customHeight="1" spans="1:12">
      <c r="A12" s="93" t="s">
        <v>127</v>
      </c>
      <c r="B12" s="93"/>
      <c r="C12" s="93"/>
      <c r="D12" s="94">
        <v>2175290</v>
      </c>
      <c r="E12" s="99"/>
      <c r="F12" s="95"/>
      <c r="G12" s="8"/>
      <c r="H12" s="8"/>
      <c r="I12" s="8"/>
      <c r="J12" s="94">
        <v>2082160</v>
      </c>
      <c r="K12" s="99"/>
      <c r="L12" s="95"/>
    </row>
    <row r="13" customHeight="1" spans="1:12">
      <c r="A13" s="92" t="s">
        <v>128</v>
      </c>
      <c r="B13" s="92"/>
      <c r="C13" s="92"/>
      <c r="D13" s="96">
        <v>1372465</v>
      </c>
      <c r="E13" s="97"/>
      <c r="F13" s="98"/>
      <c r="G13" s="12"/>
      <c r="H13" s="12"/>
      <c r="I13" s="12"/>
      <c r="J13" s="96">
        <v>1195124</v>
      </c>
      <c r="K13" s="97"/>
      <c r="L13" s="98"/>
    </row>
    <row r="14" customHeight="1" spans="1:12">
      <c r="A14" s="93" t="s">
        <v>129</v>
      </c>
      <c r="B14" s="93"/>
      <c r="C14" s="93"/>
      <c r="D14" s="94">
        <v>52643</v>
      </c>
      <c r="E14" s="99"/>
      <c r="F14" s="95"/>
      <c r="G14" s="8"/>
      <c r="H14" s="8"/>
      <c r="I14" s="8"/>
      <c r="J14" s="94">
        <v>69324</v>
      </c>
      <c r="K14" s="99"/>
      <c r="L14" s="95"/>
    </row>
    <row r="15" customHeight="1" spans="1:12">
      <c r="A15" s="92" t="s">
        <v>130</v>
      </c>
      <c r="B15" s="92"/>
      <c r="C15" s="92"/>
      <c r="D15" s="96">
        <v>1303438</v>
      </c>
      <c r="E15" s="97"/>
      <c r="F15" s="98"/>
      <c r="G15" s="12"/>
      <c r="H15" s="12"/>
      <c r="I15" s="12"/>
      <c r="J15" s="96">
        <v>1301520</v>
      </c>
      <c r="K15" s="97"/>
      <c r="L15" s="98"/>
    </row>
    <row r="16" customHeight="1" spans="1:12">
      <c r="A16" s="93" t="s">
        <v>131</v>
      </c>
      <c r="B16" s="93"/>
      <c r="C16" s="93"/>
      <c r="D16" s="94">
        <v>997900</v>
      </c>
      <c r="E16" s="99"/>
      <c r="F16" s="95"/>
      <c r="G16" s="8"/>
      <c r="H16" s="8"/>
      <c r="I16" s="8"/>
      <c r="J16" s="94">
        <v>1148573</v>
      </c>
      <c r="K16" s="99"/>
      <c r="L16" s="95"/>
    </row>
    <row r="17" ht="15.9" customHeight="1" spans="1:12">
      <c r="A17" s="92" t="s">
        <v>132</v>
      </c>
      <c r="B17" s="92"/>
      <c r="C17" s="92"/>
      <c r="D17" s="96">
        <v>403970</v>
      </c>
      <c r="E17" s="97"/>
      <c r="F17" s="98"/>
      <c r="G17" s="12"/>
      <c r="H17" s="12"/>
      <c r="I17" s="12"/>
      <c r="J17" s="96">
        <v>344445</v>
      </c>
      <c r="K17" s="97"/>
      <c r="L17" s="98"/>
    </row>
    <row r="18" ht="24.3" customHeight="1" spans="1:12">
      <c r="A18" s="104" t="s">
        <v>133</v>
      </c>
      <c r="B18" s="104"/>
      <c r="C18" s="104"/>
      <c r="D18" s="105" t="s">
        <v>120</v>
      </c>
      <c r="E18" s="106">
        <v>13579287</v>
      </c>
      <c r="F18" s="107"/>
      <c r="G18" s="8"/>
      <c r="H18" s="8"/>
      <c r="I18" s="8"/>
      <c r="J18" s="105" t="s">
        <v>120</v>
      </c>
      <c r="K18" s="106">
        <v>14059516</v>
      </c>
      <c r="L18" s="107"/>
    </row>
    <row r="19" ht="24.75" customHeight="1" spans="1:12">
      <c r="A19" s="108" t="s">
        <v>134</v>
      </c>
      <c r="B19" s="108"/>
      <c r="C19" s="108"/>
      <c r="D19" s="109"/>
      <c r="E19" s="109"/>
      <c r="F19" s="109"/>
      <c r="G19" s="12"/>
      <c r="H19" s="12"/>
      <c r="I19" s="12"/>
      <c r="J19" s="109"/>
      <c r="K19" s="109"/>
      <c r="L19" s="109"/>
    </row>
    <row r="20" customHeight="1" spans="1:12">
      <c r="A20" s="93" t="s">
        <v>135</v>
      </c>
      <c r="B20" s="93"/>
      <c r="C20" s="93"/>
      <c r="D20" s="8"/>
      <c r="E20" s="8"/>
      <c r="F20" s="8"/>
      <c r="G20" s="8"/>
      <c r="H20" s="8"/>
      <c r="I20" s="8"/>
      <c r="J20" s="8"/>
      <c r="K20" s="8"/>
      <c r="L20" s="8"/>
    </row>
    <row r="21" customHeight="1" spans="1:12">
      <c r="A21" s="92" t="s">
        <v>136</v>
      </c>
      <c r="B21" s="92"/>
      <c r="C21" s="92"/>
      <c r="D21" s="92" t="s">
        <v>120</v>
      </c>
      <c r="E21" s="96">
        <v>153092</v>
      </c>
      <c r="F21" s="98"/>
      <c r="G21" s="12"/>
      <c r="H21" s="12"/>
      <c r="I21" s="12"/>
      <c r="J21" s="92" t="s">
        <v>120</v>
      </c>
      <c r="K21" s="96">
        <v>203171</v>
      </c>
      <c r="L21" s="98"/>
    </row>
    <row r="22" customHeight="1" spans="1:12">
      <c r="A22" s="93" t="s">
        <v>137</v>
      </c>
      <c r="B22" s="93"/>
      <c r="C22" s="93"/>
      <c r="D22" s="94">
        <v>676189</v>
      </c>
      <c r="E22" s="99"/>
      <c r="F22" s="95"/>
      <c r="G22" s="8"/>
      <c r="H22" s="8"/>
      <c r="I22" s="8"/>
      <c r="J22" s="94">
        <v>918350</v>
      </c>
      <c r="K22" s="99"/>
      <c r="L22" s="95"/>
    </row>
    <row r="24" ht="22.8" customHeight="1" spans="1:12">
      <c r="A24" s="92" t="s">
        <v>139</v>
      </c>
      <c r="B24" s="92"/>
      <c r="C24" s="92"/>
      <c r="D24" s="96">
        <v>187982</v>
      </c>
      <c r="E24" s="97"/>
      <c r="F24" s="98"/>
      <c r="G24" s="12"/>
      <c r="H24" s="12"/>
      <c r="I24" s="12"/>
      <c r="J24" s="96">
        <v>222346</v>
      </c>
      <c r="K24" s="97"/>
      <c r="L24" s="98"/>
    </row>
    <row r="26" ht="15.15"/>
    <row r="27" customHeight="1" spans="1:12">
      <c r="A27" s="104" t="s">
        <v>140</v>
      </c>
      <c r="B27" s="104"/>
      <c r="C27" s="104"/>
      <c r="D27" s="106">
        <v>1017263</v>
      </c>
      <c r="E27" s="110"/>
      <c r="F27" s="107"/>
      <c r="G27" s="8"/>
      <c r="H27" s="8"/>
      <c r="I27" s="8"/>
      <c r="J27" s="106">
        <v>1343867</v>
      </c>
      <c r="K27" s="110"/>
      <c r="L27" s="107"/>
    </row>
    <row r="28" customHeight="1" spans="1:12">
      <c r="A28" s="92" t="s">
        <v>141</v>
      </c>
      <c r="B28" s="92"/>
      <c r="C28" s="92"/>
      <c r="D28" s="96">
        <v>3563136</v>
      </c>
      <c r="E28" s="97"/>
      <c r="F28" s="98"/>
      <c r="G28" s="12"/>
      <c r="H28" s="12"/>
      <c r="I28" s="12"/>
      <c r="J28" s="96">
        <v>3559023</v>
      </c>
      <c r="K28" s="97"/>
      <c r="L28" s="98"/>
    </row>
    <row r="29" customHeight="1" spans="1:12">
      <c r="A29" s="93" t="s">
        <v>142</v>
      </c>
      <c r="B29" s="93"/>
      <c r="C29" s="93"/>
      <c r="D29" s="94">
        <v>1683713</v>
      </c>
      <c r="E29" s="99"/>
      <c r="F29" s="95"/>
      <c r="G29" s="8"/>
      <c r="H29" s="8"/>
      <c r="I29" s="8"/>
      <c r="J29" s="94">
        <v>693996</v>
      </c>
      <c r="K29" s="99"/>
      <c r="L29" s="95"/>
    </row>
    <row r="30" customHeight="1" spans="1:12">
      <c r="A30" s="92" t="s">
        <v>143</v>
      </c>
      <c r="B30" s="92"/>
      <c r="C30" s="92"/>
      <c r="D30" s="96">
        <v>1282393</v>
      </c>
      <c r="E30" s="97"/>
      <c r="F30" s="98"/>
      <c r="G30" s="12"/>
      <c r="H30" s="12"/>
      <c r="I30" s="12"/>
      <c r="J30" s="96">
        <v>1071209</v>
      </c>
      <c r="K30" s="97"/>
      <c r="L30" s="98"/>
    </row>
    <row r="32" ht="22.8" customHeight="1" spans="1:12">
      <c r="A32" s="93" t="s">
        <v>144</v>
      </c>
      <c r="B32" s="93"/>
      <c r="C32" s="93"/>
      <c r="D32" s="94">
        <v>41190</v>
      </c>
      <c r="E32" s="99"/>
      <c r="F32" s="95"/>
      <c r="G32" s="8"/>
      <c r="H32" s="8"/>
      <c r="I32" s="8"/>
      <c r="J32" s="94">
        <v>40691</v>
      </c>
      <c r="K32" s="99"/>
      <c r="L32" s="95"/>
    </row>
    <row r="33" ht="15.9" customHeight="1" spans="1:12">
      <c r="A33" s="92" t="s">
        <v>145</v>
      </c>
      <c r="B33" s="92"/>
      <c r="C33" s="92"/>
      <c r="D33" s="96">
        <v>59111</v>
      </c>
      <c r="E33" s="97"/>
      <c r="F33" s="98"/>
      <c r="G33" s="12"/>
      <c r="H33" s="12"/>
      <c r="I33" s="12"/>
      <c r="J33" s="96">
        <v>43531</v>
      </c>
      <c r="K33" s="97"/>
      <c r="L33" s="98"/>
    </row>
    <row r="34" ht="15.9" customHeight="1" spans="1:12">
      <c r="A34" s="104" t="s">
        <v>146</v>
      </c>
      <c r="B34" s="104"/>
      <c r="C34" s="104"/>
      <c r="D34" s="106">
        <v>7646806</v>
      </c>
      <c r="E34" s="110"/>
      <c r="F34" s="107"/>
      <c r="G34" s="8"/>
      <c r="H34" s="8"/>
      <c r="I34" s="8"/>
      <c r="J34" s="106">
        <v>6752317</v>
      </c>
      <c r="K34" s="110"/>
      <c r="L34" s="107"/>
    </row>
    <row r="35" ht="22.8" customHeight="1" spans="1:12">
      <c r="A35" s="92" t="s">
        <v>234</v>
      </c>
      <c r="B35" s="92"/>
      <c r="C35" s="92"/>
      <c r="D35" s="111"/>
      <c r="E35" s="111"/>
      <c r="F35" s="111"/>
      <c r="G35" s="12"/>
      <c r="H35" s="12"/>
      <c r="I35" s="12"/>
      <c r="J35" s="111"/>
      <c r="K35" s="111"/>
      <c r="L35" s="111"/>
    </row>
    <row r="36" customHeight="1" spans="1:12">
      <c r="A36" s="93" t="s">
        <v>148</v>
      </c>
      <c r="B36" s="93"/>
      <c r="C36" s="93"/>
      <c r="D36" s="8"/>
      <c r="E36" s="8"/>
      <c r="F36" s="8"/>
      <c r="G36" s="8"/>
      <c r="H36" s="8"/>
      <c r="I36" s="8"/>
      <c r="J36" s="8"/>
      <c r="K36" s="8"/>
      <c r="L36" s="8"/>
    </row>
    <row r="37" ht="34.2" customHeight="1" spans="1:12">
      <c r="A37" s="92" t="s">
        <v>149</v>
      </c>
      <c r="B37" s="92"/>
      <c r="C37" s="92"/>
      <c r="D37" s="97" t="s">
        <v>125</v>
      </c>
      <c r="E37" s="97"/>
      <c r="F37" s="98"/>
      <c r="G37" s="12"/>
      <c r="H37" s="12"/>
      <c r="I37" s="12"/>
      <c r="J37" s="97" t="s">
        <v>125</v>
      </c>
      <c r="K37" s="97"/>
      <c r="L37" s="98"/>
    </row>
    <row r="38" ht="45.6" customHeight="1" spans="1:12">
      <c r="A38" s="93" t="s">
        <v>235</v>
      </c>
      <c r="B38" s="93"/>
      <c r="C38" s="93"/>
      <c r="D38" s="112">
        <v>4</v>
      </c>
      <c r="E38" s="99"/>
      <c r="F38" s="95"/>
      <c r="G38" s="8"/>
      <c r="H38" s="8"/>
      <c r="I38" s="8"/>
      <c r="J38" s="112">
        <v>4</v>
      </c>
      <c r="K38" s="99"/>
      <c r="L38" s="95"/>
    </row>
    <row r="39" customHeight="1" spans="1:12">
      <c r="A39" s="92" t="s">
        <v>151</v>
      </c>
      <c r="B39" s="92"/>
      <c r="C39" s="92"/>
      <c r="D39" s="96">
        <v>7096599</v>
      </c>
      <c r="E39" s="97"/>
      <c r="F39" s="98"/>
      <c r="G39" s="12"/>
      <c r="H39" s="12"/>
      <c r="I39" s="12"/>
      <c r="J39" s="96">
        <v>8432112</v>
      </c>
      <c r="K39" s="97"/>
      <c r="L39" s="98"/>
    </row>
    <row r="40" ht="22.8" customHeight="1" spans="1:12">
      <c r="A40" s="93" t="s">
        <v>236</v>
      </c>
      <c r="B40" s="93"/>
      <c r="C40" s="93"/>
      <c r="D40" s="65" t="s">
        <v>125</v>
      </c>
      <c r="E40" s="65"/>
      <c r="F40" s="22"/>
      <c r="G40" s="8"/>
      <c r="H40" s="8"/>
      <c r="I40" s="8"/>
      <c r="J40" s="64">
        <v>-5295</v>
      </c>
      <c r="K40" s="64"/>
      <c r="L40" s="22"/>
    </row>
    <row r="41" ht="22.8" customHeight="1" spans="1:12">
      <c r="A41" s="92" t="s">
        <v>153</v>
      </c>
      <c r="B41" s="92"/>
      <c r="C41" s="92"/>
      <c r="D41" s="96">
        <v>-200456</v>
      </c>
      <c r="E41" s="96"/>
      <c r="F41" s="98"/>
      <c r="G41" s="12"/>
      <c r="H41" s="12"/>
      <c r="I41" s="12"/>
      <c r="J41" s="96">
        <v>-117320</v>
      </c>
      <c r="K41" s="96"/>
      <c r="L41" s="98"/>
    </row>
    <row r="42" ht="15.9" customHeight="1" spans="1:12">
      <c r="A42" s="93" t="s">
        <v>154</v>
      </c>
      <c r="B42" s="93"/>
      <c r="C42" s="93"/>
      <c r="D42" s="94">
        <v>-963666</v>
      </c>
      <c r="E42" s="94"/>
      <c r="F42" s="95"/>
      <c r="G42" s="8"/>
      <c r="H42" s="8"/>
      <c r="I42" s="8"/>
      <c r="J42" s="94">
        <v>-1002302</v>
      </c>
      <c r="K42" s="94"/>
      <c r="L42" s="95"/>
    </row>
    <row r="43" ht="15.9" customHeight="1" spans="1:12">
      <c r="A43" s="92" t="s">
        <v>155</v>
      </c>
      <c r="B43" s="92"/>
      <c r="C43" s="92"/>
      <c r="D43" s="101">
        <v>5932481</v>
      </c>
      <c r="E43" s="102"/>
      <c r="F43" s="103"/>
      <c r="G43" s="12"/>
      <c r="H43" s="12"/>
      <c r="I43" s="12"/>
      <c r="J43" s="101">
        <v>7307199</v>
      </c>
      <c r="K43" s="102"/>
      <c r="L43" s="103"/>
    </row>
    <row r="44" ht="24.3" customHeight="1" spans="1:12">
      <c r="A44" s="104" t="s">
        <v>156</v>
      </c>
      <c r="B44" s="104"/>
      <c r="C44" s="104"/>
      <c r="D44" s="113" t="s">
        <v>120</v>
      </c>
      <c r="E44" s="114">
        <v>13579287</v>
      </c>
      <c r="F44" s="115"/>
      <c r="G44" s="8"/>
      <c r="H44" s="8"/>
      <c r="I44" s="8"/>
      <c r="J44" s="113" t="s">
        <v>120</v>
      </c>
      <c r="K44" s="114">
        <v>14059516</v>
      </c>
      <c r="L44" s="115"/>
    </row>
    <row r="45" ht="15.15"/>
  </sheetData>
  <mergeCells count="146">
    <mergeCell ref="D2:F2"/>
    <mergeCell ref="J2:L2"/>
    <mergeCell ref="D3:F3"/>
    <mergeCell ref="J3:L3"/>
    <mergeCell ref="A4:C4"/>
    <mergeCell ref="D4:F4"/>
    <mergeCell ref="G4:I4"/>
    <mergeCell ref="J4:L4"/>
    <mergeCell ref="A5:C5"/>
    <mergeCell ref="D5:F5"/>
    <mergeCell ref="G5:I5"/>
    <mergeCell ref="J5:L5"/>
    <mergeCell ref="A6:C6"/>
    <mergeCell ref="G6:I6"/>
    <mergeCell ref="A7:C7"/>
    <mergeCell ref="D7:E7"/>
    <mergeCell ref="G7:I7"/>
    <mergeCell ref="J7:K7"/>
    <mergeCell ref="A8:C8"/>
    <mergeCell ref="D8:E8"/>
    <mergeCell ref="G8:I8"/>
    <mergeCell ref="J8:K8"/>
    <mergeCell ref="A9:C9"/>
    <mergeCell ref="D9:E9"/>
    <mergeCell ref="G9:I9"/>
    <mergeCell ref="J9:K9"/>
    <mergeCell ref="A10:C10"/>
    <mergeCell ref="D10:E10"/>
    <mergeCell ref="G10:I10"/>
    <mergeCell ref="J10:K10"/>
    <mergeCell ref="A11:C11"/>
    <mergeCell ref="D11:E11"/>
    <mergeCell ref="G11:I11"/>
    <mergeCell ref="J11:K11"/>
    <mergeCell ref="A12:C12"/>
    <mergeCell ref="D12:E12"/>
    <mergeCell ref="G12:I12"/>
    <mergeCell ref="J12:K12"/>
    <mergeCell ref="A13:C13"/>
    <mergeCell ref="D13:E13"/>
    <mergeCell ref="G13:I13"/>
    <mergeCell ref="J13:K13"/>
    <mergeCell ref="A14:C14"/>
    <mergeCell ref="D14:E14"/>
    <mergeCell ref="G14:I14"/>
    <mergeCell ref="J14:K14"/>
    <mergeCell ref="A15:C15"/>
    <mergeCell ref="D15:E15"/>
    <mergeCell ref="G15:I15"/>
    <mergeCell ref="J15:K15"/>
    <mergeCell ref="A16:C16"/>
    <mergeCell ref="D16:E16"/>
    <mergeCell ref="G16:I16"/>
    <mergeCell ref="J16:K16"/>
    <mergeCell ref="A17:C17"/>
    <mergeCell ref="D17:E17"/>
    <mergeCell ref="G17:I17"/>
    <mergeCell ref="J17:K17"/>
    <mergeCell ref="A18:C18"/>
    <mergeCell ref="G18:I18"/>
    <mergeCell ref="A19:C19"/>
    <mergeCell ref="D19:F19"/>
    <mergeCell ref="G19:I19"/>
    <mergeCell ref="J19:L19"/>
    <mergeCell ref="A20:C20"/>
    <mergeCell ref="D20:F20"/>
    <mergeCell ref="G20:I20"/>
    <mergeCell ref="J20:L20"/>
    <mergeCell ref="A21:C21"/>
    <mergeCell ref="G21:I21"/>
    <mergeCell ref="A22:C22"/>
    <mergeCell ref="D22:E22"/>
    <mergeCell ref="G22:I22"/>
    <mergeCell ref="J22:K22"/>
    <mergeCell ref="A24:C24"/>
    <mergeCell ref="D24:E24"/>
    <mergeCell ref="G24:I24"/>
    <mergeCell ref="J24:K24"/>
    <mergeCell ref="A27:C27"/>
    <mergeCell ref="D27:E27"/>
    <mergeCell ref="G27:I27"/>
    <mergeCell ref="J27:K27"/>
    <mergeCell ref="A28:C28"/>
    <mergeCell ref="D28:E28"/>
    <mergeCell ref="G28:I28"/>
    <mergeCell ref="J28:K28"/>
    <mergeCell ref="A29:C29"/>
    <mergeCell ref="D29:E29"/>
    <mergeCell ref="G29:I29"/>
    <mergeCell ref="J29:K29"/>
    <mergeCell ref="A30:C30"/>
    <mergeCell ref="D30:E30"/>
    <mergeCell ref="G30:I30"/>
    <mergeCell ref="J30:K30"/>
    <mergeCell ref="A32:C32"/>
    <mergeCell ref="D32:E32"/>
    <mergeCell ref="G32:I32"/>
    <mergeCell ref="J32:K32"/>
    <mergeCell ref="A33:C33"/>
    <mergeCell ref="D33:E33"/>
    <mergeCell ref="G33:I33"/>
    <mergeCell ref="J33:K33"/>
    <mergeCell ref="A34:C34"/>
    <mergeCell ref="D34:E34"/>
    <mergeCell ref="G34:I34"/>
    <mergeCell ref="J34:K34"/>
    <mergeCell ref="A35:C35"/>
    <mergeCell ref="D35:F35"/>
    <mergeCell ref="G35:I35"/>
    <mergeCell ref="J35:L35"/>
    <mergeCell ref="A36:C36"/>
    <mergeCell ref="D36:F36"/>
    <mergeCell ref="G36:I36"/>
    <mergeCell ref="J36:L36"/>
    <mergeCell ref="A37:C37"/>
    <mergeCell ref="D37:E37"/>
    <mergeCell ref="G37:I37"/>
    <mergeCell ref="J37:K37"/>
    <mergeCell ref="A38:C38"/>
    <mergeCell ref="D38:E38"/>
    <mergeCell ref="G38:I38"/>
    <mergeCell ref="J38:K38"/>
    <mergeCell ref="A39:C39"/>
    <mergeCell ref="D39:E39"/>
    <mergeCell ref="G39:I39"/>
    <mergeCell ref="J39:K39"/>
    <mergeCell ref="A40:C40"/>
    <mergeCell ref="D40:E40"/>
    <mergeCell ref="G40:I40"/>
    <mergeCell ref="J40:K40"/>
    <mergeCell ref="A41:C41"/>
    <mergeCell ref="D41:E41"/>
    <mergeCell ref="G41:I41"/>
    <mergeCell ref="J41:K41"/>
    <mergeCell ref="A42:C42"/>
    <mergeCell ref="D42:E42"/>
    <mergeCell ref="G42:I42"/>
    <mergeCell ref="J42:K42"/>
    <mergeCell ref="A43:C43"/>
    <mergeCell ref="D43:E43"/>
    <mergeCell ref="G43:I43"/>
    <mergeCell ref="J43:K43"/>
    <mergeCell ref="A44:C44"/>
    <mergeCell ref="G44:I44"/>
    <mergeCell ref="A2:C3"/>
    <mergeCell ref="G2:I3"/>
  </mergeCells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A6" workbookViewId="0">
      <selection activeCell="G19" sqref="G19:H19"/>
    </sheetView>
  </sheetViews>
  <sheetFormatPr defaultColWidth="8.88888888888889" defaultRowHeight="14.4"/>
  <sheetData>
    <row r="1" customHeight="1" spans="4:12">
      <c r="D1" s="3" t="s">
        <v>237</v>
      </c>
      <c r="E1" s="3"/>
      <c r="F1" s="3"/>
      <c r="G1" s="3"/>
      <c r="H1" s="3"/>
      <c r="I1" s="3"/>
      <c r="J1" s="3"/>
      <c r="K1" s="3"/>
      <c r="L1" s="3"/>
    </row>
    <row r="2" customHeight="1" spans="1:12">
      <c r="A2" s="3" t="s">
        <v>238</v>
      </c>
      <c r="B2" s="3"/>
      <c r="C2" s="3"/>
      <c r="D2" s="3" t="s">
        <v>232</v>
      </c>
      <c r="E2" s="3"/>
      <c r="F2" s="3"/>
      <c r="G2" s="3"/>
      <c r="H2" s="3"/>
      <c r="I2" s="3"/>
      <c r="J2" s="3"/>
      <c r="K2" s="3"/>
      <c r="L2" s="3"/>
    </row>
    <row r="3" ht="15.9" customHeight="1" spans="1:3">
      <c r="A3" s="3" t="s">
        <v>232</v>
      </c>
      <c r="B3" s="3"/>
      <c r="C3" s="3"/>
    </row>
    <row r="4" ht="15.9" customHeight="1" spans="1:15">
      <c r="A4" s="43"/>
      <c r="B4" s="43"/>
      <c r="C4" s="43"/>
      <c r="D4" s="43"/>
      <c r="E4" s="43"/>
      <c r="F4" s="43"/>
      <c r="G4" s="4">
        <v>2022</v>
      </c>
      <c r="H4" s="4"/>
      <c r="I4" s="4"/>
      <c r="J4" s="68"/>
      <c r="K4" s="68"/>
      <c r="L4" s="68"/>
      <c r="M4" s="4">
        <v>2021</v>
      </c>
      <c r="N4" s="4"/>
      <c r="O4" s="4"/>
    </row>
    <row r="5" customHeight="1" spans="1:15">
      <c r="A5" s="44" t="s">
        <v>54</v>
      </c>
      <c r="B5" s="44"/>
      <c r="C5" s="44"/>
      <c r="D5" s="45"/>
      <c r="E5" s="45"/>
      <c r="F5" s="45"/>
      <c r="G5" s="46" t="s">
        <v>120</v>
      </c>
      <c r="H5" s="47">
        <v>2377644</v>
      </c>
      <c r="I5" s="69"/>
      <c r="J5" s="45"/>
      <c r="K5" s="45"/>
      <c r="L5" s="45"/>
      <c r="M5" s="70" t="s">
        <v>120</v>
      </c>
      <c r="N5" s="71">
        <v>2226445</v>
      </c>
      <c r="O5" s="72"/>
    </row>
    <row r="6" customHeight="1" spans="1:15">
      <c r="A6" s="48" t="s">
        <v>215</v>
      </c>
      <c r="B6" s="48"/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customHeight="1" spans="1:15">
      <c r="A7" s="44" t="s">
        <v>216</v>
      </c>
      <c r="B7" s="44"/>
      <c r="C7" s="44"/>
      <c r="D7" s="45"/>
      <c r="E7" s="45"/>
      <c r="F7" s="45"/>
      <c r="G7" s="50">
        <v>1048126</v>
      </c>
      <c r="H7" s="51"/>
      <c r="I7" s="73"/>
      <c r="J7" s="45"/>
      <c r="K7" s="45"/>
      <c r="L7" s="45"/>
      <c r="M7" s="64">
        <v>797940</v>
      </c>
      <c r="N7" s="65"/>
      <c r="O7" s="74"/>
    </row>
    <row r="8" customHeight="1" spans="1:15">
      <c r="A8" s="48" t="s">
        <v>217</v>
      </c>
      <c r="B8" s="48"/>
      <c r="C8" s="48"/>
      <c r="D8" s="49"/>
      <c r="E8" s="49"/>
      <c r="F8" s="49"/>
      <c r="G8" s="52">
        <v>826554</v>
      </c>
      <c r="H8" s="53"/>
      <c r="I8" s="75"/>
      <c r="J8" s="49"/>
      <c r="K8" s="49"/>
      <c r="L8" s="49"/>
      <c r="M8" s="76">
        <v>550568</v>
      </c>
      <c r="N8" s="77"/>
      <c r="O8" s="78"/>
    </row>
    <row r="9" customHeight="1" spans="1:15">
      <c r="A9" s="44" t="s">
        <v>218</v>
      </c>
      <c r="B9" s="44"/>
      <c r="C9" s="44"/>
      <c r="D9" s="45"/>
      <c r="E9" s="45"/>
      <c r="F9" s="45"/>
      <c r="G9" s="50">
        <v>608110</v>
      </c>
      <c r="H9" s="51"/>
      <c r="I9" s="73"/>
      <c r="J9" s="45"/>
      <c r="K9" s="45"/>
      <c r="L9" s="45"/>
      <c r="M9" s="64">
        <v>536494</v>
      </c>
      <c r="N9" s="65"/>
      <c r="O9" s="74"/>
    </row>
    <row r="10" customHeight="1" spans="1:15">
      <c r="A10" s="48" t="s">
        <v>219</v>
      </c>
      <c r="B10" s="48"/>
      <c r="C10" s="48"/>
      <c r="D10" s="49"/>
      <c r="E10" s="49"/>
      <c r="F10" s="49"/>
      <c r="G10" s="52">
        <v>366449</v>
      </c>
      <c r="H10" s="53"/>
      <c r="I10" s="75"/>
      <c r="J10" s="49"/>
      <c r="K10" s="49"/>
      <c r="L10" s="49"/>
      <c r="M10" s="52">
        <v>259009</v>
      </c>
      <c r="N10" s="53"/>
      <c r="O10" s="75"/>
    </row>
    <row r="11" ht="15.15"/>
    <row r="12" customHeight="1" spans="1:15">
      <c r="A12" s="44" t="s">
        <v>221</v>
      </c>
      <c r="B12" s="44"/>
      <c r="C12" s="44"/>
      <c r="D12" s="45"/>
      <c r="E12" s="45"/>
      <c r="F12" s="45"/>
      <c r="G12" s="47">
        <v>2849239</v>
      </c>
      <c r="H12" s="54"/>
      <c r="I12" s="69"/>
      <c r="J12" s="45"/>
      <c r="K12" s="45"/>
      <c r="L12" s="45"/>
      <c r="M12" s="71">
        <v>2144011</v>
      </c>
      <c r="N12" s="79"/>
      <c r="O12" s="72"/>
    </row>
    <row r="13" customHeight="1" spans="1:15">
      <c r="A13" s="48" t="s">
        <v>222</v>
      </c>
      <c r="B13" s="48"/>
      <c r="C13" s="48"/>
      <c r="D13" s="49"/>
      <c r="E13" s="49"/>
      <c r="F13" s="49"/>
      <c r="G13" s="52">
        <v>-471595</v>
      </c>
      <c r="H13" s="52"/>
      <c r="I13" s="75"/>
      <c r="J13" s="49"/>
      <c r="K13" s="49"/>
      <c r="L13" s="49"/>
      <c r="M13" s="76">
        <v>82434</v>
      </c>
      <c r="N13" s="77"/>
      <c r="O13" s="78"/>
    </row>
    <row r="14" customHeight="1" spans="1:15">
      <c r="A14" s="44" t="s">
        <v>223</v>
      </c>
      <c r="B14" s="44"/>
      <c r="C14" s="44"/>
      <c r="D14" s="45"/>
      <c r="E14" s="45"/>
      <c r="F14" s="45"/>
      <c r="G14" s="50">
        <v>-38786</v>
      </c>
      <c r="H14" s="50"/>
      <c r="I14" s="73"/>
      <c r="J14" s="45"/>
      <c r="K14" s="45"/>
      <c r="L14" s="45"/>
      <c r="M14" s="64">
        <v>-27078</v>
      </c>
      <c r="N14" s="64"/>
      <c r="O14" s="74"/>
    </row>
    <row r="15" customHeight="1" spans="1:15">
      <c r="A15" s="48" t="s">
        <v>224</v>
      </c>
      <c r="B15" s="48"/>
      <c r="C15" s="48"/>
      <c r="D15" s="49"/>
      <c r="E15" s="49"/>
      <c r="F15" s="49"/>
      <c r="G15" s="52">
        <v>21557</v>
      </c>
      <c r="H15" s="53"/>
      <c r="I15" s="75"/>
      <c r="J15" s="49"/>
      <c r="K15" s="49"/>
      <c r="L15" s="49"/>
      <c r="M15" s="76">
        <v>20203</v>
      </c>
      <c r="N15" s="77"/>
      <c r="O15" s="78"/>
    </row>
    <row r="16" customHeight="1" spans="1:15">
      <c r="A16" s="44" t="s">
        <v>239</v>
      </c>
      <c r="B16" s="44"/>
      <c r="C16" s="44"/>
      <c r="D16" s="45"/>
      <c r="E16" s="45"/>
      <c r="F16" s="45"/>
      <c r="G16" s="50">
        <v>11110</v>
      </c>
      <c r="H16" s="51"/>
      <c r="I16" s="73"/>
      <c r="J16" s="45"/>
      <c r="K16" s="45"/>
      <c r="L16" s="45"/>
      <c r="M16" s="64">
        <v>55745</v>
      </c>
      <c r="N16" s="65"/>
      <c r="O16" s="74"/>
    </row>
    <row r="17" ht="15.9" customHeight="1" spans="1:15">
      <c r="A17" s="48" t="s">
        <v>240</v>
      </c>
      <c r="B17" s="48"/>
      <c r="C17" s="48"/>
      <c r="D17" s="49"/>
      <c r="E17" s="49"/>
      <c r="F17" s="49"/>
      <c r="G17" s="52">
        <v>970463</v>
      </c>
      <c r="H17" s="53"/>
      <c r="I17" s="75"/>
      <c r="J17" s="49"/>
      <c r="K17" s="49"/>
      <c r="L17" s="49"/>
      <c r="M17" s="53" t="s">
        <v>125</v>
      </c>
      <c r="N17" s="53"/>
      <c r="O17" s="75"/>
    </row>
    <row r="18" customHeight="1" spans="1:15">
      <c r="A18" s="44" t="s">
        <v>226</v>
      </c>
      <c r="B18" s="44"/>
      <c r="C18" s="44"/>
      <c r="D18" s="45"/>
      <c r="E18" s="45"/>
      <c r="F18" s="45"/>
      <c r="G18" s="47">
        <v>492749</v>
      </c>
      <c r="H18" s="54"/>
      <c r="I18" s="69"/>
      <c r="J18" s="45"/>
      <c r="K18" s="45"/>
      <c r="L18" s="45"/>
      <c r="M18" s="71">
        <v>131304</v>
      </c>
      <c r="N18" s="79"/>
      <c r="O18" s="72"/>
    </row>
    <row r="19" ht="15.9" customHeight="1" spans="1:15">
      <c r="A19" s="48" t="s">
        <v>227</v>
      </c>
      <c r="B19" s="48"/>
      <c r="C19" s="48"/>
      <c r="D19" s="49"/>
      <c r="E19" s="49"/>
      <c r="F19" s="49"/>
      <c r="G19" s="52">
        <v>249470</v>
      </c>
      <c r="H19" s="53"/>
      <c r="I19" s="75"/>
      <c r="J19" s="49"/>
      <c r="K19" s="49"/>
      <c r="L19" s="49"/>
      <c r="M19" s="52">
        <v>-2350</v>
      </c>
      <c r="N19" s="52"/>
      <c r="O19" s="75"/>
    </row>
    <row r="20" ht="15.9" customHeight="1" spans="1:15">
      <c r="A20" s="44" t="s">
        <v>160</v>
      </c>
      <c r="B20" s="44"/>
      <c r="C20" s="44"/>
      <c r="D20" s="45"/>
      <c r="E20" s="45"/>
      <c r="F20" s="45"/>
      <c r="G20" s="46" t="s">
        <v>120</v>
      </c>
      <c r="H20" s="47">
        <v>243279</v>
      </c>
      <c r="I20" s="69"/>
      <c r="J20" s="45"/>
      <c r="K20" s="45"/>
      <c r="L20" s="45"/>
      <c r="M20" s="70" t="s">
        <v>120</v>
      </c>
      <c r="N20" s="71">
        <v>133654</v>
      </c>
      <c r="O20" s="72"/>
    </row>
    <row r="21" ht="15.9" customHeight="1" spans="1:15">
      <c r="A21" s="48" t="s">
        <v>228</v>
      </c>
      <c r="B21" s="48"/>
      <c r="C21" s="48"/>
      <c r="D21" s="49"/>
      <c r="E21" s="49"/>
      <c r="F21" s="49"/>
      <c r="G21" s="55"/>
      <c r="H21" s="55"/>
      <c r="I21" s="55"/>
      <c r="J21" s="49"/>
      <c r="K21" s="49"/>
      <c r="L21" s="49"/>
      <c r="M21" s="55"/>
      <c r="N21" s="55"/>
      <c r="O21" s="55"/>
    </row>
    <row r="22" ht="15.9" customHeight="1" spans="1:15">
      <c r="A22" s="44" t="s">
        <v>229</v>
      </c>
      <c r="B22" s="44"/>
      <c r="C22" s="44"/>
      <c r="D22" s="45"/>
      <c r="E22" s="45"/>
      <c r="F22" s="45"/>
      <c r="G22" s="56" t="s">
        <v>120</v>
      </c>
      <c r="H22" s="57">
        <v>0.31</v>
      </c>
      <c r="I22" s="73"/>
      <c r="J22" s="45"/>
      <c r="K22" s="45"/>
      <c r="L22" s="45"/>
      <c r="M22" s="44" t="s">
        <v>120</v>
      </c>
      <c r="N22" s="80">
        <v>0.17</v>
      </c>
      <c r="O22" s="74"/>
    </row>
    <row r="23" ht="17.4" customHeight="1" spans="1:15">
      <c r="A23" s="48" t="s">
        <v>230</v>
      </c>
      <c r="B23" s="48"/>
      <c r="C23" s="48"/>
      <c r="D23" s="49"/>
      <c r="E23" s="49"/>
      <c r="F23" s="49"/>
      <c r="G23" s="58" t="s">
        <v>120</v>
      </c>
      <c r="H23" s="59">
        <v>0.3</v>
      </c>
      <c r="I23" s="81"/>
      <c r="J23" s="49"/>
      <c r="K23" s="49"/>
      <c r="L23" s="49"/>
      <c r="M23" s="58" t="s">
        <v>120</v>
      </c>
      <c r="N23" s="59">
        <v>0.16</v>
      </c>
      <c r="O23" s="81"/>
    </row>
    <row r="24" ht="23.55" customHeight="1" spans="1:15">
      <c r="A24" s="44" t="s">
        <v>241</v>
      </c>
      <c r="B24" s="44"/>
      <c r="C24" s="44"/>
      <c r="D24" s="45"/>
      <c r="E24" s="45"/>
      <c r="F24" s="45"/>
      <c r="G24" s="60"/>
      <c r="H24" s="60"/>
      <c r="I24" s="60"/>
      <c r="J24" s="45"/>
      <c r="K24" s="45"/>
      <c r="L24" s="45"/>
      <c r="M24" s="60"/>
      <c r="N24" s="60"/>
      <c r="O24" s="60"/>
    </row>
    <row r="25" ht="15.9" customHeight="1" spans="1:15">
      <c r="A25" s="48" t="s">
        <v>229</v>
      </c>
      <c r="B25" s="48"/>
      <c r="C25" s="48"/>
      <c r="D25" s="49"/>
      <c r="E25" s="49"/>
      <c r="F25" s="49"/>
      <c r="G25" s="61" t="s">
        <v>120</v>
      </c>
      <c r="H25" s="52">
        <v>243279</v>
      </c>
      <c r="I25" s="75"/>
      <c r="J25" s="49"/>
      <c r="K25" s="49"/>
      <c r="L25" s="49"/>
      <c r="M25" s="48" t="s">
        <v>120</v>
      </c>
      <c r="N25" s="76">
        <v>133654</v>
      </c>
      <c r="O25" s="78"/>
    </row>
    <row r="26" ht="17.4" customHeight="1" spans="1:15">
      <c r="A26" s="44" t="s">
        <v>230</v>
      </c>
      <c r="B26" s="44"/>
      <c r="C26" s="44"/>
      <c r="D26" s="45"/>
      <c r="E26" s="45"/>
      <c r="F26" s="45"/>
      <c r="G26" s="62" t="s">
        <v>120</v>
      </c>
      <c r="H26" s="63">
        <v>246934</v>
      </c>
      <c r="I26" s="82"/>
      <c r="J26" s="45"/>
      <c r="K26" s="45"/>
      <c r="L26" s="45"/>
      <c r="M26" s="83" t="s">
        <v>120</v>
      </c>
      <c r="N26" s="84">
        <v>138896</v>
      </c>
      <c r="O26" s="85"/>
    </row>
    <row r="27" ht="34.95" customHeight="1" spans="1:15">
      <c r="A27" s="48" t="s">
        <v>231</v>
      </c>
      <c r="B27" s="48"/>
      <c r="C27" s="48"/>
      <c r="D27" s="49"/>
      <c r="E27" s="49"/>
      <c r="F27" s="49"/>
      <c r="G27" s="55"/>
      <c r="H27" s="55"/>
      <c r="I27" s="55"/>
      <c r="J27" s="49"/>
      <c r="K27" s="49"/>
      <c r="L27" s="49"/>
      <c r="M27" s="55"/>
      <c r="N27" s="55"/>
      <c r="O27" s="55"/>
    </row>
    <row r="28" ht="15.9" customHeight="1" spans="1:15">
      <c r="A28" s="44" t="s">
        <v>229</v>
      </c>
      <c r="B28" s="44"/>
      <c r="C28" s="44"/>
      <c r="D28" s="45"/>
      <c r="E28" s="45"/>
      <c r="F28" s="45"/>
      <c r="G28" s="64">
        <v>772911</v>
      </c>
      <c r="H28" s="65"/>
      <c r="I28" s="74"/>
      <c r="J28" s="45"/>
      <c r="K28" s="45"/>
      <c r="L28" s="45"/>
      <c r="M28" s="50">
        <v>795992</v>
      </c>
      <c r="N28" s="51"/>
      <c r="O28" s="73"/>
    </row>
    <row r="29" ht="17.4" customHeight="1" spans="1:15">
      <c r="A29" s="48" t="s">
        <v>230</v>
      </c>
      <c r="B29" s="48"/>
      <c r="C29" s="48"/>
      <c r="D29" s="49"/>
      <c r="E29" s="49"/>
      <c r="F29" s="49"/>
      <c r="G29" s="66">
        <v>835661</v>
      </c>
      <c r="H29" s="67"/>
      <c r="I29" s="86"/>
      <c r="J29" s="49"/>
      <c r="K29" s="49"/>
      <c r="L29" s="49"/>
      <c r="M29" s="87">
        <v>870622</v>
      </c>
      <c r="N29" s="88"/>
      <c r="O29" s="89"/>
    </row>
    <row r="30" ht="15.15"/>
  </sheetData>
  <mergeCells count="119">
    <mergeCell ref="A1:C1"/>
    <mergeCell ref="D1:L1"/>
    <mergeCell ref="A2:C2"/>
    <mergeCell ref="D2:L2"/>
    <mergeCell ref="A3:C3"/>
    <mergeCell ref="D3:L3"/>
    <mergeCell ref="A4:C4"/>
    <mergeCell ref="D4:F4"/>
    <mergeCell ref="G4:I4"/>
    <mergeCell ref="J4:L4"/>
    <mergeCell ref="M4:O4"/>
    <mergeCell ref="A5:C5"/>
    <mergeCell ref="D5:F5"/>
    <mergeCell ref="J5:L5"/>
    <mergeCell ref="A6:C6"/>
    <mergeCell ref="D6:F6"/>
    <mergeCell ref="G6:I6"/>
    <mergeCell ref="J6:L6"/>
    <mergeCell ref="M6:O6"/>
    <mergeCell ref="A7:C7"/>
    <mergeCell ref="D7:F7"/>
    <mergeCell ref="G7:H7"/>
    <mergeCell ref="J7:L7"/>
    <mergeCell ref="M7:N7"/>
    <mergeCell ref="A8:C8"/>
    <mergeCell ref="D8:F8"/>
    <mergeCell ref="G8:H8"/>
    <mergeCell ref="J8:L8"/>
    <mergeCell ref="M8:N8"/>
    <mergeCell ref="A9:C9"/>
    <mergeCell ref="D9:F9"/>
    <mergeCell ref="G9:H9"/>
    <mergeCell ref="J9:L9"/>
    <mergeCell ref="M9:N9"/>
    <mergeCell ref="A10:C10"/>
    <mergeCell ref="D10:F10"/>
    <mergeCell ref="G10:H10"/>
    <mergeCell ref="J10:L10"/>
    <mergeCell ref="M10:N10"/>
    <mergeCell ref="A12:C12"/>
    <mergeCell ref="D12:F12"/>
    <mergeCell ref="G12:H12"/>
    <mergeCell ref="J12:L12"/>
    <mergeCell ref="M12:N12"/>
    <mergeCell ref="A13:C13"/>
    <mergeCell ref="D13:F13"/>
    <mergeCell ref="G13:H13"/>
    <mergeCell ref="J13:L13"/>
    <mergeCell ref="M13:N13"/>
    <mergeCell ref="A14:C14"/>
    <mergeCell ref="D14:F14"/>
    <mergeCell ref="G14:H14"/>
    <mergeCell ref="J14:L14"/>
    <mergeCell ref="M14:N14"/>
    <mergeCell ref="A15:C15"/>
    <mergeCell ref="D15:F15"/>
    <mergeCell ref="G15:H15"/>
    <mergeCell ref="J15:L15"/>
    <mergeCell ref="M15:N15"/>
    <mergeCell ref="A16:C16"/>
    <mergeCell ref="D16:F16"/>
    <mergeCell ref="G16:H16"/>
    <mergeCell ref="J16:L16"/>
    <mergeCell ref="M16:N16"/>
    <mergeCell ref="A17:C17"/>
    <mergeCell ref="D17:F17"/>
    <mergeCell ref="G17:H17"/>
    <mergeCell ref="J17:L17"/>
    <mergeCell ref="M17:N17"/>
    <mergeCell ref="A18:C18"/>
    <mergeCell ref="D18:F18"/>
    <mergeCell ref="G18:H18"/>
    <mergeCell ref="J18:L18"/>
    <mergeCell ref="M18:N18"/>
    <mergeCell ref="A19:C19"/>
    <mergeCell ref="D19:F19"/>
    <mergeCell ref="G19:H19"/>
    <mergeCell ref="J19:L19"/>
    <mergeCell ref="M19:N19"/>
    <mergeCell ref="A20:C20"/>
    <mergeCell ref="D20:F20"/>
    <mergeCell ref="J20:L20"/>
    <mergeCell ref="A21:C21"/>
    <mergeCell ref="D21:F21"/>
    <mergeCell ref="G21:I21"/>
    <mergeCell ref="J21:L21"/>
    <mergeCell ref="M21:O21"/>
    <mergeCell ref="A22:C22"/>
    <mergeCell ref="D22:F22"/>
    <mergeCell ref="J22:L22"/>
    <mergeCell ref="A23:C23"/>
    <mergeCell ref="D23:F23"/>
    <mergeCell ref="J23:L23"/>
    <mergeCell ref="A24:C24"/>
    <mergeCell ref="D24:F24"/>
    <mergeCell ref="G24:I24"/>
    <mergeCell ref="J24:L24"/>
    <mergeCell ref="M24:O24"/>
    <mergeCell ref="A25:C25"/>
    <mergeCell ref="D25:F25"/>
    <mergeCell ref="J25:L25"/>
    <mergeCell ref="A26:C26"/>
    <mergeCell ref="D26:F26"/>
    <mergeCell ref="J26:L26"/>
    <mergeCell ref="A27:C27"/>
    <mergeCell ref="D27:F27"/>
    <mergeCell ref="G27:I27"/>
    <mergeCell ref="J27:L27"/>
    <mergeCell ref="M27:O27"/>
    <mergeCell ref="A28:C28"/>
    <mergeCell ref="D28:F28"/>
    <mergeCell ref="G28:H28"/>
    <mergeCell ref="J28:L28"/>
    <mergeCell ref="M28:N28"/>
    <mergeCell ref="A29:C29"/>
    <mergeCell ref="D29:F29"/>
    <mergeCell ref="G29:H29"/>
    <mergeCell ref="J29:L29"/>
    <mergeCell ref="M29:N29"/>
  </mergeCells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selection activeCell="E9" sqref="E9"/>
    </sheetView>
  </sheetViews>
  <sheetFormatPr defaultColWidth="8.88888888888889" defaultRowHeight="14.4"/>
  <sheetData>
    <row r="1" ht="24" spans="1:1">
      <c r="A1" s="1" t="s">
        <v>242</v>
      </c>
    </row>
    <row r="2" ht="72" spans="1:1">
      <c r="A2" s="1" t="s">
        <v>243</v>
      </c>
    </row>
    <row r="3" ht="36" spans="1:1">
      <c r="A3" s="1" t="s">
        <v>244</v>
      </c>
    </row>
    <row r="4" ht="24" spans="1:1">
      <c r="A4" s="1" t="s">
        <v>245</v>
      </c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ht="15.9" customHeight="1" spans="1:12">
      <c r="A6" s="2"/>
      <c r="B6" s="2"/>
      <c r="C6" s="2"/>
      <c r="D6" s="3" t="s">
        <v>246</v>
      </c>
      <c r="E6" s="3"/>
      <c r="F6" s="3"/>
      <c r="G6" s="3"/>
      <c r="H6" s="3"/>
      <c r="I6" s="3"/>
      <c r="J6" s="3"/>
      <c r="K6" s="3"/>
      <c r="L6" s="3"/>
    </row>
    <row r="7" ht="15.9" customHeight="1" spans="1:12">
      <c r="A7" s="2"/>
      <c r="B7" s="2"/>
      <c r="C7" s="2"/>
      <c r="D7" s="4">
        <v>2022</v>
      </c>
      <c r="E7" s="4"/>
      <c r="F7" s="4"/>
      <c r="G7" s="5"/>
      <c r="H7" s="5"/>
      <c r="I7" s="5"/>
      <c r="J7" s="4">
        <v>2021</v>
      </c>
      <c r="K7" s="4"/>
      <c r="L7" s="4"/>
    </row>
    <row r="8" customHeight="1" spans="1:12">
      <c r="A8" s="6" t="s">
        <v>159</v>
      </c>
      <c r="B8" s="6"/>
      <c r="C8" s="6"/>
      <c r="D8" s="7"/>
      <c r="E8" s="7"/>
      <c r="F8" s="7"/>
      <c r="G8" s="8"/>
      <c r="H8" s="8"/>
      <c r="I8" s="8"/>
      <c r="J8" s="7"/>
      <c r="K8" s="7"/>
      <c r="L8" s="7"/>
    </row>
    <row r="9" customHeight="1" spans="1:12">
      <c r="A9" s="9" t="s">
        <v>247</v>
      </c>
      <c r="B9" s="9"/>
      <c r="C9" s="9"/>
      <c r="D9" s="9" t="s">
        <v>120</v>
      </c>
      <c r="E9" s="10">
        <v>243279</v>
      </c>
      <c r="F9" s="11"/>
      <c r="G9" s="12"/>
      <c r="H9" s="12"/>
      <c r="I9" s="12"/>
      <c r="J9" s="9" t="s">
        <v>120</v>
      </c>
      <c r="K9" s="10">
        <v>133654</v>
      </c>
      <c r="L9" s="11"/>
    </row>
    <row r="10" ht="20.4" customHeight="1" spans="1:12">
      <c r="A10" s="13" t="s">
        <v>248</v>
      </c>
      <c r="B10" s="13"/>
      <c r="C10" s="13"/>
      <c r="D10" s="8"/>
      <c r="E10" s="8"/>
      <c r="F10" s="8"/>
      <c r="G10" s="8"/>
      <c r="H10" s="8"/>
      <c r="I10" s="8"/>
      <c r="J10" s="8"/>
      <c r="K10" s="8"/>
      <c r="L10" s="8"/>
    </row>
    <row r="11" customHeight="1" spans="1:12">
      <c r="A11" s="9" t="s">
        <v>162</v>
      </c>
      <c r="B11" s="9"/>
      <c r="C11" s="9"/>
      <c r="D11" s="10">
        <v>333571</v>
      </c>
      <c r="E11" s="14"/>
      <c r="F11" s="11"/>
      <c r="G11" s="12"/>
      <c r="H11" s="12"/>
      <c r="I11" s="12"/>
      <c r="J11" s="10">
        <v>265864</v>
      </c>
      <c r="K11" s="14"/>
      <c r="L11" s="11"/>
    </row>
    <row r="12" customHeight="1" spans="1:12">
      <c r="A12" s="13" t="s">
        <v>163</v>
      </c>
      <c r="B12" s="13"/>
      <c r="C12" s="13"/>
      <c r="D12" s="15">
        <v>459453</v>
      </c>
      <c r="E12" s="16"/>
      <c r="F12" s="17"/>
      <c r="G12" s="8"/>
      <c r="H12" s="8"/>
      <c r="I12" s="8"/>
      <c r="J12" s="15">
        <v>289075</v>
      </c>
      <c r="K12" s="16"/>
      <c r="L12" s="17"/>
    </row>
    <row r="14" customHeight="1" spans="1:12">
      <c r="A14" s="9" t="s">
        <v>165</v>
      </c>
      <c r="B14" s="9"/>
      <c r="C14" s="9"/>
      <c r="D14" s="18">
        <v>-312</v>
      </c>
      <c r="E14" s="18"/>
      <c r="F14" s="19"/>
      <c r="G14" s="12"/>
      <c r="H14" s="12"/>
      <c r="I14" s="12"/>
      <c r="J14" s="23">
        <v>391</v>
      </c>
      <c r="K14" s="18"/>
      <c r="L14" s="19"/>
    </row>
    <row r="15" customHeight="1" spans="1:12">
      <c r="A15" s="13" t="s">
        <v>166</v>
      </c>
      <c r="B15" s="13"/>
      <c r="C15" s="13"/>
      <c r="D15" s="20">
        <v>131148</v>
      </c>
      <c r="E15" s="21"/>
      <c r="F15" s="22"/>
      <c r="G15" s="8"/>
      <c r="H15" s="8"/>
      <c r="I15" s="8"/>
      <c r="J15" s="20">
        <v>-23017</v>
      </c>
      <c r="K15" s="20"/>
      <c r="L15" s="22"/>
    </row>
    <row r="18" ht="20.4" customHeight="1" spans="1:12">
      <c r="A18" s="9" t="s">
        <v>249</v>
      </c>
      <c r="B18" s="9"/>
      <c r="C18" s="9"/>
      <c r="D18" s="10">
        <v>-22600</v>
      </c>
      <c r="E18" s="10"/>
      <c r="F18" s="11"/>
      <c r="G18" s="12"/>
      <c r="H18" s="12"/>
      <c r="I18" s="12"/>
      <c r="J18" s="10">
        <v>-51894</v>
      </c>
      <c r="K18" s="10"/>
      <c r="L18" s="11"/>
    </row>
    <row r="19" customHeight="1" spans="1:12">
      <c r="A19" s="13" t="s">
        <v>250</v>
      </c>
      <c r="B19" s="13"/>
      <c r="C19" s="13"/>
      <c r="D19" s="20">
        <v>-970463</v>
      </c>
      <c r="E19" s="20"/>
      <c r="F19" s="22"/>
      <c r="G19" s="8"/>
      <c r="H19" s="8"/>
      <c r="I19" s="8"/>
      <c r="J19" s="21" t="s">
        <v>125</v>
      </c>
      <c r="K19" s="21"/>
      <c r="L19" s="22"/>
    </row>
    <row r="20" customHeight="1" spans="1:12">
      <c r="A20" s="9" t="s">
        <v>170</v>
      </c>
      <c r="B20" s="9"/>
      <c r="C20" s="9"/>
      <c r="D20" s="23">
        <v>945</v>
      </c>
      <c r="E20" s="18"/>
      <c r="F20" s="19"/>
      <c r="G20" s="12"/>
      <c r="H20" s="12"/>
      <c r="I20" s="12"/>
      <c r="J20" s="26">
        <v>1467</v>
      </c>
      <c r="K20" s="18"/>
      <c r="L20" s="19"/>
    </row>
    <row r="21" ht="30.6" customHeight="1" spans="1:12">
      <c r="A21" s="13" t="s">
        <v>171</v>
      </c>
      <c r="B21" s="13"/>
      <c r="C21" s="13"/>
      <c r="D21" s="8"/>
      <c r="E21" s="8"/>
      <c r="F21" s="8"/>
      <c r="G21" s="8"/>
      <c r="H21" s="8"/>
      <c r="I21" s="8"/>
      <c r="J21" s="8"/>
      <c r="K21" s="8"/>
      <c r="L21" s="8"/>
    </row>
    <row r="22" customHeight="1" spans="1:12">
      <c r="A22" s="24" t="s">
        <v>172</v>
      </c>
      <c r="B22" s="24"/>
      <c r="C22" s="24"/>
      <c r="D22" s="10">
        <v>228579</v>
      </c>
      <c r="E22" s="14"/>
      <c r="F22" s="11"/>
      <c r="G22" s="12"/>
      <c r="H22" s="12"/>
      <c r="I22" s="12"/>
      <c r="J22" s="10">
        <v>88969</v>
      </c>
      <c r="K22" s="14"/>
      <c r="L22" s="11"/>
    </row>
    <row r="23" customHeight="1" spans="1:12">
      <c r="A23" s="25" t="s">
        <v>173</v>
      </c>
      <c r="B23" s="25"/>
      <c r="C23" s="25"/>
      <c r="D23" s="15">
        <v>19028</v>
      </c>
      <c r="E23" s="16"/>
      <c r="F23" s="17"/>
      <c r="G23" s="8"/>
      <c r="H23" s="8"/>
      <c r="I23" s="8"/>
      <c r="J23" s="20">
        <v>-44520</v>
      </c>
      <c r="K23" s="20"/>
      <c r="L23" s="22"/>
    </row>
    <row r="24" customHeight="1" spans="1:12">
      <c r="A24" s="24" t="s">
        <v>128</v>
      </c>
      <c r="B24" s="24"/>
      <c r="C24" s="24"/>
      <c r="D24" s="26">
        <v>132721</v>
      </c>
      <c r="E24" s="18"/>
      <c r="F24" s="19"/>
      <c r="G24" s="12"/>
      <c r="H24" s="12"/>
      <c r="I24" s="12"/>
      <c r="J24" s="26">
        <v>104049</v>
      </c>
      <c r="K24" s="18"/>
      <c r="L24" s="19"/>
    </row>
    <row r="25" customHeight="1" spans="1:12">
      <c r="A25" s="25" t="s">
        <v>136</v>
      </c>
      <c r="B25" s="25"/>
      <c r="C25" s="25"/>
      <c r="D25" s="20">
        <v>-88205</v>
      </c>
      <c r="E25" s="20"/>
      <c r="F25" s="22"/>
      <c r="G25" s="8"/>
      <c r="H25" s="8"/>
      <c r="I25" s="8"/>
      <c r="J25" s="20">
        <v>2818</v>
      </c>
      <c r="K25" s="21"/>
      <c r="L25" s="22"/>
    </row>
    <row r="26" customHeight="1" spans="1:12">
      <c r="A26" s="24" t="s">
        <v>174</v>
      </c>
      <c r="B26" s="24"/>
      <c r="C26" s="24"/>
      <c r="D26" s="26">
        <v>-178045</v>
      </c>
      <c r="E26" s="26"/>
      <c r="F26" s="19"/>
      <c r="G26" s="12"/>
      <c r="H26" s="12"/>
      <c r="I26" s="12"/>
      <c r="J26" s="10">
        <v>99243</v>
      </c>
      <c r="K26" s="14"/>
      <c r="L26" s="11"/>
    </row>
    <row r="27" ht="15.9" customHeight="1" spans="1:12">
      <c r="A27" s="25" t="s">
        <v>175</v>
      </c>
      <c r="B27" s="25"/>
      <c r="C27" s="25"/>
      <c r="D27" s="15">
        <v>-133312</v>
      </c>
      <c r="E27" s="15"/>
      <c r="F27" s="17"/>
      <c r="G27" s="8"/>
      <c r="H27" s="8"/>
      <c r="I27" s="8"/>
      <c r="J27" s="15">
        <v>-93948</v>
      </c>
      <c r="K27" s="15"/>
      <c r="L27" s="17"/>
    </row>
    <row r="28" ht="21.15" customHeight="1" spans="1:12">
      <c r="A28" s="24" t="s">
        <v>176</v>
      </c>
      <c r="B28" s="24"/>
      <c r="C28" s="24"/>
      <c r="D28" s="27">
        <v>155787</v>
      </c>
      <c r="E28" s="28"/>
      <c r="F28" s="29"/>
      <c r="G28" s="12"/>
      <c r="H28" s="12"/>
      <c r="I28" s="12"/>
      <c r="J28" s="27">
        <v>772151</v>
      </c>
      <c r="K28" s="28"/>
      <c r="L28" s="29"/>
    </row>
    <row r="29" customHeight="1" spans="1:12">
      <c r="A29" s="6" t="s">
        <v>177</v>
      </c>
      <c r="B29" s="6"/>
      <c r="C29" s="6"/>
      <c r="D29" s="7"/>
      <c r="E29" s="7"/>
      <c r="F29" s="7"/>
      <c r="G29" s="8"/>
      <c r="H29" s="8"/>
      <c r="I29" s="8"/>
      <c r="J29" s="7"/>
      <c r="K29" s="7"/>
      <c r="L29" s="7"/>
    </row>
    <row r="30" customHeight="1" spans="1:12">
      <c r="A30" s="9" t="s">
        <v>178</v>
      </c>
      <c r="B30" s="9"/>
      <c r="C30" s="9"/>
      <c r="D30" s="26">
        <v>-317670</v>
      </c>
      <c r="E30" s="26"/>
      <c r="F30" s="19"/>
      <c r="G30" s="12"/>
      <c r="H30" s="12"/>
      <c r="I30" s="12"/>
      <c r="J30" s="26">
        <v>-460376</v>
      </c>
      <c r="K30" s="26"/>
      <c r="L30" s="19"/>
    </row>
    <row r="31" ht="20.4" customHeight="1" spans="1:12">
      <c r="A31" s="13" t="s">
        <v>179</v>
      </c>
      <c r="B31" s="13"/>
      <c r="C31" s="13"/>
      <c r="D31" s="15">
        <v>3332</v>
      </c>
      <c r="E31" s="16"/>
      <c r="F31" s="17"/>
      <c r="G31" s="8"/>
      <c r="H31" s="8"/>
      <c r="I31" s="8"/>
      <c r="J31" s="15">
        <v>4837</v>
      </c>
      <c r="K31" s="16"/>
      <c r="L31" s="17"/>
    </row>
    <row r="32" customHeight="1" spans="1:12">
      <c r="A32" s="9" t="s">
        <v>180</v>
      </c>
      <c r="B32" s="9"/>
      <c r="C32" s="9"/>
      <c r="D32" s="26">
        <v>-1643930</v>
      </c>
      <c r="E32" s="26"/>
      <c r="F32" s="19"/>
      <c r="G32" s="12"/>
      <c r="H32" s="12"/>
      <c r="I32" s="12"/>
      <c r="J32" s="26">
        <v>-2165696</v>
      </c>
      <c r="K32" s="26"/>
      <c r="L32" s="19"/>
    </row>
    <row r="33" ht="20.4" customHeight="1" spans="1:12">
      <c r="A33" s="13" t="s">
        <v>181</v>
      </c>
      <c r="B33" s="13"/>
      <c r="C33" s="13"/>
      <c r="D33" s="15">
        <v>1766296</v>
      </c>
      <c r="E33" s="16"/>
      <c r="F33" s="17"/>
      <c r="G33" s="8"/>
      <c r="H33" s="8"/>
      <c r="I33" s="8"/>
      <c r="J33" s="15">
        <v>2084537</v>
      </c>
      <c r="K33" s="16"/>
      <c r="L33" s="17"/>
    </row>
    <row r="34" ht="20.4" customHeight="1" spans="1:12">
      <c r="A34" s="9" t="s">
        <v>182</v>
      </c>
      <c r="B34" s="9"/>
      <c r="C34" s="9"/>
      <c r="D34" s="26">
        <v>590592</v>
      </c>
      <c r="E34" s="18"/>
      <c r="F34" s="19"/>
      <c r="G34" s="12"/>
      <c r="H34" s="12"/>
      <c r="I34" s="12"/>
      <c r="J34" s="26">
        <v>1092794</v>
      </c>
      <c r="K34" s="18"/>
      <c r="L34" s="19"/>
    </row>
    <row r="35" ht="20.4" customHeight="1" spans="1:12">
      <c r="A35" s="13" t="s">
        <v>183</v>
      </c>
      <c r="B35" s="13"/>
      <c r="C35" s="13"/>
      <c r="D35" s="20">
        <v>-6536</v>
      </c>
      <c r="E35" s="20"/>
      <c r="F35" s="22"/>
      <c r="G35" s="8"/>
      <c r="H35" s="8"/>
      <c r="I35" s="8"/>
      <c r="J35" s="20">
        <v>-31497</v>
      </c>
      <c r="K35" s="20"/>
      <c r="L35" s="22"/>
    </row>
    <row r="36" customHeight="1" spans="1:12">
      <c r="A36" s="9" t="s">
        <v>251</v>
      </c>
      <c r="B36" s="9"/>
      <c r="C36" s="9"/>
      <c r="D36" s="26">
        <v>1050000</v>
      </c>
      <c r="E36" s="18"/>
      <c r="F36" s="19"/>
      <c r="G36" s="12"/>
      <c r="H36" s="12"/>
      <c r="I36" s="12"/>
      <c r="J36" s="18" t="s">
        <v>125</v>
      </c>
      <c r="K36" s="18"/>
      <c r="L36" s="19"/>
    </row>
    <row r="37" customHeight="1" spans="1:12">
      <c r="A37" s="13" t="s">
        <v>184</v>
      </c>
      <c r="B37" s="13"/>
      <c r="C37" s="13"/>
      <c r="D37" s="20">
        <v>-30500</v>
      </c>
      <c r="E37" s="20"/>
      <c r="F37" s="22"/>
      <c r="G37" s="8"/>
      <c r="H37" s="8"/>
      <c r="I37" s="8"/>
      <c r="J37" s="20">
        <v>-22700</v>
      </c>
      <c r="K37" s="20"/>
      <c r="L37" s="22"/>
    </row>
    <row r="38" ht="20.4" customHeight="1" spans="1:12">
      <c r="A38" s="9" t="s">
        <v>185</v>
      </c>
      <c r="B38" s="9"/>
      <c r="C38" s="9"/>
      <c r="D38" s="26">
        <v>-9379</v>
      </c>
      <c r="E38" s="26"/>
      <c r="F38" s="19"/>
      <c r="G38" s="12"/>
      <c r="H38" s="12"/>
      <c r="I38" s="12"/>
      <c r="J38" s="26">
        <v>-22937</v>
      </c>
      <c r="K38" s="26"/>
      <c r="L38" s="19"/>
    </row>
    <row r="39" ht="15.9" customHeight="1" spans="1:12">
      <c r="A39" s="13" t="s">
        <v>186</v>
      </c>
      <c r="B39" s="13"/>
      <c r="C39" s="13"/>
      <c r="D39" s="16" t="s">
        <v>125</v>
      </c>
      <c r="E39" s="16"/>
      <c r="F39" s="17"/>
      <c r="G39" s="8"/>
      <c r="H39" s="8"/>
      <c r="I39" s="8"/>
      <c r="J39" s="20">
        <v>-8385</v>
      </c>
      <c r="K39" s="20"/>
      <c r="L39" s="22"/>
    </row>
    <row r="40" ht="21.15" customHeight="1" spans="1:12">
      <c r="A40" s="24" t="s">
        <v>252</v>
      </c>
      <c r="B40" s="24"/>
      <c r="C40" s="24"/>
      <c r="D40" s="27">
        <v>1402205</v>
      </c>
      <c r="E40" s="28"/>
      <c r="F40" s="29"/>
      <c r="G40" s="12"/>
      <c r="H40" s="12"/>
      <c r="I40" s="12"/>
      <c r="J40" s="27">
        <v>470577</v>
      </c>
      <c r="K40" s="28"/>
      <c r="L40" s="29"/>
    </row>
    <row r="41" customHeight="1" spans="1:12">
      <c r="A41" s="6" t="s">
        <v>188</v>
      </c>
      <c r="B41" s="6"/>
      <c r="C41" s="6"/>
      <c r="D41" s="7"/>
      <c r="E41" s="7"/>
      <c r="F41" s="7"/>
      <c r="G41" s="8"/>
      <c r="H41" s="8"/>
      <c r="I41" s="8"/>
      <c r="J41" s="7"/>
      <c r="K41" s="7"/>
      <c r="L41" s="7"/>
    </row>
    <row r="42" ht="20.4" customHeight="1" spans="1:12">
      <c r="A42" s="9" t="s">
        <v>189</v>
      </c>
      <c r="B42" s="9"/>
      <c r="C42" s="9"/>
      <c r="D42" s="14" t="s">
        <v>125</v>
      </c>
      <c r="E42" s="14"/>
      <c r="F42" s="11"/>
      <c r="G42" s="12"/>
      <c r="H42" s="12"/>
      <c r="I42" s="12"/>
      <c r="J42" s="10">
        <v>1437500</v>
      </c>
      <c r="K42" s="14"/>
      <c r="L42" s="11"/>
    </row>
    <row r="43" customHeight="1" spans="1:12">
      <c r="A43" s="13" t="s">
        <v>190</v>
      </c>
      <c r="B43" s="13"/>
      <c r="C43" s="13"/>
      <c r="D43" s="15">
        <v>1000000</v>
      </c>
      <c r="E43" s="16"/>
      <c r="F43" s="17"/>
      <c r="G43" s="8"/>
      <c r="H43" s="8"/>
      <c r="I43" s="8"/>
      <c r="J43" s="16" t="s">
        <v>125</v>
      </c>
      <c r="K43" s="16"/>
      <c r="L43" s="17"/>
    </row>
    <row r="44" customHeight="1" spans="1:12">
      <c r="A44" s="9" t="s">
        <v>191</v>
      </c>
      <c r="B44" s="9"/>
      <c r="C44" s="9"/>
      <c r="D44" s="14" t="s">
        <v>125</v>
      </c>
      <c r="E44" s="14"/>
      <c r="F44" s="11"/>
      <c r="G44" s="12"/>
      <c r="H44" s="12"/>
      <c r="I44" s="12"/>
      <c r="J44" s="26">
        <v>-213469</v>
      </c>
      <c r="K44" s="26"/>
      <c r="L44" s="19"/>
    </row>
    <row r="45" ht="20.4" customHeight="1" spans="1:12">
      <c r="A45" s="13" t="s">
        <v>192</v>
      </c>
      <c r="B45" s="13"/>
      <c r="C45" s="13"/>
      <c r="D45" s="16" t="s">
        <v>125</v>
      </c>
      <c r="E45" s="16"/>
      <c r="F45" s="17"/>
      <c r="G45" s="8"/>
      <c r="H45" s="8"/>
      <c r="I45" s="8"/>
      <c r="J45" s="15">
        <v>161144</v>
      </c>
      <c r="K45" s="16"/>
      <c r="L45" s="17"/>
    </row>
    <row r="46" customHeight="1" spans="1:12">
      <c r="A46" s="9" t="s">
        <v>193</v>
      </c>
      <c r="B46" s="9"/>
      <c r="C46" s="9"/>
      <c r="D46" s="10">
        <v>-11270</v>
      </c>
      <c r="E46" s="10"/>
      <c r="F46" s="11"/>
      <c r="G46" s="12"/>
      <c r="H46" s="12"/>
      <c r="I46" s="12"/>
      <c r="J46" s="26">
        <v>-16769</v>
      </c>
      <c r="K46" s="26"/>
      <c r="L46" s="19"/>
    </row>
    <row r="48" customHeight="1" spans="1:12">
      <c r="A48" s="13" t="s">
        <v>195</v>
      </c>
      <c r="B48" s="13"/>
      <c r="C48" s="13"/>
      <c r="D48" s="20">
        <v>-2077759</v>
      </c>
      <c r="E48" s="20"/>
      <c r="F48" s="22"/>
      <c r="G48" s="8"/>
      <c r="H48" s="8"/>
      <c r="I48" s="8"/>
      <c r="J48" s="20">
        <v>-495364</v>
      </c>
      <c r="K48" s="20"/>
      <c r="L48" s="22"/>
    </row>
    <row r="49" ht="20.4" customHeight="1" spans="1:12">
      <c r="A49" s="9" t="s">
        <v>196</v>
      </c>
      <c r="B49" s="9"/>
      <c r="C49" s="9"/>
      <c r="D49" s="26">
        <v>-13141</v>
      </c>
      <c r="E49" s="26"/>
      <c r="F49" s="19"/>
      <c r="G49" s="12"/>
      <c r="H49" s="12"/>
      <c r="I49" s="12"/>
      <c r="J49" s="26">
        <v>-15497</v>
      </c>
      <c r="K49" s="26"/>
      <c r="L49" s="19"/>
    </row>
    <row r="50" customHeight="1" spans="1:12">
      <c r="A50" s="13" t="s">
        <v>197</v>
      </c>
      <c r="B50" s="13"/>
      <c r="C50" s="13"/>
      <c r="D50" s="21" t="s">
        <v>125</v>
      </c>
      <c r="E50" s="21"/>
      <c r="F50" s="22"/>
      <c r="G50" s="8"/>
      <c r="H50" s="8"/>
      <c r="I50" s="8"/>
      <c r="J50" s="21">
        <v>-565</v>
      </c>
      <c r="K50" s="21"/>
      <c r="L50" s="22"/>
    </row>
    <row r="51" customHeight="1" spans="1:12">
      <c r="A51" s="9" t="s">
        <v>198</v>
      </c>
      <c r="B51" s="9"/>
      <c r="C51" s="9"/>
      <c r="D51" s="30">
        <v>320</v>
      </c>
      <c r="E51" s="14"/>
      <c r="F51" s="11"/>
      <c r="G51" s="12"/>
      <c r="H51" s="12"/>
      <c r="I51" s="12"/>
      <c r="J51" s="10">
        <v>1986</v>
      </c>
      <c r="K51" s="14"/>
      <c r="L51" s="11"/>
    </row>
    <row r="52" ht="31.35" customHeight="1" spans="1:12">
      <c r="A52" s="13" t="s">
        <v>199</v>
      </c>
      <c r="B52" s="13"/>
      <c r="C52" s="13"/>
      <c r="D52" s="20">
        <v>49404</v>
      </c>
      <c r="E52" s="21"/>
      <c r="F52" s="22"/>
      <c r="G52" s="8"/>
      <c r="H52" s="8"/>
      <c r="I52" s="8"/>
      <c r="J52" s="15">
        <v>39531</v>
      </c>
      <c r="K52" s="16"/>
      <c r="L52" s="17"/>
    </row>
    <row r="53" ht="21.15" customHeight="1" spans="1:12">
      <c r="A53" s="24" t="s">
        <v>200</v>
      </c>
      <c r="B53" s="24"/>
      <c r="C53" s="24"/>
      <c r="D53" s="27">
        <v>-1052446</v>
      </c>
      <c r="E53" s="27"/>
      <c r="F53" s="29"/>
      <c r="G53" s="12"/>
      <c r="H53" s="12"/>
      <c r="I53" s="12"/>
      <c r="J53" s="27">
        <v>898497</v>
      </c>
      <c r="K53" s="28"/>
      <c r="L53" s="29"/>
    </row>
    <row r="54" ht="20.4" customHeight="1" spans="1:12">
      <c r="A54" s="13" t="s">
        <v>253</v>
      </c>
      <c r="B54" s="13"/>
      <c r="C54" s="13"/>
      <c r="D54" s="31">
        <v>505546</v>
      </c>
      <c r="E54" s="32"/>
      <c r="F54" s="33"/>
      <c r="G54" s="8"/>
      <c r="H54" s="8"/>
      <c r="I54" s="8"/>
      <c r="J54" s="31">
        <v>2141225</v>
      </c>
      <c r="K54" s="32"/>
      <c r="L54" s="33"/>
    </row>
    <row r="55" ht="20.4" customHeight="1" spans="1:12">
      <c r="A55" s="9" t="s">
        <v>202</v>
      </c>
      <c r="B55" s="9"/>
      <c r="C55" s="9"/>
      <c r="D55" s="10">
        <v>-11652</v>
      </c>
      <c r="E55" s="10"/>
      <c r="F55" s="11"/>
      <c r="G55" s="12"/>
      <c r="H55" s="12"/>
      <c r="I55" s="12"/>
      <c r="J55" s="26">
        <v>-3999</v>
      </c>
      <c r="K55" s="26"/>
      <c r="L55" s="19"/>
    </row>
    <row r="56" ht="21.15" customHeight="1" spans="1:12">
      <c r="A56" s="13" t="s">
        <v>203</v>
      </c>
      <c r="B56" s="13"/>
      <c r="C56" s="13"/>
      <c r="D56" s="15">
        <v>2210685</v>
      </c>
      <c r="E56" s="16"/>
      <c r="F56" s="17"/>
      <c r="G56" s="8"/>
      <c r="H56" s="8"/>
      <c r="I56" s="8"/>
      <c r="J56" s="15">
        <v>2011276</v>
      </c>
      <c r="K56" s="16"/>
      <c r="L56" s="17"/>
    </row>
    <row r="57" ht="21.15" customHeight="1" spans="1:12">
      <c r="A57" s="34" t="s">
        <v>204</v>
      </c>
      <c r="B57" s="34"/>
      <c r="C57" s="34"/>
      <c r="D57" s="35" t="s">
        <v>120</v>
      </c>
      <c r="E57" s="36">
        <v>2704579</v>
      </c>
      <c r="F57" s="37"/>
      <c r="G57" s="12"/>
      <c r="H57" s="12"/>
      <c r="I57" s="12"/>
      <c r="J57" s="35" t="s">
        <v>120</v>
      </c>
      <c r="K57" s="36">
        <v>4148502</v>
      </c>
      <c r="L57" s="37"/>
    </row>
    <row r="58" ht="31.35" customHeight="1" spans="1:12">
      <c r="A58" s="6" t="s">
        <v>208</v>
      </c>
      <c r="B58" s="6"/>
      <c r="C58" s="6"/>
      <c r="D58" s="38"/>
      <c r="E58" s="38"/>
      <c r="F58" s="38"/>
      <c r="G58" s="8"/>
      <c r="H58" s="8"/>
      <c r="I58" s="8"/>
      <c r="J58" s="38"/>
      <c r="K58" s="38"/>
      <c r="L58" s="38"/>
    </row>
    <row r="61" ht="20.4" customHeight="1" spans="1:12">
      <c r="A61" s="9" t="s">
        <v>210</v>
      </c>
      <c r="B61" s="9"/>
      <c r="C61" s="9"/>
      <c r="D61" s="9" t="s">
        <v>120</v>
      </c>
      <c r="E61" s="10">
        <v>49632</v>
      </c>
      <c r="F61" s="11"/>
      <c r="G61" s="12"/>
      <c r="H61" s="12"/>
      <c r="I61" s="12"/>
      <c r="J61" s="9" t="s">
        <v>120</v>
      </c>
      <c r="K61" s="10">
        <v>138257</v>
      </c>
      <c r="L61" s="11"/>
    </row>
    <row r="62" ht="40.8" customHeight="1" spans="1:12">
      <c r="A62" s="39" t="s">
        <v>211</v>
      </c>
      <c r="B62" s="39"/>
      <c r="C62" s="39"/>
      <c r="D62" s="8"/>
      <c r="E62" s="8"/>
      <c r="F62" s="8"/>
      <c r="G62" s="8"/>
      <c r="H62" s="8"/>
      <c r="I62" s="8"/>
      <c r="J62" s="8"/>
      <c r="K62" s="8"/>
      <c r="L62" s="8"/>
    </row>
    <row r="63" customHeight="1" spans="1:12">
      <c r="A63" s="9" t="s">
        <v>119</v>
      </c>
      <c r="B63" s="9"/>
      <c r="C63" s="9"/>
      <c r="D63" s="9" t="s">
        <v>120</v>
      </c>
      <c r="E63" s="10">
        <v>2680596</v>
      </c>
      <c r="F63" s="11"/>
      <c r="G63" s="12"/>
      <c r="H63" s="12"/>
      <c r="I63" s="12"/>
      <c r="J63" s="9" t="s">
        <v>120</v>
      </c>
      <c r="K63" s="10">
        <v>4125595</v>
      </c>
      <c r="L63" s="11"/>
    </row>
    <row r="64" ht="20.4" customHeight="1" spans="1:12">
      <c r="A64" s="13" t="s">
        <v>212</v>
      </c>
      <c r="B64" s="13"/>
      <c r="C64" s="13"/>
      <c r="D64" s="15">
        <v>7943</v>
      </c>
      <c r="E64" s="16"/>
      <c r="F64" s="17"/>
      <c r="G64" s="8"/>
      <c r="H64" s="8"/>
      <c r="I64" s="8"/>
      <c r="J64" s="15">
        <v>3286</v>
      </c>
      <c r="K64" s="16"/>
      <c r="L64" s="17"/>
    </row>
    <row r="65" ht="15.9" customHeight="1" spans="1:12">
      <c r="A65" s="9" t="s">
        <v>213</v>
      </c>
      <c r="B65" s="9"/>
      <c r="C65" s="9"/>
      <c r="D65" s="10">
        <v>16040</v>
      </c>
      <c r="E65" s="14"/>
      <c r="F65" s="11"/>
      <c r="G65" s="12"/>
      <c r="H65" s="12"/>
      <c r="I65" s="12"/>
      <c r="J65" s="10">
        <v>19621</v>
      </c>
      <c r="K65" s="14"/>
      <c r="L65" s="11"/>
    </row>
    <row r="66" ht="21.15" customHeight="1" spans="1:5">
      <c r="A66" s="40" t="s">
        <v>214</v>
      </c>
      <c r="B66" s="40"/>
      <c r="C66" s="40"/>
      <c r="D66" s="41" t="s">
        <v>120</v>
      </c>
      <c r="E66" s="42" t="s">
        <v>254</v>
      </c>
    </row>
    <row r="67" ht="15.15"/>
  </sheetData>
  <mergeCells count="207">
    <mergeCell ref="A6:C6"/>
    <mergeCell ref="D6:L6"/>
    <mergeCell ref="A7:C7"/>
    <mergeCell ref="D7:F7"/>
    <mergeCell ref="G7:I7"/>
    <mergeCell ref="J7:L7"/>
    <mergeCell ref="A8:C8"/>
    <mergeCell ref="D8:F8"/>
    <mergeCell ref="G8:I8"/>
    <mergeCell ref="J8:L8"/>
    <mergeCell ref="A9:C9"/>
    <mergeCell ref="G9:I9"/>
    <mergeCell ref="A10:C10"/>
    <mergeCell ref="D10:F10"/>
    <mergeCell ref="G10:I10"/>
    <mergeCell ref="J10:L10"/>
    <mergeCell ref="A11:C11"/>
    <mergeCell ref="D11:E11"/>
    <mergeCell ref="G11:I11"/>
    <mergeCell ref="J11:K11"/>
    <mergeCell ref="A12:C12"/>
    <mergeCell ref="D12:E12"/>
    <mergeCell ref="G12:I12"/>
    <mergeCell ref="J12:K12"/>
    <mergeCell ref="A14:C14"/>
    <mergeCell ref="D14:E14"/>
    <mergeCell ref="G14:I14"/>
    <mergeCell ref="J14:K14"/>
    <mergeCell ref="A15:C15"/>
    <mergeCell ref="D15:E15"/>
    <mergeCell ref="G15:I15"/>
    <mergeCell ref="J15:K15"/>
    <mergeCell ref="A18:C18"/>
    <mergeCell ref="D18:E18"/>
    <mergeCell ref="G18:I18"/>
    <mergeCell ref="J18:K18"/>
    <mergeCell ref="A19:C19"/>
    <mergeCell ref="D19:E19"/>
    <mergeCell ref="G19:I19"/>
    <mergeCell ref="J19:K19"/>
    <mergeCell ref="A20:C20"/>
    <mergeCell ref="D20:E20"/>
    <mergeCell ref="G20:I20"/>
    <mergeCell ref="J20:K20"/>
    <mergeCell ref="A21:C21"/>
    <mergeCell ref="D21:F21"/>
    <mergeCell ref="G21:I21"/>
    <mergeCell ref="J21:L21"/>
    <mergeCell ref="A22:C22"/>
    <mergeCell ref="D22:E22"/>
    <mergeCell ref="G22:I22"/>
    <mergeCell ref="J22:K22"/>
    <mergeCell ref="A23:C23"/>
    <mergeCell ref="D23:E23"/>
    <mergeCell ref="G23:I23"/>
    <mergeCell ref="J23:K23"/>
    <mergeCell ref="A24:C24"/>
    <mergeCell ref="D24:E24"/>
    <mergeCell ref="G24:I24"/>
    <mergeCell ref="J24:K24"/>
    <mergeCell ref="A25:C25"/>
    <mergeCell ref="D25:E25"/>
    <mergeCell ref="G25:I25"/>
    <mergeCell ref="J25:K25"/>
    <mergeCell ref="A26:C26"/>
    <mergeCell ref="D26:E26"/>
    <mergeCell ref="G26:I26"/>
    <mergeCell ref="J26:K26"/>
    <mergeCell ref="A27:C27"/>
    <mergeCell ref="D27:E27"/>
    <mergeCell ref="G27:I27"/>
    <mergeCell ref="J27:K27"/>
    <mergeCell ref="A28:C28"/>
    <mergeCell ref="D28:E28"/>
    <mergeCell ref="G28:I28"/>
    <mergeCell ref="J28:K28"/>
    <mergeCell ref="A29:C29"/>
    <mergeCell ref="D29:F29"/>
    <mergeCell ref="G29:I29"/>
    <mergeCell ref="J29:L29"/>
    <mergeCell ref="A30:C30"/>
    <mergeCell ref="D30:E30"/>
    <mergeCell ref="G30:I30"/>
    <mergeCell ref="J30:K30"/>
    <mergeCell ref="A31:C31"/>
    <mergeCell ref="D31:E31"/>
    <mergeCell ref="G31:I31"/>
    <mergeCell ref="J31:K31"/>
    <mergeCell ref="A32:C32"/>
    <mergeCell ref="D32:E32"/>
    <mergeCell ref="G32:I32"/>
    <mergeCell ref="J32:K32"/>
    <mergeCell ref="A33:C33"/>
    <mergeCell ref="D33:E33"/>
    <mergeCell ref="G33:I33"/>
    <mergeCell ref="J33:K33"/>
    <mergeCell ref="A34:C34"/>
    <mergeCell ref="D34:E34"/>
    <mergeCell ref="G34:I34"/>
    <mergeCell ref="J34:K34"/>
    <mergeCell ref="A35:C35"/>
    <mergeCell ref="D35:E35"/>
    <mergeCell ref="G35:I35"/>
    <mergeCell ref="J35:K35"/>
    <mergeCell ref="A36:C36"/>
    <mergeCell ref="D36:E36"/>
    <mergeCell ref="G36:I36"/>
    <mergeCell ref="J36:K36"/>
    <mergeCell ref="A37:C37"/>
    <mergeCell ref="D37:E37"/>
    <mergeCell ref="G37:I37"/>
    <mergeCell ref="J37:K37"/>
    <mergeCell ref="A38:C38"/>
    <mergeCell ref="D38:E38"/>
    <mergeCell ref="G38:I38"/>
    <mergeCell ref="J38:K38"/>
    <mergeCell ref="A39:C39"/>
    <mergeCell ref="D39:E39"/>
    <mergeCell ref="G39:I39"/>
    <mergeCell ref="J39:K39"/>
    <mergeCell ref="A40:C40"/>
    <mergeCell ref="D40:E40"/>
    <mergeCell ref="G40:I40"/>
    <mergeCell ref="J40:K40"/>
    <mergeCell ref="A41:C41"/>
    <mergeCell ref="D41:F41"/>
    <mergeCell ref="G41:I41"/>
    <mergeCell ref="J41:L41"/>
    <mergeCell ref="A42:C42"/>
    <mergeCell ref="D42:E42"/>
    <mergeCell ref="G42:I42"/>
    <mergeCell ref="J42:K42"/>
    <mergeCell ref="A43:C43"/>
    <mergeCell ref="D43:E43"/>
    <mergeCell ref="G43:I43"/>
    <mergeCell ref="J43:K43"/>
    <mergeCell ref="A44:C44"/>
    <mergeCell ref="D44:E44"/>
    <mergeCell ref="G44:I44"/>
    <mergeCell ref="J44:K44"/>
    <mergeCell ref="A45:C45"/>
    <mergeCell ref="D45:E45"/>
    <mergeCell ref="G45:I45"/>
    <mergeCell ref="J45:K45"/>
    <mergeCell ref="A46:C46"/>
    <mergeCell ref="D46:E46"/>
    <mergeCell ref="G46:I46"/>
    <mergeCell ref="J46:K46"/>
    <mergeCell ref="A48:C48"/>
    <mergeCell ref="D48:E48"/>
    <mergeCell ref="G48:I48"/>
    <mergeCell ref="J48:K48"/>
    <mergeCell ref="A49:C49"/>
    <mergeCell ref="D49:E49"/>
    <mergeCell ref="G49:I49"/>
    <mergeCell ref="J49:K49"/>
    <mergeCell ref="A50:C50"/>
    <mergeCell ref="D50:E50"/>
    <mergeCell ref="G50:I50"/>
    <mergeCell ref="J50:K50"/>
    <mergeCell ref="A51:C51"/>
    <mergeCell ref="D51:E51"/>
    <mergeCell ref="G51:I51"/>
    <mergeCell ref="J51:K51"/>
    <mergeCell ref="A52:C52"/>
    <mergeCell ref="D52:E52"/>
    <mergeCell ref="G52:I52"/>
    <mergeCell ref="J52:K52"/>
    <mergeCell ref="A53:C53"/>
    <mergeCell ref="D53:E53"/>
    <mergeCell ref="G53:I53"/>
    <mergeCell ref="J53:K53"/>
    <mergeCell ref="A54:C54"/>
    <mergeCell ref="D54:E54"/>
    <mergeCell ref="G54:I54"/>
    <mergeCell ref="J54:K54"/>
    <mergeCell ref="A55:C55"/>
    <mergeCell ref="D55:E55"/>
    <mergeCell ref="G55:I55"/>
    <mergeCell ref="J55:K55"/>
    <mergeCell ref="A56:C56"/>
    <mergeCell ref="D56:E56"/>
    <mergeCell ref="G56:I56"/>
    <mergeCell ref="J56:K56"/>
    <mergeCell ref="A57:C57"/>
    <mergeCell ref="G57:I57"/>
    <mergeCell ref="A58:C58"/>
    <mergeCell ref="D58:F58"/>
    <mergeCell ref="G58:I58"/>
    <mergeCell ref="J58:L58"/>
    <mergeCell ref="A61:C61"/>
    <mergeCell ref="G61:I61"/>
    <mergeCell ref="A62:C62"/>
    <mergeCell ref="D62:F62"/>
    <mergeCell ref="G62:I62"/>
    <mergeCell ref="J62:L62"/>
    <mergeCell ref="A63:C63"/>
    <mergeCell ref="G63:I63"/>
    <mergeCell ref="A64:C64"/>
    <mergeCell ref="D64:E64"/>
    <mergeCell ref="G64:I64"/>
    <mergeCell ref="J64:K64"/>
    <mergeCell ref="A65:C65"/>
    <mergeCell ref="D65:E65"/>
    <mergeCell ref="G65:I65"/>
    <mergeCell ref="J65:K65"/>
    <mergeCell ref="A66:C66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LBO Model</vt:lpstr>
      <vt:lpstr>BS 2021 10K</vt:lpstr>
      <vt:lpstr>CF 2021 10K</vt:lpstr>
      <vt:lpstr>IS 2021 10K</vt:lpstr>
      <vt:lpstr>BS 10Q 2022</vt:lpstr>
      <vt:lpstr>IS 2022</vt:lpstr>
      <vt:lpstr>CF 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shiva</cp:lastModifiedBy>
  <dcterms:created xsi:type="dcterms:W3CDTF">2024-07-17T20:30:00Z</dcterms:created>
  <dcterms:modified xsi:type="dcterms:W3CDTF">2025-07-18T07:53:57Z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B45CE01BC66F447CA39CA7644B37903B_13</vt:lpwstr>
  </property>
  <property fmtid="{D5CDD505-2E9C-101B-9397-08002B2CF9AE}" pid="3" name="KSOProductBuildVer">
    <vt:lpwstr>1033-12.2.0.21931</vt:lpwstr>
  </property>
</Properties>
</file>