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Tex Onsite\Tex_reff\"/>
    </mc:Choice>
  </mc:AlternateContent>
  <xr:revisionPtr revIDLastSave="0" documentId="13_ncr:1_{B0D8B598-F472-41E1-8325-EEF52CE52859}" xr6:coauthVersionLast="47" xr6:coauthVersionMax="47" xr10:uidLastSave="{00000000-0000-0000-0000-000000000000}"/>
  <bookViews>
    <workbookView xWindow="-105" yWindow="0" windowWidth="19005" windowHeight="15585" activeTab="5" xr2:uid="{5E05B9EB-8935-4F21-A289-081E2BB1A21E}"/>
  </bookViews>
  <sheets>
    <sheet name="Setup Data" sheetId="2" r:id="rId1"/>
    <sheet name="1Test Data" sheetId="3" state="hidden" r:id="rId2"/>
    <sheet name="Worksheet (2)" sheetId="13" state="hidden" r:id="rId3"/>
    <sheet name="Report" sheetId="5" r:id="rId4"/>
    <sheet name="Test Data" sheetId="11" r:id="rId5"/>
    <sheet name="Worksheet" sheetId="4" r:id="rId6"/>
    <sheet name="Variables" sheetId="12" r:id="rId7"/>
    <sheet name="Uncert" sheetId="6" r:id="rId8"/>
    <sheet name="Scope" sheetId="7" r:id="rId9"/>
    <sheet name="Notes" sheetId="8" r:id="rId10"/>
    <sheet name="shernof" sheetId="9" r:id="rId11"/>
    <sheet name="Mods" sheetId="10" r:id="rId12"/>
  </sheets>
  <functionGroups builtInGroupCount="19"/>
  <externalReferences>
    <externalReference r:id="rId13"/>
    <externalReference r:id="rId14"/>
    <externalReference r:id="rId15"/>
    <externalReference r:id="rId16"/>
  </externalReferences>
  <definedNames>
    <definedName name="_xleta.ABS" hidden="1" xlm="1">#NAME?</definedName>
    <definedName name="_xleta.AND" hidden="1" xlm="1">#NAME?</definedName>
    <definedName name="_xleta.CEILING" hidden="1" xlm="1">#NAME?</definedName>
    <definedName name="_xleta.FIND" hidden="1" xlm="1">#NAME?</definedName>
    <definedName name="_xleta.FIXED" hidden="1" xlm="1">#NAME?</definedName>
    <definedName name="_xleta.IF" hidden="1" xlm="1">#NAME?</definedName>
    <definedName name="_xleta.IFERROR"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X" hidden="1" xlm="1">#NAME?</definedName>
    <definedName name="_xleta.N" hidden="1" xlm="1">#NAME?</definedName>
    <definedName name="_xleta.NOT" hidden="1" xlm="1">#NAME?</definedName>
    <definedName name="_xleta.OR" hidden="1" xlm="1">#NAME?</definedName>
    <definedName name="_xleta.PY" hidden="1" xlm="1">#NAME?</definedName>
    <definedName name="_xleta.RIGHT" hidden="1" xlm="1">#NAME?</definedName>
    <definedName name="_xleta.ROUND" hidden="1" xlm="1">#NAME?</definedName>
    <definedName name="_xleta.ROUNDDOWN" hidden="1" xlm="1">#NAME?</definedName>
    <definedName name="_xleta.ROW" hidden="1" xlm="1">#NAME?</definedName>
    <definedName name="_xleta.SQRT" hidden="1" xlm="1">#NAME?</definedName>
    <definedName name="_xleta.SUM" hidden="1" xlm="1">#NAME?</definedName>
    <definedName name="_xleta.T" hidden="1" xlm="1">#NAME?</definedName>
    <definedName name="_xleta.TEXTJOIN" hidden="1" xlm="1">#NAME?</definedName>
    <definedName name="_xleta.VLOOKUP" hidden="1" xlm="1">#NAME?</definedName>
    <definedName name="AN" localSheetId="4">'Test Data'!$D$9</definedName>
    <definedName name="ANS">shernof!$I$19</definedName>
    <definedName name="aveTemp" localSheetId="2">'Worksheet (2)'!$M$5</definedName>
    <definedName name="aveTemp">Worksheet!$M$5</definedName>
    <definedName name="calibratedBy" localSheetId="6">INDIRECT(VLOOKUP(Report!$AD$127:$AF$128,3,FALSE))</definedName>
    <definedName name="correction">'1Test Data'!$H$8</definedName>
    <definedName name="customerName">'Setup Data'!$E$5</definedName>
    <definedName name="decAssign">Report!$X$110</definedName>
    <definedName name="DecimalPlaces">'1Test Data'!$AG$4</definedName>
    <definedName name="Due" localSheetId="4">'Test Data'!$O$8:$P$8</definedName>
    <definedName name="EDMS" localSheetId="2">'Worksheet (2)'!$O$13</definedName>
    <definedName name="EDMS">Worksheet!$O$13</definedName>
    <definedName name="Elect" localSheetId="1">IF(OR(ReadoutType="mA",ReadoutType="V"),1,0)</definedName>
    <definedName name="Elect" localSheetId="2">IF(OR(ReadoutType="mA",ReadoutType="V"),1,0)</definedName>
    <definedName name="ElectMult" localSheetId="1">(1/(Capacity/(Upper-Lower)))</definedName>
    <definedName name="ElectMult" localSheetId="2">(1/(Capacity/([0]!Upper-[0]!Lower)))</definedName>
    <definedName name="ElectMult">(1/(Capacity/(Upper-Lower)))</definedName>
    <definedName name="ElectUncert">'1Test Data'!$T$3</definedName>
    <definedName name="Failure_Count" localSheetId="2">IF('Worksheet (2)'!$Y$38&gt;1,0,1)</definedName>
    <definedName name="Failure_Count">IF(Worksheet!$Y$32&gt;1,0,1)</definedName>
    <definedName name="features">'Test Data'!$D$13</definedName>
    <definedName name="gauge">Variables!$Q$8</definedName>
    <definedName name="GaugeDiameter">'1Test Data'!$C$12</definedName>
    <definedName name="GaugeLimitMSA2">'1Test Data'!$AD$6</definedName>
    <definedName name="gaugeTolerance">#REF!</definedName>
    <definedName name="GaugeType">'1Test Data'!$F$45</definedName>
    <definedName name="go">Variables!$P$18:$W$24</definedName>
    <definedName name="Gravity">'Setup Data'!$I$11</definedName>
    <definedName name="inch">Variables!$B$90:$B$140</definedName>
    <definedName name="IUTPIC">INDIRECT(VLOOKUP('1Test Data'!$D$45,'1Test Data'!$B$60:$D$69,3,0))</definedName>
    <definedName name="jobNumber">'Setup Data'!$J$2</definedName>
    <definedName name="Kit" localSheetId="4">'Test Data'!$I$5</definedName>
    <definedName name="Kpa2PSI">0.145037737730209</definedName>
    <definedName name="Lab">'Setup Data'!$B$3</definedName>
    <definedName name="LOGO">INDIRECT(VLOOKUP(Report!$Z$146,Report!$Z$147:$AC$153,4,FALSE))</definedName>
    <definedName name="logolook">INDEX('[1]Linked Picture'!$AL$145:$AL$151, MATCH('[1]Linked Picture'!$G$5,'[1]Linked Picture'!$AK$145:$AK$151,0))</definedName>
    <definedName name="Lower">'1Test Data'!$D$8</definedName>
    <definedName name="majorD">Variables!$Q$5</definedName>
    <definedName name="make" localSheetId="4">'Test Data'!$D$6</definedName>
    <definedName name="make">'1Test Data'!$C$4</definedName>
    <definedName name="medium">'1Test Data'!$H$6</definedName>
    <definedName name="mm">Variables!$B$16:$B$87</definedName>
    <definedName name="myLoc">shernof!$E$10:$E$13</definedName>
    <definedName name="NATA" localSheetId="4">'Test Data'!$D$14</definedName>
    <definedName name="NATA">'1Test Data'!$H$10</definedName>
    <definedName name="NATASign">INDIRECT(VLOOKUP(Report!$F$55,Report!$O$54:$Q$54,3,0))</definedName>
    <definedName name="nataStatement" localSheetId="11">shernof!$A$75</definedName>
    <definedName name="nataStatement">shernof!$A$75</definedName>
    <definedName name="NEW">"NEW"</definedName>
    <definedName name="noGo">Variables!$P$29:$W$35</definedName>
    <definedName name="Onsite">shernof!$B$1:$B$45</definedName>
    <definedName name="pitchD">Variables!$Q$6</definedName>
    <definedName name="_xlnm.Print_Area" localSheetId="3">Report!$A$1:$N$135</definedName>
    <definedName name="Print_Area_NonNata">Report!$A$2:$M$133</definedName>
    <definedName name="Range" localSheetId="4">'Test Data'!$D$12</definedName>
    <definedName name="Range">'1Test Data'!$I$13</definedName>
    <definedName name="RangeCrossover">'1Test Data'!$H$17</definedName>
    <definedName name="Readability">'1Test Data'!$C$18</definedName>
    <definedName name="Reading">'1Test Data'!$J$13</definedName>
    <definedName name="ReadingCrossover">'1Test Data'!$H$18</definedName>
    <definedName name="ReadoutType">'1Test Data'!$C$8</definedName>
    <definedName name="ReffTest">'1Test Data'!$H$7</definedName>
    <definedName name="Repeats" localSheetId="4">IF(AND('Test Data'!Type="II",OR('Test Data'!Class="C",'Test Data'!Class="F")),10,5)</definedName>
    <definedName name="Repeats" localSheetId="6">IF(AND(Type="II",OR(Class="C",Class="F")),10,5)</definedName>
    <definedName name="Repeats" localSheetId="2">IF(AND(Type="II",OR(Class="C",Class="F")),10,5)</definedName>
    <definedName name="Repeats">IF(AND(Type="II",OR(Class="C",Class="F")),10,5)</definedName>
    <definedName name="Scopekpa">Scope!$C$6</definedName>
    <definedName name="ScopeReading">Scope!$D$6</definedName>
    <definedName name="settlingTime" localSheetId="2">'Worksheet (2)'!$R$14</definedName>
    <definedName name="settlingTime">Worksheet!$R$14</definedName>
    <definedName name="SN" localSheetId="4">'Test Data'!$D$8</definedName>
    <definedName name="SN">'1Test Data'!$C$6</definedName>
    <definedName name="swVersion">'Setup Data'!$I$14</definedName>
    <definedName name="tech">'1Test Data'!$L$16:$M$16</definedName>
    <definedName name="testPart">'Test Data'!$D$12</definedName>
    <definedName name="testpointelect">'1Test Data'!$U$3</definedName>
    <definedName name="TestType">'1Test Data'!$H$12</definedName>
    <definedName name="threadGage">'Test Data'!$D$5</definedName>
    <definedName name="threadProfiles">Variables!$Z$42:$AA$65</definedName>
    <definedName name="toastVersion">'Setup Data'!$I$16</definedName>
    <definedName name="tol">Variables!$Q$7</definedName>
    <definedName name="Tolerance">'1Test Data'!$H$13</definedName>
    <definedName name="traceableStatement">shernof!$A$76</definedName>
    <definedName name="UnitConvert">VLOOKUP('1Test Data'!$C$13,'1Test Data'!$Y$3:$AB$22,2,0)</definedName>
    <definedName name="Units">'Test Data'!$D$10</definedName>
    <definedName name="UnitTo" localSheetId="6">VLOOKUP([0]!Units,'[2]Test Data1'!$AA$2:$AC$12,2,0)</definedName>
    <definedName name="Upper">'1Test Data'!$D$9</definedName>
    <definedName name="VacRR">'1Test Data'!$I$19</definedName>
    <definedName name="Vacuum">'1Test Data'!$H$19</definedName>
    <definedName name="withFail">shernof!$A$45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9" i="4" l="1"/>
  <c r="M17" i="4"/>
  <c r="L17" i="4"/>
  <c r="Z6" i="12"/>
  <c r="U6" i="12"/>
  <c r="V6" i="12" s="1"/>
  <c r="X6" i="12" l="1"/>
  <c r="U7" i="12"/>
  <c r="V7" i="12" l="1"/>
  <c r="W6" i="12" s="1"/>
  <c r="X7" i="12"/>
  <c r="Y6" i="12"/>
  <c r="W7" i="12" l="1"/>
  <c r="AC6" i="12" l="1"/>
  <c r="AB6" i="12"/>
  <c r="J15" i="11" l="1"/>
  <c r="R93" i="12"/>
  <c r="R92" i="12"/>
  <c r="T93" i="12"/>
  <c r="S93" i="12"/>
  <c r="S92" i="12"/>
  <c r="T92" i="12"/>
  <c r="EB143" i="11" l="1"/>
  <c r="Y12" i="11"/>
  <c r="AD5" i="4" l="1"/>
  <c r="AD14" i="4"/>
  <c r="AD13" i="4"/>
  <c r="AD12" i="4"/>
  <c r="AD11" i="4"/>
  <c r="K17" i="4" l="1"/>
  <c r="Q16" i="4"/>
  <c r="O17" i="4"/>
  <c r="N17" i="4"/>
  <c r="J17" i="4"/>
  <c r="I17" i="4"/>
  <c r="H17" i="4"/>
  <c r="S11" i="11"/>
  <c r="T11" i="11" s="1"/>
  <c r="A15" i="4" l="1"/>
  <c r="F6" i="4"/>
  <c r="CK39" i="13"/>
  <c r="CU39" i="13" s="1"/>
  <c r="E38" i="13"/>
  <c r="DQ37" i="13"/>
  <c r="CF37" i="13"/>
  <c r="CE37" i="13"/>
  <c r="CD37" i="13"/>
  <c r="CC37" i="13"/>
  <c r="CB37" i="13"/>
  <c r="CA37" i="13"/>
  <c r="AC37" i="13"/>
  <c r="AB37" i="13"/>
  <c r="AA37" i="13"/>
  <c r="Y37" i="13"/>
  <c r="T37" i="13"/>
  <c r="S37" i="13"/>
  <c r="R37" i="13"/>
  <c r="Q37" i="13"/>
  <c r="M37" i="13"/>
  <c r="L37" i="13"/>
  <c r="K37" i="13"/>
  <c r="P37" i="13" s="1"/>
  <c r="H37" i="13"/>
  <c r="O37" i="13" s="1"/>
  <c r="B37" i="13"/>
  <c r="DQ36" i="13"/>
  <c r="CF36" i="13"/>
  <c r="CE36" i="13"/>
  <c r="CD36" i="13"/>
  <c r="CC36" i="13"/>
  <c r="CB36" i="13"/>
  <c r="CA36" i="13"/>
  <c r="AC36" i="13"/>
  <c r="AB36" i="13"/>
  <c r="AA36" i="13"/>
  <c r="Y36" i="13"/>
  <c r="T36" i="13"/>
  <c r="S36" i="13"/>
  <c r="R36" i="13"/>
  <c r="Q36" i="13"/>
  <c r="M36" i="13"/>
  <c r="L36" i="13"/>
  <c r="K36" i="13"/>
  <c r="P36" i="13" s="1"/>
  <c r="H36" i="13"/>
  <c r="O36" i="13" s="1"/>
  <c r="B36" i="13"/>
  <c r="C36" i="13" s="1"/>
  <c r="N36" i="13" s="1"/>
  <c r="DQ35" i="13"/>
  <c r="CF35" i="13"/>
  <c r="CE35" i="13"/>
  <c r="CD35" i="13"/>
  <c r="CC35" i="13"/>
  <c r="CB35" i="13"/>
  <c r="CA35" i="13"/>
  <c r="AC35" i="13"/>
  <c r="AB35" i="13"/>
  <c r="AA35" i="13"/>
  <c r="Y35" i="13"/>
  <c r="T35" i="13"/>
  <c r="S35" i="13"/>
  <c r="R35" i="13"/>
  <c r="Q35" i="13"/>
  <c r="M35" i="13"/>
  <c r="L35" i="13"/>
  <c r="K35" i="13"/>
  <c r="P35" i="13" s="1"/>
  <c r="H35" i="13"/>
  <c r="O35" i="13" s="1"/>
  <c r="B35" i="13"/>
  <c r="C35" i="13" s="1"/>
  <c r="N35" i="13" s="1"/>
  <c r="DQ34" i="13"/>
  <c r="CF34" i="13"/>
  <c r="CE34" i="13"/>
  <c r="CD34" i="13"/>
  <c r="CC34" i="13"/>
  <c r="CB34" i="13"/>
  <c r="CA34" i="13"/>
  <c r="AC34" i="13"/>
  <c r="AB34" i="13"/>
  <c r="AA34" i="13"/>
  <c r="Y34" i="13"/>
  <c r="T34" i="13"/>
  <c r="S34" i="13"/>
  <c r="R34" i="13"/>
  <c r="Q34" i="13"/>
  <c r="P34" i="13"/>
  <c r="O34" i="13"/>
  <c r="M34" i="13"/>
  <c r="L34" i="13"/>
  <c r="K34" i="13"/>
  <c r="H34" i="13"/>
  <c r="B34" i="13"/>
  <c r="C34" i="13" s="1"/>
  <c r="N34" i="13" s="1"/>
  <c r="DQ33" i="13"/>
  <c r="CF33" i="13"/>
  <c r="CE33" i="13"/>
  <c r="CD33" i="13"/>
  <c r="CC33" i="13"/>
  <c r="CB33" i="13"/>
  <c r="CA33" i="13"/>
  <c r="AC33" i="13"/>
  <c r="AB33" i="13"/>
  <c r="AA33" i="13"/>
  <c r="Y33" i="13"/>
  <c r="T33" i="13"/>
  <c r="S33" i="13"/>
  <c r="R33" i="13"/>
  <c r="Q33" i="13"/>
  <c r="M33" i="13"/>
  <c r="L33" i="13"/>
  <c r="K33" i="13"/>
  <c r="P33" i="13" s="1"/>
  <c r="H33" i="13"/>
  <c r="O33" i="13" s="1"/>
  <c r="B33" i="13"/>
  <c r="C33" i="13" s="1"/>
  <c r="DQ32" i="13"/>
  <c r="CF32" i="13"/>
  <c r="CE32" i="13"/>
  <c r="CD32" i="13"/>
  <c r="CC32" i="13"/>
  <c r="CB32" i="13"/>
  <c r="CA32" i="13"/>
  <c r="AC32" i="13"/>
  <c r="AB32" i="13"/>
  <c r="AA32" i="13"/>
  <c r="Y32" i="13"/>
  <c r="T32" i="13"/>
  <c r="S32" i="13"/>
  <c r="R32" i="13"/>
  <c r="Q32" i="13"/>
  <c r="M32" i="13"/>
  <c r="L32" i="13"/>
  <c r="K32" i="13"/>
  <c r="P32" i="13" s="1"/>
  <c r="H32" i="13"/>
  <c r="O32" i="13" s="1"/>
  <c r="B32" i="13"/>
  <c r="C32" i="13" s="1"/>
  <c r="DQ31" i="13"/>
  <c r="CF31" i="13"/>
  <c r="CE31" i="13"/>
  <c r="CD31" i="13"/>
  <c r="CC31" i="13"/>
  <c r="CB31" i="13"/>
  <c r="CA31" i="13"/>
  <c r="AC31" i="13"/>
  <c r="AB31" i="13"/>
  <c r="AA31" i="13"/>
  <c r="Y31" i="13"/>
  <c r="T31" i="13"/>
  <c r="S31" i="13"/>
  <c r="R31" i="13"/>
  <c r="Q31" i="13"/>
  <c r="M31" i="13"/>
  <c r="L31" i="13"/>
  <c r="K31" i="13"/>
  <c r="P31" i="13" s="1"/>
  <c r="H31" i="13"/>
  <c r="O31" i="13" s="1"/>
  <c r="B31" i="13"/>
  <c r="DQ30" i="13"/>
  <c r="CF30" i="13"/>
  <c r="CE30" i="13"/>
  <c r="CD30" i="13"/>
  <c r="CC30" i="13"/>
  <c r="CB30" i="13"/>
  <c r="CA30" i="13"/>
  <c r="AC30" i="13"/>
  <c r="AB30" i="13"/>
  <c r="AA30" i="13"/>
  <c r="Y30" i="13"/>
  <c r="T30" i="13"/>
  <c r="S30" i="13"/>
  <c r="R30" i="13"/>
  <c r="Q30" i="13"/>
  <c r="M30" i="13"/>
  <c r="L30" i="13"/>
  <c r="K30" i="13"/>
  <c r="P30" i="13" s="1"/>
  <c r="H30" i="13"/>
  <c r="O30" i="13" s="1"/>
  <c r="B30" i="13"/>
  <c r="C30" i="13" s="1"/>
  <c r="DQ29" i="13"/>
  <c r="CF29" i="13"/>
  <c r="CE29" i="13"/>
  <c r="CD29" i="13"/>
  <c r="CC29" i="13"/>
  <c r="CB29" i="13"/>
  <c r="CA29" i="13"/>
  <c r="AC29" i="13"/>
  <c r="AB29" i="13"/>
  <c r="AA29" i="13"/>
  <c r="Y29" i="13"/>
  <c r="T29" i="13"/>
  <c r="S29" i="13"/>
  <c r="R29" i="13"/>
  <c r="Q29" i="13"/>
  <c r="O29" i="13"/>
  <c r="M29" i="13"/>
  <c r="L29" i="13"/>
  <c r="K29" i="13"/>
  <c r="P29" i="13" s="1"/>
  <c r="H29" i="13"/>
  <c r="B29" i="13"/>
  <c r="DQ28" i="13"/>
  <c r="CF28" i="13"/>
  <c r="CE28" i="13"/>
  <c r="CD28" i="13"/>
  <c r="CC28" i="13"/>
  <c r="CB28" i="13"/>
  <c r="CA28" i="13"/>
  <c r="AH28" i="13"/>
  <c r="AC28" i="13"/>
  <c r="AB28" i="13"/>
  <c r="AA28" i="13"/>
  <c r="Y28" i="13"/>
  <c r="T28" i="13"/>
  <c r="S28" i="13"/>
  <c r="R28" i="13"/>
  <c r="Q28" i="13"/>
  <c r="O28" i="13"/>
  <c r="M28" i="13"/>
  <c r="L28" i="13"/>
  <c r="K28" i="13"/>
  <c r="P28" i="13" s="1"/>
  <c r="H28" i="13"/>
  <c r="B28" i="13"/>
  <c r="DQ27" i="13"/>
  <c r="CF27" i="13"/>
  <c r="CE27" i="13"/>
  <c r="CD27" i="13"/>
  <c r="CC27" i="13"/>
  <c r="CB27" i="13"/>
  <c r="CA27" i="13"/>
  <c r="AH27" i="13"/>
  <c r="AC27" i="13"/>
  <c r="AB27" i="13"/>
  <c r="AA27" i="13"/>
  <c r="Y27" i="13"/>
  <c r="T27" i="13"/>
  <c r="S27" i="13"/>
  <c r="R27" i="13"/>
  <c r="Q27" i="13"/>
  <c r="M27" i="13"/>
  <c r="L27" i="13"/>
  <c r="K27" i="13"/>
  <c r="P27" i="13" s="1"/>
  <c r="H27" i="13"/>
  <c r="O27" i="13" s="1"/>
  <c r="B27" i="13"/>
  <c r="DQ26" i="13"/>
  <c r="CF26" i="13"/>
  <c r="CE26" i="13"/>
  <c r="CD26" i="13"/>
  <c r="CC26" i="13"/>
  <c r="CB26" i="13"/>
  <c r="CA26" i="13"/>
  <c r="AH26" i="13"/>
  <c r="AC26" i="13"/>
  <c r="AB26" i="13"/>
  <c r="AA26" i="13"/>
  <c r="Y26" i="13"/>
  <c r="T26" i="13"/>
  <c r="S26" i="13"/>
  <c r="R26" i="13"/>
  <c r="Q26" i="13"/>
  <c r="M26" i="13"/>
  <c r="L26" i="13"/>
  <c r="K26" i="13"/>
  <c r="P26" i="13" s="1"/>
  <c r="H26" i="13"/>
  <c r="O26" i="13" s="1"/>
  <c r="B26" i="13"/>
  <c r="DQ25" i="13"/>
  <c r="CF25" i="13"/>
  <c r="CE25" i="13"/>
  <c r="CD25" i="13"/>
  <c r="CC25" i="13"/>
  <c r="CB25" i="13"/>
  <c r="CA25" i="13"/>
  <c r="AH25" i="13"/>
  <c r="AC25" i="13"/>
  <c r="AB25" i="13"/>
  <c r="AA25" i="13"/>
  <c r="Y25" i="13"/>
  <c r="T25" i="13"/>
  <c r="S25" i="13"/>
  <c r="R25" i="13"/>
  <c r="Q25" i="13"/>
  <c r="M25" i="13"/>
  <c r="L25" i="13"/>
  <c r="K25" i="13"/>
  <c r="P25" i="13" s="1"/>
  <c r="H25" i="13"/>
  <c r="O25" i="13" s="1"/>
  <c r="B25" i="13"/>
  <c r="C25" i="13" s="1"/>
  <c r="DQ24" i="13"/>
  <c r="CF24" i="13"/>
  <c r="CE24" i="13"/>
  <c r="CD24" i="13"/>
  <c r="CC24" i="13"/>
  <c r="CB24" i="13"/>
  <c r="CA24" i="13"/>
  <c r="AH24" i="13"/>
  <c r="AC24" i="13"/>
  <c r="AB24" i="13"/>
  <c r="AA24" i="13"/>
  <c r="Y24" i="13"/>
  <c r="T24" i="13"/>
  <c r="S24" i="13"/>
  <c r="R24" i="13"/>
  <c r="Q24" i="13"/>
  <c r="DP24" i="13" s="1"/>
  <c r="M24" i="13"/>
  <c r="L24" i="13"/>
  <c r="K24" i="13"/>
  <c r="P24" i="13" s="1"/>
  <c r="H24" i="13"/>
  <c r="O24" i="13" s="1"/>
  <c r="C24" i="13"/>
  <c r="N24" i="13" s="1"/>
  <c r="B24" i="13"/>
  <c r="DQ23" i="13"/>
  <c r="CF23" i="13"/>
  <c r="CE23" i="13"/>
  <c r="CD23" i="13"/>
  <c r="CC23" i="13"/>
  <c r="CB23" i="13"/>
  <c r="CA23" i="13"/>
  <c r="AH23" i="13"/>
  <c r="AC23" i="13"/>
  <c r="AB23" i="13"/>
  <c r="AA23" i="13"/>
  <c r="Y23" i="13"/>
  <c r="T23" i="13"/>
  <c r="S23" i="13"/>
  <c r="R23" i="13"/>
  <c r="Q23" i="13"/>
  <c r="M23" i="13"/>
  <c r="L23" i="13"/>
  <c r="K23" i="13"/>
  <c r="P23" i="13" s="1"/>
  <c r="H23" i="13"/>
  <c r="O23" i="13" s="1"/>
  <c r="B23" i="13"/>
  <c r="C23" i="13" s="1"/>
  <c r="N23" i="13" s="1"/>
  <c r="DQ22" i="13"/>
  <c r="CF22" i="13"/>
  <c r="CE22" i="13"/>
  <c r="CD22" i="13"/>
  <c r="CC22" i="13"/>
  <c r="CB22" i="13"/>
  <c r="CA22" i="13"/>
  <c r="AH22" i="13"/>
  <c r="AC22" i="13"/>
  <c r="AB22" i="13"/>
  <c r="AA22" i="13"/>
  <c r="Y22" i="13"/>
  <c r="T22" i="13"/>
  <c r="S22" i="13"/>
  <c r="R22" i="13"/>
  <c r="Q22" i="13"/>
  <c r="M22" i="13"/>
  <c r="L22" i="13"/>
  <c r="K22" i="13"/>
  <c r="P22" i="13" s="1"/>
  <c r="H22" i="13"/>
  <c r="O22" i="13" s="1"/>
  <c r="B22" i="13"/>
  <c r="C22" i="13" s="1"/>
  <c r="N22" i="13" s="1"/>
  <c r="DQ21" i="13"/>
  <c r="CF21" i="13"/>
  <c r="CE21" i="13"/>
  <c r="CD21" i="13"/>
  <c r="CC21" i="13"/>
  <c r="CB21" i="13"/>
  <c r="CA21" i="13"/>
  <c r="AL21" i="13"/>
  <c r="AK24" i="13" s="1"/>
  <c r="AH21" i="13"/>
  <c r="AC21" i="13"/>
  <c r="AB21" i="13"/>
  <c r="AA21" i="13"/>
  <c r="Y21" i="13"/>
  <c r="T21" i="13"/>
  <c r="S21" i="13"/>
  <c r="R21" i="13"/>
  <c r="Q21" i="13"/>
  <c r="M21" i="13"/>
  <c r="L21" i="13"/>
  <c r="K21" i="13"/>
  <c r="P21" i="13" s="1"/>
  <c r="H21" i="13"/>
  <c r="O21" i="13" s="1"/>
  <c r="C21" i="13"/>
  <c r="N21" i="13" s="1"/>
  <c r="B21" i="13"/>
  <c r="DQ20" i="13"/>
  <c r="CF20" i="13"/>
  <c r="CE20" i="13"/>
  <c r="CD20" i="13"/>
  <c r="CC20" i="13"/>
  <c r="CB20" i="13"/>
  <c r="CA20" i="13"/>
  <c r="AH20" i="13"/>
  <c r="AC20" i="13"/>
  <c r="AB20" i="13"/>
  <c r="AA20" i="13"/>
  <c r="Y20" i="13"/>
  <c r="T20" i="13"/>
  <c r="S20" i="13"/>
  <c r="R20" i="13"/>
  <c r="Q20" i="13"/>
  <c r="M20" i="13"/>
  <c r="L20" i="13"/>
  <c r="K20" i="13"/>
  <c r="P20" i="13" s="1"/>
  <c r="H20" i="13"/>
  <c r="O20" i="13" s="1"/>
  <c r="B20" i="13"/>
  <c r="DQ19" i="13"/>
  <c r="CF19" i="13"/>
  <c r="CE19" i="13"/>
  <c r="CD19" i="13"/>
  <c r="CC19" i="13"/>
  <c r="CB19" i="13"/>
  <c r="CA19" i="13"/>
  <c r="AH19" i="13"/>
  <c r="AC19" i="13"/>
  <c r="AB19" i="13"/>
  <c r="AA19" i="13"/>
  <c r="Y19" i="13"/>
  <c r="T19" i="13"/>
  <c r="S19" i="13"/>
  <c r="R19" i="13"/>
  <c r="Q19" i="13"/>
  <c r="O19" i="13"/>
  <c r="M19" i="13"/>
  <c r="L19" i="13"/>
  <c r="K19" i="13"/>
  <c r="P19" i="13" s="1"/>
  <c r="H19" i="13"/>
  <c r="AD38" i="13" s="1"/>
  <c r="B19" i="13"/>
  <c r="C19" i="13" s="1"/>
  <c r="N19" i="13" s="1"/>
  <c r="DQ18" i="13"/>
  <c r="CZ18" i="13"/>
  <c r="CY18" i="13"/>
  <c r="CX18" i="13"/>
  <c r="CW18" i="13"/>
  <c r="CV18" i="13"/>
  <c r="CU18" i="13"/>
  <c r="CF18" i="13"/>
  <c r="CE18" i="13"/>
  <c r="CD18" i="13"/>
  <c r="CC18" i="13"/>
  <c r="CB18" i="13"/>
  <c r="CA18" i="13"/>
  <c r="AH18" i="13"/>
  <c r="AC18" i="13"/>
  <c r="AB18" i="13"/>
  <c r="AA18" i="13"/>
  <c r="Y18" i="13"/>
  <c r="T18" i="13"/>
  <c r="S18" i="13"/>
  <c r="R18" i="13"/>
  <c r="Q18" i="13"/>
  <c r="M18" i="13"/>
  <c r="L18" i="13"/>
  <c r="K18" i="13"/>
  <c r="P18" i="13" s="1"/>
  <c r="H18" i="13"/>
  <c r="O18" i="13" s="1"/>
  <c r="C18" i="13"/>
  <c r="G17" i="13"/>
  <c r="F17" i="13"/>
  <c r="S16" i="13"/>
  <c r="CU15" i="13"/>
  <c r="A15" i="13"/>
  <c r="AD14" i="13"/>
  <c r="R14" i="13"/>
  <c r="AD13" i="13"/>
  <c r="L13" i="13"/>
  <c r="M13" i="13" s="1"/>
  <c r="K13" i="13"/>
  <c r="B13" i="13"/>
  <c r="A13" i="13"/>
  <c r="C13" i="13" s="1"/>
  <c r="AD12" i="13"/>
  <c r="L12" i="13"/>
  <c r="K12" i="13"/>
  <c r="B12" i="13"/>
  <c r="A12" i="13"/>
  <c r="AD11" i="13"/>
  <c r="X11" i="13"/>
  <c r="Y11" i="13" s="1"/>
  <c r="Z11" i="13" s="1"/>
  <c r="Y10" i="13"/>
  <c r="Z10" i="13" s="1"/>
  <c r="X10" i="13"/>
  <c r="C10" i="13"/>
  <c r="X9" i="13"/>
  <c r="Y9" i="13" s="1"/>
  <c r="Z9" i="13" s="1"/>
  <c r="X8" i="13"/>
  <c r="Y8" i="13" s="1"/>
  <c r="Z8" i="13" s="1"/>
  <c r="X7" i="13"/>
  <c r="Y7" i="13" s="1"/>
  <c r="Z7" i="13" s="1"/>
  <c r="X6" i="13"/>
  <c r="Y6" i="13" s="1"/>
  <c r="Z6" i="13" s="1"/>
  <c r="F6" i="13"/>
  <c r="AD5" i="13"/>
  <c r="F2" i="13" s="1"/>
  <c r="X5" i="13"/>
  <c r="Y5" i="13" s="1"/>
  <c r="Z5" i="13" s="1"/>
  <c r="M5" i="13"/>
  <c r="X4" i="13"/>
  <c r="Y4" i="13" s="1"/>
  <c r="Z4" i="13" s="1"/>
  <c r="DP35" i="13" l="1"/>
  <c r="DP27" i="13"/>
  <c r="DN23" i="13"/>
  <c r="DN24" i="13"/>
  <c r="M12" i="13"/>
  <c r="O13" i="13" s="1"/>
  <c r="DO23" i="13"/>
  <c r="DO24" i="13"/>
  <c r="DP33" i="13"/>
  <c r="DP20" i="13"/>
  <c r="DN33" i="13"/>
  <c r="DP22" i="13"/>
  <c r="DP21" i="13"/>
  <c r="DP26" i="13"/>
  <c r="DP36" i="13"/>
  <c r="DP31" i="13"/>
  <c r="DP25" i="13"/>
  <c r="DP18" i="13"/>
  <c r="DP37" i="13"/>
  <c r="DP19" i="13"/>
  <c r="DP30" i="13"/>
  <c r="DP28" i="13"/>
  <c r="N32" i="13"/>
  <c r="DO32" i="13"/>
  <c r="DN32" i="13"/>
  <c r="DN25" i="13"/>
  <c r="N25" i="13"/>
  <c r="DO25" i="13"/>
  <c r="DO22" i="13"/>
  <c r="N33" i="13"/>
  <c r="DO33" i="13"/>
  <c r="DP34" i="13"/>
  <c r="DN22" i="13"/>
  <c r="C27" i="13"/>
  <c r="DO30" i="13"/>
  <c r="DN30" i="13"/>
  <c r="N30" i="13"/>
  <c r="C31" i="13"/>
  <c r="DP32" i="13"/>
  <c r="C12" i="13"/>
  <c r="DP23" i="13"/>
  <c r="C26" i="13"/>
  <c r="C37" i="13"/>
  <c r="N37" i="13" s="1"/>
  <c r="DN21" i="13"/>
  <c r="C28" i="13"/>
  <c r="DO19" i="13"/>
  <c r="DN19" i="13"/>
  <c r="DO21" i="13"/>
  <c r="DO18" i="13"/>
  <c r="DN18" i="13"/>
  <c r="DQ38" i="13"/>
  <c r="AD10" i="13" s="1"/>
  <c r="DP29" i="13"/>
  <c r="C20" i="13"/>
  <c r="C29" i="13"/>
  <c r="DP38" i="13" l="1"/>
  <c r="DN20" i="13"/>
  <c r="N20" i="13"/>
  <c r="DO20" i="13"/>
  <c r="N26" i="13"/>
  <c r="DO26" i="13"/>
  <c r="DN26" i="13"/>
  <c r="N27" i="13"/>
  <c r="DO27" i="13"/>
  <c r="DN27" i="13"/>
  <c r="DN31" i="13"/>
  <c r="N31" i="13"/>
  <c r="DO31" i="13"/>
  <c r="DO29" i="13"/>
  <c r="DN29" i="13"/>
  <c r="N29" i="13"/>
  <c r="DO28" i="13"/>
  <c r="DN28" i="13"/>
  <c r="N28" i="13"/>
  <c r="G17" i="4" l="1"/>
  <c r="F17" i="4"/>
  <c r="Q4" i="12"/>
  <c r="AA21" i="12"/>
  <c r="AA20" i="12"/>
  <c r="EB155" i="11"/>
  <c r="EB156" i="11" s="1"/>
  <c r="EB157" i="11" s="1"/>
  <c r="EB158" i="11" s="1"/>
  <c r="EB159" i="11" s="1"/>
  <c r="EB160" i="11" s="1"/>
  <c r="EB161" i="11" s="1"/>
  <c r="EB162" i="11" s="1"/>
  <c r="EB163" i="11" s="1"/>
  <c r="EB164" i="11" s="1"/>
  <c r="EB165" i="11" s="1"/>
  <c r="EB166" i="11" s="1"/>
  <c r="EB167" i="11" s="1"/>
  <c r="EB168" i="11" s="1"/>
  <c r="EB169" i="11" s="1"/>
  <c r="EB170" i="11" s="1"/>
  <c r="EB171" i="11" s="1"/>
  <c r="EB172" i="11" s="1"/>
  <c r="EB173" i="11" s="1"/>
  <c r="EB174" i="11" s="1"/>
  <c r="EB175" i="11" s="1"/>
  <c r="EB176" i="11" s="1"/>
  <c r="EB177" i="11" s="1"/>
  <c r="EB178" i="11" s="1"/>
  <c r="EB179" i="11" s="1"/>
  <c r="EB180" i="11" s="1"/>
  <c r="EB181" i="11" s="1"/>
  <c r="EB182" i="11" s="1"/>
  <c r="EB183" i="11" s="1"/>
  <c r="EB184" i="11" s="1"/>
  <c r="EB185" i="11" s="1"/>
  <c r="EB186" i="11" s="1"/>
  <c r="EB187" i="11" s="1"/>
  <c r="EB188" i="11" s="1"/>
  <c r="EB189" i="11" s="1"/>
  <c r="EB190" i="11" s="1"/>
  <c r="EB191" i="11" s="1"/>
  <c r="EB192" i="11" s="1"/>
  <c r="EB193" i="11" s="1"/>
  <c r="EB194" i="11" s="1"/>
  <c r="EB195" i="11" s="1"/>
  <c r="EB196" i="11" s="1"/>
  <c r="EB197" i="11" s="1"/>
  <c r="EB198" i="11" s="1"/>
  <c r="EB199" i="11" s="1"/>
  <c r="EB200" i="11" s="1"/>
  <c r="EB201" i="11" s="1"/>
  <c r="EB202" i="11" s="1"/>
  <c r="EB203" i="11" s="1"/>
  <c r="EB204" i="11" s="1"/>
  <c r="EB144" i="11"/>
  <c r="EB145" i="11" s="1"/>
  <c r="EB111" i="11"/>
  <c r="AT39" i="11"/>
  <c r="AT38" i="11"/>
  <c r="AM32" i="11"/>
  <c r="AN30" i="11"/>
  <c r="AM30" i="11"/>
  <c r="C28" i="11"/>
  <c r="AM24" i="11"/>
  <c r="AC24" i="11"/>
  <c r="AM23" i="11"/>
  <c r="AC23" i="11"/>
  <c r="AC21" i="11"/>
  <c r="AC20" i="11"/>
  <c r="AC19" i="11"/>
  <c r="AC18" i="11"/>
  <c r="AC17" i="11"/>
  <c r="BE15" i="11"/>
  <c r="BF15" i="11" s="1"/>
  <c r="AD15" i="11"/>
  <c r="AC15" i="11"/>
  <c r="AD14" i="11"/>
  <c r="BB13" i="11"/>
  <c r="BC13" i="11" s="1"/>
  <c r="BD13" i="11" s="1"/>
  <c r="BE13" i="11" s="1"/>
  <c r="BF13" i="11" s="1"/>
  <c r="BG13" i="11" s="1"/>
  <c r="BH13" i="11" s="1"/>
  <c r="BI13" i="11" s="1"/>
  <c r="BJ13" i="11" s="1"/>
  <c r="BK13" i="11" s="1"/>
  <c r="BL13" i="11" s="1"/>
  <c r="BM13" i="11" s="1"/>
  <c r="BN13" i="11" s="1"/>
  <c r="BO13" i="11" s="1"/>
  <c r="BP13" i="11" s="1"/>
  <c r="BQ13" i="11" s="1"/>
  <c r="BR13" i="11" s="1"/>
  <c r="BS13" i="11" s="1"/>
  <c r="BT13" i="11" s="1"/>
  <c r="BU13" i="11" s="1"/>
  <c r="BV13" i="11" s="1"/>
  <c r="BW13" i="11" s="1"/>
  <c r="BX13" i="11" s="1"/>
  <c r="BY13" i="11" s="1"/>
  <c r="BZ13" i="11" s="1"/>
  <c r="CA13" i="11" s="1"/>
  <c r="CB13" i="11" s="1"/>
  <c r="CC13" i="11" s="1"/>
  <c r="CD13" i="11" s="1"/>
  <c r="CE13" i="11" s="1"/>
  <c r="CF13" i="11" s="1"/>
  <c r="CG13" i="11" s="1"/>
  <c r="AD13" i="11"/>
  <c r="E14" i="11"/>
  <c r="AD12" i="11"/>
  <c r="E12" i="11"/>
  <c r="AD11" i="11"/>
  <c r="AD10" i="11"/>
  <c r="AD9" i="11"/>
  <c r="AD8" i="11"/>
  <c r="AD7" i="11"/>
  <c r="AI6" i="11"/>
  <c r="AD6" i="11"/>
  <c r="Z6" i="11"/>
  <c r="EA5" i="11"/>
  <c r="AN5" i="11"/>
  <c r="AM5" i="11"/>
  <c r="AD5" i="11"/>
  <c r="Z5" i="11"/>
  <c r="AD4" i="11"/>
  <c r="Z4" i="11"/>
  <c r="AI3" i="11"/>
  <c r="Y15" i="11" l="1"/>
  <c r="Y13" i="11"/>
  <c r="Y14" i="11"/>
  <c r="BF25" i="11"/>
  <c r="CB18" i="11"/>
  <c r="BW23" i="11"/>
  <c r="BO22" i="11"/>
  <c r="BR23" i="11"/>
  <c r="BQ18" i="11"/>
  <c r="BQ17" i="11"/>
  <c r="BR24" i="11"/>
  <c r="BM19" i="11"/>
  <c r="BH26" i="11"/>
  <c r="BH23" i="11"/>
  <c r="BL18" i="11"/>
  <c r="BX18" i="11"/>
  <c r="BD25" i="11"/>
  <c r="BZ20" i="11"/>
  <c r="BT20" i="11"/>
  <c r="BM17" i="11"/>
  <c r="BX17" i="11"/>
  <c r="BS20" i="11"/>
  <c r="BN18" i="11"/>
  <c r="BI17" i="11"/>
  <c r="BM22" i="11"/>
  <c r="BS26" i="11"/>
  <c r="BO19" i="11"/>
  <c r="BU24" i="11"/>
  <c r="BL21" i="11"/>
  <c r="BZ23" i="11"/>
  <c r="CD17" i="11"/>
  <c r="BW22" i="11"/>
  <c r="BJ22" i="11"/>
  <c r="BM21" i="11"/>
  <c r="BK25" i="11"/>
  <c r="BC22" i="11"/>
  <c r="CA23" i="11"/>
  <c r="BH17" i="11"/>
  <c r="BF26" i="11"/>
  <c r="BN21" i="11"/>
  <c r="CE20" i="11"/>
  <c r="BE18" i="11"/>
  <c r="BH25" i="11"/>
  <c r="BZ22" i="11"/>
  <c r="BY25" i="11"/>
  <c r="BW20" i="11"/>
  <c r="BX26" i="11"/>
  <c r="BR19" i="11"/>
  <c r="BE23" i="11"/>
  <c r="BR17" i="11"/>
  <c r="BL23" i="11"/>
  <c r="BU19" i="11"/>
  <c r="BQ19" i="11"/>
  <c r="BY26" i="11"/>
  <c r="BD18" i="11"/>
  <c r="BD26" i="11"/>
  <c r="BT18" i="11"/>
  <c r="BO21" i="11"/>
  <c r="BY24" i="11"/>
  <c r="CF17" i="11"/>
  <c r="BS18" i="11"/>
  <c r="CF19" i="11"/>
  <c r="BB22" i="11"/>
  <c r="BU20" i="11"/>
  <c r="BS22" i="11"/>
  <c r="BM23" i="11"/>
  <c r="BS21" i="11"/>
  <c r="BF17" i="11"/>
  <c r="BC25" i="11"/>
  <c r="BX20" i="11"/>
  <c r="CC19" i="11"/>
  <c r="BQ22" i="11"/>
  <c r="BK24" i="11"/>
  <c r="BG17" i="11"/>
  <c r="BF23" i="11"/>
  <c r="CE22" i="11"/>
  <c r="BZ26" i="11"/>
  <c r="CE25" i="11"/>
  <c r="CE18" i="11"/>
  <c r="CB19" i="11"/>
  <c r="BT19" i="11"/>
  <c r="BC23" i="11"/>
  <c r="BB21" i="11"/>
  <c r="BN17" i="11"/>
  <c r="BX25" i="11"/>
  <c r="CC21" i="11"/>
  <c r="CE23" i="11"/>
  <c r="CE21" i="11"/>
  <c r="BR26" i="11"/>
  <c r="CB22" i="11"/>
  <c r="CD25" i="11"/>
  <c r="CA24" i="11"/>
  <c r="BE26" i="11"/>
  <c r="BB17" i="11"/>
  <c r="BX19" i="11"/>
  <c r="BE25" i="11"/>
  <c r="BC21" i="11"/>
  <c r="CA22" i="11"/>
  <c r="BI26" i="11"/>
  <c r="BV22" i="11"/>
  <c r="CB23" i="11"/>
  <c r="BJ24" i="11"/>
  <c r="BT26" i="11"/>
  <c r="BV24" i="11"/>
  <c r="BE21" i="11"/>
  <c r="CA18" i="11"/>
  <c r="BH19" i="11"/>
  <c r="BZ25" i="11"/>
  <c r="BW18" i="11"/>
  <c r="BY18" i="11"/>
  <c r="BV18" i="11"/>
  <c r="CC24" i="11"/>
  <c r="BN23" i="11"/>
  <c r="BK20" i="11"/>
  <c r="BT22" i="11"/>
  <c r="BI21" i="11"/>
  <c r="BY21" i="11"/>
  <c r="BR18" i="11"/>
  <c r="BG22" i="11"/>
  <c r="BB19" i="11"/>
  <c r="BH20" i="11"/>
  <c r="CC20" i="11"/>
  <c r="BW25" i="11"/>
  <c r="BH18" i="11"/>
  <c r="BW17" i="11"/>
  <c r="BJ23" i="11"/>
  <c r="BS19" i="11"/>
  <c r="BN24" i="11"/>
  <c r="BL24" i="11"/>
  <c r="CE17" i="11"/>
  <c r="BD19" i="11"/>
  <c r="CA17" i="11"/>
  <c r="BE19" i="11"/>
  <c r="BN22" i="11"/>
  <c r="BQ21" i="11"/>
  <c r="BZ19" i="11"/>
  <c r="BI23" i="11"/>
  <c r="CD20" i="11"/>
  <c r="BG24" i="11"/>
  <c r="BG20" i="11"/>
  <c r="BL25" i="11"/>
  <c r="BL19" i="11"/>
  <c r="BI24" i="11"/>
  <c r="BU18" i="11"/>
  <c r="BY20" i="11"/>
  <c r="CC23" i="11"/>
  <c r="BY17" i="11"/>
  <c r="CE24" i="11"/>
  <c r="BG18" i="11"/>
  <c r="BH22" i="11"/>
  <c r="BO24" i="11"/>
  <c r="BK21" i="11"/>
  <c r="BX24" i="11"/>
  <c r="CB25" i="11"/>
  <c r="BL26" i="11"/>
  <c r="BM24" i="11"/>
  <c r="BB18" i="11"/>
  <c r="BB23" i="11"/>
  <c r="CF24" i="11"/>
  <c r="CF25" i="11"/>
  <c r="BS17" i="11"/>
  <c r="BT17" i="11"/>
  <c r="CD26" i="11"/>
  <c r="BP26" i="11"/>
  <c r="BD24" i="11"/>
  <c r="BI20" i="11"/>
  <c r="BC18" i="11"/>
  <c r="BJ26" i="11"/>
  <c r="BO20" i="11"/>
  <c r="BH21" i="11"/>
  <c r="BM26" i="11"/>
  <c r="CC17" i="11"/>
  <c r="BV20" i="11"/>
  <c r="BQ24" i="11"/>
  <c r="BU21" i="11"/>
  <c r="BJ17" i="11"/>
  <c r="BK19" i="11"/>
  <c r="CA26" i="11"/>
  <c r="BB26" i="11"/>
  <c r="BX21" i="11"/>
  <c r="BJ25" i="11"/>
  <c r="BT21" i="11"/>
  <c r="BP22" i="11"/>
  <c r="BD17" i="11"/>
  <c r="BZ24" i="11"/>
  <c r="CD21" i="11"/>
  <c r="BE20" i="11"/>
  <c r="BS24" i="11"/>
  <c r="CB24" i="11"/>
  <c r="BR21" i="11"/>
  <c r="BC20" i="11"/>
  <c r="BN25" i="11"/>
  <c r="BC17" i="11"/>
  <c r="CF21" i="11"/>
  <c r="BI22" i="11"/>
  <c r="BD20" i="11"/>
  <c r="BV21" i="11"/>
  <c r="BV25" i="11"/>
  <c r="CA20" i="11"/>
  <c r="BM25" i="11"/>
  <c r="BP20" i="11"/>
  <c r="BH24" i="11"/>
  <c r="BZ17" i="11"/>
  <c r="BT23" i="11"/>
  <c r="BZ18" i="11"/>
  <c r="BP25" i="11"/>
  <c r="BB25" i="11"/>
  <c r="BW26" i="11"/>
  <c r="CF26" i="11"/>
  <c r="BL22" i="11"/>
  <c r="BE17" i="11"/>
  <c r="BF19" i="11"/>
  <c r="BP18" i="11"/>
  <c r="BU26" i="11"/>
  <c r="CE19" i="11"/>
  <c r="BE22" i="11"/>
  <c r="BY19" i="11"/>
  <c r="BI19" i="11"/>
  <c r="CD24" i="11"/>
  <c r="BM20" i="11"/>
  <c r="BK17" i="11"/>
  <c r="BV19" i="11"/>
  <c r="BG25" i="11"/>
  <c r="BY23" i="11"/>
  <c r="BF20" i="11"/>
  <c r="BU22" i="11"/>
  <c r="BI18" i="11"/>
  <c r="BK22" i="11"/>
  <c r="BO26" i="11"/>
  <c r="CA19" i="11"/>
  <c r="BW21" i="11"/>
  <c r="BC19" i="11"/>
  <c r="BB20" i="11"/>
  <c r="BE24" i="11"/>
  <c r="BY22" i="11"/>
  <c r="BV23" i="11"/>
  <c r="BN26" i="11"/>
  <c r="BL20" i="11"/>
  <c r="CC25" i="11"/>
  <c r="BF21" i="11"/>
  <c r="BX22" i="11"/>
  <c r="CA25" i="11"/>
  <c r="BT25" i="11"/>
  <c r="BL17" i="11"/>
  <c r="CB17" i="11"/>
  <c r="BP17" i="11"/>
  <c r="BB24" i="11"/>
  <c r="BQ25" i="11"/>
  <c r="BN20" i="11"/>
  <c r="BO17" i="11"/>
  <c r="BP24" i="11"/>
  <c r="BM18" i="11"/>
  <c r="BV17" i="11"/>
  <c r="BW19" i="11"/>
  <c r="BP23" i="11"/>
  <c r="BS23" i="11"/>
  <c r="BW24" i="11"/>
  <c r="CF23" i="11"/>
  <c r="BJ21" i="11"/>
  <c r="BV26" i="11"/>
  <c r="BD23" i="11"/>
  <c r="CD18" i="11"/>
  <c r="BK23" i="11"/>
  <c r="CB20" i="11"/>
  <c r="BG21" i="11"/>
  <c r="BO18" i="11"/>
  <c r="BR25" i="11"/>
  <c r="CE26" i="11"/>
  <c r="BJ19" i="11"/>
  <c r="BP19" i="11"/>
  <c r="BS25" i="11"/>
  <c r="CB26" i="11"/>
  <c r="BC24" i="11"/>
  <c r="CD22" i="11"/>
  <c r="CC22" i="11"/>
  <c r="CD19" i="11"/>
  <c r="BJ20" i="11"/>
  <c r="BF22" i="11"/>
  <c r="BX23" i="11"/>
  <c r="CA21" i="11"/>
  <c r="BF24" i="11"/>
  <c r="BU23" i="11"/>
  <c r="BI25" i="11"/>
  <c r="BU25" i="11"/>
  <c r="BO23" i="11"/>
  <c r="BQ26" i="11"/>
  <c r="BD21" i="11"/>
  <c r="BO25" i="11"/>
  <c r="CD23" i="11"/>
  <c r="BK26" i="11"/>
  <c r="BT24" i="11"/>
  <c r="BF18" i="11"/>
  <c r="BK18" i="11"/>
  <c r="BQ23" i="11"/>
  <c r="BP21" i="11"/>
  <c r="BG26" i="11"/>
  <c r="BR20" i="11"/>
  <c r="BG19" i="11"/>
  <c r="CB21" i="11"/>
  <c r="BD22" i="11"/>
  <c r="BZ21" i="11"/>
  <c r="BN19" i="11"/>
  <c r="CC18" i="11"/>
  <c r="BJ18" i="11"/>
  <c r="BQ20" i="11"/>
  <c r="CF22" i="11"/>
  <c r="BG23" i="11"/>
  <c r="BR22" i="11"/>
  <c r="BC26" i="11"/>
  <c r="CF18" i="11"/>
  <c r="CC26" i="11"/>
  <c r="BU17" i="11"/>
  <c r="CF20" i="11"/>
  <c r="CG18" i="11" l="1"/>
  <c r="AZ18" i="11"/>
  <c r="CG20" i="11"/>
  <c r="AZ20" i="11"/>
  <c r="AY20" i="11" s="1"/>
  <c r="CG19" i="11"/>
  <c r="AZ19" i="11"/>
  <c r="AZ21" i="11"/>
  <c r="AY21" i="11" s="1"/>
  <c r="CG21" i="11"/>
  <c r="Q94" i="12"/>
  <c r="CG25" i="11"/>
  <c r="AZ25" i="11"/>
  <c r="AY25" i="11" s="1"/>
  <c r="CG17" i="11"/>
  <c r="AZ17" i="11"/>
  <c r="CG26" i="11"/>
  <c r="AZ26" i="11"/>
  <c r="AY26" i="11" s="1"/>
  <c r="Q92" i="12"/>
  <c r="AZ23" i="11"/>
  <c r="AY23" i="11" s="1"/>
  <c r="CG23" i="11"/>
  <c r="Q93" i="12"/>
  <c r="CG24" i="11"/>
  <c r="AZ24" i="11"/>
  <c r="AY24" i="11" s="1"/>
  <c r="AZ22" i="11"/>
  <c r="AY22" i="11" s="1"/>
  <c r="CG22" i="11"/>
  <c r="Y11" i="11"/>
  <c r="O12" i="11" l="1"/>
  <c r="J11" i="11"/>
  <c r="K12" i="11"/>
  <c r="J10" i="11"/>
  <c r="M8" i="11"/>
  <c r="O10" i="11"/>
  <c r="O8" i="11"/>
  <c r="AY17" i="11"/>
  <c r="K8" i="11"/>
  <c r="T94" i="12"/>
  <c r="R94" i="12"/>
  <c r="S94" i="12"/>
  <c r="K9" i="11"/>
  <c r="K11" i="11"/>
  <c r="K10" i="11"/>
  <c r="M12" i="11"/>
  <c r="M10" i="11"/>
  <c r="M13" i="11"/>
  <c r="M9" i="11"/>
  <c r="M11" i="11"/>
  <c r="O9" i="11"/>
  <c r="O11" i="11"/>
  <c r="J12" i="11"/>
  <c r="J8" i="11"/>
  <c r="AY19" i="11"/>
  <c r="O13" i="11"/>
  <c r="J9" i="11"/>
  <c r="J13" i="11"/>
  <c r="AY18" i="11"/>
  <c r="K13" i="11"/>
  <c r="Y10" i="11"/>
  <c r="W10" i="11" s="1"/>
  <c r="W11" i="11" s="1"/>
  <c r="W12" i="11" s="1"/>
  <c r="W13" i="11" s="1"/>
  <c r="E488" i="6" l="1"/>
  <c r="C487" i="6"/>
  <c r="E463" i="6"/>
  <c r="C462" i="6"/>
  <c r="E438" i="6"/>
  <c r="C437" i="6"/>
  <c r="E413" i="6"/>
  <c r="C412" i="6"/>
  <c r="E388" i="6"/>
  <c r="C387" i="6"/>
  <c r="E363" i="6"/>
  <c r="C362" i="6"/>
  <c r="E338" i="6"/>
  <c r="C337" i="6"/>
  <c r="E313" i="6"/>
  <c r="C312" i="6"/>
  <c r="E288" i="6"/>
  <c r="C287" i="6"/>
  <c r="E263" i="6"/>
  <c r="C262" i="6"/>
  <c r="E238" i="6"/>
  <c r="C237" i="6"/>
  <c r="E213" i="6"/>
  <c r="C212" i="6"/>
  <c r="E188" i="6"/>
  <c r="C187" i="6"/>
  <c r="E163" i="6"/>
  <c r="C162" i="6"/>
  <c r="E138" i="6"/>
  <c r="C137" i="6"/>
  <c r="E113" i="6"/>
  <c r="C112" i="6"/>
  <c r="E88" i="6"/>
  <c r="C87" i="6"/>
  <c r="E63" i="6"/>
  <c r="C62" i="6"/>
  <c r="E38" i="6"/>
  <c r="C37" i="6"/>
  <c r="E13" i="6"/>
  <c r="C12" i="6"/>
  <c r="Y7" i="12" l="1"/>
  <c r="Z7" i="12"/>
  <c r="AA6" i="12" s="1"/>
  <c r="A79" i="9"/>
  <c r="A73" i="9"/>
  <c r="A71" i="9"/>
  <c r="B133" i="5"/>
  <c r="U132" i="5"/>
  <c r="U131" i="5"/>
  <c r="B131" i="5"/>
  <c r="U130" i="5"/>
  <c r="B130" i="5"/>
  <c r="U129" i="5"/>
  <c r="F128" i="5"/>
  <c r="B118" i="5"/>
  <c r="I101" i="5"/>
  <c r="G101" i="5"/>
  <c r="F101" i="5"/>
  <c r="I100" i="5"/>
  <c r="G100" i="5"/>
  <c r="F100" i="5"/>
  <c r="J82" i="5"/>
  <c r="I82" i="5"/>
  <c r="F70" i="5"/>
  <c r="F69" i="5"/>
  <c r="F67" i="5"/>
  <c r="C64" i="5"/>
  <c r="C62" i="5"/>
  <c r="C61" i="5"/>
  <c r="F60" i="5"/>
  <c r="F57" i="5"/>
  <c r="F33" i="5"/>
  <c r="F25" i="5"/>
  <c r="F20" i="5"/>
  <c r="F19" i="5"/>
  <c r="F18" i="5"/>
  <c r="F17" i="5"/>
  <c r="F14" i="5"/>
  <c r="E6" i="5"/>
  <c r="F5" i="5"/>
  <c r="F4" i="5"/>
  <c r="F2" i="5"/>
  <c r="Q31" i="4"/>
  <c r="Q30" i="4"/>
  <c r="AH28" i="4"/>
  <c r="AH27" i="4"/>
  <c r="AH26" i="4"/>
  <c r="AH25" i="4"/>
  <c r="AH24" i="4"/>
  <c r="AH23" i="4"/>
  <c r="AH22" i="4"/>
  <c r="AH21" i="4"/>
  <c r="AH20" i="4"/>
  <c r="AH19" i="4"/>
  <c r="AH18" i="4"/>
  <c r="M5" i="4"/>
  <c r="G80" i="5" s="1"/>
  <c r="EA142" i="3"/>
  <c r="EA141" i="3"/>
  <c r="N12" i="3"/>
  <c r="A5" i="3"/>
  <c r="F1" i="13" s="1"/>
  <c r="F4" i="10"/>
  <c r="E4" i="10"/>
  <c r="C4" i="10"/>
  <c r="B4" i="10" a="1"/>
  <c r="B4" i="10" s="1"/>
  <c r="A2" i="10" a="1"/>
  <c r="A2" i="10" s="1"/>
  <c r="A72" i="9"/>
  <c r="A60" i="9"/>
  <c r="C19" i="3" s="1" a="1"/>
  <c r="C19" i="3" s="1"/>
  <c r="A56" i="9"/>
  <c r="A57" i="9" s="1"/>
  <c r="A58" i="9" s="1"/>
  <c r="A48" i="9"/>
  <c r="A46" i="9"/>
  <c r="I23" i="9" a="1"/>
  <c r="I23" i="9" s="1"/>
  <c r="D500" i="6"/>
  <c r="A500" i="6"/>
  <c r="I490" i="6"/>
  <c r="I488" i="6"/>
  <c r="B488" i="6"/>
  <c r="H488" i="6" s="1"/>
  <c r="K487" i="6"/>
  <c r="I487" i="6"/>
  <c r="E487" i="6"/>
  <c r="T486" i="6"/>
  <c r="O486" i="6" s="1"/>
  <c r="R486" i="6"/>
  <c r="N486" i="6"/>
  <c r="M486" i="6"/>
  <c r="L486" i="6"/>
  <c r="J486" i="6"/>
  <c r="I486" i="6"/>
  <c r="H486" i="6"/>
  <c r="G486" i="6"/>
  <c r="B486" i="6"/>
  <c r="S486" i="6" s="1"/>
  <c r="I485" i="6"/>
  <c r="B485" i="6"/>
  <c r="I484" i="6"/>
  <c r="B484" i="6"/>
  <c r="T483" i="6"/>
  <c r="O483" i="6" s="1"/>
  <c r="I483" i="6"/>
  <c r="B483" i="6"/>
  <c r="I482" i="6"/>
  <c r="I481" i="6"/>
  <c r="B481" i="6"/>
  <c r="G481" i="6" s="1"/>
  <c r="I480" i="6"/>
  <c r="I479" i="6"/>
  <c r="F479" i="6"/>
  <c r="B479" i="6"/>
  <c r="G479" i="6" s="1"/>
  <c r="J476" i="6"/>
  <c r="D475" i="6"/>
  <c r="A475" i="6"/>
  <c r="I465" i="6"/>
  <c r="I463" i="6"/>
  <c r="B463" i="6"/>
  <c r="H463" i="6" s="1"/>
  <c r="K462" i="6"/>
  <c r="I462" i="6"/>
  <c r="E462" i="6"/>
  <c r="T461" i="6"/>
  <c r="O461" i="6" s="1"/>
  <c r="R461" i="6"/>
  <c r="I461" i="6"/>
  <c r="G461" i="6"/>
  <c r="B461" i="6"/>
  <c r="T460" i="6"/>
  <c r="O460" i="6" s="1"/>
  <c r="S460" i="6"/>
  <c r="R460" i="6"/>
  <c r="I460" i="6"/>
  <c r="B460" i="6"/>
  <c r="L460" i="6" s="1"/>
  <c r="T459" i="6"/>
  <c r="O459" i="6" s="1"/>
  <c r="R459" i="6"/>
  <c r="N459" i="6"/>
  <c r="L459" i="6"/>
  <c r="I459" i="6"/>
  <c r="H459" i="6"/>
  <c r="G459" i="6"/>
  <c r="B459" i="6"/>
  <c r="S459" i="6" s="1"/>
  <c r="I458" i="6"/>
  <c r="B458" i="6"/>
  <c r="I457" i="6"/>
  <c r="I456" i="6"/>
  <c r="B456" i="6"/>
  <c r="G456" i="6" s="1"/>
  <c r="I455" i="6"/>
  <c r="I454" i="6"/>
  <c r="F454" i="6"/>
  <c r="B454" i="6"/>
  <c r="G454" i="6" s="1"/>
  <c r="J451" i="6"/>
  <c r="D450" i="6"/>
  <c r="A450" i="6"/>
  <c r="I440" i="6"/>
  <c r="I438" i="6"/>
  <c r="B438" i="6"/>
  <c r="K437" i="6"/>
  <c r="I437" i="6"/>
  <c r="E437" i="6"/>
  <c r="I436" i="6"/>
  <c r="B436" i="6"/>
  <c r="S436" i="6" s="1"/>
  <c r="I435" i="6"/>
  <c r="B435" i="6"/>
  <c r="T435" i="6" s="1"/>
  <c r="O435" i="6" s="1"/>
  <c r="I434" i="6"/>
  <c r="B434" i="6"/>
  <c r="T434" i="6" s="1"/>
  <c r="O434" i="6" s="1"/>
  <c r="T433" i="6"/>
  <c r="O433" i="6" s="1"/>
  <c r="R433" i="6"/>
  <c r="N433" i="6"/>
  <c r="M433" i="6"/>
  <c r="L433" i="6"/>
  <c r="I433" i="6"/>
  <c r="E433" i="6"/>
  <c r="B433" i="6"/>
  <c r="G433" i="6" s="1"/>
  <c r="I432" i="6"/>
  <c r="I431" i="6"/>
  <c r="B431" i="6"/>
  <c r="I430" i="6"/>
  <c r="I429" i="6"/>
  <c r="F429" i="6"/>
  <c r="B429" i="6"/>
  <c r="G429" i="6" s="1"/>
  <c r="J426" i="6"/>
  <c r="D425" i="6"/>
  <c r="A425" i="6"/>
  <c r="I415" i="6"/>
  <c r="I413" i="6"/>
  <c r="B413" i="6"/>
  <c r="K412" i="6"/>
  <c r="I412" i="6"/>
  <c r="E412" i="6"/>
  <c r="T411" i="6"/>
  <c r="O411" i="6" s="1"/>
  <c r="S411" i="6"/>
  <c r="I411" i="6"/>
  <c r="B411" i="6"/>
  <c r="M411" i="6" s="1"/>
  <c r="I410" i="6"/>
  <c r="B410" i="6"/>
  <c r="T409" i="6"/>
  <c r="O409" i="6" s="1"/>
  <c r="R409" i="6"/>
  <c r="N409" i="6"/>
  <c r="I409" i="6"/>
  <c r="B409" i="6"/>
  <c r="L409" i="6" s="1"/>
  <c r="I408" i="6"/>
  <c r="E408" i="6"/>
  <c r="B408" i="6"/>
  <c r="I407" i="6"/>
  <c r="I406" i="6"/>
  <c r="B406" i="6"/>
  <c r="I405" i="6"/>
  <c r="I404" i="6"/>
  <c r="F404" i="6"/>
  <c r="B404" i="6"/>
  <c r="G404" i="6" s="1"/>
  <c r="J401" i="6"/>
  <c r="D400" i="6"/>
  <c r="A400" i="6"/>
  <c r="I390" i="6"/>
  <c r="I388" i="6"/>
  <c r="B388" i="6"/>
  <c r="H388" i="6" s="1"/>
  <c r="K387" i="6"/>
  <c r="I387" i="6"/>
  <c r="E387" i="6"/>
  <c r="I386" i="6"/>
  <c r="B386" i="6"/>
  <c r="S386" i="6" s="1"/>
  <c r="T385" i="6"/>
  <c r="S385" i="6"/>
  <c r="R385" i="6"/>
  <c r="O385" i="6"/>
  <c r="N385" i="6"/>
  <c r="M385" i="6"/>
  <c r="I385" i="6"/>
  <c r="G385" i="6"/>
  <c r="B385" i="6"/>
  <c r="I384" i="6"/>
  <c r="H384" i="6"/>
  <c r="B384" i="6"/>
  <c r="N383" i="6"/>
  <c r="M383" i="6"/>
  <c r="I383" i="6"/>
  <c r="E383" i="6"/>
  <c r="B383" i="6"/>
  <c r="G383" i="6" s="1"/>
  <c r="I382" i="6"/>
  <c r="I381" i="6"/>
  <c r="B381" i="6"/>
  <c r="G381" i="6" s="1"/>
  <c r="I380" i="6"/>
  <c r="I379" i="6"/>
  <c r="F379" i="6"/>
  <c r="B379" i="6"/>
  <c r="J376" i="6"/>
  <c r="D375" i="6"/>
  <c r="A375" i="6"/>
  <c r="I365" i="6"/>
  <c r="I363" i="6"/>
  <c r="H363" i="6"/>
  <c r="J363" i="6" s="1"/>
  <c r="L363" i="6" s="1"/>
  <c r="N363" i="6" s="1"/>
  <c r="B363" i="6"/>
  <c r="G363" i="6" s="1"/>
  <c r="K362" i="6"/>
  <c r="I362" i="6"/>
  <c r="E362" i="6"/>
  <c r="R361" i="6"/>
  <c r="I361" i="6"/>
  <c r="B361" i="6"/>
  <c r="T361" i="6" s="1"/>
  <c r="O361" i="6" s="1"/>
  <c r="I360" i="6"/>
  <c r="B360" i="6"/>
  <c r="J360" i="6" s="1"/>
  <c r="L359" i="6"/>
  <c r="I359" i="6"/>
  <c r="B359" i="6"/>
  <c r="G359" i="6" s="1"/>
  <c r="I358" i="6"/>
  <c r="E358" i="6"/>
  <c r="B358" i="6"/>
  <c r="I357" i="6"/>
  <c r="I356" i="6"/>
  <c r="B356" i="6"/>
  <c r="G356" i="6" s="1"/>
  <c r="I355" i="6"/>
  <c r="I354" i="6"/>
  <c r="F354" i="6"/>
  <c r="B354" i="6"/>
  <c r="J351" i="6"/>
  <c r="D350" i="6"/>
  <c r="A350" i="6"/>
  <c r="I340" i="6"/>
  <c r="I338" i="6"/>
  <c r="H338" i="6"/>
  <c r="B338" i="6"/>
  <c r="G338" i="6" s="1"/>
  <c r="K337" i="6"/>
  <c r="I337" i="6"/>
  <c r="E337" i="6"/>
  <c r="T336" i="6"/>
  <c r="O336" i="6" s="1"/>
  <c r="I336" i="6"/>
  <c r="G336" i="6"/>
  <c r="B336" i="6"/>
  <c r="R335" i="6"/>
  <c r="O335" i="6"/>
  <c r="N335" i="6"/>
  <c r="M335" i="6"/>
  <c r="I335" i="6"/>
  <c r="B335" i="6"/>
  <c r="T335" i="6" s="1"/>
  <c r="T334" i="6"/>
  <c r="S334" i="6"/>
  <c r="R334" i="6"/>
  <c r="O334" i="6"/>
  <c r="N334" i="6"/>
  <c r="M334" i="6"/>
  <c r="L334" i="6"/>
  <c r="I334" i="6"/>
  <c r="G334" i="6"/>
  <c r="B334" i="6"/>
  <c r="I333" i="6"/>
  <c r="E333" i="6"/>
  <c r="B333" i="6"/>
  <c r="N333" i="6" s="1"/>
  <c r="I332" i="6"/>
  <c r="I331" i="6"/>
  <c r="G331" i="6"/>
  <c r="B331" i="6"/>
  <c r="I330" i="6"/>
  <c r="I329" i="6"/>
  <c r="F329" i="6"/>
  <c r="B329" i="6"/>
  <c r="G329" i="6" s="1"/>
  <c r="J326" i="6"/>
  <c r="D325" i="6"/>
  <c r="A325" i="6"/>
  <c r="I315" i="6"/>
  <c r="I313" i="6"/>
  <c r="G313" i="6"/>
  <c r="B313" i="6"/>
  <c r="K312" i="6"/>
  <c r="I312" i="6"/>
  <c r="E312" i="6"/>
  <c r="L311" i="6"/>
  <c r="J311" i="6"/>
  <c r="I311" i="6"/>
  <c r="B311" i="6"/>
  <c r="I310" i="6"/>
  <c r="B310" i="6"/>
  <c r="T310" i="6" s="1"/>
  <c r="O310" i="6" s="1"/>
  <c r="I309" i="6"/>
  <c r="B309" i="6"/>
  <c r="N309" i="6" s="1"/>
  <c r="J308" i="6"/>
  <c r="I308" i="6"/>
  <c r="E308" i="6"/>
  <c r="B308" i="6"/>
  <c r="I307" i="6"/>
  <c r="I306" i="6"/>
  <c r="B306" i="6"/>
  <c r="G306" i="6" s="1"/>
  <c r="I305" i="6"/>
  <c r="I304" i="6"/>
  <c r="F304" i="6"/>
  <c r="B304" i="6"/>
  <c r="G304" i="6" s="1"/>
  <c r="J301" i="6"/>
  <c r="D300" i="6"/>
  <c r="A300" i="6"/>
  <c r="I290" i="6"/>
  <c r="I288" i="6"/>
  <c r="B288" i="6"/>
  <c r="G288" i="6" s="1"/>
  <c r="K287" i="6"/>
  <c r="I287" i="6"/>
  <c r="E287" i="6"/>
  <c r="T286" i="6"/>
  <c r="O286" i="6" s="1"/>
  <c r="N286" i="6"/>
  <c r="I286" i="6"/>
  <c r="H286" i="6"/>
  <c r="B286" i="6"/>
  <c r="G286" i="6" s="1"/>
  <c r="I285" i="6"/>
  <c r="B285" i="6"/>
  <c r="J284" i="6"/>
  <c r="I284" i="6"/>
  <c r="H284" i="6"/>
  <c r="G284" i="6"/>
  <c r="B284" i="6"/>
  <c r="J283" i="6"/>
  <c r="I283" i="6"/>
  <c r="E283" i="6"/>
  <c r="B283" i="6"/>
  <c r="I282" i="6"/>
  <c r="I281" i="6"/>
  <c r="B281" i="6"/>
  <c r="G281" i="6" s="1"/>
  <c r="I280" i="6"/>
  <c r="I279" i="6"/>
  <c r="F279" i="6"/>
  <c r="B279" i="6"/>
  <c r="G279" i="6" s="1"/>
  <c r="J276" i="6"/>
  <c r="D275" i="6"/>
  <c r="A275" i="6"/>
  <c r="I265" i="6"/>
  <c r="I263" i="6"/>
  <c r="B263" i="6"/>
  <c r="K262" i="6"/>
  <c r="I262" i="6"/>
  <c r="E262" i="6"/>
  <c r="S261" i="6"/>
  <c r="I261" i="6"/>
  <c r="H261" i="6"/>
  <c r="B261" i="6"/>
  <c r="G261" i="6" s="1"/>
  <c r="I260" i="6"/>
  <c r="B260" i="6"/>
  <c r="L260" i="6" s="1"/>
  <c r="I259" i="6"/>
  <c r="B259" i="6"/>
  <c r="T258" i="6"/>
  <c r="O258" i="6" s="1"/>
  <c r="N258" i="6"/>
  <c r="I258" i="6"/>
  <c r="E258" i="6"/>
  <c r="B258" i="6"/>
  <c r="G258" i="6" s="1"/>
  <c r="I257" i="6"/>
  <c r="I256" i="6"/>
  <c r="G256" i="6"/>
  <c r="B256" i="6"/>
  <c r="I255" i="6"/>
  <c r="I254" i="6"/>
  <c r="G254" i="6"/>
  <c r="F254" i="6"/>
  <c r="B254" i="6"/>
  <c r="J251" i="6"/>
  <c r="D250" i="6"/>
  <c r="A250" i="6"/>
  <c r="I240" i="6"/>
  <c r="I238" i="6"/>
  <c r="G238" i="6"/>
  <c r="B238" i="6"/>
  <c r="H238" i="6" s="1"/>
  <c r="K237" i="6"/>
  <c r="I237" i="6"/>
  <c r="E237" i="6"/>
  <c r="R236" i="6"/>
  <c r="I236" i="6"/>
  <c r="B236" i="6"/>
  <c r="M235" i="6"/>
  <c r="I235" i="6"/>
  <c r="H235" i="6"/>
  <c r="B235" i="6"/>
  <c r="J234" i="6"/>
  <c r="I234" i="6"/>
  <c r="H234" i="6"/>
  <c r="B234" i="6"/>
  <c r="I233" i="6"/>
  <c r="E233" i="6"/>
  <c r="B233" i="6"/>
  <c r="I232" i="6"/>
  <c r="I231" i="6"/>
  <c r="B231" i="6"/>
  <c r="I230" i="6"/>
  <c r="I229" i="6"/>
  <c r="G229" i="6"/>
  <c r="F229" i="6"/>
  <c r="B229" i="6"/>
  <c r="J226" i="6"/>
  <c r="D225" i="6"/>
  <c r="A225" i="6"/>
  <c r="N218" i="6"/>
  <c r="I215" i="6"/>
  <c r="I213" i="6"/>
  <c r="B213" i="6"/>
  <c r="G213" i="6" s="1"/>
  <c r="K212" i="6"/>
  <c r="I212" i="6"/>
  <c r="E212" i="6"/>
  <c r="I211" i="6"/>
  <c r="B211" i="6"/>
  <c r="G211" i="6" s="1"/>
  <c r="T210" i="6"/>
  <c r="O210" i="6" s="1"/>
  <c r="S210" i="6"/>
  <c r="M210" i="6"/>
  <c r="I210" i="6"/>
  <c r="H210" i="6"/>
  <c r="G210" i="6"/>
  <c r="B210" i="6"/>
  <c r="I209" i="6"/>
  <c r="B209" i="6"/>
  <c r="I208" i="6"/>
  <c r="E208" i="6"/>
  <c r="S208" i="6" s="1"/>
  <c r="B208" i="6"/>
  <c r="I207" i="6"/>
  <c r="I206" i="6"/>
  <c r="B206" i="6"/>
  <c r="G206" i="6" s="1"/>
  <c r="I205" i="6"/>
  <c r="I204" i="6"/>
  <c r="F204" i="6"/>
  <c r="B204" i="6"/>
  <c r="G204" i="6" s="1"/>
  <c r="J201" i="6"/>
  <c r="D200" i="6"/>
  <c r="A200" i="6"/>
  <c r="I190" i="6"/>
  <c r="I188" i="6"/>
  <c r="G188" i="6"/>
  <c r="B188" i="6"/>
  <c r="H188" i="6" s="1"/>
  <c r="K187" i="6"/>
  <c r="I187" i="6"/>
  <c r="E187" i="6"/>
  <c r="I186" i="6"/>
  <c r="G186" i="6"/>
  <c r="B186" i="6"/>
  <c r="N186" i="6" s="1"/>
  <c r="I185" i="6"/>
  <c r="B185" i="6"/>
  <c r="H185" i="6" s="1"/>
  <c r="I184" i="6"/>
  <c r="B184" i="6"/>
  <c r="G184" i="6" s="1"/>
  <c r="R183" i="6"/>
  <c r="N183" i="6"/>
  <c r="M183" i="6"/>
  <c r="I183" i="6"/>
  <c r="E183" i="6"/>
  <c r="B183" i="6"/>
  <c r="G183" i="6" s="1"/>
  <c r="I182" i="6"/>
  <c r="I181" i="6"/>
  <c r="B181" i="6"/>
  <c r="G181" i="6" s="1"/>
  <c r="I180" i="6"/>
  <c r="I179" i="6"/>
  <c r="F179" i="6"/>
  <c r="B179" i="6"/>
  <c r="G179" i="6" s="1"/>
  <c r="J176" i="6"/>
  <c r="D175" i="6"/>
  <c r="A175" i="6"/>
  <c r="N171" i="6"/>
  <c r="I165" i="6"/>
  <c r="I163" i="6"/>
  <c r="B163" i="6"/>
  <c r="G163" i="6" s="1"/>
  <c r="K162" i="6"/>
  <c r="I162" i="6"/>
  <c r="E162" i="6"/>
  <c r="I161" i="6"/>
  <c r="B161" i="6"/>
  <c r="N160" i="6"/>
  <c r="M160" i="6"/>
  <c r="L160" i="6"/>
  <c r="J160" i="6"/>
  <c r="I160" i="6"/>
  <c r="B160" i="6"/>
  <c r="I159" i="6"/>
  <c r="H159" i="6"/>
  <c r="B159" i="6"/>
  <c r="R158" i="6"/>
  <c r="M158" i="6"/>
  <c r="L158" i="6"/>
  <c r="J158" i="6"/>
  <c r="I158" i="6"/>
  <c r="E158" i="6"/>
  <c r="B158" i="6"/>
  <c r="N158" i="6" s="1"/>
  <c r="I157" i="6"/>
  <c r="I156" i="6"/>
  <c r="B156" i="6"/>
  <c r="G156" i="6" s="1"/>
  <c r="I155" i="6"/>
  <c r="I154" i="6"/>
  <c r="G154" i="6"/>
  <c r="F154" i="6"/>
  <c r="B154" i="6"/>
  <c r="J151" i="6"/>
  <c r="D150" i="6"/>
  <c r="A150" i="6"/>
  <c r="I140" i="6"/>
  <c r="I138" i="6"/>
  <c r="B138" i="6"/>
  <c r="G138" i="6" s="1"/>
  <c r="K137" i="6"/>
  <c r="I137" i="6"/>
  <c r="E137" i="6"/>
  <c r="T136" i="6"/>
  <c r="O136" i="6" s="1"/>
  <c r="I136" i="6"/>
  <c r="B136" i="6"/>
  <c r="T135" i="6"/>
  <c r="O135" i="6" s="1"/>
  <c r="S135" i="6"/>
  <c r="M135" i="6"/>
  <c r="L135" i="6"/>
  <c r="I135" i="6"/>
  <c r="H135" i="6"/>
  <c r="G135" i="6"/>
  <c r="B135" i="6"/>
  <c r="J135" i="6" s="1"/>
  <c r="J134" i="6"/>
  <c r="I134" i="6"/>
  <c r="H134" i="6"/>
  <c r="B134" i="6"/>
  <c r="S133" i="6"/>
  <c r="I133" i="6"/>
  <c r="E133" i="6"/>
  <c r="B133" i="6"/>
  <c r="R133" i="6" s="1"/>
  <c r="I132" i="6"/>
  <c r="I131" i="6"/>
  <c r="B131" i="6"/>
  <c r="G131" i="6" s="1"/>
  <c r="I130" i="6"/>
  <c r="I129" i="6"/>
  <c r="G129" i="6"/>
  <c r="F129" i="6"/>
  <c r="B129" i="6"/>
  <c r="J126" i="6"/>
  <c r="D125" i="6"/>
  <c r="A125" i="6"/>
  <c r="I115" i="6"/>
  <c r="I113" i="6"/>
  <c r="B113" i="6"/>
  <c r="G113" i="6" s="1"/>
  <c r="K112" i="6"/>
  <c r="I112" i="6"/>
  <c r="E112" i="6"/>
  <c r="R111" i="6"/>
  <c r="I111" i="6"/>
  <c r="B111" i="6"/>
  <c r="S111" i="6" s="1"/>
  <c r="I110" i="6"/>
  <c r="H110" i="6"/>
  <c r="B110" i="6"/>
  <c r="R109" i="6"/>
  <c r="I109" i="6"/>
  <c r="H109" i="6"/>
  <c r="B109" i="6"/>
  <c r="I108" i="6"/>
  <c r="E108" i="6"/>
  <c r="L108" i="6" s="1"/>
  <c r="B108" i="6"/>
  <c r="G108" i="6" s="1"/>
  <c r="I107" i="6"/>
  <c r="I106" i="6"/>
  <c r="B106" i="6"/>
  <c r="G106" i="6" s="1"/>
  <c r="I105" i="6"/>
  <c r="I104" i="6"/>
  <c r="G104" i="6"/>
  <c r="F104" i="6"/>
  <c r="B104" i="6"/>
  <c r="J101" i="6"/>
  <c r="D100" i="6"/>
  <c r="A100" i="6"/>
  <c r="I90" i="6"/>
  <c r="I88" i="6"/>
  <c r="B88" i="6"/>
  <c r="G88" i="6" s="1"/>
  <c r="K87" i="6"/>
  <c r="I87" i="6"/>
  <c r="E87" i="6"/>
  <c r="R86" i="6"/>
  <c r="N86" i="6"/>
  <c r="M86" i="6"/>
  <c r="J86" i="6"/>
  <c r="I86" i="6"/>
  <c r="B86" i="6"/>
  <c r="H86" i="6" s="1"/>
  <c r="I85" i="6"/>
  <c r="B85" i="6"/>
  <c r="R84" i="6"/>
  <c r="I84" i="6"/>
  <c r="B84" i="6"/>
  <c r="N84" i="6" s="1"/>
  <c r="T83" i="6"/>
  <c r="O83" i="6" s="1"/>
  <c r="J83" i="6"/>
  <c r="I83" i="6"/>
  <c r="E83" i="6"/>
  <c r="B83" i="6"/>
  <c r="I82" i="6"/>
  <c r="I81" i="6"/>
  <c r="B81" i="6"/>
  <c r="G81" i="6" s="1"/>
  <c r="I80" i="6"/>
  <c r="I79" i="6"/>
  <c r="F79" i="6"/>
  <c r="B79" i="6"/>
  <c r="G79" i="6" s="1"/>
  <c r="J76" i="6"/>
  <c r="D75" i="6"/>
  <c r="A75" i="6"/>
  <c r="I65" i="6"/>
  <c r="I63" i="6"/>
  <c r="B63" i="6"/>
  <c r="G63" i="6" s="1"/>
  <c r="K62" i="6"/>
  <c r="I62" i="6"/>
  <c r="E62" i="6"/>
  <c r="I61" i="6"/>
  <c r="B61" i="6"/>
  <c r="J61" i="6" s="1"/>
  <c r="L60" i="6"/>
  <c r="I60" i="6"/>
  <c r="B60" i="6"/>
  <c r="T59" i="6"/>
  <c r="O59" i="6" s="1"/>
  <c r="N59" i="6"/>
  <c r="M59" i="6"/>
  <c r="I59" i="6"/>
  <c r="B59" i="6"/>
  <c r="S59" i="6" s="1"/>
  <c r="I58" i="6"/>
  <c r="E58" i="6"/>
  <c r="B58" i="6"/>
  <c r="I57" i="6"/>
  <c r="I56" i="6"/>
  <c r="B56" i="6"/>
  <c r="I55" i="6"/>
  <c r="I54" i="6"/>
  <c r="F54" i="6"/>
  <c r="B54" i="6"/>
  <c r="G54" i="6" s="1"/>
  <c r="J51" i="6"/>
  <c r="D50" i="6"/>
  <c r="A50" i="6"/>
  <c r="I40" i="6"/>
  <c r="W38" i="6"/>
  <c r="I38" i="6"/>
  <c r="G38" i="6"/>
  <c r="B38" i="6"/>
  <c r="K37" i="6"/>
  <c r="I37" i="6"/>
  <c r="E37" i="6"/>
  <c r="W36" i="6"/>
  <c r="J36" i="6"/>
  <c r="I36" i="6"/>
  <c r="B36" i="6"/>
  <c r="W35" i="6"/>
  <c r="I35" i="6"/>
  <c r="B35" i="6"/>
  <c r="W34" i="6"/>
  <c r="I34" i="6"/>
  <c r="B34" i="6"/>
  <c r="W33" i="6"/>
  <c r="J33" i="6"/>
  <c r="I33" i="6"/>
  <c r="E33" i="6"/>
  <c r="S33" i="6" s="1"/>
  <c r="B33" i="6"/>
  <c r="G33" i="6" s="1"/>
  <c r="I32" i="6"/>
  <c r="W31" i="6"/>
  <c r="I31" i="6"/>
  <c r="B31" i="6"/>
  <c r="G31" i="6" s="1"/>
  <c r="I30" i="6"/>
  <c r="W29" i="6"/>
  <c r="I29" i="6"/>
  <c r="F29" i="6"/>
  <c r="B29" i="6"/>
  <c r="J26" i="6"/>
  <c r="D25" i="6"/>
  <c r="A25" i="6"/>
  <c r="N18" i="6"/>
  <c r="I15" i="6"/>
  <c r="I13" i="6"/>
  <c r="G13" i="6"/>
  <c r="H13" i="6"/>
  <c r="K12" i="6"/>
  <c r="I12" i="6"/>
  <c r="E12" i="6"/>
  <c r="T11" i="6"/>
  <c r="S11" i="6"/>
  <c r="R11" i="6"/>
  <c r="O11" i="6"/>
  <c r="N11" i="6"/>
  <c r="M11" i="6"/>
  <c r="L11" i="6"/>
  <c r="J11" i="6"/>
  <c r="I11" i="6"/>
  <c r="H11" i="6"/>
  <c r="G11" i="6"/>
  <c r="T10" i="6"/>
  <c r="S10" i="6"/>
  <c r="R10" i="6"/>
  <c r="O10" i="6"/>
  <c r="N10" i="6"/>
  <c r="M10" i="6"/>
  <c r="L10" i="6"/>
  <c r="J10" i="6"/>
  <c r="I10" i="6"/>
  <c r="H10" i="6"/>
  <c r="G10" i="6"/>
  <c r="T9" i="6"/>
  <c r="O9" i="6" s="1"/>
  <c r="S9" i="6"/>
  <c r="R9" i="6"/>
  <c r="N9" i="6"/>
  <c r="M9" i="6"/>
  <c r="L9" i="6"/>
  <c r="J9" i="6"/>
  <c r="I9" i="6"/>
  <c r="H9" i="6"/>
  <c r="G9" i="6"/>
  <c r="T8" i="6"/>
  <c r="O8" i="6" s="1"/>
  <c r="S8" i="6"/>
  <c r="R8" i="6"/>
  <c r="N8" i="6"/>
  <c r="M8" i="6"/>
  <c r="L8" i="6"/>
  <c r="J8" i="6"/>
  <c r="I8" i="6"/>
  <c r="H8" i="6"/>
  <c r="G8" i="6"/>
  <c r="C8" i="6"/>
  <c r="C58" i="6" s="1"/>
  <c r="I7" i="6"/>
  <c r="I6" i="6"/>
  <c r="G6" i="6"/>
  <c r="I5" i="6"/>
  <c r="B5" i="6"/>
  <c r="B105" i="6" s="1"/>
  <c r="G105" i="6" s="1"/>
  <c r="I4" i="6"/>
  <c r="G4" i="6"/>
  <c r="F4" i="6"/>
  <c r="N21" i="6" s="1"/>
  <c r="J1" i="6"/>
  <c r="Z146" i="5"/>
  <c r="F131" i="5"/>
  <c r="T113" i="5"/>
  <c r="B109" i="5"/>
  <c r="G81" i="5"/>
  <c r="J80" i="5"/>
  <c r="F74" i="5"/>
  <c r="F62" i="5"/>
  <c r="F41" i="5"/>
  <c r="F31" i="5"/>
  <c r="F29" i="5"/>
  <c r="F27" i="5"/>
  <c r="F13" i="5"/>
  <c r="F11" i="5"/>
  <c r="F78" i="5" s="1"/>
  <c r="CK33" i="4"/>
  <c r="CU33" i="4" s="1"/>
  <c r="DQ31" i="4"/>
  <c r="CF31" i="4"/>
  <c r="CE31" i="4"/>
  <c r="CD31" i="4"/>
  <c r="CC31" i="4"/>
  <c r="CB31" i="4"/>
  <c r="CA31" i="4"/>
  <c r="AC31" i="4"/>
  <c r="AB31" i="4"/>
  <c r="AA31" i="4"/>
  <c r="Y31" i="4"/>
  <c r="S31" i="4"/>
  <c r="R31" i="4"/>
  <c r="U128" i="5" s="1"/>
  <c r="M31" i="4"/>
  <c r="L31" i="4"/>
  <c r="K31" i="4"/>
  <c r="H31" i="4"/>
  <c r="O31" i="4" s="1"/>
  <c r="U127" i="5"/>
  <c r="U126" i="5"/>
  <c r="DQ30" i="4"/>
  <c r="CF30" i="4"/>
  <c r="CE30" i="4"/>
  <c r="CD30" i="4"/>
  <c r="CC30" i="4"/>
  <c r="CB30" i="4"/>
  <c r="CA30" i="4"/>
  <c r="AC30" i="4"/>
  <c r="AB30" i="4"/>
  <c r="AA30" i="4"/>
  <c r="Y30" i="4"/>
  <c r="S30" i="4"/>
  <c r="R30" i="4"/>
  <c r="U125" i="5" s="1"/>
  <c r="M30" i="4"/>
  <c r="L30" i="4"/>
  <c r="O30" i="4"/>
  <c r="N30" i="4"/>
  <c r="DQ29" i="4"/>
  <c r="CF29" i="4"/>
  <c r="CE29" i="4"/>
  <c r="CD29" i="4"/>
  <c r="CC29" i="4"/>
  <c r="CB29" i="4"/>
  <c r="CA29" i="4"/>
  <c r="AC29" i="4"/>
  <c r="AB29" i="4"/>
  <c r="AA29" i="4"/>
  <c r="S29" i="4"/>
  <c r="O29" i="4"/>
  <c r="DQ28" i="4"/>
  <c r="CF28" i="4"/>
  <c r="CE28" i="4"/>
  <c r="CD28" i="4"/>
  <c r="CC28" i="4"/>
  <c r="CB28" i="4"/>
  <c r="CA28" i="4"/>
  <c r="AC28" i="4"/>
  <c r="AB28" i="4"/>
  <c r="AA28" i="4"/>
  <c r="O28" i="4"/>
  <c r="DQ27" i="4"/>
  <c r="CF27" i="4"/>
  <c r="CE27" i="4"/>
  <c r="CD27" i="4"/>
  <c r="CC27" i="4"/>
  <c r="CB27" i="4"/>
  <c r="CA27" i="4"/>
  <c r="AC27" i="4"/>
  <c r="AB27" i="4"/>
  <c r="AA27" i="4"/>
  <c r="J13" i="9"/>
  <c r="O27" i="4"/>
  <c r="DQ26" i="4"/>
  <c r="CF26" i="4"/>
  <c r="CE26" i="4"/>
  <c r="CD26" i="4"/>
  <c r="CC26" i="4"/>
  <c r="CB26" i="4"/>
  <c r="CA26" i="4"/>
  <c r="AC26" i="4"/>
  <c r="AB26" i="4"/>
  <c r="AA26" i="4"/>
  <c r="O26" i="4"/>
  <c r="DQ25" i="4"/>
  <c r="CF25" i="4"/>
  <c r="CE25" i="4"/>
  <c r="CD25" i="4"/>
  <c r="CC25" i="4"/>
  <c r="CB25" i="4"/>
  <c r="CA25" i="4"/>
  <c r="AC25" i="4"/>
  <c r="AB25" i="4"/>
  <c r="AA25" i="4"/>
  <c r="O25" i="4"/>
  <c r="DQ24" i="4"/>
  <c r="CF24" i="4"/>
  <c r="CE24" i="4"/>
  <c r="CD24" i="4"/>
  <c r="CC24" i="4"/>
  <c r="CB24" i="4"/>
  <c r="CA24" i="4"/>
  <c r="AC24" i="4"/>
  <c r="AB24" i="4"/>
  <c r="AA24" i="4"/>
  <c r="O24" i="4"/>
  <c r="DQ23" i="4"/>
  <c r="CF23" i="4"/>
  <c r="CE23" i="4"/>
  <c r="CD23" i="4"/>
  <c r="CC23" i="4"/>
  <c r="CB23" i="4"/>
  <c r="CA23" i="4"/>
  <c r="AC23" i="4"/>
  <c r="AB23" i="4"/>
  <c r="AA23" i="4"/>
  <c r="O23" i="4"/>
  <c r="DQ22" i="4"/>
  <c r="CF22" i="4"/>
  <c r="CE22" i="4"/>
  <c r="CD22" i="4"/>
  <c r="CC22" i="4"/>
  <c r="CB22" i="4"/>
  <c r="CA22" i="4"/>
  <c r="AC22" i="4"/>
  <c r="AB22" i="4"/>
  <c r="AA22" i="4"/>
  <c r="O22" i="4"/>
  <c r="DQ21" i="4"/>
  <c r="CF21" i="4"/>
  <c r="CE21" i="4"/>
  <c r="CD21" i="4"/>
  <c r="CC21" i="4"/>
  <c r="CB21" i="4"/>
  <c r="CA21" i="4"/>
  <c r="AL21" i="4"/>
  <c r="AK24" i="4" s="1"/>
  <c r="AC21" i="4"/>
  <c r="AB21" i="4"/>
  <c r="AA21" i="4"/>
  <c r="O21" i="4"/>
  <c r="DQ20" i="4"/>
  <c r="CF20" i="4"/>
  <c r="CE20" i="4"/>
  <c r="CD20" i="4"/>
  <c r="CC20" i="4"/>
  <c r="CB20" i="4"/>
  <c r="CA20" i="4"/>
  <c r="AC20" i="4"/>
  <c r="AB20" i="4"/>
  <c r="AA20" i="4"/>
  <c r="O20" i="4"/>
  <c r="DQ19" i="4"/>
  <c r="CF19" i="4"/>
  <c r="CE19" i="4"/>
  <c r="CD19" i="4"/>
  <c r="CC19" i="4"/>
  <c r="CB19" i="4"/>
  <c r="CA19" i="4"/>
  <c r="AC19" i="4"/>
  <c r="AB19" i="4"/>
  <c r="AA19" i="4"/>
  <c r="DQ18" i="4"/>
  <c r="DQ32" i="4" s="1"/>
  <c r="AD10" i="4" s="1"/>
  <c r="CZ18" i="4"/>
  <c r="CY18" i="4"/>
  <c r="CX18" i="4"/>
  <c r="CW18" i="4"/>
  <c r="CV18" i="4"/>
  <c r="CU18" i="4"/>
  <c r="CF18" i="4"/>
  <c r="CE18" i="4"/>
  <c r="CD18" i="4"/>
  <c r="CC18" i="4"/>
  <c r="CB18" i="4"/>
  <c r="CA18" i="4"/>
  <c r="AC18" i="4"/>
  <c r="AB18" i="4"/>
  <c r="AA18" i="4"/>
  <c r="O18" i="4"/>
  <c r="S16" i="4"/>
  <c r="CU15" i="4"/>
  <c r="J81" i="5"/>
  <c r="F2" i="4"/>
  <c r="F94" i="5" s="1"/>
  <c r="EA153" i="3"/>
  <c r="EA154" i="3" s="1"/>
  <c r="EA155" i="3" s="1"/>
  <c r="EA156" i="3" s="1"/>
  <c r="EA157" i="3" s="1"/>
  <c r="EA158" i="3" s="1"/>
  <c r="EA159" i="3" s="1"/>
  <c r="EA160" i="3" s="1"/>
  <c r="EA161" i="3" s="1"/>
  <c r="EA162" i="3" s="1"/>
  <c r="EA163" i="3" s="1"/>
  <c r="EA164" i="3" s="1"/>
  <c r="EA165" i="3" s="1"/>
  <c r="EA166" i="3" s="1"/>
  <c r="EA167" i="3" s="1"/>
  <c r="EA168" i="3" s="1"/>
  <c r="EA169" i="3" s="1"/>
  <c r="EA170" i="3" s="1"/>
  <c r="EA171" i="3" s="1"/>
  <c r="EA172" i="3" s="1"/>
  <c r="EA173" i="3" s="1"/>
  <c r="EA174" i="3" s="1"/>
  <c r="EA175" i="3" s="1"/>
  <c r="EA176" i="3" s="1"/>
  <c r="EA177" i="3" s="1"/>
  <c r="EA178" i="3" s="1"/>
  <c r="EA179" i="3" s="1"/>
  <c r="EA180" i="3" s="1"/>
  <c r="EA181" i="3" s="1"/>
  <c r="EA182" i="3" s="1"/>
  <c r="EA183" i="3" s="1"/>
  <c r="EA184" i="3" s="1"/>
  <c r="EA185" i="3" s="1"/>
  <c r="EA186" i="3" s="1"/>
  <c r="EA187" i="3" s="1"/>
  <c r="EA188" i="3" s="1"/>
  <c r="EA189" i="3" s="1"/>
  <c r="EA190" i="3" s="1"/>
  <c r="EA191" i="3" s="1"/>
  <c r="EA192" i="3" s="1"/>
  <c r="EA193" i="3" s="1"/>
  <c r="EA194" i="3" s="1"/>
  <c r="EA195" i="3" s="1"/>
  <c r="EA196" i="3" s="1"/>
  <c r="EA197" i="3" s="1"/>
  <c r="EA198" i="3" s="1"/>
  <c r="EA199" i="3" s="1"/>
  <c r="EA200" i="3" s="1"/>
  <c r="EA201" i="3" s="1"/>
  <c r="EA202" i="3" s="1"/>
  <c r="DZ142" i="3"/>
  <c r="EA111" i="3"/>
  <c r="EA109" i="3"/>
  <c r="A41" i="3"/>
  <c r="B40" i="3"/>
  <c r="A40" i="3"/>
  <c r="A39" i="3"/>
  <c r="A38" i="3"/>
  <c r="A37" i="3"/>
  <c r="B36" i="3"/>
  <c r="A36" i="3"/>
  <c r="A35" i="3"/>
  <c r="A34" i="3"/>
  <c r="B33" i="3"/>
  <c r="A33" i="3"/>
  <c r="B32" i="3"/>
  <c r="A32" i="3"/>
  <c r="M31" i="3"/>
  <c r="M32" i="3" s="1"/>
  <c r="M33" i="3" s="1"/>
  <c r="B31" i="3"/>
  <c r="A31" i="3"/>
  <c r="A30" i="3"/>
  <c r="I29" i="3"/>
  <c r="A29" i="3"/>
  <c r="P28" i="3"/>
  <c r="O28" i="3"/>
  <c r="F98" i="5" s="1"/>
  <c r="C26" i="3"/>
  <c r="F35" i="5" s="1"/>
  <c r="Z23" i="3"/>
  <c r="AB22" i="3"/>
  <c r="AB21" i="3"/>
  <c r="AB20" i="3"/>
  <c r="AB19" i="3"/>
  <c r="E19" i="3"/>
  <c r="AB18" i="3"/>
  <c r="E18" i="3"/>
  <c r="C18" i="3"/>
  <c r="AG6" i="3" s="1"/>
  <c r="AB17" i="3"/>
  <c r="AB23" i="3" s="1"/>
  <c r="F61" i="5" s="1"/>
  <c r="E17" i="3"/>
  <c r="AB16" i="3"/>
  <c r="AH31" i="13" s="1"/>
  <c r="AB15" i="3"/>
  <c r="AH30" i="13" s="1"/>
  <c r="AB14" i="3"/>
  <c r="AH29" i="13" s="1"/>
  <c r="E14" i="3"/>
  <c r="Z13" i="3"/>
  <c r="AA12" i="3"/>
  <c r="H12" i="3"/>
  <c r="I12" i="3" s="1"/>
  <c r="AA11" i="3"/>
  <c r="Z11" i="3"/>
  <c r="E11" i="3"/>
  <c r="AA10" i="3"/>
  <c r="I10" i="3"/>
  <c r="AA9" i="3"/>
  <c r="H9" i="3"/>
  <c r="F37" i="5" s="1"/>
  <c r="Z8" i="3"/>
  <c r="C8" i="3"/>
  <c r="B120" i="5" s="1"/>
  <c r="W120" i="5" s="1"/>
  <c r="AA7" i="3"/>
  <c r="H7" i="3"/>
  <c r="AD6" i="3"/>
  <c r="AA6" i="3"/>
  <c r="EA5" i="3"/>
  <c r="AA5" i="3"/>
  <c r="EA3" i="3"/>
  <c r="AA3" i="3"/>
  <c r="BC2" i="3"/>
  <c r="BC1" i="3"/>
  <c r="CA153" i="2"/>
  <c r="CA154" i="2" s="1"/>
  <c r="CA155" i="2" s="1"/>
  <c r="CA156" i="2" s="1"/>
  <c r="CA157" i="2" s="1"/>
  <c r="CA158" i="2" s="1"/>
  <c r="CA159" i="2" s="1"/>
  <c r="CA160" i="2" s="1"/>
  <c r="CA161" i="2" s="1"/>
  <c r="CA162" i="2" s="1"/>
  <c r="CA163" i="2" s="1"/>
  <c r="CA164" i="2" s="1"/>
  <c r="CA165" i="2" s="1"/>
  <c r="CA166" i="2" s="1"/>
  <c r="CA167" i="2" s="1"/>
  <c r="CA168" i="2" s="1"/>
  <c r="CA169" i="2" s="1"/>
  <c r="CA170" i="2" s="1"/>
  <c r="CA171" i="2" s="1"/>
  <c r="CA172" i="2" s="1"/>
  <c r="CA173" i="2" s="1"/>
  <c r="CA174" i="2" s="1"/>
  <c r="CA175" i="2" s="1"/>
  <c r="CA176" i="2" s="1"/>
  <c r="CA177" i="2" s="1"/>
  <c r="CA178" i="2" s="1"/>
  <c r="CA179" i="2" s="1"/>
  <c r="CA180" i="2" s="1"/>
  <c r="CA181" i="2" s="1"/>
  <c r="CA182" i="2" s="1"/>
  <c r="CA183" i="2" s="1"/>
  <c r="CA184" i="2" s="1"/>
  <c r="CA185" i="2" s="1"/>
  <c r="CA186" i="2" s="1"/>
  <c r="CA187" i="2" s="1"/>
  <c r="CA188" i="2" s="1"/>
  <c r="CA189" i="2" s="1"/>
  <c r="CA190" i="2" s="1"/>
  <c r="CA191" i="2" s="1"/>
  <c r="CA192" i="2" s="1"/>
  <c r="CA193" i="2" s="1"/>
  <c r="CA194" i="2" s="1"/>
  <c r="CA195" i="2" s="1"/>
  <c r="CA196" i="2" s="1"/>
  <c r="CA197" i="2" s="1"/>
  <c r="CA198" i="2" s="1"/>
  <c r="CA199" i="2" s="1"/>
  <c r="CA200" i="2" s="1"/>
  <c r="CA201" i="2" s="1"/>
  <c r="CA202" i="2" s="1"/>
  <c r="CA111" i="2"/>
  <c r="CA109" i="2"/>
  <c r="E14" i="2"/>
  <c r="D14" i="2"/>
  <c r="E11" i="2"/>
  <c r="F58" i="5" s="1"/>
  <c r="D11" i="2"/>
  <c r="F14" i="2" s="1"/>
  <c r="V10" i="2"/>
  <c r="J10" i="2"/>
  <c r="CA5" i="2"/>
  <c r="CA3" i="2"/>
  <c r="AA3" i="2"/>
  <c r="X8" i="12" l="1"/>
  <c r="V8" i="12"/>
  <c r="Y8" i="12"/>
  <c r="Z8" i="12"/>
  <c r="Z9" i="12"/>
  <c r="W8" i="12"/>
  <c r="W9" i="12"/>
  <c r="V9" i="12"/>
  <c r="Y9" i="12"/>
  <c r="X9" i="12"/>
  <c r="T161" i="6"/>
  <c r="O161" i="6" s="1"/>
  <c r="N161" i="6"/>
  <c r="G161" i="6"/>
  <c r="M161" i="6"/>
  <c r="S259" i="6"/>
  <c r="T259" i="6"/>
  <c r="O259" i="6" s="1"/>
  <c r="J259" i="6"/>
  <c r="R259" i="6"/>
  <c r="N259" i="6"/>
  <c r="L259" i="6"/>
  <c r="M259" i="6"/>
  <c r="Q25" i="4"/>
  <c r="DP25" i="4" s="1"/>
  <c r="G259" i="6"/>
  <c r="H311" i="6"/>
  <c r="N311" i="6"/>
  <c r="R311" i="6"/>
  <c r="H360" i="6"/>
  <c r="M485" i="6"/>
  <c r="T485" i="6"/>
  <c r="O485" i="6" s="1"/>
  <c r="J485" i="6"/>
  <c r="L485" i="6"/>
  <c r="N485" i="6"/>
  <c r="B117" i="5"/>
  <c r="W117" i="5" s="1"/>
  <c r="B116" i="5"/>
  <c r="W116" i="5" s="1"/>
  <c r="Q24" i="4"/>
  <c r="DP24" i="4" s="1"/>
  <c r="Q18" i="4"/>
  <c r="DP18" i="4" s="1"/>
  <c r="S24" i="4"/>
  <c r="S23" i="4"/>
  <c r="S18" i="4"/>
  <c r="B111" i="5"/>
  <c r="W111" i="5" s="1"/>
  <c r="B110" i="5"/>
  <c r="Y110" i="5" s="1"/>
  <c r="Q21" i="4"/>
  <c r="DP21" i="4" s="1"/>
  <c r="B115" i="5"/>
  <c r="W115" i="5" s="1"/>
  <c r="S21" i="4"/>
  <c r="B114" i="5"/>
  <c r="W114" i="5" s="1"/>
  <c r="Q29" i="4"/>
  <c r="L121" i="5" s="1"/>
  <c r="Q23" i="4"/>
  <c r="DP23" i="4" s="1"/>
  <c r="S22" i="4"/>
  <c r="B112" i="5"/>
  <c r="W112" i="5" s="1"/>
  <c r="Q28" i="4"/>
  <c r="DP28" i="4" s="1"/>
  <c r="Q22" i="4"/>
  <c r="DP22" i="4" s="1"/>
  <c r="C64" i="6"/>
  <c r="B113" i="5"/>
  <c r="W113" i="5" s="1"/>
  <c r="C264" i="6"/>
  <c r="Q27" i="4"/>
  <c r="J14" i="9" s="1"/>
  <c r="J16" i="9" s="1"/>
  <c r="B119" i="5"/>
  <c r="Y119" i="5" s="1"/>
  <c r="H213" i="6"/>
  <c r="J213" i="6" s="1"/>
  <c r="R213" i="6" s="1"/>
  <c r="S213" i="6" s="1"/>
  <c r="H113" i="6"/>
  <c r="J113" i="6" s="1"/>
  <c r="L113" i="6" s="1"/>
  <c r="G311" i="6"/>
  <c r="M333" i="6"/>
  <c r="T333" i="6"/>
  <c r="O333" i="6" s="1"/>
  <c r="G485" i="6"/>
  <c r="Q26" i="4"/>
  <c r="DP26" i="4" s="1"/>
  <c r="B121" i="5"/>
  <c r="W121" i="5" s="1"/>
  <c r="S110" i="6"/>
  <c r="L110" i="6"/>
  <c r="T110" i="6"/>
  <c r="O110" i="6" s="1"/>
  <c r="M110" i="6"/>
  <c r="N110" i="6"/>
  <c r="J235" i="6"/>
  <c r="N235" i="6"/>
  <c r="R235" i="6"/>
  <c r="S235" i="6"/>
  <c r="H259" i="6"/>
  <c r="L36" i="6"/>
  <c r="T36" i="6"/>
  <c r="O36" i="6" s="1"/>
  <c r="M36" i="6"/>
  <c r="G110" i="6"/>
  <c r="T159" i="6"/>
  <c r="O159" i="6" s="1"/>
  <c r="R159" i="6"/>
  <c r="N159" i="6"/>
  <c r="M159" i="6"/>
  <c r="J159" i="6"/>
  <c r="T183" i="6"/>
  <c r="O183" i="6" s="1"/>
  <c r="G235" i="6"/>
  <c r="Q19" i="4"/>
  <c r="DP19" i="4" s="1"/>
  <c r="T85" i="6"/>
  <c r="O85" i="6" s="1"/>
  <c r="L85" i="6"/>
  <c r="M85" i="6"/>
  <c r="N233" i="6"/>
  <c r="G233" i="6"/>
  <c r="G260" i="6"/>
  <c r="D439" i="6"/>
  <c r="I439" i="6" s="1"/>
  <c r="S458" i="6"/>
  <c r="J458" i="6"/>
  <c r="T458" i="6"/>
  <c r="O458" i="6" s="1"/>
  <c r="R458" i="6"/>
  <c r="M458" i="6"/>
  <c r="N458" i="6"/>
  <c r="H63" i="6"/>
  <c r="J63" i="6" s="1"/>
  <c r="L63" i="6" s="1"/>
  <c r="N63" i="6" s="1"/>
  <c r="J110" i="6"/>
  <c r="F163" i="6"/>
  <c r="L233" i="6"/>
  <c r="L235" i="6"/>
  <c r="H260" i="6"/>
  <c r="M311" i="6"/>
  <c r="S384" i="6"/>
  <c r="M384" i="6"/>
  <c r="L384" i="6"/>
  <c r="T384" i="6"/>
  <c r="O384" i="6" s="1"/>
  <c r="H435" i="6"/>
  <c r="G458" i="6"/>
  <c r="Q20" i="4"/>
  <c r="DP20" i="4" s="1"/>
  <c r="S25" i="4"/>
  <c r="S34" i="6"/>
  <c r="T34" i="6"/>
  <c r="O34" i="6" s="1"/>
  <c r="L34" i="6"/>
  <c r="N34" i="6"/>
  <c r="M34" i="6"/>
  <c r="J34" i="6"/>
  <c r="H458" i="6"/>
  <c r="S19" i="4"/>
  <c r="S20" i="4"/>
  <c r="S26" i="4"/>
  <c r="G34" i="6"/>
  <c r="R233" i="6"/>
  <c r="J260" i="6"/>
  <c r="S336" i="6"/>
  <c r="N336" i="6"/>
  <c r="H336" i="6"/>
  <c r="M336" i="6"/>
  <c r="L336" i="6"/>
  <c r="J336" i="6"/>
  <c r="J435" i="6"/>
  <c r="N19" i="4"/>
  <c r="N21" i="4"/>
  <c r="S27" i="4"/>
  <c r="H34" i="6"/>
  <c r="J60" i="6"/>
  <c r="R60" i="6"/>
  <c r="S134" i="6"/>
  <c r="T134" i="6"/>
  <c r="O134" i="6" s="1"/>
  <c r="M134" i="6"/>
  <c r="T208" i="6"/>
  <c r="O208" i="6" s="1"/>
  <c r="L234" i="6"/>
  <c r="T234" i="6"/>
  <c r="O234" i="6" s="1"/>
  <c r="S234" i="6"/>
  <c r="R234" i="6"/>
  <c r="M234" i="6"/>
  <c r="N234" i="6"/>
  <c r="J309" i="6"/>
  <c r="N410" i="6"/>
  <c r="M410" i="6"/>
  <c r="M435" i="6"/>
  <c r="N184" i="6"/>
  <c r="T184" i="6"/>
  <c r="O184" i="6" s="1"/>
  <c r="S184" i="6"/>
  <c r="H184" i="6"/>
  <c r="R184" i="6"/>
  <c r="J184" i="6"/>
  <c r="S260" i="6"/>
  <c r="T260" i="6"/>
  <c r="O260" i="6" s="1"/>
  <c r="M260" i="6"/>
  <c r="N260" i="6"/>
  <c r="S28" i="4"/>
  <c r="T109" i="6"/>
  <c r="O109" i="6" s="1"/>
  <c r="N109" i="6"/>
  <c r="M109" i="6"/>
  <c r="L109" i="6"/>
  <c r="J109" i="6"/>
  <c r="G134" i="6"/>
  <c r="S136" i="6"/>
  <c r="N136" i="6"/>
  <c r="L136" i="6"/>
  <c r="J136" i="6"/>
  <c r="G136" i="6"/>
  <c r="H183" i="6"/>
  <c r="S209" i="6"/>
  <c r="R209" i="6"/>
  <c r="H209" i="6"/>
  <c r="G209" i="6"/>
  <c r="G234" i="6"/>
  <c r="R284" i="6"/>
  <c r="N284" i="6"/>
  <c r="S284" i="6"/>
  <c r="S461" i="6"/>
  <c r="N461" i="6"/>
  <c r="M461" i="6"/>
  <c r="J461" i="6"/>
  <c r="H461" i="6"/>
  <c r="L461" i="6"/>
  <c r="S433" i="6"/>
  <c r="H233" i="6"/>
  <c r="H310" i="6"/>
  <c r="H335" i="6"/>
  <c r="H361" i="6"/>
  <c r="H409" i="6"/>
  <c r="G411" i="6"/>
  <c r="J434" i="6"/>
  <c r="G460" i="6"/>
  <c r="S183" i="6"/>
  <c r="H434" i="6"/>
  <c r="N22" i="6"/>
  <c r="G59" i="6"/>
  <c r="G310" i="6"/>
  <c r="G361" i="6"/>
  <c r="G409" i="6"/>
  <c r="G463" i="6"/>
  <c r="H59" i="6"/>
  <c r="H61" i="6"/>
  <c r="N68" i="6"/>
  <c r="H88" i="6"/>
  <c r="J88" i="6" s="1"/>
  <c r="R88" i="6" s="1"/>
  <c r="S88" i="6" s="1"/>
  <c r="N71" i="6"/>
  <c r="R83" i="6"/>
  <c r="H158" i="6"/>
  <c r="S258" i="6"/>
  <c r="H433" i="6"/>
  <c r="L434" i="6"/>
  <c r="F1" i="4"/>
  <c r="J59" i="6"/>
  <c r="G158" i="6"/>
  <c r="J183" i="6"/>
  <c r="J233" i="6"/>
  <c r="N310" i="6"/>
  <c r="J335" i="6"/>
  <c r="J361" i="6"/>
  <c r="J409" i="6"/>
  <c r="L411" i="6"/>
  <c r="J460" i="6"/>
  <c r="AH29" i="4"/>
  <c r="L59" i="6"/>
  <c r="L183" i="6"/>
  <c r="M258" i="6"/>
  <c r="R310" i="6"/>
  <c r="L335" i="6"/>
  <c r="N361" i="6"/>
  <c r="M409" i="6"/>
  <c r="J433" i="6"/>
  <c r="R434" i="6"/>
  <c r="AH30" i="4"/>
  <c r="L28" i="4"/>
  <c r="N29" i="4"/>
  <c r="L29" i="4" s="1"/>
  <c r="J119" i="5"/>
  <c r="L26" i="4"/>
  <c r="J111" i="5"/>
  <c r="H473" i="6"/>
  <c r="Z28" i="13"/>
  <c r="J17" i="13"/>
  <c r="Z22" i="13"/>
  <c r="I17" i="13"/>
  <c r="H14" i="13"/>
  <c r="Z34" i="13"/>
  <c r="Z27" i="13"/>
  <c r="H17" i="13"/>
  <c r="Z35" i="13"/>
  <c r="Z33" i="13"/>
  <c r="X13" i="13"/>
  <c r="Z29" i="13"/>
  <c r="Z24" i="13"/>
  <c r="Z19" i="13"/>
  <c r="Z37" i="13"/>
  <c r="T16" i="13"/>
  <c r="Z32" i="13"/>
  <c r="Q16" i="13"/>
  <c r="Z23" i="13"/>
  <c r="Z18" i="13"/>
  <c r="P17" i="13"/>
  <c r="Z26" i="13"/>
  <c r="Z36" i="13"/>
  <c r="Z31" i="13"/>
  <c r="Z21" i="13"/>
  <c r="Z30" i="13"/>
  <c r="O17" i="13"/>
  <c r="K17" i="13"/>
  <c r="N17" i="13"/>
  <c r="Z25" i="13"/>
  <c r="Z20" i="13"/>
  <c r="N18" i="13"/>
  <c r="H23" i="6"/>
  <c r="E64" i="6"/>
  <c r="E65" i="6" s="1"/>
  <c r="AD1" i="3"/>
  <c r="H398" i="6"/>
  <c r="E264" i="6"/>
  <c r="E265" i="6" s="1"/>
  <c r="H349" i="6"/>
  <c r="H273" i="6"/>
  <c r="N18" i="4"/>
  <c r="CK31" i="13"/>
  <c r="CK25" i="13"/>
  <c r="CK20" i="13"/>
  <c r="CK24" i="13"/>
  <c r="CK19" i="13"/>
  <c r="CK30" i="13"/>
  <c r="CK21" i="13"/>
  <c r="CK28" i="13"/>
  <c r="CK33" i="13"/>
  <c r="CK23" i="13"/>
  <c r="CK36" i="13"/>
  <c r="CK35" i="13"/>
  <c r="CK27" i="13"/>
  <c r="CK22" i="13"/>
  <c r="CK32" i="13"/>
  <c r="CK34" i="13"/>
  <c r="CK29" i="13"/>
  <c r="CK26" i="13"/>
  <c r="CK37" i="13"/>
  <c r="E114" i="6"/>
  <c r="E115" i="6" s="1"/>
  <c r="H73" i="6"/>
  <c r="E214" i="6"/>
  <c r="E215" i="6" s="1"/>
  <c r="H424" i="6"/>
  <c r="I99" i="5"/>
  <c r="AG8" i="3"/>
  <c r="H148" i="6"/>
  <c r="F108" i="5"/>
  <c r="C214" i="6"/>
  <c r="H14" i="4"/>
  <c r="D14" i="6"/>
  <c r="I14" i="6" s="1"/>
  <c r="C239" i="6"/>
  <c r="H324" i="6"/>
  <c r="CK31" i="4"/>
  <c r="C114" i="6"/>
  <c r="E164" i="6"/>
  <c r="E165" i="6" s="1"/>
  <c r="E9" i="3"/>
  <c r="AG4" i="3"/>
  <c r="D119" i="5" s="1"/>
  <c r="E15" i="3"/>
  <c r="H474" i="6"/>
  <c r="AG5" i="3"/>
  <c r="H49" i="6"/>
  <c r="D239" i="6"/>
  <c r="I239" i="6" s="1"/>
  <c r="C364" i="6"/>
  <c r="E8" i="3"/>
  <c r="E39" i="6"/>
  <c r="E40" i="6" s="1"/>
  <c r="H123" i="6"/>
  <c r="E139" i="6"/>
  <c r="E140" i="6" s="1"/>
  <c r="C164" i="6"/>
  <c r="D314" i="6"/>
  <c r="H373" i="6"/>
  <c r="H449" i="6"/>
  <c r="F99" i="5"/>
  <c r="F130" i="5"/>
  <c r="AG7" i="3"/>
  <c r="D39" i="6"/>
  <c r="I39" i="6" s="1"/>
  <c r="D89" i="6"/>
  <c r="I89" i="6" s="1"/>
  <c r="E239" i="6"/>
  <c r="E240" i="6" s="1"/>
  <c r="H448" i="6"/>
  <c r="H99" i="6"/>
  <c r="D164" i="6"/>
  <c r="I164" i="6" s="1"/>
  <c r="H199" i="6"/>
  <c r="H248" i="6"/>
  <c r="D414" i="6"/>
  <c r="I414" i="6" s="1"/>
  <c r="G99" i="5"/>
  <c r="D489" i="6"/>
  <c r="I489" i="6" s="1"/>
  <c r="D289" i="6"/>
  <c r="I289" i="6" s="1"/>
  <c r="E489" i="6"/>
  <c r="E490" i="6" s="1"/>
  <c r="H224" i="6"/>
  <c r="D339" i="6"/>
  <c r="I339" i="6" s="1"/>
  <c r="E389" i="6"/>
  <c r="E390" i="6" s="1"/>
  <c r="D464" i="6"/>
  <c r="I464" i="6" s="1"/>
  <c r="C489" i="6"/>
  <c r="AG9" i="3"/>
  <c r="H299" i="6"/>
  <c r="E464" i="6"/>
  <c r="E465" i="6" s="1"/>
  <c r="H498" i="6"/>
  <c r="J109" i="5"/>
  <c r="E14" i="6"/>
  <c r="E15" i="6" s="1"/>
  <c r="H173" i="6"/>
  <c r="C189" i="6"/>
  <c r="H249" i="6"/>
  <c r="D364" i="6"/>
  <c r="I364" i="6" s="1"/>
  <c r="H499" i="6"/>
  <c r="C16" i="3"/>
  <c r="T2" i="3"/>
  <c r="F39" i="5"/>
  <c r="B12" i="6"/>
  <c r="B212" i="6" s="1"/>
  <c r="R212" i="6" s="1"/>
  <c r="B15" i="6"/>
  <c r="B115" i="6" s="1"/>
  <c r="N115" i="6" s="1"/>
  <c r="C139" i="6"/>
  <c r="H174" i="6"/>
  <c r="D189" i="6"/>
  <c r="I189" i="6" s="1"/>
  <c r="E364" i="6"/>
  <c r="E365" i="6" s="1"/>
  <c r="C389" i="6"/>
  <c r="D112" i="5"/>
  <c r="C89" i="6"/>
  <c r="D139" i="6"/>
  <c r="E189" i="6"/>
  <c r="H223" i="6"/>
  <c r="C289" i="6"/>
  <c r="C314" i="6"/>
  <c r="C339" i="6"/>
  <c r="D389" i="6"/>
  <c r="I389" i="6" s="1"/>
  <c r="C414" i="6"/>
  <c r="D113" i="5"/>
  <c r="D64" i="6"/>
  <c r="I64" i="6" s="1"/>
  <c r="E89" i="6"/>
  <c r="E90" i="6" s="1"/>
  <c r="H198" i="6"/>
  <c r="E289" i="6"/>
  <c r="E290" i="6" s="1"/>
  <c r="E314" i="6"/>
  <c r="E315" i="6" s="1"/>
  <c r="E339" i="6"/>
  <c r="E340" i="6" s="1"/>
  <c r="H374" i="6"/>
  <c r="E414" i="6"/>
  <c r="E415" i="6" s="1"/>
  <c r="C439" i="6"/>
  <c r="H24" i="6"/>
  <c r="C39" i="6"/>
  <c r="H98" i="6"/>
  <c r="D114" i="6"/>
  <c r="I114" i="6" s="1"/>
  <c r="H149" i="6"/>
  <c r="D264" i="6"/>
  <c r="I264" i="6" s="1"/>
  <c r="H298" i="6"/>
  <c r="H323" i="6"/>
  <c r="H348" i="6"/>
  <c r="H399" i="6"/>
  <c r="H423" i="6"/>
  <c r="E439" i="6"/>
  <c r="E440" i="6" s="1"/>
  <c r="C464" i="6"/>
  <c r="D118" i="5"/>
  <c r="C14" i="6"/>
  <c r="H48" i="6"/>
  <c r="H74" i="6"/>
  <c r="H124" i="6"/>
  <c r="D214" i="6"/>
  <c r="I214" i="6" s="1"/>
  <c r="H274" i="6"/>
  <c r="W118" i="5"/>
  <c r="X118" i="5"/>
  <c r="L108" i="5"/>
  <c r="L109" i="5"/>
  <c r="CK25" i="4"/>
  <c r="CK23" i="4"/>
  <c r="CK24" i="4"/>
  <c r="CK30" i="4"/>
  <c r="CK29" i="4"/>
  <c r="CK28" i="4"/>
  <c r="CK27" i="4"/>
  <c r="CK26" i="4"/>
  <c r="CK22" i="4"/>
  <c r="CK21" i="4"/>
  <c r="CK20" i="4"/>
  <c r="CK19" i="4"/>
  <c r="J188" i="6"/>
  <c r="R188" i="6" s="1"/>
  <c r="S188" i="6" s="1"/>
  <c r="B30" i="6"/>
  <c r="G30" i="6" s="1"/>
  <c r="W30" i="6"/>
  <c r="H313" i="6"/>
  <c r="J313" i="6" s="1"/>
  <c r="H288" i="6"/>
  <c r="J288" i="6" s="1"/>
  <c r="B280" i="6"/>
  <c r="G280" i="6" s="1"/>
  <c r="J338" i="6"/>
  <c r="R338" i="6" s="1"/>
  <c r="S338" i="6" s="1"/>
  <c r="X120" i="5"/>
  <c r="N35" i="6"/>
  <c r="T35" i="6"/>
  <c r="O35" i="6" s="1"/>
  <c r="S35" i="6"/>
  <c r="L35" i="6"/>
  <c r="R35" i="6"/>
  <c r="M35" i="6"/>
  <c r="J35" i="6"/>
  <c r="G35" i="6"/>
  <c r="H35" i="6"/>
  <c r="H58" i="6"/>
  <c r="G58" i="6"/>
  <c r="R58" i="6"/>
  <c r="N58" i="6"/>
  <c r="L58" i="6"/>
  <c r="J58" i="6"/>
  <c r="M58" i="6"/>
  <c r="Y120" i="5"/>
  <c r="F38" i="6"/>
  <c r="H38" i="6"/>
  <c r="J38" i="6" s="1"/>
  <c r="M63" i="6"/>
  <c r="I139" i="6"/>
  <c r="T58" i="6"/>
  <c r="O58" i="6" s="1"/>
  <c r="S84" i="6"/>
  <c r="B455" i="6"/>
  <c r="B430" i="6"/>
  <c r="B355" i="6"/>
  <c r="B480" i="6"/>
  <c r="B305" i="6"/>
  <c r="B330" i="6"/>
  <c r="B205" i="6"/>
  <c r="B180" i="6"/>
  <c r="B380" i="6"/>
  <c r="B405" i="6"/>
  <c r="B255" i="6"/>
  <c r="B155" i="6"/>
  <c r="B130" i="6"/>
  <c r="G5" i="6"/>
  <c r="B55" i="6"/>
  <c r="B230" i="6"/>
  <c r="B80" i="6"/>
  <c r="L33" i="6"/>
  <c r="G36" i="6"/>
  <c r="S60" i="6"/>
  <c r="T84" i="6"/>
  <c r="O84" i="6" s="1"/>
  <c r="R186" i="6"/>
  <c r="M186" i="6"/>
  <c r="L186" i="6"/>
  <c r="T186" i="6"/>
  <c r="O186" i="6" s="1"/>
  <c r="S186" i="6"/>
  <c r="J186" i="6"/>
  <c r="H186" i="6"/>
  <c r="H163" i="6"/>
  <c r="J163" i="6" s="1"/>
  <c r="M33" i="6"/>
  <c r="H36" i="6"/>
  <c r="N61" i="6"/>
  <c r="M61" i="6"/>
  <c r="L61" i="6"/>
  <c r="R61" i="6"/>
  <c r="J85" i="6"/>
  <c r="H85" i="6"/>
  <c r="N85" i="6"/>
  <c r="J108" i="6"/>
  <c r="H108" i="6"/>
  <c r="T108" i="6"/>
  <c r="O108" i="6" s="1"/>
  <c r="M108" i="6"/>
  <c r="H138" i="6"/>
  <c r="J138" i="6" s="1"/>
  <c r="N422" i="6"/>
  <c r="N497" i="6"/>
  <c r="N418" i="6"/>
  <c r="N493" i="6"/>
  <c r="N472" i="6"/>
  <c r="N496" i="6"/>
  <c r="N397" i="6"/>
  <c r="N447" i="6"/>
  <c r="N471" i="6"/>
  <c r="N443" i="6"/>
  <c r="N396" i="6"/>
  <c r="N346" i="6"/>
  <c r="N322" i="6"/>
  <c r="F463" i="6"/>
  <c r="N372" i="6"/>
  <c r="N446" i="6"/>
  <c r="F338" i="6"/>
  <c r="N318" i="6"/>
  <c r="N421" i="6"/>
  <c r="N371" i="6"/>
  <c r="N271" i="6"/>
  <c r="N393" i="6"/>
  <c r="N368" i="6"/>
  <c r="N347" i="6"/>
  <c r="N247" i="6"/>
  <c r="N297" i="6"/>
  <c r="N293" i="6"/>
  <c r="N243" i="6"/>
  <c r="N272" i="6"/>
  <c r="N468" i="6"/>
  <c r="F388" i="6"/>
  <c r="F363" i="6"/>
  <c r="F313" i="6"/>
  <c r="N221" i="6"/>
  <c r="N296" i="6"/>
  <c r="N196" i="6"/>
  <c r="N343" i="6"/>
  <c r="N268" i="6"/>
  <c r="F288" i="6"/>
  <c r="N143" i="6"/>
  <c r="N172" i="6"/>
  <c r="F238" i="6"/>
  <c r="N121" i="6"/>
  <c r="F213" i="6"/>
  <c r="N147" i="6"/>
  <c r="N93" i="6"/>
  <c r="N46" i="6"/>
  <c r="N193" i="6"/>
  <c r="N146" i="6"/>
  <c r="N122" i="6"/>
  <c r="N118" i="6"/>
  <c r="N96" i="6"/>
  <c r="N197" i="6"/>
  <c r="F63" i="6"/>
  <c r="F13" i="6"/>
  <c r="N33" i="6"/>
  <c r="G56" i="6"/>
  <c r="G61" i="6"/>
  <c r="G85" i="6"/>
  <c r="F138" i="6"/>
  <c r="L211" i="6"/>
  <c r="J211" i="6"/>
  <c r="S211" i="6"/>
  <c r="R211" i="6"/>
  <c r="H211" i="6"/>
  <c r="T211" i="6"/>
  <c r="O211" i="6" s="1"/>
  <c r="N211" i="6"/>
  <c r="M211" i="6"/>
  <c r="DN29" i="4"/>
  <c r="Y118" i="5"/>
  <c r="J13" i="6"/>
  <c r="R13" i="6" s="1"/>
  <c r="S13" i="6" s="1"/>
  <c r="B340" i="6"/>
  <c r="C33" i="6"/>
  <c r="H60" i="6"/>
  <c r="H84" i="6"/>
  <c r="T133" i="6"/>
  <c r="O133" i="6" s="1"/>
  <c r="M133" i="6"/>
  <c r="L133" i="6"/>
  <c r="H133" i="6"/>
  <c r="N208" i="6"/>
  <c r="M208" i="6"/>
  <c r="L208" i="6"/>
  <c r="H208" i="6"/>
  <c r="G208" i="6"/>
  <c r="R208" i="6"/>
  <c r="J208" i="6"/>
  <c r="N111" i="6"/>
  <c r="M111" i="6"/>
  <c r="T111" i="6"/>
  <c r="O111" i="6" s="1"/>
  <c r="G111" i="6"/>
  <c r="N47" i="6"/>
  <c r="N83" i="6"/>
  <c r="L83" i="6"/>
  <c r="G84" i="6"/>
  <c r="H111" i="6"/>
  <c r="DN28" i="4"/>
  <c r="H33" i="6"/>
  <c r="T33" i="6"/>
  <c r="O33" i="6" s="1"/>
  <c r="N43" i="6"/>
  <c r="N72" i="6"/>
  <c r="M83" i="6"/>
  <c r="R108" i="6"/>
  <c r="J111" i="6"/>
  <c r="R161" i="6"/>
  <c r="S161" i="6"/>
  <c r="J161" i="6"/>
  <c r="L161" i="6"/>
  <c r="H161" i="6"/>
  <c r="N222" i="6"/>
  <c r="R33" i="6"/>
  <c r="N36" i="6"/>
  <c r="N133" i="6"/>
  <c r="G133" i="6"/>
  <c r="G29" i="6"/>
  <c r="R36" i="6"/>
  <c r="S61" i="6"/>
  <c r="G83" i="6"/>
  <c r="R85" i="6"/>
  <c r="F88" i="6"/>
  <c r="S108" i="6"/>
  <c r="J133" i="6"/>
  <c r="E190" i="6"/>
  <c r="N321" i="6"/>
  <c r="G358" i="6"/>
  <c r="N358" i="6"/>
  <c r="M358" i="6"/>
  <c r="L358" i="6"/>
  <c r="H358" i="6"/>
  <c r="J358" i="6"/>
  <c r="M84" i="6"/>
  <c r="L84" i="6"/>
  <c r="J84" i="6"/>
  <c r="N60" i="6"/>
  <c r="M60" i="6"/>
  <c r="T60" i="6"/>
  <c r="O60" i="6" s="1"/>
  <c r="G60" i="6"/>
  <c r="N108" i="6"/>
  <c r="S36" i="6"/>
  <c r="T61" i="6"/>
  <c r="O61" i="6" s="1"/>
  <c r="H83" i="6"/>
  <c r="S85" i="6"/>
  <c r="N97" i="6"/>
  <c r="L111" i="6"/>
  <c r="N168" i="6"/>
  <c r="T185" i="6"/>
  <c r="O185" i="6" s="1"/>
  <c r="N185" i="6"/>
  <c r="M185" i="6"/>
  <c r="L185" i="6"/>
  <c r="R185" i="6"/>
  <c r="G185" i="6"/>
  <c r="S185" i="6"/>
  <c r="J185" i="6"/>
  <c r="N246" i="6"/>
  <c r="M285" i="6"/>
  <c r="L285" i="6"/>
  <c r="J285" i="6"/>
  <c r="S285" i="6"/>
  <c r="H285" i="6"/>
  <c r="G285" i="6"/>
  <c r="T285" i="6"/>
  <c r="O285" i="6" s="1"/>
  <c r="R285" i="6"/>
  <c r="N285" i="6"/>
  <c r="S83" i="6"/>
  <c r="L86" i="6"/>
  <c r="L134" i="6"/>
  <c r="R134" i="6"/>
  <c r="H136" i="6"/>
  <c r="M136" i="6"/>
  <c r="M209" i="6"/>
  <c r="L209" i="6"/>
  <c r="N209" i="6"/>
  <c r="J209" i="6"/>
  <c r="R308" i="6"/>
  <c r="T308" i="6"/>
  <c r="O308" i="6" s="1"/>
  <c r="S308" i="6"/>
  <c r="M308" i="6"/>
  <c r="H308" i="6"/>
  <c r="L308" i="6"/>
  <c r="G379" i="6"/>
  <c r="S86" i="6"/>
  <c r="H236" i="6"/>
  <c r="T236" i="6"/>
  <c r="O236" i="6" s="1"/>
  <c r="G236" i="6"/>
  <c r="N236" i="6"/>
  <c r="S236" i="6"/>
  <c r="M236" i="6"/>
  <c r="L236" i="6"/>
  <c r="J236" i="6"/>
  <c r="S58" i="6"/>
  <c r="G86" i="6"/>
  <c r="T86" i="6"/>
  <c r="O86" i="6" s="1"/>
  <c r="S109" i="6"/>
  <c r="N134" i="6"/>
  <c r="N135" i="6"/>
  <c r="S158" i="6"/>
  <c r="T160" i="6"/>
  <c r="O160" i="6" s="1"/>
  <c r="G160" i="6"/>
  <c r="S160" i="6"/>
  <c r="R160" i="6"/>
  <c r="T209" i="6"/>
  <c r="O209" i="6" s="1"/>
  <c r="R34" i="6"/>
  <c r="R59" i="6"/>
  <c r="R63" i="6"/>
  <c r="S63" i="6" s="1"/>
  <c r="G109" i="6"/>
  <c r="R110" i="6"/>
  <c r="F113" i="6"/>
  <c r="T158" i="6"/>
  <c r="O158" i="6" s="1"/>
  <c r="H160" i="6"/>
  <c r="G231" i="6"/>
  <c r="R135" i="6"/>
  <c r="R136" i="6"/>
  <c r="L159" i="6"/>
  <c r="N210" i="6"/>
  <c r="L210" i="6"/>
  <c r="J210" i="6"/>
  <c r="R261" i="6"/>
  <c r="N261" i="6"/>
  <c r="L261" i="6"/>
  <c r="J261" i="6"/>
  <c r="T261" i="6"/>
  <c r="O261" i="6" s="1"/>
  <c r="G283" i="6"/>
  <c r="N283" i="6"/>
  <c r="S283" i="6"/>
  <c r="R283" i="6"/>
  <c r="H283" i="6"/>
  <c r="M261" i="6"/>
  <c r="H263" i="6"/>
  <c r="J263" i="6" s="1"/>
  <c r="R263" i="6" s="1"/>
  <c r="S263" i="6" s="1"/>
  <c r="G263" i="6"/>
  <c r="F263" i="6"/>
  <c r="N408" i="6"/>
  <c r="G408" i="6"/>
  <c r="J408" i="6"/>
  <c r="M408" i="6"/>
  <c r="L408" i="6"/>
  <c r="S159" i="6"/>
  <c r="L184" i="6"/>
  <c r="G159" i="6"/>
  <c r="M184" i="6"/>
  <c r="R210" i="6"/>
  <c r="J258" i="6"/>
  <c r="H258" i="6"/>
  <c r="L258" i="6"/>
  <c r="R258" i="6"/>
  <c r="M363" i="6"/>
  <c r="M286" i="6"/>
  <c r="L286" i="6"/>
  <c r="J286" i="6"/>
  <c r="R286" i="6"/>
  <c r="N308" i="6"/>
  <c r="G308" i="6"/>
  <c r="S233" i="6"/>
  <c r="G431" i="6"/>
  <c r="T233" i="6"/>
  <c r="O233" i="6" s="1"/>
  <c r="M309" i="6"/>
  <c r="L309" i="6"/>
  <c r="T309" i="6"/>
  <c r="O309" i="6" s="1"/>
  <c r="S309" i="6"/>
  <c r="R309" i="6"/>
  <c r="H309" i="6"/>
  <c r="F188" i="6"/>
  <c r="M233" i="6"/>
  <c r="T235" i="6"/>
  <c r="O235" i="6" s="1"/>
  <c r="S286" i="6"/>
  <c r="G309" i="6"/>
  <c r="N360" i="6"/>
  <c r="M360" i="6"/>
  <c r="T360" i="6"/>
  <c r="O360" i="6" s="1"/>
  <c r="S360" i="6"/>
  <c r="R360" i="6"/>
  <c r="R436" i="6"/>
  <c r="N436" i="6"/>
  <c r="L436" i="6"/>
  <c r="J436" i="6"/>
  <c r="T436" i="6"/>
  <c r="O436" i="6" s="1"/>
  <c r="H436" i="6"/>
  <c r="M436" i="6"/>
  <c r="T283" i="6"/>
  <c r="O283" i="6" s="1"/>
  <c r="T284" i="6"/>
  <c r="O284" i="6" s="1"/>
  <c r="L310" i="6"/>
  <c r="H333" i="6"/>
  <c r="G333" i="6"/>
  <c r="G360" i="6"/>
  <c r="G436" i="6"/>
  <c r="N484" i="6"/>
  <c r="M484" i="6"/>
  <c r="L484" i="6"/>
  <c r="J484" i="6"/>
  <c r="H484" i="6"/>
  <c r="T484" i="6"/>
  <c r="O484" i="6" s="1"/>
  <c r="G484" i="6"/>
  <c r="S484" i="6"/>
  <c r="R484" i="6"/>
  <c r="J238" i="6"/>
  <c r="R238" i="6" s="1"/>
  <c r="S238" i="6" s="1"/>
  <c r="L283" i="6"/>
  <c r="S310" i="6"/>
  <c r="S311" i="6"/>
  <c r="G354" i="6"/>
  <c r="R359" i="6"/>
  <c r="T359" i="6"/>
  <c r="O359" i="6" s="1"/>
  <c r="S359" i="6"/>
  <c r="N359" i="6"/>
  <c r="M359" i="6"/>
  <c r="H359" i="6"/>
  <c r="L360" i="6"/>
  <c r="J386" i="6"/>
  <c r="H386" i="6"/>
  <c r="G386" i="6"/>
  <c r="N386" i="6"/>
  <c r="M386" i="6"/>
  <c r="L386" i="6"/>
  <c r="T386" i="6"/>
  <c r="O386" i="6" s="1"/>
  <c r="R260" i="6"/>
  <c r="M283" i="6"/>
  <c r="L284" i="6"/>
  <c r="T311" i="6"/>
  <c r="O311" i="6" s="1"/>
  <c r="L383" i="6"/>
  <c r="J383" i="6"/>
  <c r="S383" i="6"/>
  <c r="T383" i="6"/>
  <c r="O383" i="6" s="1"/>
  <c r="R383" i="6"/>
  <c r="H383" i="6"/>
  <c r="M284" i="6"/>
  <c r="I314" i="6"/>
  <c r="R333" i="6"/>
  <c r="M310" i="6"/>
  <c r="J310" i="6"/>
  <c r="S333" i="6"/>
  <c r="J359" i="6"/>
  <c r="R386" i="6"/>
  <c r="T358" i="6"/>
  <c r="O358" i="6" s="1"/>
  <c r="G388" i="6"/>
  <c r="H408" i="6"/>
  <c r="R408" i="6"/>
  <c r="J334" i="6"/>
  <c r="H334" i="6"/>
  <c r="S361" i="6"/>
  <c r="L385" i="6"/>
  <c r="J385" i="6"/>
  <c r="H385" i="6"/>
  <c r="J388" i="6"/>
  <c r="R388" i="6" s="1"/>
  <c r="S388" i="6" s="1"/>
  <c r="S408" i="6"/>
  <c r="F413" i="6"/>
  <c r="G413" i="6"/>
  <c r="L333" i="6"/>
  <c r="J333" i="6"/>
  <c r="T408" i="6"/>
  <c r="O408" i="6" s="1"/>
  <c r="L410" i="6"/>
  <c r="J410" i="6"/>
  <c r="T410" i="6"/>
  <c r="O410" i="6" s="1"/>
  <c r="G410" i="6"/>
  <c r="R410" i="6"/>
  <c r="S410" i="6"/>
  <c r="R483" i="6"/>
  <c r="N483" i="6"/>
  <c r="M483" i="6"/>
  <c r="L483" i="6"/>
  <c r="J483" i="6"/>
  <c r="H483" i="6"/>
  <c r="G483" i="6"/>
  <c r="N384" i="6"/>
  <c r="J384" i="6"/>
  <c r="R384" i="6"/>
  <c r="G406" i="6"/>
  <c r="H410" i="6"/>
  <c r="M361" i="6"/>
  <c r="L361" i="6"/>
  <c r="R363" i="6"/>
  <c r="S363" i="6" s="1"/>
  <c r="G384" i="6"/>
  <c r="S483" i="6"/>
  <c r="G488" i="6"/>
  <c r="J488" i="6"/>
  <c r="R488" i="6" s="1"/>
  <c r="S488" i="6" s="1"/>
  <c r="F488" i="6"/>
  <c r="S335" i="6"/>
  <c r="R358" i="6"/>
  <c r="G438" i="6"/>
  <c r="G335" i="6"/>
  <c r="R336" i="6"/>
  <c r="S358" i="6"/>
  <c r="J411" i="6"/>
  <c r="H411" i="6"/>
  <c r="R411" i="6"/>
  <c r="N411" i="6"/>
  <c r="H438" i="6"/>
  <c r="J438" i="6" s="1"/>
  <c r="N460" i="6"/>
  <c r="M460" i="6"/>
  <c r="H460" i="6"/>
  <c r="S409" i="6"/>
  <c r="M434" i="6"/>
  <c r="L458" i="6"/>
  <c r="J459" i="6"/>
  <c r="R485" i="6"/>
  <c r="N434" i="6"/>
  <c r="L435" i="6"/>
  <c r="J463" i="6"/>
  <c r="L463" i="6" s="1"/>
  <c r="S485" i="6"/>
  <c r="H413" i="6"/>
  <c r="J413" i="6" s="1"/>
  <c r="N435" i="6"/>
  <c r="M459" i="6"/>
  <c r="H485" i="6"/>
  <c r="S434" i="6"/>
  <c r="G434" i="6"/>
  <c r="R435" i="6"/>
  <c r="F438" i="6"/>
  <c r="S435" i="6"/>
  <c r="G435" i="6"/>
  <c r="DO28" i="4"/>
  <c r="DO19" i="4"/>
  <c r="DO29" i="4"/>
  <c r="DP30" i="4"/>
  <c r="DO30" i="4"/>
  <c r="DP31" i="4"/>
  <c r="L25" i="4"/>
  <c r="DN26" i="4"/>
  <c r="DN21" i="4"/>
  <c r="DO26" i="4"/>
  <c r="N20" i="4"/>
  <c r="N31" i="4"/>
  <c r="DO18" i="4"/>
  <c r="DN18" i="4"/>
  <c r="DO21" i="4"/>
  <c r="L27" i="4"/>
  <c r="O19" i="4"/>
  <c r="AD32" i="4"/>
  <c r="N22" i="4"/>
  <c r="L22" i="4" s="1"/>
  <c r="DN19" i="4"/>
  <c r="N23" i="4"/>
  <c r="L23" i="4" s="1"/>
  <c r="DN30" i="4"/>
  <c r="L24" i="4"/>
  <c r="BC4" i="3"/>
  <c r="M34" i="3"/>
  <c r="D33" i="3"/>
  <c r="D40" i="3"/>
  <c r="D30" i="3"/>
  <c r="D31" i="3"/>
  <c r="D37" i="3"/>
  <c r="L20" i="3"/>
  <c r="D39" i="3"/>
  <c r="D34" i="3"/>
  <c r="D29" i="3"/>
  <c r="D38" i="3"/>
  <c r="D36" i="3"/>
  <c r="D35" i="3"/>
  <c r="D32" i="3"/>
  <c r="F11" i="2"/>
  <c r="AA4" i="2"/>
  <c r="Z120" i="5" a="1"/>
  <c r="Z118" i="5" a="1"/>
  <c r="W32" i="3"/>
  <c r="I401" i="6"/>
  <c r="I51" i="6"/>
  <c r="W31" i="3"/>
  <c r="I451" i="6"/>
  <c r="P30" i="3"/>
  <c r="AF30" i="3"/>
  <c r="AI31" i="3"/>
  <c r="I301" i="6"/>
  <c r="X33" i="3"/>
  <c r="I19" i="9"/>
  <c r="AJ34" i="3"/>
  <c r="Q34" i="3"/>
  <c r="AC30" i="3"/>
  <c r="I201" i="6"/>
  <c r="AC33" i="3"/>
  <c r="AO32" i="3"/>
  <c r="AB30" i="3"/>
  <c r="AN31" i="3"/>
  <c r="I151" i="6"/>
  <c r="H25" i="3" a="1"/>
  <c r="AE3" i="2"/>
  <c r="AB31" i="3"/>
  <c r="I426" i="6"/>
  <c r="Y31" i="3"/>
  <c r="AK33" i="3"/>
  <c r="AK34" i="3"/>
  <c r="X31" i="3"/>
  <c r="T33" i="3"/>
  <c r="AF32" i="3"/>
  <c r="D4" i="10" a="1"/>
  <c r="AH31" i="3"/>
  <c r="AC32" i="3"/>
  <c r="I18" i="9"/>
  <c r="Z34" i="3"/>
  <c r="I26" i="6"/>
  <c r="I76" i="6"/>
  <c r="AP30" i="3"/>
  <c r="AO33" i="3"/>
  <c r="AN33" i="3"/>
  <c r="Y33" i="3"/>
  <c r="I176" i="6"/>
  <c r="Y34" i="3"/>
  <c r="AA32" i="3"/>
  <c r="AB3" i="2"/>
  <c r="AI34" i="3"/>
  <c r="AL31" i="3"/>
  <c r="AF34" i="3"/>
  <c r="AG2" i="2"/>
  <c r="Q32" i="3"/>
  <c r="AP34" i="3"/>
  <c r="S34" i="3"/>
  <c r="P32" i="3"/>
  <c r="AP32" i="3"/>
  <c r="AN30" i="3"/>
  <c r="AE30" i="3"/>
  <c r="T34" i="3"/>
  <c r="AE2" i="2"/>
  <c r="S32" i="3"/>
  <c r="O31" i="3"/>
  <c r="I376" i="6"/>
  <c r="AK31" i="3"/>
  <c r="AG30" i="3"/>
  <c r="N30" i="3"/>
  <c r="AP31" i="3"/>
  <c r="N33" i="3"/>
  <c r="AC2" i="2"/>
  <c r="AJ30" i="3"/>
  <c r="AJ33" i="3"/>
  <c r="I226" i="6"/>
  <c r="R34" i="3"/>
  <c r="Z30" i="3"/>
  <c r="AE31" i="3"/>
  <c r="AN32" i="3"/>
  <c r="AD33" i="3"/>
  <c r="Y32" i="3"/>
  <c r="I126" i="6"/>
  <c r="T32" i="3"/>
  <c r="AJ32" i="3"/>
  <c r="AA34" i="3"/>
  <c r="V31" i="3"/>
  <c r="AH34" i="3"/>
  <c r="U30" i="3"/>
  <c r="AO34" i="3"/>
  <c r="AE33" i="3"/>
  <c r="P31" i="3"/>
  <c r="U32" i="3"/>
  <c r="P34" i="3"/>
  <c r="AL30" i="3"/>
  <c r="AB34" i="3"/>
  <c r="S31" i="3"/>
  <c r="P33" i="3"/>
  <c r="AD34" i="3"/>
  <c r="AH2" i="2"/>
  <c r="AA33" i="3"/>
  <c r="AC3" i="2"/>
  <c r="AI32" i="3"/>
  <c r="AG3" i="2"/>
  <c r="X30" i="3"/>
  <c r="AA31" i="3"/>
  <c r="V34" i="3"/>
  <c r="AG34" i="3"/>
  <c r="AF2" i="2"/>
  <c r="AD32" i="3"/>
  <c r="Y30" i="3"/>
  <c r="AF33" i="3"/>
  <c r="AH32" i="3"/>
  <c r="AB32" i="3"/>
  <c r="AL32" i="3"/>
  <c r="AA30" i="3"/>
  <c r="Q31" i="3"/>
  <c r="AE34" i="3"/>
  <c r="T30" i="3"/>
  <c r="AM34" i="3"/>
  <c r="AP33" i="3"/>
  <c r="Z31" i="3"/>
  <c r="AB2" i="2"/>
  <c r="N31" i="3"/>
  <c r="W34" i="3"/>
  <c r="Q30" i="3"/>
  <c r="O33" i="3"/>
  <c r="U33" i="3"/>
  <c r="AD31" i="3"/>
  <c r="AJ31" i="3"/>
  <c r="I326" i="6"/>
  <c r="AK32" i="3"/>
  <c r="V33" i="3"/>
  <c r="AM30" i="3"/>
  <c r="R31" i="3"/>
  <c r="AO31" i="3"/>
  <c r="AL34" i="3"/>
  <c r="AO30" i="3"/>
  <c r="AD2" i="2"/>
  <c r="AE32" i="3"/>
  <c r="I1" i="6"/>
  <c r="AH30" i="3"/>
  <c r="X32" i="3"/>
  <c r="N34" i="3"/>
  <c r="I351" i="6"/>
  <c r="R30" i="3"/>
  <c r="V32" i="3"/>
  <c r="V30" i="3"/>
  <c r="AC34" i="3"/>
  <c r="AD3" i="2"/>
  <c r="I276" i="6"/>
  <c r="AH3" i="2"/>
  <c r="O32" i="3"/>
  <c r="T31" i="3"/>
  <c r="Q33" i="3"/>
  <c r="AL33" i="3"/>
  <c r="AC31" i="3"/>
  <c r="AN34" i="3"/>
  <c r="O30" i="3"/>
  <c r="I251" i="6"/>
  <c r="O34" i="3"/>
  <c r="AG33" i="3"/>
  <c r="AI30" i="3"/>
  <c r="S33" i="3"/>
  <c r="R33" i="3"/>
  <c r="Z32" i="3"/>
  <c r="U31" i="3"/>
  <c r="U34" i="3"/>
  <c r="AG32" i="3"/>
  <c r="Z33" i="3"/>
  <c r="I476" i="6"/>
  <c r="W30" i="3"/>
  <c r="R32" i="3"/>
  <c r="N32" i="3"/>
  <c r="AB33" i="3"/>
  <c r="S30" i="3"/>
  <c r="AH33" i="3"/>
  <c r="W33" i="3"/>
  <c r="AD30" i="3"/>
  <c r="AM32" i="3"/>
  <c r="AM33" i="3"/>
  <c r="I101" i="6"/>
  <c r="AF31" i="3"/>
  <c r="X34" i="3"/>
  <c r="AM31" i="3"/>
  <c r="AI33" i="3"/>
  <c r="AF3" i="2"/>
  <c r="AK30" i="3"/>
  <c r="AG31" i="3"/>
  <c r="A4" i="10" a="1"/>
  <c r="B287" i="6" l="1"/>
  <c r="AA7" i="12"/>
  <c r="AA8" i="12" s="1"/>
  <c r="X111" i="5"/>
  <c r="L213" i="6"/>
  <c r="X116" i="5"/>
  <c r="Y111" i="5"/>
  <c r="X119" i="5"/>
  <c r="X112" i="5"/>
  <c r="X115" i="5"/>
  <c r="Y112" i="5"/>
  <c r="Y115" i="5"/>
  <c r="Y114" i="5"/>
  <c r="J15" i="9"/>
  <c r="DP27" i="4"/>
  <c r="B462" i="6"/>
  <c r="T462" i="6" s="1"/>
  <c r="O462" i="6" s="1"/>
  <c r="DP29" i="4"/>
  <c r="B162" i="6"/>
  <c r="H162" i="6" s="1"/>
  <c r="T212" i="6"/>
  <c r="O212" i="6" s="1"/>
  <c r="X117" i="5"/>
  <c r="X114" i="5"/>
  <c r="X113" i="5"/>
  <c r="F12" i="6"/>
  <c r="J12" i="6"/>
  <c r="W110" i="5"/>
  <c r="D110" i="5"/>
  <c r="Y113" i="5"/>
  <c r="R12" i="6"/>
  <c r="X121" i="5"/>
  <c r="D117" i="5"/>
  <c r="Y121" i="5"/>
  <c r="W37" i="6"/>
  <c r="Y117" i="5"/>
  <c r="Y116" i="5"/>
  <c r="D115" i="5"/>
  <c r="J115" i="5"/>
  <c r="J110" i="5"/>
  <c r="J114" i="5"/>
  <c r="J112" i="5"/>
  <c r="J113" i="5"/>
  <c r="J116" i="5"/>
  <c r="J118" i="5"/>
  <c r="J117" i="5"/>
  <c r="J120" i="5"/>
  <c r="J121" i="5"/>
  <c r="X110" i="5"/>
  <c r="L12" i="6"/>
  <c r="W119" i="5"/>
  <c r="F51" i="6"/>
  <c r="K60" i="6" s="1"/>
  <c r="H25" i="3"/>
  <c r="W23" i="13"/>
  <c r="X32" i="13"/>
  <c r="W22" i="13"/>
  <c r="X33" i="13"/>
  <c r="W29" i="13"/>
  <c r="X24" i="13"/>
  <c r="W21" i="13"/>
  <c r="X21" i="13"/>
  <c r="X25" i="13"/>
  <c r="X23" i="13"/>
  <c r="W20" i="13"/>
  <c r="X27" i="13"/>
  <c r="X20" i="13"/>
  <c r="X28" i="13"/>
  <c r="X19" i="13"/>
  <c r="W36" i="13"/>
  <c r="W28" i="13"/>
  <c r="W19" i="13"/>
  <c r="X31" i="13"/>
  <c r="X22" i="13"/>
  <c r="X34" i="13"/>
  <c r="X30" i="13"/>
  <c r="X35" i="13"/>
  <c r="W32" i="13"/>
  <c r="W27" i="13"/>
  <c r="X29" i="13"/>
  <c r="X18" i="13"/>
  <c r="W33" i="13"/>
  <c r="X37" i="13"/>
  <c r="W31" i="13"/>
  <c r="W35" i="13"/>
  <c r="W24" i="13"/>
  <c r="W25" i="13"/>
  <c r="X26" i="13"/>
  <c r="W30" i="13"/>
  <c r="W18" i="13"/>
  <c r="W34" i="13"/>
  <c r="W37" i="13"/>
  <c r="X36" i="13"/>
  <c r="W26" i="13"/>
  <c r="Q361" i="6"/>
  <c r="Q357" i="6"/>
  <c r="Q363" i="6"/>
  <c r="Q351" i="6"/>
  <c r="Q370" i="6"/>
  <c r="Q366" i="6"/>
  <c r="Q352" i="6"/>
  <c r="F351" i="6"/>
  <c r="K358" i="6" s="1"/>
  <c r="Q354" i="6"/>
  <c r="Q362" i="6"/>
  <c r="Q364" i="6"/>
  <c r="Q356" i="6"/>
  <c r="Q355" i="6"/>
  <c r="Q372" i="6"/>
  <c r="Q369" i="6"/>
  <c r="Q360" i="6"/>
  <c r="Q368" i="6"/>
  <c r="Q359" i="6"/>
  <c r="Q367" i="6"/>
  <c r="Q353" i="6"/>
  <c r="F126" i="6"/>
  <c r="K133" i="6" s="1"/>
  <c r="Q429" i="6"/>
  <c r="Q439" i="6"/>
  <c r="Q444" i="6"/>
  <c r="Q428" i="6"/>
  <c r="Q432" i="6"/>
  <c r="Q438" i="6"/>
  <c r="Q443" i="6"/>
  <c r="Q427" i="6"/>
  <c r="E427" i="6" s="1"/>
  <c r="Q431" i="6"/>
  <c r="Q435" i="6"/>
  <c r="Q437" i="6"/>
  <c r="Q434" i="6"/>
  <c r="Q441" i="6"/>
  <c r="Q442" i="6"/>
  <c r="Q445" i="6"/>
  <c r="Q436" i="6"/>
  <c r="Q430" i="6"/>
  <c r="Q447" i="6"/>
  <c r="Q426" i="6"/>
  <c r="F426" i="6"/>
  <c r="K436" i="6" s="1"/>
  <c r="F1" i="6"/>
  <c r="K8" i="6" s="1"/>
  <c r="Q488" i="6"/>
  <c r="Q479" i="6"/>
  <c r="F476" i="6"/>
  <c r="K486" i="6" s="1"/>
  <c r="Q495" i="6"/>
  <c r="Q478" i="6"/>
  <c r="Q484" i="6"/>
  <c r="Q487" i="6"/>
  <c r="Q489" i="6"/>
  <c r="Q486" i="6"/>
  <c r="Q477" i="6"/>
  <c r="E477" i="6" s="1"/>
  <c r="Q476" i="6"/>
  <c r="Q494" i="6"/>
  <c r="Q482" i="6"/>
  <c r="Q497" i="6"/>
  <c r="Q485" i="6"/>
  <c r="Q491" i="6"/>
  <c r="Q493" i="6"/>
  <c r="Q481" i="6"/>
  <c r="Q492" i="6"/>
  <c r="Q480" i="6"/>
  <c r="F76" i="6"/>
  <c r="K83" i="6" s="1"/>
  <c r="F26" i="6"/>
  <c r="D4" i="10"/>
  <c r="CA142" i="2" s="1"/>
  <c r="F276" i="6"/>
  <c r="K285" i="6" s="1"/>
  <c r="F226" i="6"/>
  <c r="K236" i="6" s="1"/>
  <c r="A4" i="10"/>
  <c r="T352" i="6" s="1"/>
  <c r="Q317" i="6"/>
  <c r="Q313" i="6"/>
  <c r="Q311" i="6"/>
  <c r="Q322" i="6"/>
  <c r="Q310" i="6"/>
  <c r="Q305" i="6"/>
  <c r="Q318" i="6"/>
  <c r="Q307" i="6"/>
  <c r="Q316" i="6"/>
  <c r="Q302" i="6"/>
  <c r="Q314" i="6"/>
  <c r="Q320" i="6"/>
  <c r="Q304" i="6"/>
  <c r="Q301" i="6"/>
  <c r="Q309" i="6"/>
  <c r="Q319" i="6"/>
  <c r="Q303" i="6"/>
  <c r="Q306" i="6"/>
  <c r="F301" i="6"/>
  <c r="K310" i="6" s="1"/>
  <c r="Q312" i="6"/>
  <c r="F201" i="6"/>
  <c r="K211" i="6" s="1"/>
  <c r="F101" i="6"/>
  <c r="F176" i="6"/>
  <c r="K183" i="6" s="1"/>
  <c r="Q392" i="6"/>
  <c r="Q377" i="6"/>
  <c r="E377" i="6" s="1"/>
  <c r="Q391" i="6"/>
  <c r="Q381" i="6"/>
  <c r="Q380" i="6"/>
  <c r="Q387" i="6"/>
  <c r="Q386" i="6"/>
  <c r="Q376" i="6"/>
  <c r="Q395" i="6"/>
  <c r="Q382" i="6"/>
  <c r="Q379" i="6"/>
  <c r="Q394" i="6"/>
  <c r="Q385" i="6"/>
  <c r="Q393" i="6"/>
  <c r="Q388" i="6"/>
  <c r="Q384" i="6"/>
  <c r="F376" i="6"/>
  <c r="K385" i="6" s="1"/>
  <c r="Q389" i="6"/>
  <c r="Q378" i="6"/>
  <c r="Q397" i="6"/>
  <c r="Q337" i="6"/>
  <c r="Q336" i="6"/>
  <c r="Q347" i="6"/>
  <c r="F326" i="6"/>
  <c r="Q339" i="6" s="1"/>
  <c r="Q345" i="6"/>
  <c r="Q328" i="6"/>
  <c r="Q326" i="6"/>
  <c r="Q334" i="6"/>
  <c r="Q335" i="6"/>
  <c r="Q343" i="6"/>
  <c r="Q330" i="6"/>
  <c r="Q327" i="6"/>
  <c r="Q338" i="6"/>
  <c r="Q329" i="6"/>
  <c r="Q344" i="6"/>
  <c r="Q342" i="6"/>
  <c r="Q331" i="6"/>
  <c r="Q341" i="6"/>
  <c r="Q332" i="6"/>
  <c r="Q414" i="6"/>
  <c r="Q403" i="6"/>
  <c r="Q401" i="6"/>
  <c r="Q418" i="6"/>
  <c r="Q413" i="6"/>
  <c r="Q406" i="6"/>
  <c r="Q402" i="6"/>
  <c r="Q422" i="6"/>
  <c r="Q417" i="6"/>
  <c r="Q420" i="6"/>
  <c r="Q405" i="6"/>
  <c r="Q419" i="6"/>
  <c r="Q412" i="6"/>
  <c r="Q409" i="6"/>
  <c r="Q416" i="6"/>
  <c r="Q411" i="6"/>
  <c r="Q407" i="6"/>
  <c r="Q410" i="6"/>
  <c r="Q404" i="6"/>
  <c r="F401" i="6"/>
  <c r="Q469" i="6"/>
  <c r="Q453" i="6"/>
  <c r="Q457" i="6"/>
  <c r="Q472" i="6"/>
  <c r="Q451" i="6"/>
  <c r="Q461" i="6"/>
  <c r="Q464" i="6"/>
  <c r="F451" i="6"/>
  <c r="K459" i="6" s="1"/>
  <c r="Q468" i="6"/>
  <c r="Q460" i="6"/>
  <c r="Q454" i="6"/>
  <c r="Q456" i="6"/>
  <c r="Q462" i="6"/>
  <c r="Q467" i="6"/>
  <c r="Q459" i="6"/>
  <c r="Q455" i="6"/>
  <c r="Q463" i="6"/>
  <c r="Q452" i="6"/>
  <c r="E452" i="6" s="1"/>
  <c r="Q470" i="6"/>
  <c r="Q466" i="6"/>
  <c r="F151" i="6"/>
  <c r="F251" i="6"/>
  <c r="K260" i="6" s="1"/>
  <c r="Z120" i="5"/>
  <c r="L120" i="5" s="1"/>
  <c r="Z118" i="5"/>
  <c r="L118" i="5" s="1"/>
  <c r="CU35" i="13"/>
  <c r="CL35" i="13"/>
  <c r="CM35" i="13"/>
  <c r="CM36" i="13"/>
  <c r="CL36" i="13"/>
  <c r="CU36" i="13"/>
  <c r="CM23" i="13"/>
  <c r="CU23" i="13"/>
  <c r="CL23" i="13"/>
  <c r="CM33" i="13"/>
  <c r="CL33" i="13"/>
  <c r="CU33" i="13"/>
  <c r="CM37" i="13"/>
  <c r="CL37" i="13"/>
  <c r="CU37" i="13"/>
  <c r="B490" i="6"/>
  <c r="T490" i="6" s="1"/>
  <c r="O490" i="6" s="1"/>
  <c r="CU34" i="13"/>
  <c r="CL34" i="13"/>
  <c r="CM34" i="13"/>
  <c r="CM24" i="13"/>
  <c r="CL24" i="13"/>
  <c r="CU24" i="13"/>
  <c r="CU26" i="13"/>
  <c r="CM26" i="13"/>
  <c r="CL26" i="13"/>
  <c r="CU32" i="13"/>
  <c r="CL32" i="13"/>
  <c r="CM32" i="13"/>
  <c r="CU20" i="13"/>
  <c r="CM20" i="13"/>
  <c r="CL20" i="13"/>
  <c r="CU28" i="13"/>
  <c r="CL28" i="13"/>
  <c r="CM28" i="13"/>
  <c r="CU21" i="13"/>
  <c r="CM21" i="13"/>
  <c r="CL21" i="13"/>
  <c r="CM29" i="13"/>
  <c r="CL29" i="13"/>
  <c r="CU29" i="13"/>
  <c r="CM19" i="13"/>
  <c r="CL19" i="13"/>
  <c r="CU19" i="13"/>
  <c r="B37" i="6"/>
  <c r="L37" i="6" s="1"/>
  <c r="M212" i="6"/>
  <c r="CU22" i="13"/>
  <c r="CM22" i="13"/>
  <c r="CL22" i="13"/>
  <c r="CU25" i="13"/>
  <c r="CM25" i="13"/>
  <c r="CL25" i="13"/>
  <c r="CM30" i="13"/>
  <c r="CL30" i="13"/>
  <c r="CU30" i="13"/>
  <c r="B237" i="6"/>
  <c r="N212" i="6"/>
  <c r="CU27" i="13"/>
  <c r="CM27" i="13"/>
  <c r="CL27" i="13"/>
  <c r="CM31" i="13"/>
  <c r="CL31" i="13"/>
  <c r="CU31" i="13"/>
  <c r="D116" i="5"/>
  <c r="D111" i="5"/>
  <c r="B262" i="6"/>
  <c r="R262" i="6" s="1"/>
  <c r="G212" i="6"/>
  <c r="D114" i="5"/>
  <c r="B90" i="6"/>
  <c r="S90" i="6" s="1"/>
  <c r="N15" i="6"/>
  <c r="B437" i="6"/>
  <c r="T437" i="6" s="1"/>
  <c r="O437" i="6" s="1"/>
  <c r="B390" i="6"/>
  <c r="J390" i="6" s="1"/>
  <c r="B487" i="6"/>
  <c r="M487" i="6" s="1"/>
  <c r="B415" i="6"/>
  <c r="H415" i="6" s="1"/>
  <c r="G15" i="6"/>
  <c r="D120" i="5"/>
  <c r="B87" i="6"/>
  <c r="M87" i="6" s="1"/>
  <c r="B412" i="6"/>
  <c r="L412" i="6" s="1"/>
  <c r="G115" i="6"/>
  <c r="B365" i="6"/>
  <c r="J365" i="6" s="1"/>
  <c r="B65" i="6"/>
  <c r="M65" i="6" s="1"/>
  <c r="B137" i="6"/>
  <c r="T137" i="6" s="1"/>
  <c r="O137" i="6" s="1"/>
  <c r="B215" i="6"/>
  <c r="T215" i="6" s="1"/>
  <c r="O215" i="6" s="1"/>
  <c r="B440" i="6"/>
  <c r="R440" i="6" s="1"/>
  <c r="B40" i="6"/>
  <c r="S40" i="6" s="1"/>
  <c r="B187" i="6"/>
  <c r="S187" i="6" s="1"/>
  <c r="B190" i="6"/>
  <c r="M190" i="6" s="1"/>
  <c r="B465" i="6"/>
  <c r="G465" i="6" s="1"/>
  <c r="M12" i="6"/>
  <c r="I16" i="9"/>
  <c r="B312" i="6"/>
  <c r="R312" i="6" s="1"/>
  <c r="B265" i="6"/>
  <c r="T265" i="6" s="1"/>
  <c r="O265" i="6" s="1"/>
  <c r="S12" i="6"/>
  <c r="B165" i="6"/>
  <c r="F165" i="6" s="1"/>
  <c r="F212" i="6"/>
  <c r="L212" i="6"/>
  <c r="N12" i="6"/>
  <c r="B362" i="6"/>
  <c r="J362" i="6" s="1"/>
  <c r="B315" i="6"/>
  <c r="M315" i="6" s="1"/>
  <c r="J212" i="6"/>
  <c r="B112" i="6"/>
  <c r="J112" i="6" s="1"/>
  <c r="H12" i="6"/>
  <c r="G12" i="6"/>
  <c r="I15" i="9"/>
  <c r="B337" i="6"/>
  <c r="L337" i="6" s="1"/>
  <c r="B290" i="6"/>
  <c r="M290" i="6" s="1"/>
  <c r="W40" i="6"/>
  <c r="H212" i="6"/>
  <c r="S212" i="6"/>
  <c r="B387" i="6"/>
  <c r="J387" i="6" s="1"/>
  <c r="B240" i="6"/>
  <c r="S240" i="6" s="1"/>
  <c r="T12" i="6"/>
  <c r="O12" i="6" s="1"/>
  <c r="B140" i="6"/>
  <c r="G140" i="6" s="1"/>
  <c r="B62" i="6"/>
  <c r="H62" i="6" s="1"/>
  <c r="T40" i="6"/>
  <c r="O40" i="6" s="1"/>
  <c r="F62" i="6"/>
  <c r="T62" i="6"/>
  <c r="O62" i="6" s="1"/>
  <c r="L188" i="6"/>
  <c r="M188" i="6" s="1"/>
  <c r="S312" i="6"/>
  <c r="S165" i="6"/>
  <c r="L163" i="6"/>
  <c r="N163" i="6" s="1"/>
  <c r="R163" i="6"/>
  <c r="S163" i="6" s="1"/>
  <c r="F462" i="6"/>
  <c r="H462" i="6"/>
  <c r="M265" i="6"/>
  <c r="R113" i="6"/>
  <c r="S113" i="6" s="1"/>
  <c r="S462" i="6"/>
  <c r="R462" i="6"/>
  <c r="M462" i="6"/>
  <c r="R313" i="6"/>
  <c r="S313" i="6" s="1"/>
  <c r="L313" i="6"/>
  <c r="M313" i="6" s="1"/>
  <c r="L288" i="6"/>
  <c r="R288" i="6"/>
  <c r="S288" i="6" s="1"/>
  <c r="L88" i="6"/>
  <c r="N88" i="6" s="1"/>
  <c r="J162" i="6"/>
  <c r="L263" i="6"/>
  <c r="L13" i="6"/>
  <c r="F162" i="6"/>
  <c r="L338" i="6"/>
  <c r="F312" i="6"/>
  <c r="M415" i="6"/>
  <c r="L138" i="6"/>
  <c r="R138" i="6"/>
  <c r="S138" i="6" s="1"/>
  <c r="R413" i="6"/>
  <c r="S413" i="6" s="1"/>
  <c r="L413" i="6"/>
  <c r="L38" i="6"/>
  <c r="R38" i="6"/>
  <c r="S38" i="6" s="1"/>
  <c r="G230" i="6"/>
  <c r="G355" i="6"/>
  <c r="G490" i="6"/>
  <c r="G430" i="6"/>
  <c r="H365" i="6"/>
  <c r="T365" i="6"/>
  <c r="O365" i="6" s="1"/>
  <c r="F365" i="6"/>
  <c r="N162" i="6"/>
  <c r="S162" i="6"/>
  <c r="G162" i="6"/>
  <c r="G130" i="6"/>
  <c r="G455" i="6"/>
  <c r="T15" i="6"/>
  <c r="O15" i="6" s="1"/>
  <c r="F15" i="6"/>
  <c r="H15" i="6"/>
  <c r="R15" i="6"/>
  <c r="S15" i="6"/>
  <c r="J15" i="6"/>
  <c r="M15" i="6"/>
  <c r="L15" i="6"/>
  <c r="N440" i="6"/>
  <c r="N463" i="6"/>
  <c r="G55" i="6"/>
  <c r="L388" i="6"/>
  <c r="G287" i="6"/>
  <c r="T287" i="6"/>
  <c r="O287" i="6" s="1"/>
  <c r="F287" i="6"/>
  <c r="M287" i="6"/>
  <c r="R287" i="6"/>
  <c r="L287" i="6"/>
  <c r="J287" i="6"/>
  <c r="N287" i="6"/>
  <c r="F90" i="6"/>
  <c r="M463" i="6"/>
  <c r="L488" i="6"/>
  <c r="H465" i="6"/>
  <c r="N87" i="6"/>
  <c r="S412" i="6"/>
  <c r="R162" i="6"/>
  <c r="G155" i="6"/>
  <c r="G480" i="6"/>
  <c r="H262" i="6"/>
  <c r="F262" i="6"/>
  <c r="R463" i="6"/>
  <c r="S463" i="6" s="1"/>
  <c r="M340" i="6"/>
  <c r="L340" i="6"/>
  <c r="T340" i="6"/>
  <c r="O340" i="6" s="1"/>
  <c r="S340" i="6"/>
  <c r="R340" i="6"/>
  <c r="H340" i="6"/>
  <c r="F340" i="6"/>
  <c r="J340" i="6"/>
  <c r="G462" i="6"/>
  <c r="N462" i="6"/>
  <c r="J462" i="6"/>
  <c r="L462" i="6"/>
  <c r="T162" i="6"/>
  <c r="O162" i="6" s="1"/>
  <c r="G180" i="6"/>
  <c r="G265" i="6"/>
  <c r="N265" i="6"/>
  <c r="L238" i="6"/>
  <c r="R265" i="6"/>
  <c r="N237" i="6"/>
  <c r="T237" i="6"/>
  <c r="O237" i="6" s="1"/>
  <c r="S237" i="6"/>
  <c r="L237" i="6"/>
  <c r="J237" i="6"/>
  <c r="R237" i="6"/>
  <c r="M237" i="6"/>
  <c r="G237" i="6"/>
  <c r="H237" i="6"/>
  <c r="F237" i="6"/>
  <c r="M162" i="6"/>
  <c r="G205" i="6"/>
  <c r="H115" i="6"/>
  <c r="R115" i="6"/>
  <c r="M115" i="6"/>
  <c r="L115" i="6"/>
  <c r="J115" i="6"/>
  <c r="F115" i="6"/>
  <c r="S115" i="6"/>
  <c r="T115" i="6"/>
  <c r="O115" i="6" s="1"/>
  <c r="N213" i="6"/>
  <c r="M213" i="6"/>
  <c r="J490" i="6"/>
  <c r="S265" i="6"/>
  <c r="J65" i="6"/>
  <c r="S287" i="6"/>
  <c r="M113" i="6"/>
  <c r="N113" i="6"/>
  <c r="N337" i="6"/>
  <c r="J337" i="6"/>
  <c r="N340" i="6"/>
  <c r="G340" i="6"/>
  <c r="L162" i="6"/>
  <c r="G330" i="6"/>
  <c r="G255" i="6"/>
  <c r="G405" i="6"/>
  <c r="G380" i="6"/>
  <c r="R438" i="6"/>
  <c r="S438" i="6" s="1"/>
  <c r="L438" i="6"/>
  <c r="H287" i="6"/>
  <c r="L265" i="6"/>
  <c r="C358" i="6"/>
  <c r="C383" i="6"/>
  <c r="C308" i="6"/>
  <c r="C333" i="6"/>
  <c r="C408" i="6"/>
  <c r="C433" i="6"/>
  <c r="C233" i="6"/>
  <c r="C183" i="6"/>
  <c r="C283" i="6"/>
  <c r="C258" i="6"/>
  <c r="C158" i="6"/>
  <c r="C133" i="6"/>
  <c r="C208" i="6"/>
  <c r="C83" i="6"/>
  <c r="C108" i="6"/>
  <c r="G365" i="6"/>
  <c r="G80" i="6"/>
  <c r="G305" i="6"/>
  <c r="DO22" i="4"/>
  <c r="DN22" i="4"/>
  <c r="DO20" i="4"/>
  <c r="DN20" i="4"/>
  <c r="DO27" i="4"/>
  <c r="DN27" i="4"/>
  <c r="DO23" i="4"/>
  <c r="DN23" i="4"/>
  <c r="DO24" i="4"/>
  <c r="DN24" i="4"/>
  <c r="DO25" i="4"/>
  <c r="DN25" i="4"/>
  <c r="F45" i="3"/>
  <c r="BC3" i="3"/>
  <c r="M35" i="3"/>
  <c r="AA5" i="2"/>
  <c r="Z116" i="5" a="1"/>
  <c r="Z115" i="5" a="1"/>
  <c r="Z119" i="5" a="1"/>
  <c r="Z121" i="5" a="1"/>
  <c r="Z114" i="5" a="1"/>
  <c r="Z113" i="5" a="1"/>
  <c r="Z117" i="5" a="1"/>
  <c r="AG4" i="2"/>
  <c r="S35" i="3"/>
  <c r="AD35" i="3"/>
  <c r="AD4" i="2"/>
  <c r="AK35" i="3"/>
  <c r="AH4" i="2"/>
  <c r="AF35" i="3"/>
  <c r="U35" i="3"/>
  <c r="V35" i="3"/>
  <c r="Z112" i="5" a="1"/>
  <c r="N35" i="3"/>
  <c r="AF4" i="2"/>
  <c r="Z111" i="5" a="1"/>
  <c r="AE4" i="2"/>
  <c r="Q35" i="3"/>
  <c r="AJ35" i="3"/>
  <c r="W35" i="3"/>
  <c r="P35" i="3"/>
  <c r="AB35" i="3"/>
  <c r="AI35" i="3"/>
  <c r="O35" i="3"/>
  <c r="Z110" i="5" a="1"/>
  <c r="AB4" i="2"/>
  <c r="Z35" i="3"/>
  <c r="AE35" i="3"/>
  <c r="AM35" i="3"/>
  <c r="AC4" i="2"/>
  <c r="Y35" i="3"/>
  <c r="R35" i="3"/>
  <c r="AL35" i="3"/>
  <c r="AP35" i="3"/>
  <c r="AO35" i="3"/>
  <c r="T35" i="3"/>
  <c r="AG35" i="3"/>
  <c r="AA35" i="3"/>
  <c r="AN35" i="3"/>
  <c r="X35" i="3"/>
  <c r="AC35" i="3"/>
  <c r="AH35" i="3"/>
  <c r="J487" i="6" l="1"/>
  <c r="G312" i="6"/>
  <c r="N37" i="6"/>
  <c r="M312" i="6"/>
  <c r="G37" i="6"/>
  <c r="N312" i="6"/>
  <c r="H312" i="6"/>
  <c r="S337" i="6"/>
  <c r="AA9" i="12"/>
  <c r="Z111" i="5"/>
  <c r="L111" i="5" s="1"/>
  <c r="Z112" i="5"/>
  <c r="L112" i="5" s="1"/>
  <c r="Z119" i="5"/>
  <c r="L119" i="5" s="1"/>
  <c r="Z115" i="5"/>
  <c r="L115" i="5" s="1"/>
  <c r="Z116" i="5"/>
  <c r="L116" i="5" s="1"/>
  <c r="DP32" i="4"/>
  <c r="Z113" i="5"/>
  <c r="L113" i="5" s="1"/>
  <c r="Z114" i="5"/>
  <c r="L114" i="5" s="1"/>
  <c r="Z110" i="5"/>
  <c r="L110" i="5" s="1"/>
  <c r="Z117" i="5"/>
  <c r="L117" i="5" s="1"/>
  <c r="Z121" i="5"/>
  <c r="H490" i="6"/>
  <c r="H390" i="6"/>
  <c r="N490" i="6"/>
  <c r="N140" i="6"/>
  <c r="T390" i="6"/>
  <c r="O390" i="6" s="1"/>
  <c r="S390" i="6"/>
  <c r="R490" i="6"/>
  <c r="L440" i="6"/>
  <c r="M490" i="6"/>
  <c r="F490" i="6"/>
  <c r="M440" i="6"/>
  <c r="R465" i="6"/>
  <c r="M465" i="6"/>
  <c r="M140" i="6"/>
  <c r="L312" i="6"/>
  <c r="H112" i="6"/>
  <c r="F112" i="6"/>
  <c r="T465" i="6"/>
  <c r="O465" i="6" s="1"/>
  <c r="F140" i="6"/>
  <c r="S490" i="6"/>
  <c r="M112" i="6"/>
  <c r="R415" i="6"/>
  <c r="G111" i="5"/>
  <c r="I15" i="13"/>
  <c r="S465" i="6"/>
  <c r="N112" i="6"/>
  <c r="H87" i="6"/>
  <c r="J312" i="6"/>
  <c r="J87" i="6"/>
  <c r="L490" i="6"/>
  <c r="R87" i="6"/>
  <c r="K359" i="6"/>
  <c r="K361" i="6"/>
  <c r="T477" i="6"/>
  <c r="K58" i="6"/>
  <c r="T327" i="6"/>
  <c r="K461" i="6"/>
  <c r="T152" i="6"/>
  <c r="T127" i="6"/>
  <c r="T427" i="6"/>
  <c r="K61" i="6"/>
  <c r="K59" i="6"/>
  <c r="K333" i="6"/>
  <c r="K360" i="6"/>
  <c r="K234" i="6"/>
  <c r="T102" i="6"/>
  <c r="T402" i="6"/>
  <c r="T27" i="6"/>
  <c r="K460" i="6"/>
  <c r="T52" i="6"/>
  <c r="T277" i="6"/>
  <c r="K309" i="6"/>
  <c r="Q321" i="6"/>
  <c r="E305" i="6" s="1"/>
  <c r="S305" i="6" s="1"/>
  <c r="Q358" i="6"/>
  <c r="E354" i="6" s="1"/>
  <c r="T354" i="6" s="1"/>
  <c r="Q483" i="6"/>
  <c r="E479" i="6" s="1"/>
  <c r="K335" i="6"/>
  <c r="K334" i="6"/>
  <c r="F38" i="13"/>
  <c r="Q383" i="6"/>
  <c r="E379" i="6" s="1"/>
  <c r="J379" i="6" s="1"/>
  <c r="Q415" i="6"/>
  <c r="K311" i="6"/>
  <c r="E481" i="6"/>
  <c r="T481" i="6" s="1"/>
  <c r="O481" i="6" s="1"/>
  <c r="E331" i="6"/>
  <c r="H331" i="6" s="1"/>
  <c r="K308" i="6"/>
  <c r="A1" i="10"/>
  <c r="T451" i="6" s="1"/>
  <c r="K258" i="6"/>
  <c r="K284" i="6"/>
  <c r="K286" i="6"/>
  <c r="K384" i="6"/>
  <c r="K108" i="6"/>
  <c r="K261" i="6"/>
  <c r="K110" i="6"/>
  <c r="K259" i="6"/>
  <c r="E306" i="6"/>
  <c r="R306" i="6" s="1"/>
  <c r="T177" i="6"/>
  <c r="E356" i="6"/>
  <c r="L356" i="6" s="1"/>
  <c r="N356" i="6" s="1"/>
  <c r="K483" i="6"/>
  <c r="T452" i="6"/>
  <c r="T377" i="6"/>
  <c r="C330" i="6"/>
  <c r="A476" i="6"/>
  <c r="T227" i="6"/>
  <c r="K233" i="6"/>
  <c r="K235" i="6"/>
  <c r="T2" i="6"/>
  <c r="Q371" i="6"/>
  <c r="E355" i="6" s="1"/>
  <c r="R355" i="6" s="1"/>
  <c r="T302" i="6"/>
  <c r="T202" i="6"/>
  <c r="K458" i="6"/>
  <c r="K111" i="6"/>
  <c r="T77" i="6"/>
  <c r="K109" i="6"/>
  <c r="T252" i="6"/>
  <c r="K184" i="6"/>
  <c r="C405" i="6"/>
  <c r="Q333" i="6"/>
  <c r="E329" i="6" s="1"/>
  <c r="T329" i="6" s="1"/>
  <c r="Q340" i="6"/>
  <c r="Q315" i="6"/>
  <c r="Q496" i="6"/>
  <c r="E480" i="6" s="1"/>
  <c r="J480" i="6" s="1"/>
  <c r="C480" i="6"/>
  <c r="Q365" i="6"/>
  <c r="Q346" i="6"/>
  <c r="E330" i="6" s="1"/>
  <c r="M330" i="6" s="1"/>
  <c r="K186" i="6"/>
  <c r="E456" i="6"/>
  <c r="T456" i="6" s="1"/>
  <c r="O456" i="6" s="1"/>
  <c r="C454" i="6"/>
  <c r="K451" i="6" s="1"/>
  <c r="A326" i="6"/>
  <c r="C380" i="6"/>
  <c r="Q308" i="6"/>
  <c r="E304" i="6" s="1"/>
  <c r="K383" i="6"/>
  <c r="A351" i="6"/>
  <c r="K283" i="6"/>
  <c r="K484" i="6"/>
  <c r="K485" i="6"/>
  <c r="C479" i="6"/>
  <c r="K476" i="6" s="1"/>
  <c r="W38" i="13"/>
  <c r="K84" i="6"/>
  <c r="K158" i="6"/>
  <c r="A376" i="6"/>
  <c r="Q471" i="6"/>
  <c r="E455" i="6" s="1"/>
  <c r="R455" i="6" s="1"/>
  <c r="K160" i="6"/>
  <c r="K336" i="6"/>
  <c r="C379" i="6"/>
  <c r="K376" i="6" s="1"/>
  <c r="K208" i="6"/>
  <c r="A301" i="6"/>
  <c r="K159" i="6"/>
  <c r="K161" i="6"/>
  <c r="K209" i="6"/>
  <c r="K210" i="6"/>
  <c r="CA141" i="2"/>
  <c r="C329" i="6"/>
  <c r="K326" i="6" s="1"/>
  <c r="E327" i="6"/>
  <c r="K86" i="6"/>
  <c r="X38" i="13"/>
  <c r="E381" i="6"/>
  <c r="J381" i="6" s="1"/>
  <c r="A451" i="6"/>
  <c r="Q396" i="6"/>
  <c r="E380" i="6" s="1"/>
  <c r="T380" i="6" s="1"/>
  <c r="O380" i="6" s="1"/>
  <c r="Q465" i="6"/>
  <c r="A401" i="6"/>
  <c r="Q390" i="6"/>
  <c r="Q490" i="6"/>
  <c r="Q458" i="6"/>
  <c r="E454" i="6" s="1"/>
  <c r="T454" i="6" s="1"/>
  <c r="K434" i="6"/>
  <c r="K11" i="6"/>
  <c r="K435" i="6"/>
  <c r="Q408" i="6"/>
  <c r="E404" i="6" s="1"/>
  <c r="M404" i="6" s="1"/>
  <c r="M416" i="6" s="1"/>
  <c r="E302" i="6"/>
  <c r="K36" i="6"/>
  <c r="C305" i="6"/>
  <c r="K185" i="6"/>
  <c r="C304" i="6"/>
  <c r="K301" i="6" s="1"/>
  <c r="K386" i="6"/>
  <c r="C455" i="6"/>
  <c r="K10" i="6"/>
  <c r="C430" i="6"/>
  <c r="Q421" i="6"/>
  <c r="E405" i="6" s="1"/>
  <c r="L405" i="6" s="1"/>
  <c r="N405" i="6" s="1"/>
  <c r="K85" i="6"/>
  <c r="K433" i="6"/>
  <c r="C429" i="6"/>
  <c r="K426" i="6" s="1"/>
  <c r="A426" i="6"/>
  <c r="K411" i="6"/>
  <c r="C404" i="6"/>
  <c r="K401" i="6" s="1"/>
  <c r="I38" i="13"/>
  <c r="E402" i="6"/>
  <c r="E352" i="6"/>
  <c r="K136" i="6"/>
  <c r="K408" i="6"/>
  <c r="Q446" i="6"/>
  <c r="E430" i="6" s="1"/>
  <c r="S430" i="6" s="1"/>
  <c r="K9" i="6"/>
  <c r="Q440" i="6"/>
  <c r="K35" i="6"/>
  <c r="C354" i="6"/>
  <c r="K351" i="6" s="1"/>
  <c r="K135" i="6"/>
  <c r="K33" i="6"/>
  <c r="E406" i="6"/>
  <c r="F406" i="6" s="1"/>
  <c r="C355" i="6"/>
  <c r="K134" i="6"/>
  <c r="E431" i="6"/>
  <c r="T431" i="6" s="1"/>
  <c r="O431" i="6" s="1"/>
  <c r="K410" i="6"/>
  <c r="K409" i="6"/>
  <c r="Q433" i="6"/>
  <c r="E429" i="6" s="1"/>
  <c r="J429" i="6" s="1"/>
  <c r="K34" i="6"/>
  <c r="CV22" i="13"/>
  <c r="CW22" i="13" s="1"/>
  <c r="CV21" i="13"/>
  <c r="CW21" i="13" s="1"/>
  <c r="CV27" i="13"/>
  <c r="CW27" i="13" s="1"/>
  <c r="CV23" i="13"/>
  <c r="CW23" i="13" s="1"/>
  <c r="CV34" i="13"/>
  <c r="CW34" i="13" s="1"/>
  <c r="CV31" i="13"/>
  <c r="CW31" i="13" s="1"/>
  <c r="CV37" i="13"/>
  <c r="CW37" i="13" s="1"/>
  <c r="CV28" i="13"/>
  <c r="CW28" i="13" s="1"/>
  <c r="CV25" i="13"/>
  <c r="CW25" i="13" s="1"/>
  <c r="CP33" i="13"/>
  <c r="CO33" i="13"/>
  <c r="CN33" i="13"/>
  <c r="L262" i="6"/>
  <c r="N262" i="6"/>
  <c r="T412" i="6"/>
  <c r="O412" i="6" s="1"/>
  <c r="G90" i="6"/>
  <c r="CP27" i="13"/>
  <c r="CO27" i="13"/>
  <c r="CN27" i="13"/>
  <c r="CV19" i="13"/>
  <c r="CW19" i="13" s="1"/>
  <c r="CV20" i="13"/>
  <c r="CW20" i="13" s="1"/>
  <c r="CP24" i="13"/>
  <c r="CO24" i="13"/>
  <c r="CN24" i="13"/>
  <c r="CO31" i="13"/>
  <c r="CN31" i="13"/>
  <c r="CP31" i="13"/>
  <c r="CV24" i="13"/>
  <c r="CW24" i="13" s="1"/>
  <c r="J37" i="6"/>
  <c r="S87" i="6"/>
  <c r="R140" i="6"/>
  <c r="T87" i="6"/>
  <c r="O87" i="6" s="1"/>
  <c r="G62" i="6"/>
  <c r="H37" i="6"/>
  <c r="G262" i="6"/>
  <c r="N412" i="6"/>
  <c r="G87" i="6"/>
  <c r="N90" i="6"/>
  <c r="S62" i="6"/>
  <c r="CP19" i="13"/>
  <c r="CO19" i="13"/>
  <c r="CN19" i="13"/>
  <c r="CN20" i="13"/>
  <c r="CO20" i="13"/>
  <c r="CP20" i="13"/>
  <c r="CO34" i="13"/>
  <c r="CP34" i="13"/>
  <c r="CN34" i="13"/>
  <c r="M37" i="6"/>
  <c r="M337" i="6"/>
  <c r="J62" i="6"/>
  <c r="CV29" i="13"/>
  <c r="CW29" i="13" s="1"/>
  <c r="CP32" i="13"/>
  <c r="CO32" i="13"/>
  <c r="CN32" i="13"/>
  <c r="R37" i="6"/>
  <c r="S290" i="6"/>
  <c r="H65" i="6"/>
  <c r="F37" i="6"/>
  <c r="N137" i="6"/>
  <c r="S112" i="6"/>
  <c r="F412" i="6"/>
  <c r="J137" i="6"/>
  <c r="R412" i="6"/>
  <c r="M62" i="6"/>
  <c r="CP25" i="13"/>
  <c r="CO25" i="13"/>
  <c r="CN25" i="13"/>
  <c r="CO29" i="13"/>
  <c r="CN29" i="13"/>
  <c r="CP29" i="13"/>
  <c r="CV32" i="13"/>
  <c r="CW32" i="13" s="1"/>
  <c r="CV36" i="13"/>
  <c r="CW36" i="13" s="1"/>
  <c r="CP23" i="13"/>
  <c r="CN23" i="13"/>
  <c r="CO23" i="13"/>
  <c r="J290" i="6"/>
  <c r="G137" i="6"/>
  <c r="M412" i="6"/>
  <c r="S37" i="6"/>
  <c r="M262" i="6"/>
  <c r="CN36" i="13"/>
  <c r="CP36" i="13"/>
  <c r="CO36" i="13"/>
  <c r="M137" i="6"/>
  <c r="L437" i="6"/>
  <c r="CV33" i="13"/>
  <c r="CW33" i="13" s="1"/>
  <c r="T37" i="6"/>
  <c r="O37" i="6" s="1"/>
  <c r="F290" i="6"/>
  <c r="R137" i="6"/>
  <c r="L65" i="6"/>
  <c r="L290" i="6"/>
  <c r="T112" i="6"/>
  <c r="O112" i="6" s="1"/>
  <c r="G412" i="6"/>
  <c r="R112" i="6"/>
  <c r="H412" i="6"/>
  <c r="H165" i="6"/>
  <c r="H140" i="6"/>
  <c r="CP21" i="13"/>
  <c r="CO21" i="13"/>
  <c r="CN21" i="13"/>
  <c r="CP35" i="13"/>
  <c r="CO35" i="13"/>
  <c r="CN35" i="13"/>
  <c r="R390" i="6"/>
  <c r="L112" i="6"/>
  <c r="F87" i="6"/>
  <c r="F465" i="6"/>
  <c r="S262" i="6"/>
  <c r="T312" i="6"/>
  <c r="O312" i="6" s="1"/>
  <c r="T140" i="6"/>
  <c r="O140" i="6" s="1"/>
  <c r="J262" i="6"/>
  <c r="CV30" i="13"/>
  <c r="CW30" i="13" s="1"/>
  <c r="CP22" i="13"/>
  <c r="CO22" i="13"/>
  <c r="CN22" i="13"/>
  <c r="CV26" i="13"/>
  <c r="CW26" i="13" s="1"/>
  <c r="CN37" i="13"/>
  <c r="CP37" i="13"/>
  <c r="CO37" i="13"/>
  <c r="CV35" i="13"/>
  <c r="CW35" i="13" s="1"/>
  <c r="T262" i="6"/>
  <c r="O262" i="6" s="1"/>
  <c r="S215" i="6"/>
  <c r="J412" i="6"/>
  <c r="R337" i="6"/>
  <c r="G112" i="6"/>
  <c r="L87" i="6"/>
  <c r="M365" i="6"/>
  <c r="R437" i="6"/>
  <c r="CN30" i="13"/>
  <c r="CP30" i="13"/>
  <c r="CO30" i="13"/>
  <c r="CP28" i="13"/>
  <c r="CO28" i="13"/>
  <c r="CN28" i="13"/>
  <c r="CP26" i="13"/>
  <c r="CO26" i="13"/>
  <c r="CN26" i="13"/>
  <c r="J240" i="6"/>
  <c r="R215" i="6"/>
  <c r="M437" i="6"/>
  <c r="S387" i="6"/>
  <c r="J40" i="6"/>
  <c r="S415" i="6"/>
  <c r="N437" i="6"/>
  <c r="J415" i="6"/>
  <c r="F337" i="6"/>
  <c r="L487" i="6"/>
  <c r="J215" i="6"/>
  <c r="S437" i="6"/>
  <c r="J465" i="6"/>
  <c r="N215" i="6"/>
  <c r="J90" i="6"/>
  <c r="N365" i="6"/>
  <c r="F390" i="6"/>
  <c r="G290" i="6"/>
  <c r="R165" i="6"/>
  <c r="T487" i="6"/>
  <c r="O487" i="6" s="1"/>
  <c r="L90" i="6"/>
  <c r="N390" i="6"/>
  <c r="F437" i="6"/>
  <c r="L365" i="6"/>
  <c r="L465" i="6"/>
  <c r="G215" i="6"/>
  <c r="F487" i="6"/>
  <c r="L140" i="6"/>
  <c r="N62" i="6"/>
  <c r="G362" i="6"/>
  <c r="S137" i="6"/>
  <c r="F415" i="6"/>
  <c r="L415" i="6"/>
  <c r="M390" i="6"/>
  <c r="N290" i="6"/>
  <c r="L215" i="6"/>
  <c r="G487" i="6"/>
  <c r="M90" i="6"/>
  <c r="G390" i="6"/>
  <c r="H437" i="6"/>
  <c r="R365" i="6"/>
  <c r="N465" i="6"/>
  <c r="T415" i="6"/>
  <c r="O415" i="6" s="1"/>
  <c r="N415" i="6"/>
  <c r="S487" i="6"/>
  <c r="H215" i="6"/>
  <c r="R487" i="6"/>
  <c r="T90" i="6"/>
  <c r="O90" i="6" s="1"/>
  <c r="L165" i="6"/>
  <c r="L390" i="6"/>
  <c r="F215" i="6"/>
  <c r="R290" i="6"/>
  <c r="N315" i="6"/>
  <c r="S440" i="6"/>
  <c r="R90" i="6"/>
  <c r="H487" i="6"/>
  <c r="H90" i="6"/>
  <c r="G437" i="6"/>
  <c r="S365" i="6"/>
  <c r="G415" i="6"/>
  <c r="G440" i="6"/>
  <c r="M215" i="6"/>
  <c r="J437" i="6"/>
  <c r="J440" i="6"/>
  <c r="N487" i="6"/>
  <c r="G315" i="6"/>
  <c r="R190" i="6"/>
  <c r="T290" i="6"/>
  <c r="O290" i="6" s="1"/>
  <c r="H137" i="6"/>
  <c r="H362" i="6"/>
  <c r="F190" i="6"/>
  <c r="T362" i="6"/>
  <c r="O362" i="6" s="1"/>
  <c r="S362" i="6"/>
  <c r="J315" i="6"/>
  <c r="M387" i="6"/>
  <c r="M165" i="6"/>
  <c r="J165" i="6"/>
  <c r="F40" i="6"/>
  <c r="H315" i="6"/>
  <c r="M187" i="6"/>
  <c r="S190" i="6"/>
  <c r="J187" i="6"/>
  <c r="N187" i="6"/>
  <c r="G337" i="6"/>
  <c r="T190" i="6"/>
  <c r="O190" i="6" s="1"/>
  <c r="L240" i="6"/>
  <c r="L187" i="6"/>
  <c r="T187" i="6"/>
  <c r="O187" i="6" s="1"/>
  <c r="H337" i="6"/>
  <c r="S65" i="6"/>
  <c r="J190" i="6"/>
  <c r="N240" i="6"/>
  <c r="F440" i="6"/>
  <c r="M362" i="6"/>
  <c r="T165" i="6"/>
  <c r="O165" i="6" s="1"/>
  <c r="F315" i="6"/>
  <c r="T387" i="6"/>
  <c r="O387" i="6" s="1"/>
  <c r="T337" i="6"/>
  <c r="O337" i="6" s="1"/>
  <c r="S140" i="6"/>
  <c r="L40" i="6"/>
  <c r="N40" i="6"/>
  <c r="F240" i="6"/>
  <c r="L315" i="6"/>
  <c r="G387" i="6"/>
  <c r="R315" i="6"/>
  <c r="H290" i="6"/>
  <c r="S315" i="6"/>
  <c r="G187" i="6"/>
  <c r="L190" i="6"/>
  <c r="T240" i="6"/>
  <c r="O240" i="6" s="1"/>
  <c r="H440" i="6"/>
  <c r="L362" i="6"/>
  <c r="N165" i="6"/>
  <c r="T315" i="6"/>
  <c r="O315" i="6" s="1"/>
  <c r="G190" i="6"/>
  <c r="H387" i="6"/>
  <c r="H265" i="6"/>
  <c r="R187" i="6"/>
  <c r="G40" i="6"/>
  <c r="R40" i="6"/>
  <c r="F387" i="6"/>
  <c r="G65" i="6"/>
  <c r="N65" i="6"/>
  <c r="R65" i="6"/>
  <c r="F65" i="6"/>
  <c r="G240" i="6"/>
  <c r="T440" i="6"/>
  <c r="O440" i="6" s="1"/>
  <c r="N362" i="6"/>
  <c r="F137" i="6"/>
  <c r="N190" i="6"/>
  <c r="L387" i="6"/>
  <c r="M40" i="6"/>
  <c r="L62" i="6"/>
  <c r="R387" i="6"/>
  <c r="R362" i="6"/>
  <c r="H190" i="6"/>
  <c r="M240" i="6"/>
  <c r="G165" i="6"/>
  <c r="F187" i="6"/>
  <c r="N387" i="6"/>
  <c r="F362" i="6"/>
  <c r="H187" i="6"/>
  <c r="J265" i="6"/>
  <c r="T65" i="6"/>
  <c r="O65" i="6" s="1"/>
  <c r="L137" i="6"/>
  <c r="H240" i="6"/>
  <c r="R240" i="6"/>
  <c r="J140" i="6"/>
  <c r="F265" i="6"/>
  <c r="R62" i="6"/>
  <c r="H40" i="6"/>
  <c r="G5" i="3"/>
  <c r="I114" i="5"/>
  <c r="G121" i="5"/>
  <c r="I110" i="5"/>
  <c r="D109" i="5"/>
  <c r="E45" i="3"/>
  <c r="I118" i="5"/>
  <c r="G114" i="5"/>
  <c r="G115" i="5"/>
  <c r="I120" i="5"/>
  <c r="F104" i="5"/>
  <c r="G112" i="5"/>
  <c r="I111" i="5"/>
  <c r="I119" i="5"/>
  <c r="I115" i="5"/>
  <c r="G116" i="5"/>
  <c r="B22" i="3"/>
  <c r="G117" i="5"/>
  <c r="G120" i="5"/>
  <c r="G113" i="5"/>
  <c r="I112" i="5"/>
  <c r="I117" i="5"/>
  <c r="D45" i="3"/>
  <c r="G110" i="5"/>
  <c r="I113" i="5"/>
  <c r="F87" i="5"/>
  <c r="I116" i="5"/>
  <c r="G119" i="5"/>
  <c r="G118" i="5"/>
  <c r="I121" i="5"/>
  <c r="F89" i="5"/>
  <c r="M163" i="6"/>
  <c r="E132" i="6"/>
  <c r="E282" i="6"/>
  <c r="E457" i="6"/>
  <c r="E357" i="6"/>
  <c r="E307" i="6"/>
  <c r="E157" i="6"/>
  <c r="E432" i="6"/>
  <c r="E407" i="6"/>
  <c r="E382" i="6"/>
  <c r="E207" i="6"/>
  <c r="E232" i="6"/>
  <c r="E7" i="6"/>
  <c r="E82" i="6"/>
  <c r="B14" i="6"/>
  <c r="E332" i="6"/>
  <c r="E32" i="6"/>
  <c r="B7" i="6"/>
  <c r="E57" i="6"/>
  <c r="E107" i="6"/>
  <c r="E257" i="6"/>
  <c r="E482" i="6"/>
  <c r="E182" i="6"/>
  <c r="N188" i="6"/>
  <c r="N313" i="6"/>
  <c r="M88" i="6"/>
  <c r="M263" i="6"/>
  <c r="N263" i="6"/>
  <c r="M288" i="6"/>
  <c r="N288" i="6"/>
  <c r="N13" i="6"/>
  <c r="M13" i="6"/>
  <c r="M338" i="6"/>
  <c r="N338" i="6"/>
  <c r="M38" i="6"/>
  <c r="N38" i="6"/>
  <c r="M488" i="6"/>
  <c r="N488" i="6"/>
  <c r="N388" i="6"/>
  <c r="M388" i="6"/>
  <c r="M413" i="6"/>
  <c r="N413" i="6"/>
  <c r="N438" i="6"/>
  <c r="M438" i="6"/>
  <c r="N238" i="6"/>
  <c r="M238" i="6"/>
  <c r="N138" i="6"/>
  <c r="M138" i="6"/>
  <c r="M36" i="3"/>
  <c r="AA6" i="2"/>
  <c r="AH5" i="2"/>
  <c r="R36" i="3"/>
  <c r="AJ36" i="3"/>
  <c r="AF36" i="3"/>
  <c r="AB36" i="3"/>
  <c r="AF5" i="2"/>
  <c r="AM36" i="3"/>
  <c r="D47" i="3"/>
  <c r="AN36" i="3"/>
  <c r="U36" i="3"/>
  <c r="AC5" i="2"/>
  <c r="AK36" i="3"/>
  <c r="AH36" i="3"/>
  <c r="AG36" i="3"/>
  <c r="AA36" i="3"/>
  <c r="AC36" i="3"/>
  <c r="V2" i="3"/>
  <c r="AB5" i="2"/>
  <c r="AD36" i="3"/>
  <c r="AG5" i="2"/>
  <c r="S36" i="3"/>
  <c r="V36" i="3"/>
  <c r="AP36" i="3"/>
  <c r="T36" i="3"/>
  <c r="AL36" i="3"/>
  <c r="N36" i="3"/>
  <c r="AO36" i="3"/>
  <c r="X36" i="3"/>
  <c r="AE5" i="2"/>
  <c r="W36" i="3"/>
  <c r="G44" i="3" a="1"/>
  <c r="Q36" i="3"/>
  <c r="O36" i="3"/>
  <c r="AD5" i="2"/>
  <c r="P36" i="3"/>
  <c r="Z36" i="3"/>
  <c r="AI36" i="3"/>
  <c r="AE36" i="3"/>
  <c r="Y36" i="3"/>
  <c r="M331" i="6" l="1"/>
  <c r="R331" i="6"/>
  <c r="J331" i="6"/>
  <c r="F331" i="6"/>
  <c r="T331" i="6"/>
  <c r="O331" i="6" s="1"/>
  <c r="M354" i="6"/>
  <c r="M366" i="6" s="1"/>
  <c r="M368" i="6" s="1"/>
  <c r="H354" i="6"/>
  <c r="L481" i="6"/>
  <c r="N481" i="6" s="1"/>
  <c r="R481" i="6"/>
  <c r="T76" i="6"/>
  <c r="S331" i="6"/>
  <c r="J481" i="6"/>
  <c r="M481" i="6"/>
  <c r="F481" i="6"/>
  <c r="H481" i="6"/>
  <c r="R354" i="6"/>
  <c r="J354" i="6"/>
  <c r="S354" i="6"/>
  <c r="S366" i="6" s="1"/>
  <c r="T363" i="6" s="1"/>
  <c r="O363" i="6" s="1"/>
  <c r="T426" i="6"/>
  <c r="S481" i="6"/>
  <c r="L354" i="6"/>
  <c r="N354" i="6" s="1"/>
  <c r="N366" i="6" s="1"/>
  <c r="L379" i="6"/>
  <c r="N379" i="6" s="1"/>
  <c r="N391" i="6" s="1"/>
  <c r="M379" i="6"/>
  <c r="M391" i="6" s="1"/>
  <c r="M393" i="6" s="1"/>
  <c r="R379" i="6"/>
  <c r="T379" i="6"/>
  <c r="T391" i="6" s="1"/>
  <c r="H379" i="6"/>
  <c r="S379" i="6"/>
  <c r="S391" i="6" s="1"/>
  <c r="T388" i="6" s="1"/>
  <c r="O388" i="6" s="1"/>
  <c r="L331" i="6"/>
  <c r="N331" i="6" s="1"/>
  <c r="L479" i="6"/>
  <c r="N479" i="6" s="1"/>
  <c r="N491" i="6" s="1"/>
  <c r="T479" i="6"/>
  <c r="O479" i="6" s="1"/>
  <c r="O491" i="6" s="1"/>
  <c r="J479" i="6"/>
  <c r="S479" i="6"/>
  <c r="S491" i="6" s="1"/>
  <c r="T488" i="6" s="1"/>
  <c r="O488" i="6" s="1"/>
  <c r="H356" i="6"/>
  <c r="H40" i="13"/>
  <c r="T1" i="6"/>
  <c r="H479" i="6"/>
  <c r="T376" i="6"/>
  <c r="T51" i="6"/>
  <c r="T326" i="6"/>
  <c r="J455" i="6"/>
  <c r="T301" i="6"/>
  <c r="M479" i="6"/>
  <c r="M491" i="6" s="1"/>
  <c r="M493" i="6" s="1"/>
  <c r="R479" i="6"/>
  <c r="T401" i="6"/>
  <c r="T26" i="6"/>
  <c r="T251" i="6"/>
  <c r="I14" i="2"/>
  <c r="T151" i="6"/>
  <c r="T276" i="6"/>
  <c r="B1" i="10"/>
  <c r="T201" i="6"/>
  <c r="T101" i="6"/>
  <c r="T351" i="6"/>
  <c r="T126" i="6"/>
  <c r="T176" i="6"/>
  <c r="T476" i="6"/>
  <c r="T226" i="6"/>
  <c r="J305" i="6"/>
  <c r="R406" i="6"/>
  <c r="T356" i="6"/>
  <c r="O356" i="6" s="1"/>
  <c r="S306" i="6"/>
  <c r="H306" i="6"/>
  <c r="S455" i="6"/>
  <c r="L306" i="6"/>
  <c r="N306" i="6" s="1"/>
  <c r="R480" i="6"/>
  <c r="S480" i="6"/>
  <c r="J306" i="6"/>
  <c r="T480" i="6"/>
  <c r="O480" i="6" s="1"/>
  <c r="L480" i="6"/>
  <c r="N480" i="6" s="1"/>
  <c r="M306" i="6"/>
  <c r="M480" i="6"/>
  <c r="F306" i="6"/>
  <c r="T306" i="6"/>
  <c r="O306" i="6" s="1"/>
  <c r="F480" i="6"/>
  <c r="F431" i="6"/>
  <c r="J356" i="6"/>
  <c r="H480" i="6"/>
  <c r="S356" i="6"/>
  <c r="M356" i="6"/>
  <c r="H305" i="6"/>
  <c r="H355" i="6"/>
  <c r="F381" i="6"/>
  <c r="S406" i="6"/>
  <c r="T355" i="6"/>
  <c r="O355" i="6" s="1"/>
  <c r="F355" i="6"/>
  <c r="T455" i="6"/>
  <c r="O455" i="6" s="1"/>
  <c r="F356" i="6"/>
  <c r="L355" i="6"/>
  <c r="N355" i="6" s="1"/>
  <c r="H455" i="6"/>
  <c r="R356" i="6"/>
  <c r="L381" i="6"/>
  <c r="N381" i="6" s="1"/>
  <c r="J355" i="6"/>
  <c r="M355" i="6"/>
  <c r="S355" i="6"/>
  <c r="R304" i="6"/>
  <c r="H304" i="6"/>
  <c r="M304" i="6"/>
  <c r="M316" i="6" s="1"/>
  <c r="M318" i="6" s="1"/>
  <c r="L304" i="6"/>
  <c r="N304" i="6" s="1"/>
  <c r="N316" i="6" s="1"/>
  <c r="J304" i="6"/>
  <c r="L456" i="6"/>
  <c r="N456" i="6" s="1"/>
  <c r="T305" i="6"/>
  <c r="O305" i="6" s="1"/>
  <c r="S456" i="6"/>
  <c r="H456" i="6"/>
  <c r="R456" i="6"/>
  <c r="M455" i="6"/>
  <c r="F430" i="6"/>
  <c r="M405" i="6"/>
  <c r="J456" i="6"/>
  <c r="L305" i="6"/>
  <c r="N305" i="6" s="1"/>
  <c r="M406" i="6"/>
  <c r="M381" i="6"/>
  <c r="F456" i="6"/>
  <c r="T406" i="6"/>
  <c r="O406" i="6" s="1"/>
  <c r="H381" i="6"/>
  <c r="J330" i="6"/>
  <c r="F330" i="6"/>
  <c r="L329" i="6"/>
  <c r="N329" i="6" s="1"/>
  <c r="N341" i="6" s="1"/>
  <c r="T429" i="6"/>
  <c r="O429" i="6" s="1"/>
  <c r="O441" i="6" s="1"/>
  <c r="F405" i="6"/>
  <c r="H329" i="6"/>
  <c r="Y38" i="13"/>
  <c r="T330" i="6"/>
  <c r="O330" i="6" s="1"/>
  <c r="M329" i="6"/>
  <c r="M341" i="6" s="1"/>
  <c r="M343" i="6" s="1"/>
  <c r="S330" i="6"/>
  <c r="R429" i="6"/>
  <c r="H330" i="6"/>
  <c r="J405" i="6"/>
  <c r="R381" i="6"/>
  <c r="H429" i="6"/>
  <c r="R405" i="6"/>
  <c r="T405" i="6"/>
  <c r="O405" i="6" s="1"/>
  <c r="R330" i="6"/>
  <c r="R329" i="6"/>
  <c r="S405" i="6"/>
  <c r="J329" i="6"/>
  <c r="H405" i="6"/>
  <c r="L330" i="6"/>
  <c r="N330" i="6" s="1"/>
  <c r="S329" i="6"/>
  <c r="S341" i="6" s="1"/>
  <c r="T338" i="6" s="1"/>
  <c r="O338" i="6" s="1"/>
  <c r="M305" i="6"/>
  <c r="S429" i="6"/>
  <c r="S441" i="6" s="1"/>
  <c r="T438" i="6" s="1"/>
  <c r="O438" i="6" s="1"/>
  <c r="M456" i="6"/>
  <c r="R431" i="6"/>
  <c r="L431" i="6"/>
  <c r="N431" i="6" s="1"/>
  <c r="H431" i="6"/>
  <c r="J431" i="6"/>
  <c r="F305" i="6"/>
  <c r="M431" i="6"/>
  <c r="S304" i="6"/>
  <c r="S316" i="6" s="1"/>
  <c r="T313" i="6" s="1"/>
  <c r="O313" i="6" s="1"/>
  <c r="J406" i="6"/>
  <c r="R305" i="6"/>
  <c r="S431" i="6"/>
  <c r="J454" i="6"/>
  <c r="L406" i="6"/>
  <c r="N406" i="6" s="1"/>
  <c r="H454" i="6"/>
  <c r="L454" i="6"/>
  <c r="N454" i="6" s="1"/>
  <c r="N466" i="6" s="1"/>
  <c r="F380" i="6"/>
  <c r="R430" i="6"/>
  <c r="M454" i="6"/>
  <c r="M466" i="6" s="1"/>
  <c r="M468" i="6" s="1"/>
  <c r="R454" i="6"/>
  <c r="J430" i="6"/>
  <c r="R380" i="6"/>
  <c r="J380" i="6"/>
  <c r="F455" i="6"/>
  <c r="M380" i="6"/>
  <c r="L429" i="6"/>
  <c r="N429" i="6" s="1"/>
  <c r="N441" i="6" s="1"/>
  <c r="T381" i="6"/>
  <c r="O381" i="6" s="1"/>
  <c r="L455" i="6"/>
  <c r="N455" i="6" s="1"/>
  <c r="L380" i="6"/>
  <c r="N380" i="6" s="1"/>
  <c r="S454" i="6"/>
  <c r="S466" i="6" s="1"/>
  <c r="T463" i="6" s="1"/>
  <c r="O463" i="6" s="1"/>
  <c r="H380" i="6"/>
  <c r="M429" i="6"/>
  <c r="M441" i="6" s="1"/>
  <c r="M443" i="6" s="1"/>
  <c r="H406" i="6"/>
  <c r="T430" i="6"/>
  <c r="O430" i="6" s="1"/>
  <c r="S380" i="6"/>
  <c r="S381" i="6"/>
  <c r="T304" i="6"/>
  <c r="T316" i="6" s="1"/>
  <c r="T404" i="6"/>
  <c r="T416" i="6" s="1"/>
  <c r="S404" i="6"/>
  <c r="S416" i="6" s="1"/>
  <c r="T413" i="6" s="1"/>
  <c r="O413" i="6" s="1"/>
  <c r="H404" i="6"/>
  <c r="J404" i="6"/>
  <c r="L404" i="6"/>
  <c r="N404" i="6" s="1"/>
  <c r="N416" i="6" s="1"/>
  <c r="R404" i="6"/>
  <c r="M430" i="6"/>
  <c r="L430" i="6"/>
  <c r="N430" i="6" s="1"/>
  <c r="H430" i="6"/>
  <c r="CX21" i="13"/>
  <c r="CY21" i="13" s="1"/>
  <c r="CZ21" i="13" s="1"/>
  <c r="CX25" i="13"/>
  <c r="CY25" i="13" s="1"/>
  <c r="CZ25" i="13" s="1"/>
  <c r="CX37" i="13"/>
  <c r="CY37" i="13" s="1"/>
  <c r="CZ37" i="13" s="1"/>
  <c r="CX22" i="13"/>
  <c r="CY22" i="13" s="1"/>
  <c r="CZ22" i="13" s="1"/>
  <c r="CX27" i="13"/>
  <c r="CY27" i="13" s="1"/>
  <c r="CZ27" i="13" s="1"/>
  <c r="CX29" i="13"/>
  <c r="CY29" i="13" s="1"/>
  <c r="CZ29" i="13" s="1"/>
  <c r="CX34" i="13"/>
  <c r="CY34" i="13" s="1"/>
  <c r="CZ34" i="13" s="1"/>
  <c r="CX30" i="13"/>
  <c r="CY30" i="13" s="1"/>
  <c r="CZ30" i="13" s="1"/>
  <c r="CX31" i="13"/>
  <c r="CY31" i="13" s="1"/>
  <c r="CZ31" i="13" s="1"/>
  <c r="CX26" i="13"/>
  <c r="CY26" i="13" s="1"/>
  <c r="CZ26" i="13" s="1"/>
  <c r="CX32" i="13"/>
  <c r="CY32" i="13" s="1"/>
  <c r="CZ32" i="13" s="1"/>
  <c r="CX24" i="13"/>
  <c r="CY24" i="13" s="1"/>
  <c r="CZ24" i="13" s="1"/>
  <c r="CX20" i="13"/>
  <c r="CY20" i="13" s="1"/>
  <c r="CZ20" i="13" s="1"/>
  <c r="CX33" i="13"/>
  <c r="CY33" i="13" s="1"/>
  <c r="CZ33" i="13" s="1"/>
  <c r="CX35" i="13"/>
  <c r="CY35" i="13" s="1"/>
  <c r="CZ35" i="13" s="1"/>
  <c r="CX36" i="13"/>
  <c r="CY36" i="13" s="1"/>
  <c r="CZ36" i="13" s="1"/>
  <c r="CX19" i="13"/>
  <c r="CY19" i="13" s="1"/>
  <c r="CZ19" i="13" s="1"/>
  <c r="CX23" i="13"/>
  <c r="CY23" i="13" s="1"/>
  <c r="CZ23" i="13" s="1"/>
  <c r="CX28" i="13"/>
  <c r="CY28" i="13" s="1"/>
  <c r="CZ28" i="13" s="1"/>
  <c r="G44" i="3"/>
  <c r="R7" i="6"/>
  <c r="T7" i="6"/>
  <c r="O7" i="6" s="1"/>
  <c r="S7" i="6"/>
  <c r="F7" i="6"/>
  <c r="L7" i="6"/>
  <c r="J7" i="6"/>
  <c r="M7" i="6"/>
  <c r="H7" i="6"/>
  <c r="B57" i="6"/>
  <c r="S57" i="6" s="1"/>
  <c r="B482" i="6"/>
  <c r="H482" i="6" s="1"/>
  <c r="B157" i="6"/>
  <c r="J157" i="6" s="1"/>
  <c r="B132" i="6"/>
  <c r="L132" i="6" s="1"/>
  <c r="B457" i="6"/>
  <c r="L457" i="6" s="1"/>
  <c r="B82" i="6"/>
  <c r="S82" i="6" s="1"/>
  <c r="B432" i="6"/>
  <c r="R432" i="6" s="1"/>
  <c r="B107" i="6"/>
  <c r="M107" i="6" s="1"/>
  <c r="B332" i="6"/>
  <c r="M332" i="6" s="1"/>
  <c r="B32" i="6"/>
  <c r="M32" i="6" s="1"/>
  <c r="B282" i="6"/>
  <c r="M282" i="6" s="1"/>
  <c r="B182" i="6"/>
  <c r="L182" i="6" s="1"/>
  <c r="B357" i="6"/>
  <c r="J357" i="6" s="1"/>
  <c r="B232" i="6"/>
  <c r="M232" i="6" s="1"/>
  <c r="W32" i="6"/>
  <c r="B307" i="6"/>
  <c r="H307" i="6" s="1"/>
  <c r="B407" i="6"/>
  <c r="L407" i="6" s="1"/>
  <c r="G7" i="6"/>
  <c r="B382" i="6"/>
  <c r="R382" i="6" s="1"/>
  <c r="N7" i="6"/>
  <c r="B207" i="6"/>
  <c r="R207" i="6" s="1"/>
  <c r="B257" i="6"/>
  <c r="J257" i="6" s="1"/>
  <c r="B164" i="6"/>
  <c r="L14" i="6"/>
  <c r="N14" i="6" s="1"/>
  <c r="B339" i="6"/>
  <c r="G14" i="6"/>
  <c r="H14" i="6"/>
  <c r="B389" i="6"/>
  <c r="F14" i="6"/>
  <c r="W39" i="6"/>
  <c r="B489" i="6"/>
  <c r="B414" i="6"/>
  <c r="M14" i="6"/>
  <c r="B364" i="6"/>
  <c r="B214" i="6"/>
  <c r="B289" i="6"/>
  <c r="T14" i="6"/>
  <c r="O14" i="6" s="1"/>
  <c r="B114" i="6"/>
  <c r="B464" i="6"/>
  <c r="B264" i="6"/>
  <c r="B139" i="6"/>
  <c r="J14" i="6"/>
  <c r="B314" i="6"/>
  <c r="B64" i="6"/>
  <c r="B39" i="6"/>
  <c r="B89" i="6"/>
  <c r="B189" i="6"/>
  <c r="R14" i="6"/>
  <c r="S14" i="6"/>
  <c r="B239" i="6"/>
  <c r="B439" i="6"/>
  <c r="T341" i="6"/>
  <c r="O329" i="6"/>
  <c r="O341" i="6" s="1"/>
  <c r="M418" i="6"/>
  <c r="O354" i="6"/>
  <c r="O366" i="6" s="1"/>
  <c r="T366" i="6"/>
  <c r="O454" i="6"/>
  <c r="O466" i="6" s="1"/>
  <c r="T466" i="6"/>
  <c r="M37" i="3"/>
  <c r="AA7" i="2"/>
  <c r="Z26" i="4"/>
  <c r="M26" i="4" s="1"/>
  <c r="Z18" i="4"/>
  <c r="Z37" i="3"/>
  <c r="AL37" i="3"/>
  <c r="AB37" i="3"/>
  <c r="T37" i="3"/>
  <c r="W37" i="3"/>
  <c r="AF6" i="2"/>
  <c r="O37" i="3"/>
  <c r="Y37" i="3"/>
  <c r="AG37" i="3"/>
  <c r="AE37" i="3"/>
  <c r="V37" i="3"/>
  <c r="AG6" i="2"/>
  <c r="Q37" i="3"/>
  <c r="AP37" i="3"/>
  <c r="AN37" i="3"/>
  <c r="S37" i="3"/>
  <c r="AJ37" i="3"/>
  <c r="AE6" i="2"/>
  <c r="N37" i="3"/>
  <c r="AD6" i="2"/>
  <c r="AI37" i="3"/>
  <c r="AB6" i="2"/>
  <c r="AH6" i="2"/>
  <c r="AO37" i="3"/>
  <c r="AM37" i="3"/>
  <c r="X37" i="3"/>
  <c r="AC6" i="2"/>
  <c r="AH37" i="3"/>
  <c r="P37" i="3"/>
  <c r="AD37" i="3"/>
  <c r="U37" i="3"/>
  <c r="R37" i="3"/>
  <c r="AC37" i="3"/>
  <c r="AK37" i="3"/>
  <c r="AA37" i="3"/>
  <c r="AF37" i="3"/>
  <c r="F182" i="6" l="1"/>
  <c r="O379" i="6"/>
  <c r="O391" i="6" s="1"/>
  <c r="T491" i="6"/>
  <c r="T441" i="6"/>
  <c r="O304" i="6"/>
  <c r="O316" i="6" s="1"/>
  <c r="O404" i="6"/>
  <c r="O416" i="6" s="1"/>
  <c r="M444" i="6"/>
  <c r="M445" i="6" s="1"/>
  <c r="M446" i="6" s="1"/>
  <c r="M447" i="6" s="1"/>
  <c r="G427" i="6" s="1"/>
  <c r="R332" i="6"/>
  <c r="H332" i="6"/>
  <c r="S32" i="6"/>
  <c r="L107" i="6"/>
  <c r="J107" i="6"/>
  <c r="F357" i="6"/>
  <c r="R407" i="6"/>
  <c r="L282" i="6"/>
  <c r="F282" i="6"/>
  <c r="R32" i="6"/>
  <c r="T32" i="6"/>
  <c r="O32" i="6" s="1"/>
  <c r="S107" i="6"/>
  <c r="T332" i="6"/>
  <c r="O332" i="6" s="1"/>
  <c r="M207" i="6"/>
  <c r="S332" i="6"/>
  <c r="H257" i="6"/>
  <c r="J332" i="6"/>
  <c r="L232" i="6"/>
  <c r="T282" i="6"/>
  <c r="O282" i="6" s="1"/>
  <c r="L332" i="6"/>
  <c r="J482" i="6"/>
  <c r="J307" i="6"/>
  <c r="R282" i="6"/>
  <c r="S282" i="6"/>
  <c r="R107" i="6"/>
  <c r="J457" i="6"/>
  <c r="H282" i="6"/>
  <c r="T107" i="6"/>
  <c r="O107" i="6" s="1"/>
  <c r="S482" i="6"/>
  <c r="F482" i="6"/>
  <c r="M157" i="6"/>
  <c r="T157" i="6"/>
  <c r="O157" i="6" s="1"/>
  <c r="F157" i="6"/>
  <c r="F32" i="6"/>
  <c r="L157" i="6"/>
  <c r="S257" i="6"/>
  <c r="J32" i="6"/>
  <c r="R57" i="6"/>
  <c r="L207" i="6"/>
  <c r="J207" i="6"/>
  <c r="R182" i="6"/>
  <c r="F232" i="6"/>
  <c r="T357" i="6"/>
  <c r="O357" i="6" s="1"/>
  <c r="S232" i="6"/>
  <c r="M482" i="6"/>
  <c r="F82" i="6"/>
  <c r="S182" i="6"/>
  <c r="T482" i="6"/>
  <c r="O482" i="6" s="1"/>
  <c r="H107" i="6"/>
  <c r="F207" i="6"/>
  <c r="J82" i="6"/>
  <c r="F107" i="6"/>
  <c r="T82" i="6"/>
  <c r="O82" i="6" s="1"/>
  <c r="G407" i="6"/>
  <c r="N407" i="6"/>
  <c r="M339" i="6"/>
  <c r="O343" i="6" s="1"/>
  <c r="S339" i="6"/>
  <c r="F339" i="6"/>
  <c r="R339" i="6"/>
  <c r="L339" i="6"/>
  <c r="N339" i="6" s="1"/>
  <c r="J339" i="6"/>
  <c r="T339" i="6"/>
  <c r="O339" i="6" s="1"/>
  <c r="H339" i="6"/>
  <c r="G339" i="6"/>
  <c r="T307" i="6"/>
  <c r="O307" i="6" s="1"/>
  <c r="H407" i="6"/>
  <c r="T132" i="6"/>
  <c r="O132" i="6" s="1"/>
  <c r="M82" i="6"/>
  <c r="R289" i="6"/>
  <c r="M289" i="6"/>
  <c r="L289" i="6"/>
  <c r="N289" i="6" s="1"/>
  <c r="J289" i="6"/>
  <c r="H289" i="6"/>
  <c r="G289" i="6"/>
  <c r="T289" i="6"/>
  <c r="O289" i="6" s="1"/>
  <c r="F289" i="6"/>
  <c r="S289" i="6"/>
  <c r="M307" i="6"/>
  <c r="R232" i="6"/>
  <c r="G232" i="6"/>
  <c r="N232" i="6"/>
  <c r="R482" i="6"/>
  <c r="G482" i="6"/>
  <c r="N482" i="6"/>
  <c r="J407" i="6"/>
  <c r="T207" i="6"/>
  <c r="O207" i="6" s="1"/>
  <c r="S382" i="6"/>
  <c r="G382" i="6"/>
  <c r="N382" i="6"/>
  <c r="L432" i="6"/>
  <c r="R389" i="6"/>
  <c r="T389" i="6"/>
  <c r="O389" i="6" s="1"/>
  <c r="M389" i="6"/>
  <c r="G389" i="6"/>
  <c r="F389" i="6"/>
  <c r="H389" i="6"/>
  <c r="S389" i="6"/>
  <c r="J389" i="6"/>
  <c r="L389" i="6"/>
  <c r="N389" i="6" s="1"/>
  <c r="J432" i="6"/>
  <c r="F132" i="6"/>
  <c r="H82" i="6"/>
  <c r="J189" i="6"/>
  <c r="G189" i="6"/>
  <c r="M189" i="6"/>
  <c r="H189" i="6"/>
  <c r="S189" i="6"/>
  <c r="R189" i="6"/>
  <c r="F189" i="6"/>
  <c r="T189" i="6"/>
  <c r="O189" i="6" s="1"/>
  <c r="L189" i="6"/>
  <c r="N189" i="6" s="1"/>
  <c r="G214" i="6"/>
  <c r="S214" i="6"/>
  <c r="M214" i="6"/>
  <c r="J214" i="6"/>
  <c r="R214" i="6"/>
  <c r="L214" i="6"/>
  <c r="N214" i="6" s="1"/>
  <c r="T214" i="6"/>
  <c r="O214" i="6" s="1"/>
  <c r="F214" i="6"/>
  <c r="H214" i="6"/>
  <c r="H164" i="6"/>
  <c r="G164" i="6"/>
  <c r="L164" i="6"/>
  <c r="N164" i="6" s="1"/>
  <c r="S164" i="6"/>
  <c r="J164" i="6"/>
  <c r="R164" i="6"/>
  <c r="T164" i="6"/>
  <c r="O164" i="6" s="1"/>
  <c r="F164" i="6"/>
  <c r="M164" i="6"/>
  <c r="L357" i="6"/>
  <c r="N357" i="6"/>
  <c r="G357" i="6"/>
  <c r="G57" i="6"/>
  <c r="N57" i="6"/>
  <c r="H57" i="6"/>
  <c r="J382" i="6"/>
  <c r="S407" i="6"/>
  <c r="T139" i="6"/>
  <c r="O139" i="6" s="1"/>
  <c r="J139" i="6"/>
  <c r="M139" i="6"/>
  <c r="R139" i="6"/>
  <c r="H139" i="6"/>
  <c r="G139" i="6"/>
  <c r="F139" i="6"/>
  <c r="S139" i="6"/>
  <c r="L139" i="6"/>
  <c r="N139" i="6" s="1"/>
  <c r="H457" i="6"/>
  <c r="N457" i="6"/>
  <c r="G457" i="6"/>
  <c r="S307" i="6"/>
  <c r="N307" i="6"/>
  <c r="G307" i="6"/>
  <c r="F382" i="6"/>
  <c r="H132" i="6"/>
  <c r="L89" i="6"/>
  <c r="N89" i="6" s="1"/>
  <c r="F89" i="6"/>
  <c r="M89" i="6"/>
  <c r="J89" i="6"/>
  <c r="S89" i="6"/>
  <c r="T89" i="6"/>
  <c r="O89" i="6" s="1"/>
  <c r="G89" i="6"/>
  <c r="H89" i="6"/>
  <c r="R89" i="6"/>
  <c r="F364" i="6"/>
  <c r="J364" i="6"/>
  <c r="G364" i="6"/>
  <c r="S364" i="6"/>
  <c r="L364" i="6"/>
  <c r="N364" i="6" s="1"/>
  <c r="R364" i="6"/>
  <c r="T364" i="6"/>
  <c r="O364" i="6" s="1"/>
  <c r="H364" i="6"/>
  <c r="M364" i="6"/>
  <c r="M457" i="6"/>
  <c r="R357" i="6"/>
  <c r="R307" i="6"/>
  <c r="H182" i="6"/>
  <c r="G182" i="6"/>
  <c r="N182" i="6"/>
  <c r="M57" i="6"/>
  <c r="T382" i="6"/>
  <c r="O382" i="6" s="1"/>
  <c r="R257" i="6"/>
  <c r="H207" i="6"/>
  <c r="T432" i="6"/>
  <c r="O432" i="6" s="1"/>
  <c r="N432" i="6"/>
  <c r="G432" i="6"/>
  <c r="N82" i="6"/>
  <c r="G82" i="6"/>
  <c r="F439" i="6"/>
  <c r="M439" i="6"/>
  <c r="T439" i="6"/>
  <c r="O439" i="6" s="1"/>
  <c r="G439" i="6"/>
  <c r="L439" i="6"/>
  <c r="N439" i="6" s="1"/>
  <c r="S439" i="6"/>
  <c r="R439" i="6"/>
  <c r="J439" i="6"/>
  <c r="H439" i="6"/>
  <c r="L382" i="6"/>
  <c r="F114" i="6"/>
  <c r="R114" i="6"/>
  <c r="J114" i="6"/>
  <c r="M114" i="6"/>
  <c r="H114" i="6"/>
  <c r="G114" i="6"/>
  <c r="T114" i="6"/>
  <c r="O114" i="6" s="1"/>
  <c r="L114" i="6"/>
  <c r="N114" i="6" s="1"/>
  <c r="S114" i="6"/>
  <c r="M132" i="6"/>
  <c r="L39" i="6"/>
  <c r="N39" i="6"/>
  <c r="M39" i="6"/>
  <c r="H39" i="6"/>
  <c r="S39" i="6"/>
  <c r="T39" i="6"/>
  <c r="O39" i="6" s="1"/>
  <c r="J39" i="6"/>
  <c r="F39" i="6"/>
  <c r="G39" i="6"/>
  <c r="R39" i="6"/>
  <c r="F457" i="6"/>
  <c r="S357" i="6"/>
  <c r="F307" i="6"/>
  <c r="J282" i="6"/>
  <c r="N282" i="6"/>
  <c r="G282" i="6"/>
  <c r="S157" i="6"/>
  <c r="J57" i="6"/>
  <c r="F432" i="6"/>
  <c r="H382" i="6"/>
  <c r="L82" i="6"/>
  <c r="S132" i="6"/>
  <c r="N132" i="6"/>
  <c r="G132" i="6"/>
  <c r="T407" i="6"/>
  <c r="O407" i="6" s="1"/>
  <c r="M382" i="6"/>
  <c r="R132" i="6"/>
  <c r="T64" i="6"/>
  <c r="O64" i="6" s="1"/>
  <c r="G64" i="6"/>
  <c r="J64" i="6"/>
  <c r="L64" i="6"/>
  <c r="N64" i="6" s="1"/>
  <c r="R64" i="6"/>
  <c r="M64" i="6"/>
  <c r="S64" i="6"/>
  <c r="H64" i="6"/>
  <c r="F64" i="6"/>
  <c r="H414" i="6"/>
  <c r="F414" i="6"/>
  <c r="R414" i="6"/>
  <c r="G414" i="6"/>
  <c r="T414" i="6"/>
  <c r="O414" i="6" s="1"/>
  <c r="M414" i="6"/>
  <c r="L414" i="6"/>
  <c r="N414" i="6" s="1"/>
  <c r="J414" i="6"/>
  <c r="S414" i="6"/>
  <c r="S457" i="6"/>
  <c r="J182" i="6"/>
  <c r="H357" i="6"/>
  <c r="M257" i="6"/>
  <c r="G257" i="6"/>
  <c r="N257" i="6"/>
  <c r="L32" i="6"/>
  <c r="G32" i="6"/>
  <c r="N32" i="6"/>
  <c r="F57" i="6"/>
  <c r="H432" i="6"/>
  <c r="F257" i="6"/>
  <c r="J232" i="6"/>
  <c r="M264" i="6"/>
  <c r="S264" i="6"/>
  <c r="R264" i="6"/>
  <c r="T264" i="6"/>
  <c r="O264" i="6" s="1"/>
  <c r="G264" i="6"/>
  <c r="J264" i="6"/>
  <c r="L264" i="6"/>
  <c r="N264" i="6" s="1"/>
  <c r="H264" i="6"/>
  <c r="F264" i="6"/>
  <c r="N157" i="6"/>
  <c r="G157" i="6"/>
  <c r="J132" i="6"/>
  <c r="H314" i="6"/>
  <c r="T314" i="6"/>
  <c r="O314" i="6" s="1"/>
  <c r="J314" i="6"/>
  <c r="S314" i="6"/>
  <c r="F314" i="6"/>
  <c r="R314" i="6"/>
  <c r="G314" i="6"/>
  <c r="L314" i="6"/>
  <c r="N314" i="6" s="1"/>
  <c r="M314" i="6"/>
  <c r="F489" i="6"/>
  <c r="T489" i="6"/>
  <c r="O489" i="6" s="1"/>
  <c r="G489" i="6"/>
  <c r="H489" i="6"/>
  <c r="M489" i="6"/>
  <c r="L489" i="6"/>
  <c r="N489" i="6" s="1"/>
  <c r="J489" i="6"/>
  <c r="S489" i="6"/>
  <c r="R489" i="6"/>
  <c r="T457" i="6"/>
  <c r="O457" i="6" s="1"/>
  <c r="T182" i="6"/>
  <c r="O182" i="6" s="1"/>
  <c r="M357" i="6"/>
  <c r="S207" i="6"/>
  <c r="G207" i="6"/>
  <c r="N207" i="6"/>
  <c r="F332" i="6"/>
  <c r="G332" i="6"/>
  <c r="N332" i="6"/>
  <c r="R157" i="6"/>
  <c r="T57" i="6"/>
  <c r="O57" i="6" s="1"/>
  <c r="M432" i="6"/>
  <c r="L257" i="6"/>
  <c r="H232" i="6"/>
  <c r="J464" i="6"/>
  <c r="G464" i="6"/>
  <c r="H464" i="6"/>
  <c r="R464" i="6"/>
  <c r="F464" i="6"/>
  <c r="L464" i="6"/>
  <c r="N464" i="6" s="1"/>
  <c r="S464" i="6"/>
  <c r="T464" i="6"/>
  <c r="O464" i="6" s="1"/>
  <c r="M464" i="6"/>
  <c r="F407" i="6"/>
  <c r="S239" i="6"/>
  <c r="G239" i="6"/>
  <c r="L239" i="6"/>
  <c r="N239" i="6" s="1"/>
  <c r="T239" i="6"/>
  <c r="O239" i="6" s="1"/>
  <c r="F239" i="6"/>
  <c r="H239" i="6"/>
  <c r="M239" i="6"/>
  <c r="R239" i="6"/>
  <c r="J239" i="6"/>
  <c r="L307" i="6"/>
  <c r="R82" i="6"/>
  <c r="R457" i="6"/>
  <c r="M182" i="6"/>
  <c r="H32" i="6"/>
  <c r="L482" i="6"/>
  <c r="G107" i="6"/>
  <c r="N107" i="6"/>
  <c r="H157" i="6"/>
  <c r="L57" i="6"/>
  <c r="S432" i="6"/>
  <c r="M407" i="6"/>
  <c r="T257" i="6"/>
  <c r="O257" i="6" s="1"/>
  <c r="T232" i="6"/>
  <c r="O232" i="6" s="1"/>
  <c r="M319" i="6"/>
  <c r="M320" i="6" s="1"/>
  <c r="M321" i="6" s="1"/>
  <c r="M322" i="6" s="1"/>
  <c r="M394" i="6"/>
  <c r="M395" i="6" s="1"/>
  <c r="M396" i="6" s="1"/>
  <c r="M397" i="6" s="1"/>
  <c r="M369" i="6"/>
  <c r="M370" i="6" s="1"/>
  <c r="M371" i="6" s="1"/>
  <c r="M372" i="6" s="1"/>
  <c r="M419" i="6"/>
  <c r="M420" i="6" s="1"/>
  <c r="M421" i="6" s="1"/>
  <c r="M422" i="6" s="1"/>
  <c r="M494" i="6"/>
  <c r="M495" i="6" s="1"/>
  <c r="M496" i="6" s="1"/>
  <c r="M497" i="6" s="1"/>
  <c r="M469" i="6"/>
  <c r="M470" i="6" s="1"/>
  <c r="M471" i="6" s="1"/>
  <c r="M472" i="6" s="1"/>
  <c r="M344" i="6"/>
  <c r="M345" i="6" s="1"/>
  <c r="M346" i="6" s="1"/>
  <c r="M347" i="6" s="1"/>
  <c r="M38" i="3"/>
  <c r="AA8" i="2"/>
  <c r="Z28" i="4"/>
  <c r="M28" i="4" s="1"/>
  <c r="Z20" i="4"/>
  <c r="Z22" i="4"/>
  <c r="M22" i="4" s="1"/>
  <c r="Z23" i="4"/>
  <c r="M23" i="4" s="1"/>
  <c r="Z19" i="4"/>
  <c r="Z31" i="4"/>
  <c r="Z30" i="4"/>
  <c r="Z25" i="4"/>
  <c r="M25" i="4" s="1"/>
  <c r="Z24" i="4"/>
  <c r="M24" i="4" s="1"/>
  <c r="Z21" i="4"/>
  <c r="Z29" i="4"/>
  <c r="M29" i="4" s="1"/>
  <c r="Z27" i="4"/>
  <c r="M27" i="4" s="1"/>
  <c r="AG7" i="2"/>
  <c r="AG38" i="3"/>
  <c r="S38" i="3"/>
  <c r="AF38" i="3"/>
  <c r="AI38" i="3"/>
  <c r="AJ38" i="3"/>
  <c r="P38" i="3"/>
  <c r="Q38" i="3"/>
  <c r="AE38" i="3"/>
  <c r="AP38" i="3"/>
  <c r="Z38" i="3"/>
  <c r="AA38" i="3"/>
  <c r="N38" i="3"/>
  <c r="AH7" i="2"/>
  <c r="V38" i="3"/>
  <c r="AH38" i="3"/>
  <c r="AB38" i="3"/>
  <c r="AO38" i="3"/>
  <c r="AC38" i="3"/>
  <c r="AF7" i="2"/>
  <c r="AB7" i="2"/>
  <c r="AE7" i="2"/>
  <c r="O38" i="3"/>
  <c r="X38" i="3"/>
  <c r="Y38" i="3"/>
  <c r="AN38" i="3"/>
  <c r="U38" i="3"/>
  <c r="AK38" i="3"/>
  <c r="AD7" i="2"/>
  <c r="T38" i="3"/>
  <c r="AD38" i="3"/>
  <c r="AC7" i="2"/>
  <c r="AM38" i="3"/>
  <c r="R38" i="3"/>
  <c r="W38" i="3"/>
  <c r="AL38" i="3"/>
  <c r="M449" i="6" l="1"/>
  <c r="I449" i="6" s="1"/>
  <c r="M448" i="6"/>
  <c r="J427" i="6" s="1"/>
  <c r="O493" i="6"/>
  <c r="O494" i="6" s="1"/>
  <c r="O495" i="6" s="1"/>
  <c r="O496" i="6" s="1"/>
  <c r="O497" i="6" s="1"/>
  <c r="O499" i="6" s="1"/>
  <c r="I498" i="6" s="1"/>
  <c r="O368" i="6"/>
  <c r="O369" i="6" s="1"/>
  <c r="O370" i="6" s="1"/>
  <c r="O371" i="6" s="1"/>
  <c r="O372" i="6" s="1"/>
  <c r="O374" i="6" s="1"/>
  <c r="I373" i="6" s="1"/>
  <c r="O344" i="6"/>
  <c r="O345" i="6" s="1"/>
  <c r="O346" i="6" s="1"/>
  <c r="O347" i="6" s="1"/>
  <c r="O349" i="6" s="1"/>
  <c r="I348" i="6" s="1"/>
  <c r="O443" i="6"/>
  <c r="O444" i="6" s="1"/>
  <c r="O445" i="6" s="1"/>
  <c r="O446" i="6" s="1"/>
  <c r="O447" i="6" s="1"/>
  <c r="O449" i="6" s="1"/>
  <c r="I448" i="6" s="1"/>
  <c r="O318" i="6"/>
  <c r="O319" i="6" s="1"/>
  <c r="O320" i="6" s="1"/>
  <c r="O321" i="6" s="1"/>
  <c r="O322" i="6" s="1"/>
  <c r="O324" i="6" s="1"/>
  <c r="I323" i="6" s="1"/>
  <c r="O393" i="6"/>
  <c r="O394" i="6" s="1"/>
  <c r="O395" i="6" s="1"/>
  <c r="O396" i="6" s="1"/>
  <c r="O397" i="6" s="1"/>
  <c r="O399" i="6" s="1"/>
  <c r="I398" i="6" s="1"/>
  <c r="O468" i="6"/>
  <c r="O469" i="6" s="1"/>
  <c r="O470" i="6" s="1"/>
  <c r="O471" i="6" s="1"/>
  <c r="O472" i="6" s="1"/>
  <c r="O474" i="6" s="1"/>
  <c r="I473" i="6" s="1"/>
  <c r="O418" i="6"/>
  <c r="O419" i="6" s="1"/>
  <c r="O420" i="6" s="1"/>
  <c r="O421" i="6" s="1"/>
  <c r="O422" i="6" s="1"/>
  <c r="O424" i="6" s="1"/>
  <c r="I423" i="6" s="1"/>
  <c r="M324" i="6"/>
  <c r="I324" i="6" s="1"/>
  <c r="G302" i="6"/>
  <c r="M323" i="6"/>
  <c r="M474" i="6"/>
  <c r="I474" i="6" s="1"/>
  <c r="M473" i="6"/>
  <c r="G452" i="6"/>
  <c r="M399" i="6"/>
  <c r="I399" i="6" s="1"/>
  <c r="G377" i="6"/>
  <c r="M398" i="6"/>
  <c r="M424" i="6"/>
  <c r="I424" i="6" s="1"/>
  <c r="M423" i="6"/>
  <c r="G402" i="6"/>
  <c r="M373" i="6"/>
  <c r="G352" i="6"/>
  <c r="M374" i="6"/>
  <c r="I374" i="6" s="1"/>
  <c r="M349" i="6"/>
  <c r="I349" i="6" s="1"/>
  <c r="M348" i="6"/>
  <c r="G327" i="6"/>
  <c r="M499" i="6"/>
  <c r="I499" i="6" s="1"/>
  <c r="M498" i="6"/>
  <c r="G477" i="6"/>
  <c r="M39" i="3"/>
  <c r="AA9" i="2"/>
  <c r="AF8" i="2"/>
  <c r="AC39" i="3"/>
  <c r="AH39" i="3"/>
  <c r="Z39" i="3"/>
  <c r="AM39" i="3"/>
  <c r="AC8" i="2"/>
  <c r="W39" i="3"/>
  <c r="AG39" i="3"/>
  <c r="Y39" i="3"/>
  <c r="AO39" i="3"/>
  <c r="V39" i="3"/>
  <c r="U39" i="3"/>
  <c r="AD39" i="3"/>
  <c r="AH8" i="2"/>
  <c r="O39" i="3"/>
  <c r="AK39" i="3"/>
  <c r="AE39" i="3"/>
  <c r="AL39" i="3"/>
  <c r="AB8" i="2"/>
  <c r="AB39" i="3"/>
  <c r="AD8" i="2"/>
  <c r="R39" i="3"/>
  <c r="P39" i="3"/>
  <c r="AF39" i="3"/>
  <c r="AN39" i="3"/>
  <c r="AG8" i="2"/>
  <c r="AP39" i="3"/>
  <c r="T39" i="3"/>
  <c r="S39" i="3"/>
  <c r="AE8" i="2"/>
  <c r="AJ39" i="3"/>
  <c r="X39" i="3"/>
  <c r="AI39" i="3"/>
  <c r="Q39" i="3"/>
  <c r="AA39" i="3"/>
  <c r="N39" i="3"/>
  <c r="M450" i="6" l="1"/>
  <c r="M500" i="6"/>
  <c r="J477" i="6"/>
  <c r="J327" i="6"/>
  <c r="M350" i="6"/>
  <c r="M475" i="6"/>
  <c r="J452" i="6"/>
  <c r="J377" i="6"/>
  <c r="M400" i="6"/>
  <c r="M375" i="6"/>
  <c r="J352" i="6"/>
  <c r="J402" i="6"/>
  <c r="M425" i="6"/>
  <c r="M325" i="6"/>
  <c r="J302" i="6"/>
  <c r="M40" i="3"/>
  <c r="AA10" i="2"/>
  <c r="AA40" i="3"/>
  <c r="R40" i="3"/>
  <c r="AB40" i="3"/>
  <c r="AG40" i="3"/>
  <c r="AD9" i="2"/>
  <c r="AN40" i="3"/>
  <c r="T40" i="3"/>
  <c r="Y40" i="3"/>
  <c r="N40" i="3"/>
  <c r="AK40" i="3"/>
  <c r="AE40" i="3"/>
  <c r="O40" i="3"/>
  <c r="W40" i="3"/>
  <c r="AF40" i="3"/>
  <c r="AD40" i="3"/>
  <c r="V40" i="3"/>
  <c r="X40" i="3"/>
  <c r="AL40" i="3"/>
  <c r="P40" i="3"/>
  <c r="AO40" i="3"/>
  <c r="U40" i="3"/>
  <c r="Q40" i="3"/>
  <c r="AH40" i="3"/>
  <c r="AI40" i="3"/>
  <c r="AM40" i="3"/>
  <c r="AC40" i="3"/>
  <c r="Z40" i="3"/>
  <c r="AP40" i="3"/>
  <c r="AJ40" i="3"/>
  <c r="S40" i="3"/>
  <c r="M41" i="3" l="1"/>
  <c r="AA11" i="2"/>
  <c r="N41" i="3"/>
  <c r="AL41" i="3"/>
  <c r="V41" i="3"/>
  <c r="Z41" i="3"/>
  <c r="U41" i="3"/>
  <c r="Y41" i="3"/>
  <c r="W41" i="3"/>
  <c r="AD41" i="3"/>
  <c r="AH41" i="3"/>
  <c r="O41" i="3"/>
  <c r="AF41" i="3"/>
  <c r="AG41" i="3"/>
  <c r="AO41" i="3"/>
  <c r="AB41" i="3"/>
  <c r="R41" i="3"/>
  <c r="AM41" i="3"/>
  <c r="P41" i="3"/>
  <c r="AN41" i="3"/>
  <c r="AA41" i="3"/>
  <c r="T41" i="3"/>
  <c r="AP41" i="3"/>
  <c r="AC41" i="3"/>
  <c r="AC10" i="2"/>
  <c r="Q41" i="3"/>
  <c r="X41" i="3"/>
  <c r="AJ41" i="3"/>
  <c r="AK41" i="3"/>
  <c r="AF10" i="2"/>
  <c r="AB10" i="2"/>
  <c r="AG10" i="2"/>
  <c r="AI41" i="3"/>
  <c r="S41" i="3"/>
  <c r="AD10" i="2"/>
  <c r="AH10" i="2"/>
  <c r="AE10" i="2"/>
  <c r="AE41" i="3"/>
  <c r="M42" i="3" l="1"/>
  <c r="AA12" i="2"/>
  <c r="AD42" i="3"/>
  <c r="T42" i="3"/>
  <c r="Q42" i="3"/>
  <c r="U42" i="3"/>
  <c r="AB11" i="2"/>
  <c r="AN42" i="3"/>
  <c r="AE42" i="3"/>
  <c r="AI42" i="3"/>
  <c r="X42" i="3"/>
  <c r="AD11" i="2"/>
  <c r="AH11" i="2"/>
  <c r="AC42" i="3"/>
  <c r="AJ42" i="3"/>
  <c r="AL42" i="3"/>
  <c r="P42" i="3"/>
  <c r="AM42" i="3"/>
  <c r="AO42" i="3"/>
  <c r="AA42" i="3"/>
  <c r="AB42" i="3"/>
  <c r="AH42" i="3"/>
  <c r="Y42" i="3"/>
  <c r="AK42" i="3"/>
  <c r="O42" i="3"/>
  <c r="AE11" i="2"/>
  <c r="AF11" i="2"/>
  <c r="W42" i="3"/>
  <c r="AF42" i="3"/>
  <c r="AG11" i="2"/>
  <c r="AG42" i="3"/>
  <c r="V42" i="3"/>
  <c r="AC11" i="2"/>
  <c r="N42" i="3"/>
  <c r="Z42" i="3"/>
  <c r="S42" i="3"/>
  <c r="AP42" i="3"/>
  <c r="R42" i="3"/>
  <c r="M43" i="3" l="1"/>
  <c r="AA13" i="2"/>
  <c r="AL43" i="3"/>
  <c r="AC12" i="2"/>
  <c r="T43" i="3"/>
  <c r="AO43" i="3"/>
  <c r="N43" i="3"/>
  <c r="AE43" i="3"/>
  <c r="W43" i="3"/>
  <c r="Z43" i="3"/>
  <c r="X43" i="3"/>
  <c r="U43" i="3"/>
  <c r="P43" i="3"/>
  <c r="AH12" i="2"/>
  <c r="AB43" i="3"/>
  <c r="AG43" i="3"/>
  <c r="AG12" i="2"/>
  <c r="AD12" i="2"/>
  <c r="AH43" i="3"/>
  <c r="AF12" i="2"/>
  <c r="AD43" i="3"/>
  <c r="O43" i="3"/>
  <c r="AP43" i="3"/>
  <c r="AI43" i="3"/>
  <c r="AM43" i="3"/>
  <c r="AN43" i="3"/>
  <c r="AF43" i="3"/>
  <c r="R43" i="3"/>
  <c r="AE12" i="2"/>
  <c r="AK43" i="3"/>
  <c r="Q43" i="3"/>
  <c r="AC43" i="3"/>
  <c r="S43" i="3"/>
  <c r="AA43" i="3"/>
  <c r="AJ43" i="3"/>
  <c r="V43" i="3"/>
  <c r="Y43" i="3"/>
  <c r="M44" i="3" l="1"/>
  <c r="AA14" i="2"/>
  <c r="AJ44" i="3"/>
  <c r="AM44" i="3"/>
  <c r="Z44" i="3"/>
  <c r="AD13" i="2"/>
  <c r="AB13" i="2"/>
  <c r="N44" i="3"/>
  <c r="AK44" i="3"/>
  <c r="AE44" i="3"/>
  <c r="AF44" i="3"/>
  <c r="O44" i="3"/>
  <c r="AE13" i="2"/>
  <c r="S44" i="3"/>
  <c r="AN44" i="3"/>
  <c r="P44" i="3"/>
  <c r="AG44" i="3"/>
  <c r="AI44" i="3"/>
  <c r="W44" i="3"/>
  <c r="AL44" i="3"/>
  <c r="X44" i="3"/>
  <c r="Y44" i="3"/>
  <c r="T44" i="3"/>
  <c r="AG13" i="2"/>
  <c r="AB44" i="3"/>
  <c r="AD44" i="3"/>
  <c r="AH44" i="3"/>
  <c r="Q44" i="3"/>
  <c r="AA44" i="3"/>
  <c r="AO44" i="3"/>
  <c r="R44" i="3"/>
  <c r="AP44" i="3"/>
  <c r="V44" i="3"/>
  <c r="AH13" i="2"/>
  <c r="AF13" i="2"/>
  <c r="AC13" i="2"/>
  <c r="AC44" i="3"/>
  <c r="U44" i="3"/>
  <c r="M45" i="3" l="1"/>
  <c r="AA15" i="2"/>
  <c r="AG14" i="2"/>
  <c r="AK45" i="3"/>
  <c r="O45" i="3"/>
  <c r="V45" i="3"/>
  <c r="R45" i="3"/>
  <c r="Z45" i="3"/>
  <c r="AB45" i="3"/>
  <c r="P45" i="3"/>
  <c r="AH45" i="3"/>
  <c r="AE45" i="3"/>
  <c r="AE14" i="2"/>
  <c r="AI45" i="3"/>
  <c r="AJ45" i="3"/>
  <c r="U45" i="3"/>
  <c r="AL45" i="3"/>
  <c r="AP45" i="3"/>
  <c r="AD14" i="2"/>
  <c r="AF45" i="3"/>
  <c r="W45" i="3"/>
  <c r="AC45" i="3"/>
  <c r="AG45" i="3"/>
  <c r="Y45" i="3"/>
  <c r="AB14" i="2"/>
  <c r="T45" i="3"/>
  <c r="X45" i="3"/>
  <c r="AD45" i="3"/>
  <c r="AN45" i="3"/>
  <c r="N45" i="3"/>
  <c r="Q45" i="3"/>
  <c r="AF14" i="2"/>
  <c r="AO45" i="3"/>
  <c r="AM45" i="3"/>
  <c r="S45" i="3"/>
  <c r="AC14" i="2"/>
  <c r="AH14" i="2"/>
  <c r="AA45" i="3"/>
  <c r="M46" i="3" l="1"/>
  <c r="AA16" i="2"/>
  <c r="R46" i="3"/>
  <c r="AC46" i="3"/>
  <c r="AD46" i="3"/>
  <c r="Y46" i="3"/>
  <c r="AH46" i="3"/>
  <c r="AN46" i="3"/>
  <c r="P46" i="3"/>
  <c r="AK46" i="3"/>
  <c r="Z46" i="3"/>
  <c r="W46" i="3"/>
  <c r="O46" i="3"/>
  <c r="AE15" i="2"/>
  <c r="AP46" i="3"/>
  <c r="AF46" i="3"/>
  <c r="AD15" i="2"/>
  <c r="AI46" i="3"/>
  <c r="V46" i="3"/>
  <c r="U46" i="3"/>
  <c r="AO46" i="3"/>
  <c r="X46" i="3"/>
  <c r="AH15" i="2"/>
  <c r="Q46" i="3"/>
  <c r="AG46" i="3"/>
  <c r="AB15" i="2"/>
  <c r="AB46" i="3"/>
  <c r="AL46" i="3"/>
  <c r="N46" i="3"/>
  <c r="AJ46" i="3"/>
  <c r="AM46" i="3"/>
  <c r="AA46" i="3"/>
  <c r="AG15" i="2"/>
  <c r="T46" i="3"/>
  <c r="S46" i="3"/>
  <c r="AF15" i="2"/>
  <c r="AE46" i="3"/>
  <c r="AC15" i="2"/>
  <c r="M47" i="3" l="1"/>
  <c r="AA18" i="2"/>
  <c r="AF47" i="3"/>
  <c r="AO47" i="3"/>
  <c r="AC16" i="2"/>
  <c r="AJ47" i="3"/>
  <c r="AK47" i="3"/>
  <c r="AH16" i="2"/>
  <c r="AA47" i="3"/>
  <c r="T47" i="3"/>
  <c r="Z47" i="3"/>
  <c r="R47" i="3"/>
  <c r="S47" i="3"/>
  <c r="AG16" i="2"/>
  <c r="AF16" i="2"/>
  <c r="AN47" i="3"/>
  <c r="W47" i="3"/>
  <c r="Y47" i="3"/>
  <c r="N47" i="3"/>
  <c r="AH47" i="3"/>
  <c r="AB16" i="2"/>
  <c r="AG47" i="3"/>
  <c r="AM47" i="3"/>
  <c r="AB47" i="3"/>
  <c r="AE47" i="3"/>
  <c r="Q47" i="3"/>
  <c r="X47" i="3"/>
  <c r="AD47" i="3"/>
  <c r="AC47" i="3"/>
  <c r="AI47" i="3"/>
  <c r="AP47" i="3"/>
  <c r="U47" i="3"/>
  <c r="P47" i="3"/>
  <c r="O47" i="3"/>
  <c r="AD16" i="2"/>
  <c r="AE16" i="2"/>
  <c r="AL47" i="3"/>
  <c r="V47" i="3"/>
  <c r="M48" i="3" l="1"/>
  <c r="AA19" i="2"/>
  <c r="AL48" i="3"/>
  <c r="W48" i="3"/>
  <c r="U48" i="3"/>
  <c r="V48" i="3"/>
  <c r="AF48" i="3"/>
  <c r="AM48" i="3"/>
  <c r="AC48" i="3"/>
  <c r="AB18" i="2"/>
  <c r="Y48" i="3"/>
  <c r="AD18" i="2"/>
  <c r="P48" i="3"/>
  <c r="AO48" i="3"/>
  <c r="AI48" i="3"/>
  <c r="AE48" i="3"/>
  <c r="R48" i="3"/>
  <c r="AG18" i="2"/>
  <c r="AN48" i="3"/>
  <c r="O48" i="3"/>
  <c r="AB48" i="3"/>
  <c r="AH48" i="3"/>
  <c r="AH18" i="2"/>
  <c r="X48" i="3"/>
  <c r="S48" i="3"/>
  <c r="AC18" i="2"/>
  <c r="AE18" i="2"/>
  <c r="N48" i="3"/>
  <c r="Z48" i="3"/>
  <c r="T48" i="3"/>
  <c r="AG48" i="3"/>
  <c r="AJ48" i="3"/>
  <c r="AA48" i="3"/>
  <c r="AK48" i="3"/>
  <c r="AP48" i="3"/>
  <c r="AD48" i="3"/>
  <c r="Q48" i="3"/>
  <c r="AF18" i="2"/>
  <c r="M49" i="3" l="1"/>
  <c r="AA20" i="2"/>
  <c r="AD19" i="2"/>
  <c r="R49" i="3"/>
  <c r="AB19" i="2"/>
  <c r="AA49" i="3"/>
  <c r="AC19" i="2"/>
  <c r="AG19" i="2"/>
  <c r="AD49" i="3"/>
  <c r="P49" i="3"/>
  <c r="Q49" i="3"/>
  <c r="AK49" i="3"/>
  <c r="AH19" i="2"/>
  <c r="AE49" i="3"/>
  <c r="W49" i="3"/>
  <c r="AJ49" i="3"/>
  <c r="Y49" i="3"/>
  <c r="N49" i="3"/>
  <c r="Z49" i="3"/>
  <c r="AP49" i="3"/>
  <c r="AG49" i="3"/>
  <c r="U49" i="3"/>
  <c r="AL49" i="3"/>
  <c r="AN49" i="3"/>
  <c r="AE19" i="2"/>
  <c r="X49" i="3"/>
  <c r="AO49" i="3"/>
  <c r="V49" i="3"/>
  <c r="AC49" i="3"/>
  <c r="O49" i="3"/>
  <c r="AH49" i="3"/>
  <c r="T49" i="3"/>
  <c r="AI49" i="3"/>
  <c r="AF19" i="2"/>
  <c r="AF49" i="3"/>
  <c r="AM49" i="3"/>
  <c r="AB49" i="3"/>
  <c r="S49" i="3"/>
  <c r="Q59" i="6" l="1"/>
  <c r="Q184" i="6"/>
  <c r="Q234" i="6"/>
  <c r="Q259" i="6"/>
  <c r="Q134" i="6"/>
  <c r="Q34" i="6"/>
  <c r="Q109" i="6"/>
  <c r="Q9" i="6"/>
  <c r="Q159" i="6"/>
  <c r="Q284" i="6"/>
  <c r="Q84" i="6"/>
  <c r="Q209" i="6"/>
  <c r="Q128" i="6"/>
  <c r="Q278" i="6"/>
  <c r="Q53" i="6"/>
  <c r="Q253" i="6"/>
  <c r="Q28" i="6"/>
  <c r="Q3" i="6"/>
  <c r="Q203" i="6"/>
  <c r="Q228" i="6"/>
  <c r="Q153" i="6"/>
  <c r="Q103" i="6"/>
  <c r="Q178" i="6"/>
  <c r="Q78" i="6"/>
  <c r="Q193" i="6"/>
  <c r="Q168" i="6"/>
  <c r="Q143" i="6"/>
  <c r="Q93" i="6"/>
  <c r="Q18" i="6"/>
  <c r="Q68" i="6"/>
  <c r="Q43" i="6"/>
  <c r="Q243" i="6"/>
  <c r="Q218" i="6"/>
  <c r="Q268" i="6"/>
  <c r="Q118" i="6"/>
  <c r="Q293" i="6"/>
  <c r="Q217" i="6"/>
  <c r="Q17" i="6"/>
  <c r="Q167" i="6"/>
  <c r="Q117" i="6"/>
  <c r="Q242" i="6"/>
  <c r="Q142" i="6"/>
  <c r="Q92" i="6"/>
  <c r="Q67" i="6"/>
  <c r="Q292" i="6"/>
  <c r="Q192" i="6"/>
  <c r="Q42" i="6"/>
  <c r="Q267" i="6"/>
  <c r="Q45" i="6"/>
  <c r="Q220" i="6"/>
  <c r="Q270" i="6"/>
  <c r="Q170" i="6"/>
  <c r="Q95" i="6"/>
  <c r="Q295" i="6"/>
  <c r="Q120" i="6"/>
  <c r="Q20" i="6"/>
  <c r="Q195" i="6"/>
  <c r="Q70" i="6"/>
  <c r="Q145" i="6"/>
  <c r="Q245" i="6"/>
  <c r="Q281" i="6"/>
  <c r="Q181" i="6"/>
  <c r="Q6" i="6"/>
  <c r="Q31" i="6"/>
  <c r="Q81" i="6"/>
  <c r="Q131" i="6"/>
  <c r="Q156" i="6"/>
  <c r="Q256" i="6"/>
  <c r="Q206" i="6"/>
  <c r="Q106" i="6"/>
  <c r="Q56" i="6"/>
  <c r="Q231" i="6"/>
  <c r="Q288" i="6"/>
  <c r="Q88" i="6"/>
  <c r="Q263" i="6"/>
  <c r="Q63" i="6"/>
  <c r="Q238" i="6"/>
  <c r="Q13" i="6"/>
  <c r="Q38" i="6"/>
  <c r="Q138" i="6"/>
  <c r="Q188" i="6"/>
  <c r="Q213" i="6"/>
  <c r="Q163" i="6"/>
  <c r="Q113" i="6"/>
  <c r="Q286" i="6"/>
  <c r="Q261" i="6"/>
  <c r="Q61" i="6"/>
  <c r="Q136" i="6"/>
  <c r="Q86" i="6"/>
  <c r="Q211" i="6"/>
  <c r="Q36" i="6"/>
  <c r="Q11" i="6"/>
  <c r="Q236" i="6"/>
  <c r="Q111" i="6"/>
  <c r="Q161" i="6"/>
  <c r="Q186" i="6"/>
  <c r="BA23" i="4"/>
  <c r="BD20" i="13"/>
  <c r="BF24" i="4"/>
  <c r="BE31" i="4"/>
  <c r="Q272" i="6"/>
  <c r="BD28" i="4"/>
  <c r="BD37" i="13"/>
  <c r="BE20" i="13"/>
  <c r="BC29" i="4"/>
  <c r="BF27" i="4"/>
  <c r="BA27" i="4"/>
  <c r="BC20" i="13"/>
  <c r="BC20" i="4"/>
  <c r="BD24" i="13"/>
  <c r="BA22" i="4"/>
  <c r="BB23" i="4"/>
  <c r="BB35" i="13"/>
  <c r="BC28" i="4"/>
  <c r="BD35" i="13"/>
  <c r="BA28" i="4"/>
  <c r="BC25" i="13"/>
  <c r="BB21" i="4"/>
  <c r="BA31" i="4"/>
  <c r="BD29" i="4"/>
  <c r="BE23" i="13"/>
  <c r="BC37" i="13"/>
  <c r="BD23" i="4"/>
  <c r="BD28" i="13"/>
  <c r="BF29" i="4"/>
  <c r="BB28" i="13"/>
  <c r="BD26" i="13"/>
  <c r="BD27" i="4"/>
  <c r="BC30" i="13"/>
  <c r="BF19" i="4"/>
  <c r="BD20" i="4"/>
  <c r="BC30" i="4"/>
  <c r="BF32" i="13"/>
  <c r="BF27" i="13"/>
  <c r="BC24" i="4"/>
  <c r="BE19" i="13"/>
  <c r="BA19" i="4"/>
  <c r="BB31" i="4"/>
  <c r="BD23" i="13"/>
  <c r="BA31" i="13"/>
  <c r="BE25" i="4"/>
  <c r="BD25" i="13"/>
  <c r="BC23" i="13"/>
  <c r="BA32" i="13"/>
  <c r="BD21" i="4"/>
  <c r="BC19" i="4"/>
  <c r="BB36" i="13"/>
  <c r="BF21" i="4"/>
  <c r="BF28" i="4"/>
  <c r="BF34" i="13"/>
  <c r="BC32" i="13"/>
  <c r="BA24" i="13"/>
  <c r="BE28" i="13"/>
  <c r="BA25" i="4"/>
  <c r="BA33" i="13"/>
  <c r="BD30" i="13"/>
  <c r="BE35" i="13"/>
  <c r="BA24" i="4"/>
  <c r="BF24" i="13"/>
  <c r="BC23" i="4"/>
  <c r="BC22" i="13"/>
  <c r="BF23" i="13"/>
  <c r="BB25" i="13"/>
  <c r="BC34" i="13"/>
  <c r="BE29" i="4"/>
  <c r="BA29" i="4"/>
  <c r="BD29" i="13"/>
  <c r="BA26" i="4"/>
  <c r="BB26" i="4"/>
  <c r="Q247" i="6"/>
  <c r="BA20" i="13"/>
  <c r="BF18" i="13"/>
  <c r="BB34" i="13"/>
  <c r="BC22" i="4"/>
  <c r="BC31" i="4"/>
  <c r="BE21" i="4"/>
  <c r="BF29" i="13"/>
  <c r="BC18" i="13"/>
  <c r="BB27" i="13"/>
  <c r="BB18" i="4"/>
  <c r="BE37" i="13"/>
  <c r="BA35" i="13"/>
  <c r="BD22" i="13"/>
  <c r="BC24" i="13"/>
  <c r="BF19" i="13"/>
  <c r="BF37" i="13"/>
  <c r="BE22" i="4"/>
  <c r="BA37" i="13"/>
  <c r="BC29" i="13"/>
  <c r="BC27" i="13"/>
  <c r="BF23" i="4"/>
  <c r="BC21" i="4"/>
  <c r="BB27" i="4"/>
  <c r="BC26" i="13"/>
  <c r="BA26" i="13"/>
  <c r="BC31" i="13"/>
  <c r="BB24" i="13"/>
  <c r="BB23" i="13"/>
  <c r="Q222" i="6"/>
  <c r="BF18" i="4"/>
  <c r="BC27" i="4"/>
  <c r="BE31" i="13"/>
  <c r="BC35" i="13"/>
  <c r="BE25" i="13"/>
  <c r="BC19" i="13"/>
  <c r="BF35" i="13"/>
  <c r="BC28" i="13"/>
  <c r="BA25" i="13"/>
  <c r="BE29" i="13"/>
  <c r="BE24" i="4"/>
  <c r="BB25" i="4"/>
  <c r="BB21" i="13"/>
  <c r="BB19" i="13"/>
  <c r="BA30" i="4"/>
  <c r="BF30" i="13"/>
  <c r="BD18" i="13"/>
  <c r="BE30" i="13"/>
  <c r="BF25" i="4"/>
  <c r="BF26" i="4"/>
  <c r="Q172" i="6"/>
  <c r="BD18" i="4"/>
  <c r="BB31" i="13"/>
  <c r="BF20" i="13"/>
  <c r="Q72" i="6"/>
  <c r="BB28" i="4"/>
  <c r="BA21" i="4"/>
  <c r="BB22" i="13"/>
  <c r="BB37" i="13"/>
  <c r="Q122" i="6"/>
  <c r="BD32" i="13"/>
  <c r="BD31" i="13"/>
  <c r="BE27" i="13"/>
  <c r="BC21" i="13"/>
  <c r="BE18" i="4"/>
  <c r="BD25" i="4"/>
  <c r="BB30" i="13"/>
  <c r="BF20" i="4"/>
  <c r="BA22" i="13"/>
  <c r="BA27" i="13"/>
  <c r="BE23" i="4"/>
  <c r="BB32" i="13"/>
  <c r="BA29" i="13"/>
  <c r="BF30" i="4"/>
  <c r="BD26" i="4"/>
  <c r="BB26" i="13"/>
  <c r="BA20" i="4"/>
  <c r="BA19" i="13"/>
  <c r="BD36" i="13"/>
  <c r="BD34" i="13"/>
  <c r="BA34" i="13"/>
  <c r="BB18" i="13"/>
  <c r="Q197" i="6"/>
  <c r="BA30" i="13"/>
  <c r="BE32" i="13"/>
  <c r="BF22" i="13"/>
  <c r="BE27" i="4"/>
  <c r="BE36" i="13"/>
  <c r="BE34" i="13"/>
  <c r="Q97" i="6"/>
  <c r="BA28" i="13"/>
  <c r="BF21" i="13"/>
  <c r="BE28" i="4"/>
  <c r="Q47" i="6"/>
  <c r="BB19" i="4"/>
  <c r="BF31" i="13"/>
  <c r="BE18" i="13"/>
  <c r="BD19" i="4"/>
  <c r="BC26" i="4"/>
  <c r="BF25" i="13"/>
  <c r="BC36" i="13"/>
  <c r="BE30" i="4"/>
  <c r="BC18" i="4"/>
  <c r="BF33" i="13"/>
  <c r="BB29" i="4"/>
  <c r="BE24" i="13"/>
  <c r="BA18" i="13"/>
  <c r="BF22" i="4"/>
  <c r="BE26" i="4"/>
  <c r="BF28" i="13"/>
  <c r="BB29" i="13"/>
  <c r="BD27" i="13"/>
  <c r="BB24" i="4"/>
  <c r="BB20" i="13"/>
  <c r="BD31" i="4"/>
  <c r="BE22" i="13"/>
  <c r="BB20" i="4"/>
  <c r="BA18" i="4"/>
  <c r="BF26" i="13"/>
  <c r="BD30" i="4"/>
  <c r="BF36" i="13"/>
  <c r="BD22" i="4"/>
  <c r="BB22" i="4"/>
  <c r="BC33" i="13"/>
  <c r="BA21" i="13"/>
  <c r="BD24" i="4"/>
  <c r="BD21" i="13"/>
  <c r="BF31" i="4"/>
  <c r="BA23" i="13"/>
  <c r="BE33" i="13"/>
  <c r="BE19" i="4"/>
  <c r="BD33" i="13"/>
  <c r="BB33" i="13"/>
  <c r="Q297" i="6"/>
  <c r="BD19" i="13"/>
  <c r="BE21" i="13"/>
  <c r="BE20" i="4"/>
  <c r="BB30" i="4"/>
  <c r="Q147" i="6"/>
  <c r="BC25" i="4"/>
  <c r="BA36" i="13"/>
  <c r="Q22" i="6"/>
  <c r="BE26" i="13"/>
  <c r="Q64" i="6"/>
  <c r="Q14" i="6"/>
  <c r="Q89" i="6"/>
  <c r="Q264" i="6"/>
  <c r="Q289" i="6"/>
  <c r="Q164" i="6"/>
  <c r="Q189" i="6"/>
  <c r="Q139" i="6"/>
  <c r="Q114" i="6"/>
  <c r="Q39" i="6"/>
  <c r="Q214" i="6"/>
  <c r="Q239" i="6"/>
  <c r="Q16" i="6"/>
  <c r="Q41" i="6"/>
  <c r="Q266" i="6"/>
  <c r="Q166" i="6"/>
  <c r="Q116" i="6"/>
  <c r="Q141" i="6"/>
  <c r="Q216" i="6"/>
  <c r="Q91" i="6"/>
  <c r="Q191" i="6"/>
  <c r="Q66" i="6"/>
  <c r="Q291" i="6"/>
  <c r="Q241" i="6"/>
  <c r="Q137" i="6"/>
  <c r="Q162" i="6"/>
  <c r="Q37" i="6"/>
  <c r="Q237" i="6"/>
  <c r="Q87" i="6"/>
  <c r="Q187" i="6"/>
  <c r="Q262" i="6"/>
  <c r="Q62" i="6"/>
  <c r="Q212" i="6"/>
  <c r="Q287" i="6"/>
  <c r="Q112" i="6"/>
  <c r="Q12" i="6"/>
  <c r="Q82" i="6"/>
  <c r="Q232" i="6"/>
  <c r="Q32" i="6"/>
  <c r="Q107" i="6"/>
  <c r="Q7" i="6"/>
  <c r="Q282" i="6"/>
  <c r="Q57" i="6"/>
  <c r="Q182" i="6"/>
  <c r="Q207" i="6"/>
  <c r="Q257" i="6"/>
  <c r="Q132" i="6"/>
  <c r="Q157" i="6"/>
  <c r="Q129" i="6"/>
  <c r="Q179" i="6"/>
  <c r="Q29" i="6"/>
  <c r="Q104" i="6"/>
  <c r="Q279" i="6"/>
  <c r="Q204" i="6"/>
  <c r="Q254" i="6"/>
  <c r="Q154" i="6"/>
  <c r="Q4" i="6"/>
  <c r="Q79" i="6"/>
  <c r="Q54" i="6"/>
  <c r="Q229" i="6"/>
  <c r="Q285" i="6"/>
  <c r="E281" i="6" s="1"/>
  <c r="Q85" i="6"/>
  <c r="E81" i="6" s="1"/>
  <c r="Q110" i="6"/>
  <c r="E106" i="6" s="1"/>
  <c r="Q185" i="6"/>
  <c r="E181" i="6" s="1"/>
  <c r="Q35" i="6"/>
  <c r="E31" i="6" s="1"/>
  <c r="Q135" i="6"/>
  <c r="E131" i="6" s="1"/>
  <c r="Q210" i="6"/>
  <c r="E206" i="6" s="1"/>
  <c r="Q60" i="6"/>
  <c r="E56" i="6" s="1"/>
  <c r="Q160" i="6"/>
  <c r="E156" i="6" s="1"/>
  <c r="Q235" i="6"/>
  <c r="E231" i="6" s="1"/>
  <c r="Q260" i="6"/>
  <c r="E256" i="6" s="1"/>
  <c r="Q10" i="6"/>
  <c r="E6" i="6" s="1"/>
  <c r="Q27" i="6"/>
  <c r="E27" i="6" s="1"/>
  <c r="Q77" i="6"/>
  <c r="E77" i="6" s="1"/>
  <c r="Q52" i="6"/>
  <c r="E52" i="6" s="1"/>
  <c r="Q152" i="6"/>
  <c r="E152" i="6" s="1"/>
  <c r="Q177" i="6"/>
  <c r="E177" i="6" s="1"/>
  <c r="Q252" i="6"/>
  <c r="E252" i="6" s="1"/>
  <c r="Q2" i="6"/>
  <c r="E2" i="6" s="1"/>
  <c r="Q102" i="6"/>
  <c r="E102" i="6" s="1"/>
  <c r="Q127" i="6"/>
  <c r="E127" i="6" s="1"/>
  <c r="Q202" i="6"/>
  <c r="E202" i="6" s="1"/>
  <c r="Q277" i="6"/>
  <c r="E277" i="6" s="1"/>
  <c r="Q227" i="6"/>
  <c r="E227" i="6" s="1"/>
  <c r="Q219" i="6"/>
  <c r="Q194" i="6"/>
  <c r="Q294" i="6"/>
  <c r="Q119" i="6"/>
  <c r="Q244" i="6"/>
  <c r="Q19" i="6"/>
  <c r="Q69" i="6"/>
  <c r="Q94" i="6"/>
  <c r="Q144" i="6"/>
  <c r="Q169" i="6"/>
  <c r="Q44" i="6"/>
  <c r="Q269" i="6"/>
  <c r="Q280" i="6"/>
  <c r="Q105" i="6"/>
  <c r="Q230" i="6"/>
  <c r="Q205" i="6"/>
  <c r="Q130" i="6"/>
  <c r="Q30" i="6"/>
  <c r="Q5" i="6"/>
  <c r="Q155" i="6"/>
  <c r="Q180" i="6"/>
  <c r="Q255" i="6"/>
  <c r="Q55" i="6"/>
  <c r="Q80" i="6"/>
  <c r="AA21" i="2"/>
  <c r="AD20" i="2"/>
  <c r="AH20" i="2"/>
  <c r="AB20" i="2"/>
  <c r="AG20" i="2"/>
  <c r="AE20" i="2"/>
  <c r="AF20" i="2"/>
  <c r="AC20" i="2"/>
  <c r="Q233" i="6" l="1"/>
  <c r="E229" i="6" s="1"/>
  <c r="M229" i="6" s="1"/>
  <c r="M241" i="6" s="1"/>
  <c r="AZ36" i="13"/>
  <c r="AZ34" i="13"/>
  <c r="AZ32" i="13"/>
  <c r="Q190" i="6"/>
  <c r="AZ27" i="13"/>
  <c r="Q196" i="6"/>
  <c r="E180" i="6" s="1"/>
  <c r="Q58" i="6"/>
  <c r="E54" i="6" s="1"/>
  <c r="S54" i="6" s="1"/>
  <c r="S66" i="6" s="1"/>
  <c r="T63" i="6" s="1"/>
  <c r="O63" i="6" s="1"/>
  <c r="Q165" i="6"/>
  <c r="Q283" i="6"/>
  <c r="E279" i="6" s="1"/>
  <c r="S279" i="6" s="1"/>
  <c r="S291" i="6" s="1"/>
  <c r="T288" i="6" s="1"/>
  <c r="O288" i="6" s="1"/>
  <c r="Q140" i="6"/>
  <c r="Q33" i="6"/>
  <c r="E29" i="6" s="1"/>
  <c r="L29" i="6" s="1"/>
  <c r="N29" i="6" s="1"/>
  <c r="N41" i="6" s="1"/>
  <c r="Q65" i="6"/>
  <c r="Q108" i="6"/>
  <c r="E104" i="6" s="1"/>
  <c r="H104" i="6" s="1"/>
  <c r="Q46" i="6"/>
  <c r="E30" i="6" s="1"/>
  <c r="AZ22" i="13"/>
  <c r="H6" i="6"/>
  <c r="J6" i="6" s="1"/>
  <c r="R6" i="6" s="1"/>
  <c r="S6" i="6" s="1"/>
  <c r="F6" i="6"/>
  <c r="H231" i="6"/>
  <c r="J231" i="6" s="1"/>
  <c r="R231" i="6" s="1"/>
  <c r="S231" i="6" s="1"/>
  <c r="F231" i="6"/>
  <c r="AZ23" i="13"/>
  <c r="Q240" i="6"/>
  <c r="Q296" i="6"/>
  <c r="E280" i="6" s="1"/>
  <c r="H156" i="6"/>
  <c r="J156" i="6" s="1"/>
  <c r="L156" i="6" s="1"/>
  <c r="N156" i="6" s="1"/>
  <c r="F156" i="6"/>
  <c r="F56" i="6"/>
  <c r="H56" i="6"/>
  <c r="J56" i="6" s="1"/>
  <c r="R56" i="6" s="1"/>
  <c r="S56" i="6" s="1"/>
  <c r="Q158" i="6"/>
  <c r="E154" i="6" s="1"/>
  <c r="AZ28" i="13"/>
  <c r="AZ37" i="13"/>
  <c r="AZ24" i="13"/>
  <c r="AZ31" i="13"/>
  <c r="Q15" i="6"/>
  <c r="Q71" i="6"/>
  <c r="E55" i="6" s="1"/>
  <c r="AZ18" i="13"/>
  <c r="F256" i="6"/>
  <c r="H256" i="6"/>
  <c r="J256" i="6" s="1"/>
  <c r="R256" i="6" s="1"/>
  <c r="S256" i="6" s="1"/>
  <c r="Q83" i="6"/>
  <c r="E79" i="6" s="1"/>
  <c r="Q115" i="6"/>
  <c r="Q258" i="6"/>
  <c r="E254" i="6" s="1"/>
  <c r="AZ19" i="13"/>
  <c r="Q40" i="6"/>
  <c r="Q96" i="6"/>
  <c r="E80" i="6" s="1"/>
  <c r="AZ33" i="13"/>
  <c r="Q8" i="6"/>
  <c r="E4" i="6" s="1"/>
  <c r="H206" i="6"/>
  <c r="J206" i="6" s="1"/>
  <c r="L206" i="6" s="1"/>
  <c r="N206" i="6" s="1"/>
  <c r="F206" i="6"/>
  <c r="F131" i="6"/>
  <c r="H131" i="6"/>
  <c r="J131" i="6" s="1"/>
  <c r="L131" i="6" s="1"/>
  <c r="N131" i="6" s="1"/>
  <c r="Q208" i="6"/>
  <c r="E204" i="6" s="1"/>
  <c r="AZ21" i="13"/>
  <c r="Q215" i="6"/>
  <c r="Q146" i="6"/>
  <c r="E130" i="6" s="1"/>
  <c r="Q90" i="6"/>
  <c r="Q246" i="6"/>
  <c r="E230" i="6" s="1"/>
  <c r="F31" i="6"/>
  <c r="H31" i="6"/>
  <c r="J31" i="6" s="1"/>
  <c r="L31" i="6" s="1"/>
  <c r="N31" i="6" s="1"/>
  <c r="AZ25" i="13"/>
  <c r="Q121" i="6"/>
  <c r="E105" i="6" s="1"/>
  <c r="Q271" i="6"/>
  <c r="E255" i="6" s="1"/>
  <c r="H181" i="6"/>
  <c r="J181" i="6" s="1"/>
  <c r="L181" i="6" s="1"/>
  <c r="F181" i="6"/>
  <c r="H106" i="6"/>
  <c r="J106" i="6" s="1"/>
  <c r="R106" i="6" s="1"/>
  <c r="S106" i="6" s="1"/>
  <c r="F106" i="6"/>
  <c r="AZ26" i="13"/>
  <c r="Q171" i="6"/>
  <c r="E155" i="6" s="1"/>
  <c r="H81" i="6"/>
  <c r="J81" i="6" s="1"/>
  <c r="L81" i="6" s="1"/>
  <c r="N81" i="6" s="1"/>
  <c r="F81" i="6"/>
  <c r="AZ29" i="13"/>
  <c r="AZ35" i="13"/>
  <c r="Q265" i="6"/>
  <c r="Q21" i="6"/>
  <c r="E5" i="6" s="1"/>
  <c r="AZ20" i="13"/>
  <c r="Q183" i="6"/>
  <c r="E179" i="6" s="1"/>
  <c r="H281" i="6"/>
  <c r="J281" i="6" s="1"/>
  <c r="L281" i="6" s="1"/>
  <c r="N281" i="6" s="1"/>
  <c r="F281" i="6"/>
  <c r="Q133" i="6"/>
  <c r="E129" i="6" s="1"/>
  <c r="AZ30" i="13"/>
  <c r="Q290" i="6"/>
  <c r="Q221" i="6"/>
  <c r="E205" i="6" s="1"/>
  <c r="P8" i="3"/>
  <c r="N9" i="3"/>
  <c r="M9" i="3"/>
  <c r="P7" i="3"/>
  <c r="R7" i="3"/>
  <c r="N6" i="3"/>
  <c r="I98" i="5" s="1"/>
  <c r="M7" i="3"/>
  <c r="R10" i="3"/>
  <c r="P9" i="3"/>
  <c r="R8" i="3"/>
  <c r="P6" i="3"/>
  <c r="P10" i="3"/>
  <c r="M8" i="3"/>
  <c r="M6" i="3"/>
  <c r="N7" i="3"/>
  <c r="R6" i="3"/>
  <c r="N8" i="3"/>
  <c r="N10" i="3"/>
  <c r="M10" i="3"/>
  <c r="R9" i="3"/>
  <c r="AF21" i="2"/>
  <c r="AC21" i="2"/>
  <c r="AH21" i="2"/>
  <c r="AD21" i="2"/>
  <c r="AE21" i="2"/>
  <c r="AG21" i="2"/>
  <c r="S229" i="6" l="1"/>
  <c r="S241" i="6" s="1"/>
  <c r="T238" i="6" s="1"/>
  <c r="O238" i="6" s="1"/>
  <c r="R229" i="6"/>
  <c r="J229" i="6"/>
  <c r="H229" i="6"/>
  <c r="T229" i="6"/>
  <c r="T241" i="6" s="1"/>
  <c r="L229" i="6"/>
  <c r="N229" i="6" s="1"/>
  <c r="N241" i="6" s="1"/>
  <c r="L6" i="6"/>
  <c r="N6" i="6" s="1"/>
  <c r="L54" i="6"/>
  <c r="N54" i="6" s="1"/>
  <c r="N66" i="6" s="1"/>
  <c r="M54" i="6"/>
  <c r="M66" i="6" s="1"/>
  <c r="O68" i="6" s="1"/>
  <c r="H54" i="6"/>
  <c r="T29" i="6"/>
  <c r="T41" i="6" s="1"/>
  <c r="L56" i="6"/>
  <c r="M56" i="6" s="1"/>
  <c r="R206" i="6"/>
  <c r="S206" i="6" s="1"/>
  <c r="H29" i="6"/>
  <c r="T279" i="6"/>
  <c r="O279" i="6" s="1"/>
  <c r="O291" i="6" s="1"/>
  <c r="L279" i="6"/>
  <c r="N279" i="6" s="1"/>
  <c r="N291" i="6" s="1"/>
  <c r="R156" i="6"/>
  <c r="S156" i="6" s="1"/>
  <c r="J54" i="6"/>
  <c r="L106" i="6"/>
  <c r="N106" i="6" s="1"/>
  <c r="J29" i="6"/>
  <c r="M156" i="6"/>
  <c r="R279" i="6"/>
  <c r="M29" i="6"/>
  <c r="M41" i="6" s="1"/>
  <c r="M43" i="6" s="1"/>
  <c r="M44" i="6" s="1"/>
  <c r="M45" i="6" s="1"/>
  <c r="M46" i="6" s="1"/>
  <c r="M47" i="6" s="1"/>
  <c r="M279" i="6"/>
  <c r="M291" i="6" s="1"/>
  <c r="M293" i="6" s="1"/>
  <c r="S29" i="6"/>
  <c r="S41" i="6" s="1"/>
  <c r="T38" i="6" s="1"/>
  <c r="O38" i="6" s="1"/>
  <c r="T54" i="6"/>
  <c r="O54" i="6" s="1"/>
  <c r="O66" i="6" s="1"/>
  <c r="J279" i="6"/>
  <c r="R29" i="6"/>
  <c r="H279" i="6"/>
  <c r="M206" i="6"/>
  <c r="R281" i="6"/>
  <c r="S281" i="6" s="1"/>
  <c r="R104" i="6"/>
  <c r="S104" i="6"/>
  <c r="S116" i="6" s="1"/>
  <c r="T113" i="6" s="1"/>
  <c r="O113" i="6" s="1"/>
  <c r="R31" i="6"/>
  <c r="S31" i="6" s="1"/>
  <c r="R54" i="6"/>
  <c r="R81" i="6"/>
  <c r="S81" i="6" s="1"/>
  <c r="T104" i="6"/>
  <c r="T116" i="6" s="1"/>
  <c r="L256" i="6"/>
  <c r="M104" i="6"/>
  <c r="M116" i="6" s="1"/>
  <c r="M118" i="6" s="1"/>
  <c r="L104" i="6"/>
  <c r="N104" i="6" s="1"/>
  <c r="N116" i="6" s="1"/>
  <c r="J104" i="6"/>
  <c r="M181" i="6"/>
  <c r="N181" i="6"/>
  <c r="F155" i="6"/>
  <c r="H155" i="6"/>
  <c r="J155" i="6" s="1"/>
  <c r="L155" i="6" s="1"/>
  <c r="N155" i="6" s="1"/>
  <c r="L179" i="6"/>
  <c r="N179" i="6" s="1"/>
  <c r="N191" i="6" s="1"/>
  <c r="J179" i="6"/>
  <c r="R179" i="6"/>
  <c r="T179" i="6"/>
  <c r="M179" i="6"/>
  <c r="M191" i="6" s="1"/>
  <c r="H179" i="6"/>
  <c r="S179" i="6"/>
  <c r="S191" i="6" s="1"/>
  <c r="T188" i="6" s="1"/>
  <c r="O188" i="6" s="1"/>
  <c r="H230" i="6"/>
  <c r="J230" i="6" s="1"/>
  <c r="L230" i="6" s="1"/>
  <c r="F230" i="6"/>
  <c r="T79" i="6"/>
  <c r="J79" i="6"/>
  <c r="L79" i="6"/>
  <c r="N79" i="6" s="1"/>
  <c r="N91" i="6" s="1"/>
  <c r="H79" i="6"/>
  <c r="M79" i="6"/>
  <c r="M91" i="6" s="1"/>
  <c r="S79" i="6"/>
  <c r="S91" i="6" s="1"/>
  <c r="R79" i="6"/>
  <c r="L154" i="6"/>
  <c r="N154" i="6" s="1"/>
  <c r="N166" i="6" s="1"/>
  <c r="S154" i="6"/>
  <c r="S166" i="6" s="1"/>
  <c r="T163" i="6" s="1"/>
  <c r="O163" i="6" s="1"/>
  <c r="T154" i="6"/>
  <c r="H154" i="6"/>
  <c r="M154" i="6"/>
  <c r="M166" i="6" s="1"/>
  <c r="R154" i="6"/>
  <c r="J154" i="6"/>
  <c r="M81" i="6"/>
  <c r="M31" i="6"/>
  <c r="F130" i="6"/>
  <c r="H130" i="6"/>
  <c r="J130" i="6" s="1"/>
  <c r="L130" i="6" s="1"/>
  <c r="N130" i="6" s="1"/>
  <c r="T281" i="6"/>
  <c r="O281" i="6" s="1"/>
  <c r="H205" i="6"/>
  <c r="J205" i="6" s="1"/>
  <c r="L205" i="6" s="1"/>
  <c r="N205" i="6" s="1"/>
  <c r="F205" i="6"/>
  <c r="H30" i="6"/>
  <c r="J30" i="6" s="1"/>
  <c r="R30" i="6" s="1"/>
  <c r="S30" i="6" s="1"/>
  <c r="F30" i="6"/>
  <c r="F5" i="6"/>
  <c r="H5" i="6"/>
  <c r="J5" i="6" s="1"/>
  <c r="L5" i="6" s="1"/>
  <c r="N5" i="6" s="1"/>
  <c r="J4" i="6"/>
  <c r="S4" i="6"/>
  <c r="S16" i="6" s="1"/>
  <c r="T13" i="6" s="1"/>
  <c r="O13" i="6" s="1"/>
  <c r="M4" i="6"/>
  <c r="M16" i="6" s="1"/>
  <c r="L4" i="6"/>
  <c r="N4" i="6" s="1"/>
  <c r="N16" i="6" s="1"/>
  <c r="R4" i="6"/>
  <c r="H4" i="6"/>
  <c r="T4" i="6"/>
  <c r="H280" i="6"/>
  <c r="J280" i="6" s="1"/>
  <c r="R280" i="6" s="1"/>
  <c r="S280" i="6" s="1"/>
  <c r="F280" i="6"/>
  <c r="R181" i="6"/>
  <c r="S181" i="6" s="1"/>
  <c r="M243" i="6"/>
  <c r="O243" i="6"/>
  <c r="H204" i="6"/>
  <c r="J204" i="6"/>
  <c r="T204" i="6"/>
  <c r="R204" i="6"/>
  <c r="S204" i="6"/>
  <c r="S216" i="6" s="1"/>
  <c r="M204" i="6"/>
  <c r="M216" i="6" s="1"/>
  <c r="L204" i="6"/>
  <c r="N204" i="6" s="1"/>
  <c r="N216" i="6" s="1"/>
  <c r="H180" i="6"/>
  <c r="J180" i="6" s="1"/>
  <c r="L180" i="6" s="1"/>
  <c r="F180" i="6"/>
  <c r="L231" i="6"/>
  <c r="J129" i="6"/>
  <c r="S129" i="6"/>
  <c r="S141" i="6" s="1"/>
  <c r="T138" i="6" s="1"/>
  <c r="O138" i="6" s="1"/>
  <c r="L129" i="6"/>
  <c r="N129" i="6" s="1"/>
  <c r="N141" i="6" s="1"/>
  <c r="T129" i="6"/>
  <c r="M129" i="6"/>
  <c r="M141" i="6" s="1"/>
  <c r="H129" i="6"/>
  <c r="R129" i="6"/>
  <c r="M131" i="6"/>
  <c r="R131" i="6"/>
  <c r="S131" i="6" s="1"/>
  <c r="H80" i="6"/>
  <c r="J80" i="6" s="1"/>
  <c r="L80" i="6" s="1"/>
  <c r="F80" i="6"/>
  <c r="H55" i="6"/>
  <c r="J55" i="6" s="1"/>
  <c r="R55" i="6" s="1"/>
  <c r="S55" i="6" s="1"/>
  <c r="F55" i="6"/>
  <c r="F255" i="6"/>
  <c r="H255" i="6"/>
  <c r="J255" i="6" s="1"/>
  <c r="R255" i="6" s="1"/>
  <c r="S255" i="6" s="1"/>
  <c r="M281" i="6"/>
  <c r="F105" i="6"/>
  <c r="H105" i="6"/>
  <c r="J105" i="6" s="1"/>
  <c r="R105" i="6" s="1"/>
  <c r="S105" i="6" s="1"/>
  <c r="T254" i="6"/>
  <c r="S254" i="6"/>
  <c r="S266" i="6" s="1"/>
  <c r="T263" i="6" s="1"/>
  <c r="O263" i="6" s="1"/>
  <c r="R254" i="6"/>
  <c r="H254" i="6"/>
  <c r="L254" i="6"/>
  <c r="N254" i="6" s="1"/>
  <c r="N266" i="6" s="1"/>
  <c r="J254" i="6"/>
  <c r="M254" i="6"/>
  <c r="M266" i="6" s="1"/>
  <c r="Q251" i="6"/>
  <c r="Q276" i="6"/>
  <c r="Q226" i="6"/>
  <c r="Q176" i="6"/>
  <c r="Q151" i="6"/>
  <c r="Q201" i="6"/>
  <c r="Q101" i="6"/>
  <c r="Q76" i="6"/>
  <c r="Q126" i="6"/>
  <c r="Q26" i="6"/>
  <c r="Q51" i="6"/>
  <c r="G98" i="5"/>
  <c r="Q1" i="6"/>
  <c r="A70" i="9"/>
  <c r="I11" i="2"/>
  <c r="B7" i="2"/>
  <c r="B6" i="2"/>
  <c r="B8" i="2"/>
  <c r="M244" i="6" l="1"/>
  <c r="M245" i="6" s="1"/>
  <c r="M246" i="6" s="1"/>
  <c r="M247" i="6" s="1"/>
  <c r="M248" i="6" s="1"/>
  <c r="O69" i="6"/>
  <c r="O70" i="6" s="1"/>
  <c r="O71" i="6" s="1"/>
  <c r="O72" i="6" s="1"/>
  <c r="O74" i="6" s="1"/>
  <c r="I73" i="6" s="1"/>
  <c r="M68" i="6"/>
  <c r="M69" i="6" s="1"/>
  <c r="M70" i="6" s="1"/>
  <c r="M71" i="6" s="1"/>
  <c r="M72" i="6" s="1"/>
  <c r="M74" i="6" s="1"/>
  <c r="I74" i="6" s="1"/>
  <c r="O244" i="6"/>
  <c r="O245" i="6" s="1"/>
  <c r="O246" i="6" s="1"/>
  <c r="O247" i="6" s="1"/>
  <c r="O249" i="6" s="1"/>
  <c r="I248" i="6" s="1"/>
  <c r="O229" i="6"/>
  <c r="O241" i="6" s="1"/>
  <c r="T56" i="6"/>
  <c r="O56" i="6" s="1"/>
  <c r="M6" i="6"/>
  <c r="O29" i="6"/>
  <c r="O41" i="6" s="1"/>
  <c r="T31" i="6"/>
  <c r="O31" i="6" s="1"/>
  <c r="N56" i="6"/>
  <c r="M5" i="6"/>
  <c r="R5" i="6"/>
  <c r="S5" i="6" s="1"/>
  <c r="T291" i="6"/>
  <c r="L55" i="6"/>
  <c r="T55" i="6" s="1"/>
  <c r="O55" i="6" s="1"/>
  <c r="M106" i="6"/>
  <c r="M294" i="6"/>
  <c r="M295" i="6" s="1"/>
  <c r="M296" i="6" s="1"/>
  <c r="M297" i="6" s="1"/>
  <c r="G277" i="6" s="1"/>
  <c r="O43" i="6"/>
  <c r="O44" i="6" s="1"/>
  <c r="O45" i="6" s="1"/>
  <c r="O46" i="6" s="1"/>
  <c r="O47" i="6" s="1"/>
  <c r="O49" i="6" s="1"/>
  <c r="I48" i="6" s="1"/>
  <c r="R180" i="6"/>
  <c r="S180" i="6" s="1"/>
  <c r="L30" i="6"/>
  <c r="N30" i="6" s="1"/>
  <c r="M119" i="6"/>
  <c r="M120" i="6" s="1"/>
  <c r="M121" i="6" s="1"/>
  <c r="M122" i="6" s="1"/>
  <c r="M123" i="6" s="1"/>
  <c r="T256" i="6"/>
  <c r="O256" i="6" s="1"/>
  <c r="R205" i="6"/>
  <c r="S205" i="6" s="1"/>
  <c r="T66" i="6"/>
  <c r="O293" i="6"/>
  <c r="O294" i="6" s="1"/>
  <c r="O295" i="6" s="1"/>
  <c r="O296" i="6" s="1"/>
  <c r="O297" i="6" s="1"/>
  <c r="O299" i="6" s="1"/>
  <c r="I298" i="6" s="1"/>
  <c r="L280" i="6"/>
  <c r="N280" i="6" s="1"/>
  <c r="O104" i="6"/>
  <c r="O116" i="6" s="1"/>
  <c r="T131" i="6"/>
  <c r="O131" i="6" s="1"/>
  <c r="O118" i="6"/>
  <c r="O119" i="6" s="1"/>
  <c r="O120" i="6" s="1"/>
  <c r="O121" i="6" s="1"/>
  <c r="O122" i="6" s="1"/>
  <c r="O124" i="6" s="1"/>
  <c r="I123" i="6" s="1"/>
  <c r="T106" i="6"/>
  <c r="O106" i="6" s="1"/>
  <c r="R80" i="6"/>
  <c r="S80" i="6" s="1"/>
  <c r="N256" i="6"/>
  <c r="M256" i="6"/>
  <c r="T181" i="6"/>
  <c r="O181" i="6" s="1"/>
  <c r="N80" i="6"/>
  <c r="M80" i="6"/>
  <c r="T80" i="6"/>
  <c r="O80" i="6" s="1"/>
  <c r="N180" i="6"/>
  <c r="M180" i="6"/>
  <c r="T180" i="6"/>
  <c r="O180" i="6" s="1"/>
  <c r="N230" i="6"/>
  <c r="T230" i="6"/>
  <c r="O230" i="6" s="1"/>
  <c r="M230" i="6"/>
  <c r="L105" i="6"/>
  <c r="T213" i="6"/>
  <c r="O213" i="6" s="1"/>
  <c r="T206" i="6"/>
  <c r="O206" i="6" s="1"/>
  <c r="T166" i="6"/>
  <c r="O154" i="6"/>
  <c r="O166" i="6" s="1"/>
  <c r="R230" i="6"/>
  <c r="S230" i="6" s="1"/>
  <c r="T216" i="6"/>
  <c r="O204" i="6"/>
  <c r="O216" i="6" s="1"/>
  <c r="M130" i="6"/>
  <c r="M155" i="6"/>
  <c r="N231" i="6"/>
  <c r="M231" i="6"/>
  <c r="T231" i="6"/>
  <c r="O231" i="6" s="1"/>
  <c r="O4" i="6"/>
  <c r="O16" i="6" s="1"/>
  <c r="T16" i="6"/>
  <c r="R130" i="6"/>
  <c r="S130" i="6" s="1"/>
  <c r="R155" i="6"/>
  <c r="S155" i="6" s="1"/>
  <c r="T130" i="6"/>
  <c r="O130" i="6" s="1"/>
  <c r="T141" i="6"/>
  <c r="O129" i="6"/>
  <c r="O141" i="6" s="1"/>
  <c r="T205" i="6"/>
  <c r="O205" i="6" s="1"/>
  <c r="M93" i="6"/>
  <c r="M94" i="6" s="1"/>
  <c r="M95" i="6" s="1"/>
  <c r="M96" i="6" s="1"/>
  <c r="M97" i="6" s="1"/>
  <c r="O93" i="6"/>
  <c r="O94" i="6" s="1"/>
  <c r="O95" i="6" s="1"/>
  <c r="O96" i="6" s="1"/>
  <c r="O97" i="6" s="1"/>
  <c r="O99" i="6" s="1"/>
  <c r="I98" i="6" s="1"/>
  <c r="T266" i="6"/>
  <c r="O254" i="6"/>
  <c r="O266" i="6" s="1"/>
  <c r="M218" i="6"/>
  <c r="M219" i="6" s="1"/>
  <c r="M220" i="6" s="1"/>
  <c r="M221" i="6" s="1"/>
  <c r="M222" i="6" s="1"/>
  <c r="O218" i="6"/>
  <c r="O219" i="6" s="1"/>
  <c r="O220" i="6" s="1"/>
  <c r="O221" i="6" s="1"/>
  <c r="O222" i="6" s="1"/>
  <c r="O224" i="6" s="1"/>
  <c r="I223" i="6" s="1"/>
  <c r="T155" i="6"/>
  <c r="O155" i="6" s="1"/>
  <c r="M268" i="6"/>
  <c r="M269" i="6" s="1"/>
  <c r="M270" i="6" s="1"/>
  <c r="M271" i="6" s="1"/>
  <c r="M272" i="6" s="1"/>
  <c r="O268" i="6"/>
  <c r="O269" i="6" s="1"/>
  <c r="O270" i="6" s="1"/>
  <c r="O271" i="6" s="1"/>
  <c r="O272" i="6" s="1"/>
  <c r="O274" i="6" s="1"/>
  <c r="I273" i="6" s="1"/>
  <c r="T156" i="6"/>
  <c r="O156" i="6" s="1"/>
  <c r="T5" i="6"/>
  <c r="O5" i="6" s="1"/>
  <c r="T88" i="6"/>
  <c r="O88" i="6" s="1"/>
  <c r="T81" i="6"/>
  <c r="O81" i="6" s="1"/>
  <c r="M205" i="6"/>
  <c r="M193" i="6"/>
  <c r="M194" i="6" s="1"/>
  <c r="M195" i="6" s="1"/>
  <c r="M196" i="6" s="1"/>
  <c r="M197" i="6" s="1"/>
  <c r="O193" i="6"/>
  <c r="O194" i="6" s="1"/>
  <c r="O195" i="6" s="1"/>
  <c r="O196" i="6" s="1"/>
  <c r="O197" i="6" s="1"/>
  <c r="O199" i="6" s="1"/>
  <c r="I198" i="6" s="1"/>
  <c r="L255" i="6"/>
  <c r="M18" i="6"/>
  <c r="M19" i="6" s="1"/>
  <c r="M20" i="6" s="1"/>
  <c r="M21" i="6" s="1"/>
  <c r="M22" i="6" s="1"/>
  <c r="O18" i="6"/>
  <c r="O19" i="6" s="1"/>
  <c r="O20" i="6" s="1"/>
  <c r="O21" i="6" s="1"/>
  <c r="O22" i="6" s="1"/>
  <c r="O24" i="6" s="1"/>
  <c r="I23" i="6" s="1"/>
  <c r="T191" i="6"/>
  <c r="O179" i="6"/>
  <c r="O191" i="6" s="1"/>
  <c r="M49" i="6"/>
  <c r="I49" i="6" s="1"/>
  <c r="G27" i="6"/>
  <c r="M48" i="6"/>
  <c r="O79" i="6"/>
  <c r="O91" i="6" s="1"/>
  <c r="T91" i="6"/>
  <c r="T6" i="6"/>
  <c r="O6" i="6" s="1"/>
  <c r="M143" i="6"/>
  <c r="M144" i="6" s="1"/>
  <c r="M145" i="6" s="1"/>
  <c r="M146" i="6" s="1"/>
  <c r="M147" i="6" s="1"/>
  <c r="O143" i="6"/>
  <c r="O144" i="6" s="1"/>
  <c r="O145" i="6" s="1"/>
  <c r="O146" i="6" s="1"/>
  <c r="O147" i="6" s="1"/>
  <c r="O149" i="6" s="1"/>
  <c r="I148" i="6" s="1"/>
  <c r="M168" i="6"/>
  <c r="M169" i="6" s="1"/>
  <c r="M170" i="6" s="1"/>
  <c r="M171" i="6" s="1"/>
  <c r="M172" i="6" s="1"/>
  <c r="O168" i="6"/>
  <c r="O169" i="6" s="1"/>
  <c r="O170" i="6" s="1"/>
  <c r="O171" i="6" s="1"/>
  <c r="O172" i="6" s="1"/>
  <c r="O174" i="6" s="1"/>
  <c r="I173" i="6" s="1"/>
  <c r="C229" i="6"/>
  <c r="K226" i="6" s="1"/>
  <c r="A226" i="6"/>
  <c r="C230" i="6"/>
  <c r="A276" i="6"/>
  <c r="C280" i="6"/>
  <c r="C279" i="6"/>
  <c r="K276" i="6" s="1"/>
  <c r="C254" i="6"/>
  <c r="K251" i="6" s="1"/>
  <c r="C255" i="6"/>
  <c r="A251" i="6"/>
  <c r="C205" i="6"/>
  <c r="A201" i="6"/>
  <c r="C204" i="6"/>
  <c r="K201" i="6" s="1"/>
  <c r="C155" i="6"/>
  <c r="C154" i="6"/>
  <c r="K151" i="6" s="1"/>
  <c r="A151" i="6"/>
  <c r="C179" i="6"/>
  <c r="K176" i="6" s="1"/>
  <c r="A176" i="6"/>
  <c r="C180" i="6"/>
  <c r="A126" i="6"/>
  <c r="C130" i="6"/>
  <c r="C129" i="6"/>
  <c r="K126" i="6" s="1"/>
  <c r="C79" i="6"/>
  <c r="K76" i="6" s="1"/>
  <c r="C80" i="6"/>
  <c r="A76" i="6"/>
  <c r="C105" i="6"/>
  <c r="A101" i="6"/>
  <c r="C104" i="6"/>
  <c r="K101" i="6" s="1"/>
  <c r="C54" i="6"/>
  <c r="K51" i="6" s="1"/>
  <c r="A51" i="6"/>
  <c r="C55" i="6"/>
  <c r="C30" i="6"/>
  <c r="A26" i="6"/>
  <c r="C29" i="6"/>
  <c r="K26" i="6" s="1"/>
  <c r="C5" i="6"/>
  <c r="A1" i="6"/>
  <c r="C4" i="6"/>
  <c r="K1" i="6" s="1"/>
  <c r="V16" i="3"/>
  <c r="M73" i="6" l="1"/>
  <c r="J52" i="6" s="1"/>
  <c r="G227" i="6"/>
  <c r="M249" i="6"/>
  <c r="I249" i="6" s="1"/>
  <c r="G52" i="6"/>
  <c r="M30" i="6"/>
  <c r="M124" i="6"/>
  <c r="I124" i="6" s="1"/>
  <c r="M299" i="6"/>
  <c r="I299" i="6" s="1"/>
  <c r="G102" i="6"/>
  <c r="M298" i="6"/>
  <c r="J277" i="6" s="1"/>
  <c r="N55" i="6"/>
  <c r="M55" i="6"/>
  <c r="T30" i="6"/>
  <c r="O30" i="6" s="1"/>
  <c r="M280" i="6"/>
  <c r="T280" i="6"/>
  <c r="O280" i="6" s="1"/>
  <c r="J102" i="6"/>
  <c r="M125" i="6"/>
  <c r="M149" i="6"/>
  <c r="I149" i="6" s="1"/>
  <c r="M148" i="6"/>
  <c r="G127" i="6"/>
  <c r="M273" i="6"/>
  <c r="M274" i="6"/>
  <c r="I274" i="6" s="1"/>
  <c r="G252" i="6"/>
  <c r="M199" i="6"/>
  <c r="I199" i="6" s="1"/>
  <c r="G177" i="6"/>
  <c r="M198" i="6"/>
  <c r="M224" i="6"/>
  <c r="I224" i="6" s="1"/>
  <c r="M223" i="6"/>
  <c r="G202" i="6"/>
  <c r="M50" i="6"/>
  <c r="J27" i="6"/>
  <c r="J227" i="6"/>
  <c r="M250" i="6"/>
  <c r="T255" i="6"/>
  <c r="O255" i="6" s="1"/>
  <c r="N255" i="6"/>
  <c r="M255" i="6"/>
  <c r="G152" i="6"/>
  <c r="M174" i="6"/>
  <c r="I174" i="6" s="1"/>
  <c r="M173" i="6"/>
  <c r="M98" i="6"/>
  <c r="M99" i="6"/>
  <c r="I99" i="6" s="1"/>
  <c r="G77" i="6"/>
  <c r="M24" i="6"/>
  <c r="I24" i="6" s="1"/>
  <c r="M23" i="6"/>
  <c r="G2" i="6"/>
  <c r="T105" i="6"/>
  <c r="O105" i="6" s="1"/>
  <c r="N105" i="6"/>
  <c r="M105" i="6"/>
  <c r="W30" i="4"/>
  <c r="X24" i="4"/>
  <c r="H116" i="5" s="1"/>
  <c r="W19" i="4"/>
  <c r="X29" i="4"/>
  <c r="H121" i="5" s="1"/>
  <c r="W24" i="4"/>
  <c r="W29" i="4"/>
  <c r="X23" i="4"/>
  <c r="H115" i="5" s="1"/>
  <c r="X28" i="4"/>
  <c r="H120" i="5" s="1"/>
  <c r="W23" i="4"/>
  <c r="X22" i="4"/>
  <c r="H114" i="5" s="1"/>
  <c r="W27" i="4"/>
  <c r="W28" i="4"/>
  <c r="X27" i="4"/>
  <c r="H119" i="5" s="1"/>
  <c r="W22" i="4"/>
  <c r="X31" i="4"/>
  <c r="X25" i="4"/>
  <c r="H117" i="5" s="1"/>
  <c r="X20" i="4"/>
  <c r="H112" i="5" s="1"/>
  <c r="W31" i="4"/>
  <c r="X30" i="4"/>
  <c r="X26" i="4"/>
  <c r="H118" i="5" s="1"/>
  <c r="W25" i="4"/>
  <c r="X21" i="4"/>
  <c r="H113" i="5" s="1"/>
  <c r="W20" i="4"/>
  <c r="W26" i="4"/>
  <c r="W21" i="4"/>
  <c r="W18" i="4"/>
  <c r="X18" i="4"/>
  <c r="H110" i="5" s="1"/>
  <c r="X19" i="4"/>
  <c r="H111" i="5" s="1"/>
  <c r="CM29" i="4"/>
  <c r="CL29" i="4"/>
  <c r="CU29" i="4"/>
  <c r="CU23" i="4"/>
  <c r="CM23" i="4"/>
  <c r="CL23" i="4"/>
  <c r="CL31" i="4"/>
  <c r="CU31" i="4"/>
  <c r="CM31" i="4"/>
  <c r="CU26" i="4"/>
  <c r="CM26" i="4"/>
  <c r="CL26" i="4"/>
  <c r="CM30" i="4"/>
  <c r="CL30" i="4"/>
  <c r="CU30" i="4"/>
  <c r="CU21" i="4"/>
  <c r="CM21" i="4"/>
  <c r="CL21" i="4"/>
  <c r="CL20" i="4"/>
  <c r="CU20" i="4"/>
  <c r="CM20" i="4"/>
  <c r="CU22" i="4"/>
  <c r="CM22" i="4"/>
  <c r="CL22" i="4"/>
  <c r="CL25" i="4"/>
  <c r="CU25" i="4"/>
  <c r="CM25" i="4"/>
  <c r="CM19" i="4"/>
  <c r="CL19" i="4"/>
  <c r="CU19" i="4"/>
  <c r="CM27" i="4"/>
  <c r="CU27" i="4"/>
  <c r="CL27" i="4"/>
  <c r="CU28" i="4"/>
  <c r="CM28" i="4"/>
  <c r="CL28" i="4"/>
  <c r="CM24" i="4"/>
  <c r="CL24" i="4"/>
  <c r="CU24" i="4"/>
  <c r="R22" i="4"/>
  <c r="R27" i="4"/>
  <c r="R19" i="4"/>
  <c r="M75" i="6" l="1"/>
  <c r="M300" i="6"/>
  <c r="U122" i="5"/>
  <c r="U115" i="5"/>
  <c r="U118" i="5"/>
  <c r="J2" i="6"/>
  <c r="M25" i="6"/>
  <c r="J252" i="6"/>
  <c r="M275" i="6"/>
  <c r="M150" i="6"/>
  <c r="J127" i="6"/>
  <c r="M100" i="6"/>
  <c r="J77" i="6"/>
  <c r="M175" i="6"/>
  <c r="J152" i="6"/>
  <c r="J202" i="6"/>
  <c r="M225" i="6"/>
  <c r="M200" i="6"/>
  <c r="J177" i="6"/>
  <c r="F121" i="5"/>
  <c r="Y29" i="4"/>
  <c r="F120" i="5"/>
  <c r="Y28" i="4"/>
  <c r="F119" i="5"/>
  <c r="Y27" i="4"/>
  <c r="F118" i="5"/>
  <c r="Y26" i="4"/>
  <c r="F117" i="5"/>
  <c r="Y25" i="4"/>
  <c r="F116" i="5"/>
  <c r="Y24" i="4"/>
  <c r="F113" i="5"/>
  <c r="Y21" i="4"/>
  <c r="F115" i="5"/>
  <c r="Y23" i="4"/>
  <c r="F114" i="5"/>
  <c r="Y22" i="4"/>
  <c r="F112" i="5"/>
  <c r="Y20" i="4"/>
  <c r="F111" i="5"/>
  <c r="Y19" i="4"/>
  <c r="F110" i="5"/>
  <c r="Y18" i="4"/>
  <c r="CV21" i="4"/>
  <c r="CW21" i="4" s="1"/>
  <c r="CV23" i="4"/>
  <c r="CW23" i="4" s="1"/>
  <c r="CV22" i="4"/>
  <c r="CW22" i="4" s="1"/>
  <c r="CV27" i="4"/>
  <c r="CW27" i="4" s="1"/>
  <c r="CV19" i="4"/>
  <c r="CW19" i="4" s="1"/>
  <c r="CV24" i="4"/>
  <c r="CW24" i="4" s="1"/>
  <c r="CV26" i="4"/>
  <c r="CW26" i="4" s="1"/>
  <c r="CV20" i="4"/>
  <c r="CW20" i="4" s="1"/>
  <c r="CO21" i="4"/>
  <c r="CP21" i="4"/>
  <c r="CN21" i="4"/>
  <c r="CN25" i="4"/>
  <c r="CP25" i="4"/>
  <c r="CO25" i="4"/>
  <c r="CV25" i="4"/>
  <c r="CW25" i="4" s="1"/>
  <c r="CN30" i="4"/>
  <c r="CO30" i="4"/>
  <c r="CP30" i="4"/>
  <c r="CP29" i="4"/>
  <c r="CO29" i="4"/>
  <c r="CN29" i="4"/>
  <c r="W32" i="4"/>
  <c r="F32" i="4"/>
  <c r="CV30" i="4"/>
  <c r="CW30" i="4" s="1"/>
  <c r="CN27" i="4"/>
  <c r="CP27" i="4"/>
  <c r="CO27" i="4"/>
  <c r="CV29" i="4"/>
  <c r="CW29" i="4" s="1"/>
  <c r="CP22" i="4"/>
  <c r="CO22" i="4"/>
  <c r="CN22" i="4"/>
  <c r="CP26" i="4"/>
  <c r="CN26" i="4"/>
  <c r="CO26" i="4"/>
  <c r="X32" i="4"/>
  <c r="CP28" i="4"/>
  <c r="CO28" i="4"/>
  <c r="CN28" i="4"/>
  <c r="CV31" i="4"/>
  <c r="CW31" i="4" s="1"/>
  <c r="CN24" i="4"/>
  <c r="CP24" i="4"/>
  <c r="CO24" i="4"/>
  <c r="CN19" i="4"/>
  <c r="CP19" i="4"/>
  <c r="CO19" i="4"/>
  <c r="CP23" i="4"/>
  <c r="CO23" i="4"/>
  <c r="CN23" i="4"/>
  <c r="CV28" i="4"/>
  <c r="CW28" i="4" s="1"/>
  <c r="CO20" i="4"/>
  <c r="CN20" i="4"/>
  <c r="CP20" i="4"/>
  <c r="CP31" i="4"/>
  <c r="CO31" i="4"/>
  <c r="CN31" i="4"/>
  <c r="R29" i="4"/>
  <c r="R25" i="4"/>
  <c r="R28" i="4"/>
  <c r="R21" i="4"/>
  <c r="R24" i="4"/>
  <c r="R23" i="4"/>
  <c r="R26" i="4"/>
  <c r="R18" i="4"/>
  <c r="R20" i="4"/>
  <c r="U116" i="5" l="1"/>
  <c r="U124" i="5"/>
  <c r="U119" i="5"/>
  <c r="U123" i="5"/>
  <c r="U114" i="5"/>
  <c r="U117" i="5"/>
  <c r="U121" i="5"/>
  <c r="U120" i="5"/>
  <c r="A45" i="9"/>
  <c r="A44" i="9" s="1"/>
  <c r="CX27" i="4"/>
  <c r="CY27" i="4" s="1"/>
  <c r="CZ27" i="4" s="1"/>
  <c r="CX26" i="4"/>
  <c r="CY26" i="4" s="1"/>
  <c r="CZ26" i="4" s="1"/>
  <c r="CX22" i="4"/>
  <c r="CY22" i="4" s="1"/>
  <c r="CZ22" i="4" s="1"/>
  <c r="CX21" i="4"/>
  <c r="CY21" i="4" s="1"/>
  <c r="CZ21" i="4" s="1"/>
  <c r="CX20" i="4"/>
  <c r="CY20" i="4" s="1"/>
  <c r="CZ20" i="4" s="1"/>
  <c r="CX25" i="4"/>
  <c r="CY25" i="4" s="1"/>
  <c r="CZ25" i="4" s="1"/>
  <c r="H34" i="4"/>
  <c r="F122" i="5" s="1"/>
  <c r="Y32" i="4"/>
  <c r="CX29" i="4"/>
  <c r="CY29" i="4" s="1"/>
  <c r="CZ29" i="4" s="1"/>
  <c r="CX19" i="4"/>
  <c r="CY19" i="4" s="1"/>
  <c r="CZ19" i="4" s="1"/>
  <c r="CX30" i="4"/>
  <c r="CY30" i="4" s="1"/>
  <c r="CZ30" i="4" s="1"/>
  <c r="CX23" i="4"/>
  <c r="CY23" i="4" s="1"/>
  <c r="CZ23" i="4" s="1"/>
  <c r="CX28" i="4"/>
  <c r="CY28" i="4" s="1"/>
  <c r="CZ28" i="4" s="1"/>
  <c r="CX31" i="4"/>
  <c r="CY31" i="4" s="1"/>
  <c r="CZ31" i="4" s="1"/>
  <c r="CX24" i="4"/>
  <c r="CY24" i="4" s="1"/>
  <c r="CZ24" i="4" s="1"/>
  <c r="A47" i="9" l="1"/>
  <c r="I27" i="9"/>
  <c r="I26" i="9" s="1"/>
  <c r="AZ28" i="4"/>
  <c r="AZ19" i="4"/>
  <c r="AZ18" i="4"/>
  <c r="D449" i="6"/>
  <c r="D499" i="6"/>
  <c r="D374" i="6"/>
  <c r="D349" i="6"/>
  <c r="D399" i="6"/>
  <c r="D274" i="6"/>
  <c r="D324" i="6"/>
  <c r="D474" i="6"/>
  <c r="D299" i="6"/>
  <c r="D424" i="6"/>
  <c r="D249" i="6"/>
  <c r="D224" i="6"/>
  <c r="D199" i="6"/>
  <c r="D49" i="6"/>
  <c r="D149" i="6"/>
  <c r="D124" i="6"/>
  <c r="D24" i="6"/>
  <c r="D174" i="6"/>
  <c r="D99" i="6"/>
  <c r="D74" i="6"/>
  <c r="AZ24" i="4"/>
  <c r="AZ27" i="4"/>
  <c r="AZ29" i="4"/>
  <c r="AZ20" i="4"/>
  <c r="AZ25" i="4"/>
  <c r="AZ30" i="4"/>
  <c r="AZ31" i="4"/>
  <c r="AZ21" i="4"/>
  <c r="AZ23" i="4"/>
  <c r="AZ26" i="4"/>
  <c r="AZ22" i="4"/>
  <c r="BZ142" i="2" l="1"/>
  <c r="U113" i="5" l="1"/>
  <c r="W14" i="11" l="1"/>
  <c r="W15" i="11" s="1"/>
  <c r="Z12" i="11" l="1"/>
  <c r="Z9" i="11"/>
  <c r="Z11" i="11"/>
  <c r="Z14" i="11"/>
  <c r="Z15" i="11"/>
  <c r="Z13" i="11"/>
  <c r="Z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B11" authorId="0" shapeId="0" xr:uid="{6418BAC3-97F5-4FB7-BFDC-F256E6D2BE49}">
      <text>
        <r>
          <rPr>
            <b/>
            <sz val="9"/>
            <color indexed="81"/>
            <rFont val="Tahoma"/>
            <family val="2"/>
          </rPr>
          <t>Custom Test Location</t>
        </r>
        <r>
          <rPr>
            <sz val="9"/>
            <color indexed="81"/>
            <rFont val="Tahoma"/>
            <family val="2"/>
          </rPr>
          <t xml:space="preserve">
</t>
        </r>
      </text>
    </comment>
    <comment ref="B13" authorId="0" shapeId="0" xr:uid="{92C134D5-6A63-4C65-AA8F-A601D8912BAC}">
      <text>
        <r>
          <rPr>
            <b/>
            <sz val="9"/>
            <color indexed="81"/>
            <rFont val="Tahoma"/>
            <family val="2"/>
          </rPr>
          <t>Custom Test Location Data</t>
        </r>
        <r>
          <rPr>
            <sz val="9"/>
            <color indexed="81"/>
            <rFont val="Tahoma"/>
            <family val="2"/>
          </rPr>
          <t xml:space="preserve">
</t>
        </r>
      </text>
    </comment>
    <comment ref="B17" authorId="0" shapeId="0" xr:uid="{7317FF54-9492-45DF-81EC-FA3818BC18B8}">
      <text>
        <r>
          <rPr>
            <b/>
            <sz val="9"/>
            <color indexed="81"/>
            <rFont val="Tahoma"/>
            <family val="2"/>
          </rPr>
          <t>Custom Test Location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Ilia Chinisaz</author>
    <author>Christopher Kenihan</author>
    <author>Anthony Wynn</author>
  </authors>
  <commentList>
    <comment ref="J5" authorId="0" shapeId="0" xr:uid="{1ED1B66B-6477-4CAB-80D5-06A0DAA6DF3E}">
      <text>
        <r>
          <rPr>
            <b/>
            <sz val="9"/>
            <color indexed="81"/>
            <rFont val="Tahoma"/>
            <family val="2"/>
          </rPr>
          <t>Select Y if digital</t>
        </r>
        <r>
          <rPr>
            <sz val="9"/>
            <color indexed="81"/>
            <rFont val="Tahoma"/>
            <family val="2"/>
          </rPr>
          <t xml:space="preserve">
</t>
        </r>
      </text>
    </comment>
    <comment ref="C9" authorId="1" shapeId="0" xr:uid="{8EC17496-F741-4949-9E5C-EA830CF36600}">
      <text>
        <r>
          <rPr>
            <b/>
            <sz val="9"/>
            <color indexed="81"/>
            <rFont val="Arial Narrow"/>
            <family val="2"/>
          </rPr>
          <t>Is the Industrial gauge filled with Glycerine?
yes = Y
no = N</t>
        </r>
      </text>
    </comment>
    <comment ref="C11" authorId="1" shapeId="0" xr:uid="{FE7BBC7A-7F02-4E20-8510-7C3C43C1CE10}">
      <text>
        <r>
          <rPr>
            <b/>
            <sz val="9"/>
            <color indexed="81"/>
            <rFont val="Arial Narrow"/>
            <family val="2"/>
          </rPr>
          <t>Does the instrument measure Absolute Pressure?
yes = Y
no = N</t>
        </r>
      </text>
    </comment>
    <comment ref="H12" authorId="1" shapeId="0" xr:uid="{6204752E-7B08-42AA-993A-0FD91B7F758D}">
      <text>
        <r>
          <rPr>
            <b/>
            <sz val="12"/>
            <color indexed="81"/>
            <rFont val="Arial Narrow"/>
            <family val="2"/>
          </rPr>
          <t>A    =  AS 1349:1986
M1 =  MSA Test Method 
M2 =  MSA Test Method 2</t>
        </r>
      </text>
    </comment>
    <comment ref="H13" authorId="1" shapeId="0" xr:uid="{C29DBDB9-4C38-482F-AE54-156CBDEC99D6}">
      <text>
        <r>
          <rPr>
            <b/>
            <sz val="9"/>
            <color indexed="81"/>
            <rFont val="Tahoma"/>
            <family val="2"/>
          </rPr>
          <t>If N/A Tolerance is taken from Gauge Diameter.</t>
        </r>
      </text>
    </comment>
    <comment ref="I13" authorId="1" shapeId="0" xr:uid="{6F7F9262-FE75-4A9B-92F6-7BF7B73E7D2A}">
      <text>
        <r>
          <rPr>
            <b/>
            <sz val="9"/>
            <color indexed="81"/>
            <rFont val="Tahoma"/>
            <family val="2"/>
          </rPr>
          <t>Full Scale % Tolerance
If Red data not used.</t>
        </r>
      </text>
    </comment>
    <comment ref="J13" authorId="1" shapeId="0" xr:uid="{94A1F2FC-2584-4C80-B36C-1BE5EE916158}">
      <text>
        <r>
          <rPr>
            <b/>
            <sz val="9"/>
            <color indexed="81"/>
            <rFont val="Tahoma"/>
            <family val="2"/>
          </rPr>
          <t>Reading % Tolerance
If Red data not used.</t>
        </r>
      </text>
    </comment>
    <comment ref="C15" authorId="2" shapeId="0" xr:uid="{515DB538-7BAE-4CAB-86CD-E1DC2063D9DB}">
      <text>
        <r>
          <rPr>
            <b/>
            <sz val="9"/>
            <color indexed="81"/>
            <rFont val="Tahoma"/>
            <family val="2"/>
          </rPr>
          <t xml:space="preserve">Digital </t>
        </r>
        <r>
          <rPr>
            <sz val="9"/>
            <color indexed="81"/>
            <rFont val="Tahoma"/>
            <family val="2"/>
          </rPr>
          <t>- Smallest unit
ie; 0.01 - the smallest unit is 0.01</t>
        </r>
        <r>
          <rPr>
            <b/>
            <u/>
            <sz val="9"/>
            <color indexed="81"/>
            <rFont val="Tahoma"/>
            <family val="2"/>
          </rPr>
          <t xml:space="preserve">
</t>
        </r>
        <r>
          <rPr>
            <b/>
            <sz val="9"/>
            <color indexed="81"/>
            <rFont val="Tahoma"/>
            <family val="2"/>
          </rPr>
          <t>Analogue</t>
        </r>
        <r>
          <rPr>
            <sz val="9"/>
            <color indexed="81"/>
            <rFont val="Tahoma"/>
            <family val="2"/>
          </rPr>
          <t xml:space="preserve"> - Smallest graduation • line • marking; Major division (longer lines) ÷ number of small lines in between two Major Division
</t>
        </r>
      </text>
    </comment>
    <comment ref="C16" authorId="2" shapeId="0" xr:uid="{BD2827FB-7BF6-4DF8-BC14-206EB5E7DAF7}">
      <text>
        <r>
          <rPr>
            <b/>
            <sz val="9"/>
            <color indexed="81"/>
            <rFont val="Tahoma"/>
            <family val="2"/>
          </rPr>
          <t>Digital</t>
        </r>
        <r>
          <rPr>
            <sz val="9"/>
            <color indexed="81"/>
            <rFont val="Tahoma"/>
            <family val="2"/>
          </rPr>
          <t xml:space="preserve"> - Always set to </t>
        </r>
        <r>
          <rPr>
            <b/>
            <sz val="9"/>
            <color indexed="81"/>
            <rFont val="Tahoma"/>
            <family val="2"/>
          </rPr>
          <t>"1"
Analogue</t>
        </r>
        <r>
          <rPr>
            <sz val="9"/>
            <color indexed="81"/>
            <rFont val="Tahoma"/>
            <family val="2"/>
          </rPr>
          <t xml:space="preserve"> - Smallest unit you can split the graduations up into by eye. (2,4,5 or 8)</t>
        </r>
      </text>
    </comment>
    <comment ref="H16" authorId="1" shapeId="0" xr:uid="{781E9505-B424-46CA-8637-589C99524DFF}">
      <text>
        <r>
          <rPr>
            <b/>
            <sz val="9"/>
            <color indexed="81"/>
            <rFont val="Tahoma"/>
            <family val="2"/>
          </rPr>
          <t>The number of least significant digits to add to tolerance</t>
        </r>
      </text>
    </comment>
    <comment ref="H17" authorId="1" shapeId="0" xr:uid="{12BC8330-AE3F-410B-8FB4-BCC2DFF1466F}">
      <text>
        <r>
          <rPr>
            <b/>
            <sz val="9"/>
            <color indexed="81"/>
            <rFont val="Tahoma"/>
            <family val="2"/>
          </rPr>
          <t xml:space="preserve">Upper Percentage of range that range calculation enters the tolerance above zero. 
Set to 100 to always calculate range.
Set to 0 to remove range from calculation. </t>
        </r>
      </text>
    </comment>
    <comment ref="H18" authorId="1" shapeId="0" xr:uid="{EF81BF70-10CC-469C-9D00-E665BA6605F4}">
      <text>
        <r>
          <rPr>
            <b/>
            <sz val="9"/>
            <color indexed="81"/>
            <rFont val="Tahoma"/>
            <family val="2"/>
          </rPr>
          <t xml:space="preserve">Lower Percentage of range that Reading calculation enters the tolerance. 
Set to -100 to always calculate range. 
Set to 100 to remove range from calculation. 
</t>
        </r>
      </text>
    </comment>
    <comment ref="C19" authorId="2" shapeId="0" xr:uid="{1DD848A2-5D34-4F0F-BCA2-585495E10BED}">
      <text>
        <r>
          <rPr>
            <b/>
            <sz val="9"/>
            <color indexed="81"/>
            <rFont val="Tahoma"/>
            <family val="2"/>
          </rPr>
          <t>Digital</t>
        </r>
        <r>
          <rPr>
            <sz val="9"/>
            <color indexed="81"/>
            <rFont val="Tahoma"/>
            <family val="2"/>
          </rPr>
          <t xml:space="preserve"> - Auto set
</t>
        </r>
        <r>
          <rPr>
            <b/>
            <sz val="9"/>
            <color indexed="81"/>
            <rFont val="Tahoma"/>
            <family val="2"/>
          </rPr>
          <t>Analogue</t>
        </r>
        <r>
          <rPr>
            <sz val="9"/>
            <color indexed="81"/>
            <rFont val="Tahoma"/>
            <family val="2"/>
          </rPr>
          <t xml:space="preserve"> - Major Divisions or "set Points"</t>
        </r>
      </text>
    </comment>
    <comment ref="H19" authorId="1" shapeId="0" xr:uid="{0512726E-FCE7-4B56-99BB-56B35CFE36C0}">
      <text>
        <r>
          <rPr>
            <b/>
            <sz val="9"/>
            <color indexed="81"/>
            <rFont val="Tahoma"/>
            <family val="2"/>
          </rPr>
          <t>Percentage of range/reading calculation at zero and below.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Kenihan</author>
    <author>Anthony Wynn</author>
  </authors>
  <commentList>
    <comment ref="C2" authorId="0" shapeId="0" xr:uid="{1C1BE24B-C821-4215-805D-5BA220050982}">
      <text>
        <r>
          <rPr>
            <sz val="10"/>
            <color indexed="81"/>
            <rFont val="Tahoma"/>
            <family val="2"/>
          </rPr>
          <t xml:space="preserve">Option 1 – Select “Satisfactory”. Extra comments can be added below.
Option 2 – “Manual Comment Only”. Please add comments below.
</t>
        </r>
      </text>
    </comment>
    <comment ref="C3" authorId="0" shapeId="0" xr:uid="{F233E5DC-FD7A-4544-82F9-90A47294929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E7411D0B-294F-4F55-8F71-D72FC64184C9}">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09D3BF0E-9961-4082-A5C9-1BD674DB2663}">
      <text>
        <r>
          <rPr>
            <sz val="9"/>
            <color indexed="81"/>
            <rFont val="Tahoma"/>
            <family val="2"/>
          </rPr>
          <t>Fill in Manual Comment if appropriate 
To make a new line in a cell us</t>
        </r>
        <r>
          <rPr>
            <b/>
            <sz val="9"/>
            <color indexed="81"/>
            <rFont val="Tahoma"/>
            <family val="2"/>
          </rPr>
          <t>e ALT-ENTER</t>
        </r>
      </text>
    </comment>
    <comment ref="A12" authorId="1" shapeId="0" xr:uid="{9A158554-2DFD-470E-A2FD-1FA146AB9682}">
      <text>
        <r>
          <rPr>
            <b/>
            <u/>
            <sz val="10"/>
            <color indexed="81"/>
            <rFont val="Tahoma"/>
            <family val="2"/>
          </rPr>
          <t xml:space="preserve">Important
</t>
        </r>
        <r>
          <rPr>
            <u/>
            <sz val="10"/>
            <color indexed="81"/>
            <rFont val="Tahoma"/>
            <family val="2"/>
          </rPr>
          <t>MSA2 Industrial/Test – 3/6 repeats (50%)
MSA1 Digital - 3/6 repeats (low 25%)</t>
        </r>
        <r>
          <rPr>
            <b/>
            <u/>
            <sz val="10"/>
            <color indexed="81"/>
            <rFont val="Tahoma"/>
            <family val="2"/>
          </rPr>
          <t xml:space="preserve">
</t>
        </r>
      </text>
    </comment>
    <comment ref="A13" authorId="1" shapeId="0" xr:uid="{8862334E-CBCC-4B36-8F35-B4132382A0A8}">
      <text>
        <r>
          <rPr>
            <b/>
            <u/>
            <sz val="10"/>
            <color indexed="81"/>
            <rFont val="Tahoma"/>
            <family val="2"/>
          </rPr>
          <t xml:space="preserve">Important
</t>
        </r>
        <r>
          <rPr>
            <u/>
            <sz val="10"/>
            <color indexed="81"/>
            <rFont val="Tahoma"/>
            <family val="2"/>
          </rPr>
          <t>MSA1 Digital - 3/6 repeats (high 75%)</t>
        </r>
        <r>
          <rPr>
            <b/>
            <u/>
            <sz val="10"/>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Kenihan</author>
    <author>tc={26663907-7D37-4D43-BBDD-5AC475CF625C}</author>
  </authors>
  <commentList>
    <comment ref="C2" authorId="0" shapeId="0" xr:uid="{0426CD0F-F6C2-402D-95F9-B480C87FA9C6}">
      <text>
        <r>
          <rPr>
            <sz val="10"/>
            <color indexed="81"/>
            <rFont val="Tahoma"/>
            <family val="2"/>
          </rPr>
          <t xml:space="preserve">Option 1 – Select “Satisfactory”. Extra comments can be added below.
Option 2 – “Manual Comment Only”. Please add comments below.
</t>
        </r>
      </text>
    </comment>
    <comment ref="C3" authorId="0" shapeId="0" xr:uid="{A214CD14-97BE-4993-9CEA-AC70DA8FBF2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69C5AFD8-0A15-413C-B25C-C634B7EB1333}">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15614477-1D42-4672-B050-483966359AD1}">
      <text>
        <r>
          <rPr>
            <sz val="9"/>
            <color indexed="81"/>
            <rFont val="Tahoma"/>
            <family val="2"/>
          </rPr>
          <t>Fill in Manual Comment if appropriate 
To make a new line in a cell us</t>
        </r>
        <r>
          <rPr>
            <b/>
            <sz val="9"/>
            <color indexed="81"/>
            <rFont val="Tahoma"/>
            <family val="2"/>
          </rPr>
          <t>e ALT-ENTER</t>
        </r>
      </text>
    </comment>
    <comment ref="K29" authorId="1" shapeId="0" xr:uid="{26663907-7D37-4D43-BBDD-5AC475CF625C}">
      <text>
        <t>[Threaded comment]
Your version of Excel allows you to read this threaded comment; however, any edits to it will get removed if the file is opened in a newer version of Excel. Learn more: https://go.microsoft.com/fwlink/?linkid=870924
Comment:
    Do not delete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Sherwin Nofuente</author>
  </authors>
  <commentList>
    <comment ref="E8" authorId="0" shapeId="0" xr:uid="{1BCEA3DB-C1E8-4527-BA41-07EAC76A1F7F}">
      <text>
        <r>
          <rPr>
            <b/>
            <sz val="9"/>
            <color indexed="81"/>
            <rFont val="Tahoma"/>
            <family val="2"/>
          </rPr>
          <t>Sherwin Nofuente:</t>
        </r>
        <r>
          <rPr>
            <sz val="9"/>
            <color indexed="81"/>
            <rFont val="Tahoma"/>
            <family val="2"/>
          </rPr>
          <t xml:space="preserve">
previously 0.001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<sst xmlns="http://schemas.openxmlformats.org/spreadsheetml/2006/main" count="3068" uniqueCount="918">
  <si>
    <t>Pressure</t>
  </si>
  <si>
    <t>location</t>
  </si>
  <si>
    <t>address_line_1</t>
  </si>
  <si>
    <t>address_line_2</t>
  </si>
  <si>
    <t>suburb</t>
  </si>
  <si>
    <t>postcode</t>
  </si>
  <si>
    <t>state</t>
  </si>
  <si>
    <t>C:\Tex Onsite\Tex_Reff\TOAST.xlam</t>
  </si>
  <si>
    <t>Tex At Site Lab</t>
  </si>
  <si>
    <t>Tex At Site Job Number</t>
  </si>
  <si>
    <t>?</t>
  </si>
  <si>
    <t>C:\Tex Onsite\Tex_Reff\job.csv</t>
  </si>
  <si>
    <t>job.csv</t>
  </si>
  <si>
    <t>TOAST.xlam</t>
  </si>
  <si>
    <t>Contact</t>
  </si>
  <si>
    <t>17 Ceylon Street, Nunawading, 3131</t>
  </si>
  <si>
    <t>N</t>
  </si>
  <si>
    <t>Lab Address</t>
  </si>
  <si>
    <t>Name</t>
  </si>
  <si>
    <t>Phone</t>
  </si>
  <si>
    <t>T</t>
  </si>
  <si>
    <t>Address</t>
  </si>
  <si>
    <t>Mobile</t>
  </si>
  <si>
    <t>Location</t>
  </si>
  <si>
    <t>Email</t>
  </si>
  <si>
    <t>Intura</t>
  </si>
  <si>
    <t>8 Malduf Street</t>
  </si>
  <si>
    <t>Chinchilla</t>
  </si>
  <si>
    <t>4413</t>
  </si>
  <si>
    <t>QLD</t>
  </si>
  <si>
    <t>Test Location:</t>
  </si>
  <si>
    <t>Calibration Date:</t>
  </si>
  <si>
    <t>Provide Recal Date:</t>
  </si>
  <si>
    <t>Local Gravity:</t>
  </si>
  <si>
    <t>Clear All Data</t>
  </si>
  <si>
    <t>Nata Calibrator</t>
  </si>
  <si>
    <t>m/s</t>
  </si>
  <si>
    <t>Clear all Test &amp; Worksheet Data</t>
  </si>
  <si>
    <t>Nata Signatory</t>
  </si>
  <si>
    <t>Issued on:</t>
  </si>
  <si>
    <t>Clear all Worksheet Data</t>
  </si>
  <si>
    <t>Adelaide</t>
  </si>
  <si>
    <t>High Temperature Workshop</t>
  </si>
  <si>
    <t>Worksheet Software Version Number</t>
  </si>
  <si>
    <t>Clear Worksheet &amp; serial No</t>
  </si>
  <si>
    <t>Calibrator</t>
  </si>
  <si>
    <t>Puffing Billy Maintenance Shed</t>
  </si>
  <si>
    <t>Clear Serial No</t>
  </si>
  <si>
    <t>T.O.A.S.T. Software version number</t>
  </si>
  <si>
    <t>Don’t Clear any Data</t>
  </si>
  <si>
    <t>Signature</t>
  </si>
  <si>
    <t>Van Rego:</t>
  </si>
  <si>
    <t>TOS-SCN002v7.42</t>
  </si>
  <si>
    <t>Clear Data on saving settings</t>
  </si>
  <si>
    <t>A</t>
  </si>
  <si>
    <t>B</t>
  </si>
  <si>
    <t>C</t>
  </si>
  <si>
    <t>D</t>
  </si>
  <si>
    <t>E</t>
  </si>
  <si>
    <t>F</t>
  </si>
  <si>
    <t>G</t>
  </si>
  <si>
    <t>Nominated Signatory for review</t>
  </si>
  <si>
    <t>Nominated Signatory</t>
  </si>
  <si>
    <t>nata_approvals@texonsite.com.au</t>
  </si>
  <si>
    <t>Test Point Decimal</t>
  </si>
  <si>
    <t>Pressure Units</t>
  </si>
  <si>
    <t>Units/kPa</t>
  </si>
  <si>
    <t>Units/PSI</t>
  </si>
  <si>
    <t>kPa/Unit</t>
  </si>
  <si>
    <t>Full Scale</t>
  </si>
  <si>
    <t>Gauge Details</t>
  </si>
  <si>
    <t>Test Details</t>
  </si>
  <si>
    <t>Reference Equipment Kit</t>
  </si>
  <si>
    <t>Ref Equip:</t>
  </si>
  <si>
    <t>SN:</t>
  </si>
  <si>
    <t>Cert No:</t>
  </si>
  <si>
    <t>Cal Date:</t>
  </si>
  <si>
    <t>Due Date:</t>
  </si>
  <si>
    <t>%</t>
  </si>
  <si>
    <t>Nominal</t>
  </si>
  <si>
    <t>C:\Tex Onsite\Databases\Temp\equip.csv</t>
  </si>
  <si>
    <t>equip.csv</t>
  </si>
  <si>
    <t>Type:</t>
  </si>
  <si>
    <t>Temperature:</t>
  </si>
  <si>
    <t>ºC</t>
  </si>
  <si>
    <t>Kit No:</t>
  </si>
  <si>
    <t>a</t>
  </si>
  <si>
    <t>b</t>
  </si>
  <si>
    <t>c</t>
  </si>
  <si>
    <t>d</t>
  </si>
  <si>
    <t>e</t>
  </si>
  <si>
    <t>Pa</t>
  </si>
  <si>
    <t>Both</t>
  </si>
  <si>
    <t>Manufacturer:</t>
  </si>
  <si>
    <t>Barometric Pressure:</t>
  </si>
  <si>
    <t>mbar</t>
  </si>
  <si>
    <t>kPa</t>
  </si>
  <si>
    <t>Decimal Places</t>
  </si>
  <si>
    <t>Custom</t>
  </si>
  <si>
    <t>Model:</t>
  </si>
  <si>
    <t>vertical</t>
  </si>
  <si>
    <t>Is Zero Free</t>
  </si>
  <si>
    <t>Y</t>
  </si>
  <si>
    <t>Ref Equipment kPa &amp; SN</t>
  </si>
  <si>
    <t>Certificate No.</t>
  </si>
  <si>
    <t>Cal Date</t>
  </si>
  <si>
    <t>Due Date</t>
  </si>
  <si>
    <t>MPa</t>
  </si>
  <si>
    <t>N/A</t>
  </si>
  <si>
    <t>Serial Number:</t>
  </si>
  <si>
    <t>Medium:</t>
  </si>
  <si>
    <t>x 1000 kPa</t>
  </si>
  <si>
    <t>Asset Number:</t>
  </si>
  <si>
    <t>Reff / IUT test Method:</t>
  </si>
  <si>
    <t>kg/cm2</t>
  </si>
  <si>
    <t>Readout Type:</t>
  </si>
  <si>
    <t>Apply reference corrections</t>
  </si>
  <si>
    <t>PSI</t>
  </si>
  <si>
    <t>Liquid Filled:</t>
  </si>
  <si>
    <t>Report Uncertainty in:</t>
  </si>
  <si>
    <t>bar</t>
  </si>
  <si>
    <t>Sealed:</t>
  </si>
  <si>
    <t>NATA Report (Y or N):</t>
  </si>
  <si>
    <t>Absolute:</t>
  </si>
  <si>
    <t>Oxygen Procedure:</t>
  </si>
  <si>
    <t>TOS-LAB-WP-P-OXY-01</t>
  </si>
  <si>
    <t>lb/1.76 Sq In</t>
  </si>
  <si>
    <t>Gauge Diameter:</t>
  </si>
  <si>
    <t>mm</t>
  </si>
  <si>
    <t>Test Standard reference:</t>
  </si>
  <si>
    <t>Certificate Number:</t>
  </si>
  <si>
    <t>mm Water</t>
  </si>
  <si>
    <t>Units:</t>
  </si>
  <si>
    <t>Tolerance (%):</t>
  </si>
  <si>
    <t>m Water</t>
  </si>
  <si>
    <t>Capacity:</t>
  </si>
  <si>
    <t>Calibrator and or Signatory</t>
  </si>
  <si>
    <t>in Hg</t>
  </si>
  <si>
    <t>Division Value:</t>
  </si>
  <si>
    <t>Custom Tolerance</t>
  </si>
  <si>
    <t>cm Hg</t>
  </si>
  <si>
    <t>Divisible by:</t>
  </si>
  <si>
    <t>Counts</t>
  </si>
  <si>
    <t>Nicholas Richards</t>
  </si>
  <si>
    <t>Calibrator:</t>
  </si>
  <si>
    <t>in Water</t>
  </si>
  <si>
    <t>Min</t>
  </si>
  <si>
    <t>Range Crossover %</t>
  </si>
  <si>
    <t>Readability:</t>
  </si>
  <si>
    <t>Reading Crossover %</t>
  </si>
  <si>
    <t>Signatory:</t>
  </si>
  <si>
    <t>Cardinal Interval:</t>
  </si>
  <si>
    <t>Vacuum</t>
  </si>
  <si>
    <t>Range</t>
  </si>
  <si>
    <t>File Maker Calibration Code Description</t>
  </si>
  <si>
    <t>INDIRECT(" &amp; 'shernof'!$C$56&amp; "]Pressure!" &amp;O$26 &amp; $P$28+$M30)</t>
  </si>
  <si>
    <t>Contract</t>
  </si>
  <si>
    <t>H</t>
  </si>
  <si>
    <t>I</t>
  </si>
  <si>
    <t>J</t>
  </si>
  <si>
    <t>K</t>
  </si>
  <si>
    <t>L</t>
  </si>
  <si>
    <t>M</t>
  </si>
  <si>
    <t>O</t>
  </si>
  <si>
    <t>P</t>
  </si>
  <si>
    <t>Q</t>
  </si>
  <si>
    <t>R</t>
  </si>
  <si>
    <t>S</t>
  </si>
  <si>
    <t>U</t>
  </si>
  <si>
    <t>V</t>
  </si>
  <si>
    <t>W</t>
  </si>
  <si>
    <t>X</t>
  </si>
  <si>
    <t>Z</t>
  </si>
  <si>
    <t>AA</t>
  </si>
  <si>
    <t>AB</t>
  </si>
  <si>
    <t>AC</t>
  </si>
  <si>
    <t>Non-Contract</t>
  </si>
  <si>
    <t>Reference Equipment</t>
  </si>
  <si>
    <t>Type</t>
  </si>
  <si>
    <t>Code</t>
  </si>
  <si>
    <t>Code Nata</t>
  </si>
  <si>
    <t xml:space="preserve">Instrument Under Test Pressure device Type </t>
  </si>
  <si>
    <t>Test Points</t>
  </si>
  <si>
    <t>Fig</t>
  </si>
  <si>
    <t>Method</t>
  </si>
  <si>
    <t>Class</t>
  </si>
  <si>
    <t>Uncertainty polynomial Variables</t>
  </si>
  <si>
    <t>Drift polynomial Variables</t>
  </si>
  <si>
    <t>Accuracy polynomial Variables</t>
  </si>
  <si>
    <t xml:space="preserve">Description Mechanical Industrial Pressure Gauge - 0.5% to 3% 
</t>
  </si>
  <si>
    <t xml:space="preserve">Mechanical Industrial Pressure Gauge - 0.5% to 3% (NATA)
</t>
  </si>
  <si>
    <t>M2</t>
  </si>
  <si>
    <t>1.20.01</t>
  </si>
  <si>
    <t>Max (kpa)</t>
  </si>
  <si>
    <t>Serial No:</t>
  </si>
  <si>
    <t>Min (kpa)</t>
  </si>
  <si>
    <t>ACC (%)</t>
  </si>
  <si>
    <t>UNC (%)</t>
  </si>
  <si>
    <t>Drift (%)</t>
  </si>
  <si>
    <r>
      <t>x</t>
    </r>
    <r>
      <rPr>
        <vertAlign val="superscript"/>
        <sz val="10"/>
        <rFont val="Arial"/>
        <family val="2"/>
      </rPr>
      <t>3</t>
    </r>
  </si>
  <si>
    <r>
      <t>x</t>
    </r>
    <r>
      <rPr>
        <vertAlign val="superscript"/>
        <sz val="10"/>
        <rFont val="Arial"/>
        <family val="2"/>
      </rPr>
      <t>2</t>
    </r>
  </si>
  <si>
    <t>x</t>
  </si>
  <si>
    <r>
      <t>R</t>
    </r>
    <r>
      <rPr>
        <sz val="10"/>
        <rFont val="Calibri"/>
        <family val="2"/>
      </rPr>
      <t>²</t>
    </r>
  </si>
  <si>
    <t>Sey</t>
  </si>
  <si>
    <t>IUTP1</t>
  </si>
  <si>
    <t>1.20.02</t>
  </si>
  <si>
    <t xml:space="preserve"> Cant do this NATA</t>
  </si>
  <si>
    <t>IUTP9</t>
  </si>
  <si>
    <t>M1</t>
  </si>
  <si>
    <t>1.20.11</t>
  </si>
  <si>
    <t xml:space="preserve"> Digital Pressure Indicator / Calibrator - 0.25% to 3.0%  (NATA) </t>
  </si>
  <si>
    <t>MT</t>
  </si>
  <si>
    <t>IUTP5</t>
  </si>
  <si>
    <t>MIT</t>
  </si>
  <si>
    <t>IUTP8</t>
  </si>
  <si>
    <t xml:space="preserve">Mechanical Test Pressure Gauge - 0.1% to 0.25% </t>
  </si>
  <si>
    <t>TEST</t>
  </si>
  <si>
    <t>IUTP2</t>
  </si>
  <si>
    <t>DPG</t>
  </si>
  <si>
    <t xml:space="preserve">High Accuracy Pressure System - 0.025% </t>
  </si>
  <si>
    <t>PC</t>
  </si>
  <si>
    <t>IUTP7</t>
  </si>
  <si>
    <t>1.20.12</t>
  </si>
  <si>
    <t>PS</t>
  </si>
  <si>
    <t>1.20.31</t>
  </si>
  <si>
    <t>PR</t>
  </si>
  <si>
    <t>1.20.13</t>
  </si>
  <si>
    <t>DM</t>
  </si>
  <si>
    <t>IUTP6</t>
  </si>
  <si>
    <t>1.20.??</t>
  </si>
  <si>
    <t xml:space="preserve"> </t>
  </si>
  <si>
    <t>Test points and Equipment Type:</t>
  </si>
  <si>
    <t>IF($M$3&lt;=20,$N$30:$N$39,$N$40:$N$49)</t>
  </si>
  <si>
    <t>IF($M$3=20,$N$30:$N$49,IF($M$3&lt;=20,$N$30:$N$39,$N$40:$N$49))</t>
  </si>
  <si>
    <t>IF(($M$3=20,VLOOKUP($L6,$N$30:$S$49,2,0),($M$3&lt;=20,VLOOKUP($L6,$N$30:$S$39,2,0),VLOOKUP($L6,$N$40:$S$49,2,0)))</t>
  </si>
  <si>
    <t>IF($M$3=20,VLOOKUP($L6,$N$30:$S$49,2,0),($M$3&lt;20,VLOOKUP($L6,$N$30:$S$39,2,0)))</t>
  </si>
  <si>
    <t>$C$60</t>
  </si>
  <si>
    <t>$C$61</t>
  </si>
  <si>
    <t>IUTP3</t>
  </si>
  <si>
    <t>$C$62</t>
  </si>
  <si>
    <t>IUTP4</t>
  </si>
  <si>
    <t>$C$63</t>
  </si>
  <si>
    <t>$C$64</t>
  </si>
  <si>
    <t>$C$65</t>
  </si>
  <si>
    <t>$C$66</t>
  </si>
  <si>
    <t>$C$67</t>
  </si>
  <si>
    <t>$C$68</t>
  </si>
  <si>
    <t>IUTP10</t>
  </si>
  <si>
    <t>$C$69</t>
  </si>
  <si>
    <t>IUTP11</t>
  </si>
  <si>
    <t>$C$70</t>
  </si>
  <si>
    <t>Preliminary Inspection:</t>
  </si>
  <si>
    <t>Satisfactory</t>
  </si>
  <si>
    <t>Actions taken:</t>
  </si>
  <si>
    <t>No Comment</t>
  </si>
  <si>
    <t>Temperature</t>
  </si>
  <si>
    <t>Manual Comment Only</t>
  </si>
  <si>
    <t>Mid</t>
  </si>
  <si>
    <r>
      <rPr>
        <sz val="10"/>
        <rFont val="Calibri"/>
        <family val="2"/>
      </rPr>
      <t>°</t>
    </r>
    <r>
      <rPr>
        <sz val="10"/>
        <rFont val="Arial Narrow"/>
        <family val="2"/>
      </rPr>
      <t>C</t>
    </r>
  </si>
  <si>
    <t>Final</t>
  </si>
  <si>
    <t>Repeatability</t>
  </si>
  <si>
    <t>Applied</t>
  </si>
  <si>
    <t>Reference Standard Used</t>
  </si>
  <si>
    <t>Increasing Pressure Direction</t>
  </si>
  <si>
    <t>Adjusted</t>
  </si>
  <si>
    <t>Prior to taking final readings, the Industrial Pressure Gauge was adjusted.</t>
  </si>
  <si>
    <t>Reading 1</t>
  </si>
  <si>
    <t>Reading 2</t>
  </si>
  <si>
    <t>Reading 3</t>
  </si>
  <si>
    <t>Reading 4</t>
  </si>
  <si>
    <t>Reading 5</t>
  </si>
  <si>
    <t>Reading 6</t>
  </si>
  <si>
    <t>min</t>
  </si>
  <si>
    <t>max</t>
  </si>
  <si>
    <t>max-min</t>
  </si>
  <si>
    <t>Repaired</t>
  </si>
  <si>
    <t>Prior to taking final readings, the Industrial Pressure Gauge was repaired.</t>
  </si>
  <si>
    <t>Adjusted and Repaired</t>
  </si>
  <si>
    <t>Prior to taking final readings, the Industrial Pressure Gauge was adjusted and repaired.</t>
  </si>
  <si>
    <t>Repeat</t>
  </si>
  <si>
    <t>Withdraw from service</t>
  </si>
  <si>
    <t>The Industrial Pressure Gauge should be withdrawn from service as per customers request.</t>
  </si>
  <si>
    <t>Raw Data</t>
  </si>
  <si>
    <t>Settling time:</t>
  </si>
  <si>
    <t>seconds</t>
  </si>
  <si>
    <t>Accuracy Class Reclassified</t>
  </si>
  <si>
    <t>The Industrial Pressure Gauge accuracy class was reclassified as per customers request.</t>
  </si>
  <si>
    <t>Increasing Pressure</t>
  </si>
  <si>
    <t>Calibration Ratio</t>
  </si>
  <si>
    <t>Reference Tolerance</t>
  </si>
  <si>
    <t>Corrections</t>
  </si>
  <si>
    <t>Uncertainty</t>
  </si>
  <si>
    <t>Tolerance</t>
  </si>
  <si>
    <t>Increasing</t>
  </si>
  <si>
    <t>Decreasing</t>
  </si>
  <si>
    <t>Overall</t>
  </si>
  <si>
    <t>See comments box for details</t>
  </si>
  <si>
    <t>Fail Deviation</t>
  </si>
  <si>
    <t>Mean</t>
  </si>
  <si>
    <t>Accuracy Ratio</t>
  </si>
  <si>
    <t>Uncertainty Ratio</t>
  </si>
  <si>
    <t>Pass/Fail</t>
  </si>
  <si>
    <t>Conditional Pass</t>
  </si>
  <si>
    <t>Customer approved for conditional pass</t>
  </si>
  <si>
    <t xml:space="preserve">Zero Data </t>
  </si>
  <si>
    <t xml:space="preserve">Test Pass Data </t>
  </si>
  <si>
    <t>Test Fail Data IS CALCULATED DATA</t>
  </si>
  <si>
    <t>Result for entire test:</t>
  </si>
  <si>
    <t>To God be the Glory</t>
  </si>
  <si>
    <t>Certificate of Calibration</t>
  </si>
  <si>
    <t>Customer Details:</t>
  </si>
  <si>
    <t>Contact Details:</t>
  </si>
  <si>
    <t>Equipment Description:</t>
  </si>
  <si>
    <t>Do not delete!
 Data required in report!</t>
  </si>
  <si>
    <t>NATA Accredited Laboratory Number 15281
Accredited for compliance with ISO/IEC 17025 - Calibration
Measurement results for pressure are traceable to SI units. Reference equipment has been calibrated by the National Measurement Institute or NATA accredited Laboratories.
The uncertainty values in this document have been calculated at the 95% level of confidence, with a coverage factor of k=2</t>
  </si>
  <si>
    <t>A2LA</t>
  </si>
  <si>
    <t>NATA Accredited Laboratory Number 15281
Accredited for compliance with ISO/IEC 17025 - Calibration
Measurement results for pressure are traceable to SI units. Reference equipment has been calibrated by the National Institute of Standards and Technology or A2LA accredited Laboratories.
The uncertainty values in this document have been calculated at the 95% level of confidence, with a coverage factor of k=2</t>
  </si>
  <si>
    <t>UKAS</t>
  </si>
  <si>
    <t>Accuracy:</t>
  </si>
  <si>
    <t>Test Units:</t>
  </si>
  <si>
    <t>Resolution:</t>
  </si>
  <si>
    <t>The results of the tests, calibrations and/or measurements included in this document are traceable to National Standards.
Tex At Site operates a quality management system in accordance with AS ISO/IEC 17025 AS/NZS ISO 9001.
This report shall not be reproduced except in full.</t>
  </si>
  <si>
    <t>NATA Accredited Laboratory Number 15281
Accredited for compliance with ISO/IEC 17025 - Calibration
Measurement results for pressure are traceable to SI units. Reference equipment has been calibrated by the National Physics Laboratory or UKAS accredited Laboratories.
The uncertainty values in this document have been calculated at the 95% level of confidence, with a coverage factor of k=2</t>
  </si>
  <si>
    <t>Equipment Range:</t>
  </si>
  <si>
    <t>Calibrated by:</t>
  </si>
  <si>
    <t>$P$53</t>
  </si>
  <si>
    <t>$P$54</t>
  </si>
  <si>
    <t>Report Issued:</t>
  </si>
  <si>
    <t>Re-Calibration Date:</t>
  </si>
  <si>
    <t>Tex At Site</t>
  </si>
  <si>
    <t>1300 785 935</t>
  </si>
  <si>
    <t>Sherwin Nofuente</t>
  </si>
  <si>
    <t xml:space="preserve">Certificate Number: </t>
  </si>
  <si>
    <t>Laboratory Condition:</t>
  </si>
  <si>
    <t>Warm up:</t>
  </si>
  <si>
    <t>Test Medium</t>
  </si>
  <si>
    <t>Settling Time:</t>
  </si>
  <si>
    <t>Reference Level:</t>
  </si>
  <si>
    <t>Connection Port</t>
  </si>
  <si>
    <t>Test Method:</t>
  </si>
  <si>
    <t>Test Details:</t>
  </si>
  <si>
    <t>Comments:</t>
  </si>
  <si>
    <t>Reference Equipment:</t>
  </si>
  <si>
    <t>Description</t>
  </si>
  <si>
    <t>Serial Number</t>
  </si>
  <si>
    <t>Certificate Number</t>
  </si>
  <si>
    <t>As found</t>
  </si>
  <si>
    <t>Do not Put anything here</t>
  </si>
  <si>
    <t>Rising</t>
  </si>
  <si>
    <t>Correction</t>
  </si>
  <si>
    <t>Falling</t>
  </si>
  <si>
    <t>Unc</t>
  </si>
  <si>
    <t>. Location</t>
  </si>
  <si>
    <t>Zero Test</t>
  </si>
  <si>
    <t>Length</t>
  </si>
  <si>
    <t>Zero uncertainty data</t>
  </si>
  <si>
    <t>Conclusion:</t>
  </si>
  <si>
    <t>East Tamaki, NZ, 2013</t>
  </si>
  <si>
    <t>$AL$141</t>
  </si>
  <si>
    <t>Nunawading, Vic, 3131</t>
  </si>
  <si>
    <t>$AL$142</t>
  </si>
  <si>
    <t>Nambour, QLD, 4560</t>
  </si>
  <si>
    <t>$AL$143</t>
  </si>
  <si>
    <t>Berrimah, NT, 0828</t>
  </si>
  <si>
    <t>$AL$144</t>
  </si>
  <si>
    <t>Welshpool, WA, 6106</t>
  </si>
  <si>
    <t>$AL$145</t>
  </si>
  <si>
    <t>Hindmarsh, SA, 5007</t>
  </si>
  <si>
    <t>$AL$146</t>
  </si>
  <si>
    <t>Wigram, NZ, 8042</t>
  </si>
  <si>
    <t>$AL$147</t>
  </si>
  <si>
    <t>ABS kPa</t>
  </si>
  <si>
    <t>cert</t>
  </si>
  <si>
    <t>Prepared by : Chris Kenihan Authorised By : Anthony Wynn 2015</t>
  </si>
  <si>
    <t>F.S.</t>
  </si>
  <si>
    <t>range</t>
  </si>
  <si>
    <t>Item No</t>
  </si>
  <si>
    <t>switch
on/1
off/0</t>
  </si>
  <si>
    <t>Uncertainty Components</t>
  </si>
  <si>
    <t>Calc Type</t>
  </si>
  <si>
    <t>Estimated Uncert (U)</t>
  </si>
  <si>
    <t>Units</t>
  </si>
  <si>
    <t>Divisor
(K)</t>
  </si>
  <si>
    <r>
      <t>D of F
 (V</t>
    </r>
    <r>
      <rPr>
        <b/>
        <i/>
        <vertAlign val="subscript"/>
        <sz val="8"/>
        <rFont val="Arial Narrow"/>
        <family val="2"/>
      </rPr>
      <t>i</t>
    </r>
    <r>
      <rPr>
        <b/>
        <i/>
        <sz val="8"/>
        <rFont val="Arial Narrow"/>
        <family val="2"/>
      </rPr>
      <t>)</t>
    </r>
  </si>
  <si>
    <r>
      <t>Std uncert     u</t>
    </r>
    <r>
      <rPr>
        <b/>
        <i/>
        <vertAlign val="subscript"/>
        <sz val="8"/>
        <rFont val="Arial Narrow"/>
        <family val="2"/>
      </rPr>
      <t>i</t>
    </r>
  </si>
  <si>
    <r>
      <t>Sens coeff     (C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</si>
  <si>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</si>
  <si>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2</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</si>
  <si>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4</t>
    </r>
    <r>
      <rPr>
        <b/>
        <i/>
        <sz val="8"/>
        <rFont val="Arial Narrow"/>
        <family val="2"/>
      </rPr>
      <t>/V</t>
    </r>
    <r>
      <rPr>
        <b/>
        <i/>
        <vertAlign val="subscript"/>
        <sz val="8"/>
        <rFont val="Arial Narrow"/>
        <family val="2"/>
      </rPr>
      <t>i</t>
    </r>
  </si>
  <si>
    <t>% of Total Budget</t>
  </si>
  <si>
    <t>acc</t>
  </si>
  <si>
    <r>
      <t>u</t>
    </r>
    <r>
      <rPr>
        <vertAlign val="subscript"/>
        <sz val="8"/>
        <rFont val="Arial Narrow"/>
        <family val="2"/>
      </rPr>
      <t>i</t>
    </r>
    <r>
      <rPr>
        <sz val="8"/>
        <rFont val="Arial Narrow"/>
        <family val="2"/>
      </rPr>
      <t>c</t>
    </r>
    <r>
      <rPr>
        <vertAlign val="subscript"/>
        <sz val="8"/>
        <rFont val="Arial Narrow"/>
        <family val="2"/>
      </rPr>
      <t>i</t>
    </r>
  </si>
  <si>
    <t>Proportion of total budget</t>
  </si>
  <si>
    <t>N95</t>
  </si>
  <si>
    <t>x3</t>
  </si>
  <si>
    <t>Rect</t>
  </si>
  <si>
    <t>x2</t>
  </si>
  <si>
    <t xml:space="preserve">Drift +Sey - 1  Year
</t>
  </si>
  <si>
    <t>DUT - Repeatability
Taken at time of test - Reporting Repeatability or Resolution whichever is greater.</t>
  </si>
  <si>
    <t>ESDM</t>
  </si>
  <si>
    <r>
      <t>m/s</t>
    </r>
    <r>
      <rPr>
        <i/>
        <vertAlign val="superscript"/>
        <sz val="8"/>
        <rFont val="Arial Narrow"/>
        <family val="2"/>
      </rPr>
      <t>2</t>
    </r>
  </si>
  <si>
    <t>Uncert Poly</t>
  </si>
  <si>
    <r>
      <t>Temperature
Sensitivity = Pressure x thermal expansion coefficient of steel (Monograph 7 table 5.1 - 22x10</t>
    </r>
    <r>
      <rPr>
        <vertAlign val="superscript"/>
        <sz val="7"/>
        <rFont val="Arial Narrow"/>
        <family val="2"/>
      </rPr>
      <t>-6</t>
    </r>
  </si>
  <si>
    <r>
      <t>C</t>
    </r>
    <r>
      <rPr>
        <sz val="8"/>
        <rFont val="Arial Narrow"/>
        <family val="2"/>
      </rPr>
      <t>˚</t>
    </r>
  </si>
  <si>
    <t>Uncert 
Sey</t>
  </si>
  <si>
    <t>Fluid Density
Monograph 7 table 5.1
Estimated range of head Deviation x gravity / (1000 to convert to kPa).</t>
  </si>
  <si>
    <t>kg/m³</t>
  </si>
  <si>
    <t>Drift Total</t>
  </si>
  <si>
    <t>Air Density
Monograph 7 table 5.1
Test Pressure / Nominal density of weights (8000).</t>
  </si>
  <si>
    <t>Pressure stability</t>
  </si>
  <si>
    <t>Rounding of Results
Always set to the same as the DUT Resolution - Ö3 (k=1.73)
Type B Rect with D of F = 100</t>
  </si>
  <si>
    <t>Drift Poly</t>
  </si>
  <si>
    <t>Sum</t>
  </si>
  <si>
    <t>Drift 
Sey</t>
  </si>
  <si>
    <t>Notes:</t>
  </si>
  <si>
    <t>Test Medium - H2O (ρf = 998.2 ± 0.5 kg/m3)
Ph = (998.2-1.2)×9.7962×0.01 =  97.67 Pa = 0.09767 kPa ≈ 0.10 kPa
Head height measurement uncertainty is not considered on a digital unit as both the REF &amp; the DUT can be zeroed before testing commences, hence removing this component.
Temperature, Gravity, Fluid density and Air density is only relevant for a dead weight tester.</t>
  </si>
  <si>
    <r>
      <t>Combined Standard Uncertainty,u</t>
    </r>
    <r>
      <rPr>
        <vertAlign val="subscript"/>
        <sz val="8"/>
        <rFont val="Arial Narrow"/>
        <family val="2"/>
      </rPr>
      <t>c</t>
    </r>
  </si>
  <si>
    <r>
      <t>Effective degrees of freedom, v</t>
    </r>
    <r>
      <rPr>
        <vertAlign val="subscript"/>
        <sz val="8"/>
        <rFont val="Arial Narrow"/>
        <family val="2"/>
      </rPr>
      <t>eff</t>
    </r>
  </si>
  <si>
    <r>
      <t>Coverage factor (k=Students t for v</t>
    </r>
    <r>
      <rPr>
        <vertAlign val="subscript"/>
        <sz val="8"/>
        <rFont val="Arial Narrow"/>
        <family val="2"/>
      </rPr>
      <t>eff</t>
    </r>
    <r>
      <rPr>
        <sz val="8"/>
        <rFont val="Arial Narrow"/>
        <family val="2"/>
      </rPr>
      <t>, 95% CL)</t>
    </r>
  </si>
  <si>
    <r>
      <t>Expanded Uncertainty, U=ku</t>
    </r>
    <r>
      <rPr>
        <vertAlign val="subscript"/>
        <sz val="8"/>
        <rFont val="Arial Narrow"/>
        <family val="2"/>
      </rPr>
      <t>c</t>
    </r>
  </si>
  <si>
    <t>Acc Poly</t>
  </si>
  <si>
    <r>
      <t>Rounded Expanded Uncertainty U</t>
    </r>
    <r>
      <rPr>
        <b/>
        <vertAlign val="subscript"/>
        <sz val="8"/>
        <rFont val="Arial Narrow"/>
        <family val="2"/>
      </rPr>
      <t>95</t>
    </r>
  </si>
  <si>
    <t>Acc Sey</t>
  </si>
  <si>
    <t>Based on Uncertainty in Measurement: The ISO Guide - Robin E.Bentley</t>
  </si>
  <si>
    <t>Reported Uncertainty</t>
  </si>
  <si>
    <t>kpa</t>
  </si>
  <si>
    <r>
      <t>Gravity -  0.001 m/s</t>
    </r>
    <r>
      <rPr>
        <vertAlign val="superscript"/>
        <sz val="7"/>
        <rFont val="Arial Narrow"/>
        <family val="2"/>
      </rPr>
      <t xml:space="preserve">2  
</t>
    </r>
    <r>
      <rPr>
        <sz val="7"/>
        <rFont val="Arial Narrow"/>
        <family val="2"/>
      </rPr>
      <t>Sensitivity = Test Pressure / Gravity</t>
    </r>
  </si>
  <si>
    <t>Melbourne</t>
  </si>
  <si>
    <t>Tex At Site NATA Scope</t>
  </si>
  <si>
    <t>-kpa</t>
  </si>
  <si>
    <t>+kpa</t>
  </si>
  <si>
    <r>
      <t xml:space="preserve">min  </t>
    </r>
    <r>
      <rPr>
        <sz val="7"/>
        <rFont val="Tahoma"/>
        <family val="2"/>
      </rPr>
      <t>±</t>
    </r>
    <r>
      <rPr>
        <sz val="7.7"/>
        <rFont val="Arial"/>
        <family val="2"/>
      </rPr>
      <t>kpa</t>
    </r>
  </si>
  <si>
    <t>min % of reading</t>
  </si>
  <si>
    <t>Terms</t>
  </si>
  <si>
    <t>s</t>
  </si>
  <si>
    <t>standard deviation</t>
  </si>
  <si>
    <t>n</t>
  </si>
  <si>
    <t>number of measurement taken</t>
  </si>
  <si>
    <t>Experimental Standard Deviation of the Mean</t>
  </si>
  <si>
    <t>units</t>
  </si>
  <si>
    <t>Units that the input uncertainties are entered as</t>
  </si>
  <si>
    <t>dist</t>
  </si>
  <si>
    <t>Either a Normal or Rectangular Distribution  (entered as Normal or Rect)</t>
  </si>
  <si>
    <t>Uncertainty of measurement (95%) for the input component</t>
  </si>
  <si>
    <r>
      <t>(Divisor) k</t>
    </r>
    <r>
      <rPr>
        <b/>
        <i/>
        <vertAlign val="subscript"/>
        <sz val="8"/>
        <rFont val="Aptos Narrow"/>
        <family val="2"/>
        <scheme val="minor"/>
      </rPr>
      <t>i</t>
    </r>
  </si>
  <si>
    <t>Calculated number by which U is divided by to arrive at ui (standard uncertainty) or coverage factor from the calibration report on input quantity</t>
  </si>
  <si>
    <r>
      <t>V</t>
    </r>
    <r>
      <rPr>
        <b/>
        <i/>
        <vertAlign val="subscript"/>
        <sz val="8"/>
        <rFont val="Aptos Narrow"/>
        <family val="2"/>
        <scheme val="minor"/>
      </rPr>
      <t>i</t>
    </r>
  </si>
  <si>
    <t>Degrees of freedom (DOF) when not taken from supplied calibration report</t>
  </si>
  <si>
    <t>RU</t>
  </si>
  <si>
    <t>Relative uncertainty of measurement expressed in %</t>
  </si>
  <si>
    <t>CL</t>
  </si>
  <si>
    <t>Considered level of confidence in Uncertainty entered</t>
  </si>
  <si>
    <r>
      <t>0.5* (RU%)/100)^-</t>
    </r>
    <r>
      <rPr>
        <vertAlign val="superscript"/>
        <sz val="8"/>
        <rFont val="Aptos Narrow"/>
        <family val="2"/>
        <scheme val="minor"/>
      </rPr>
      <t>2</t>
    </r>
    <r>
      <rPr>
        <sz val="8"/>
        <rFont val="Aptos Narrow"/>
        <family val="2"/>
        <scheme val="minor"/>
      </rPr>
      <t xml:space="preserve"> or 0.5*(100/100-CL)^</t>
    </r>
    <r>
      <rPr>
        <vertAlign val="superscript"/>
        <sz val="8"/>
        <rFont val="Aptos Narrow"/>
        <family val="2"/>
        <scheme val="minor"/>
      </rPr>
      <t>2</t>
    </r>
  </si>
  <si>
    <r>
      <t>u</t>
    </r>
    <r>
      <rPr>
        <b/>
        <i/>
        <vertAlign val="subscript"/>
        <sz val="8"/>
        <rFont val="Aptos Narrow"/>
        <family val="2"/>
        <scheme val="minor"/>
      </rPr>
      <t>i</t>
    </r>
  </si>
  <si>
    <t>standard uncertainty ( U divided by divisor), expressed in units entered</t>
  </si>
  <si>
    <r>
      <t>c</t>
    </r>
    <r>
      <rPr>
        <b/>
        <i/>
        <vertAlign val="subscript"/>
        <sz val="8"/>
        <rFont val="Aptos Narrow"/>
        <family val="2"/>
        <scheme val="minor"/>
      </rPr>
      <t>i</t>
    </r>
  </si>
  <si>
    <t>sensitivity coefficient (number  by which standard uncertainty is multiplied to convert to common units)</t>
  </si>
  <si>
    <r>
      <t>u</t>
    </r>
    <r>
      <rPr>
        <b/>
        <i/>
        <vertAlign val="subscript"/>
        <sz val="8"/>
        <rFont val="Aptos Narrow"/>
        <family val="2"/>
        <scheme val="minor"/>
      </rPr>
      <t>i</t>
    </r>
    <r>
      <rPr>
        <b/>
        <i/>
        <sz val="8"/>
        <rFont val="Aptos Narrow"/>
        <family val="2"/>
        <scheme val="minor"/>
      </rPr>
      <t>C</t>
    </r>
    <r>
      <rPr>
        <b/>
        <i/>
        <vertAlign val="subscript"/>
        <sz val="8"/>
        <rFont val="Aptos Narrow"/>
        <family val="2"/>
        <scheme val="minor"/>
      </rPr>
      <t>i</t>
    </r>
  </si>
  <si>
    <t>standard uncertainty expressed in common units</t>
  </si>
  <si>
    <t>Type A Components</t>
  </si>
  <si>
    <t>Most often type A is a statistical calculation where a series of repeated measurement are taken</t>
  </si>
  <si>
    <r>
      <rPr>
        <b/>
        <i/>
        <sz val="8"/>
        <rFont val="Aptos Narrow"/>
        <family val="2"/>
        <scheme val="minor"/>
      </rPr>
      <t>ESDM</t>
    </r>
    <r>
      <rPr>
        <sz val="8"/>
        <rFont val="Aptos Narrow"/>
        <family val="2"/>
        <scheme val="minor"/>
      </rPr>
      <t xml:space="preserve"> =</t>
    </r>
    <r>
      <rPr>
        <b/>
        <i/>
        <sz val="8"/>
        <rFont val="Aptos Narrow"/>
        <family val="2"/>
        <scheme val="minor"/>
      </rPr>
      <t xml:space="preserve"> s / √n</t>
    </r>
    <r>
      <rPr>
        <sz val="8"/>
        <rFont val="Aptos Narrow"/>
        <family val="2"/>
        <scheme val="minor"/>
      </rPr>
      <t xml:space="preserve"> and is a "normal" input</t>
    </r>
  </si>
  <si>
    <r>
      <rPr>
        <b/>
        <i/>
        <sz val="8"/>
        <rFont val="Aptos Narrow"/>
        <family val="2"/>
        <scheme val="minor"/>
      </rPr>
      <t xml:space="preserve">U = s </t>
    </r>
    <r>
      <rPr>
        <sz val="8"/>
        <rFont val="Aptos Narrow"/>
        <family val="2"/>
        <scheme val="minor"/>
      </rPr>
      <t>(standard deviation)</t>
    </r>
  </si>
  <si>
    <r>
      <rPr>
        <sz val="8"/>
        <rFont val="Aptos Narrow"/>
        <family val="2"/>
        <scheme val="minor"/>
      </rPr>
      <t xml:space="preserve">(Divisor) </t>
    </r>
    <r>
      <rPr>
        <b/>
        <i/>
        <sz val="8"/>
        <rFont val="Aptos Narrow"/>
        <family val="2"/>
        <scheme val="minor"/>
      </rPr>
      <t>k</t>
    </r>
    <r>
      <rPr>
        <b/>
        <i/>
        <vertAlign val="subscript"/>
        <sz val="8"/>
        <rFont val="Aptos Narrow"/>
        <family val="2"/>
        <scheme val="minor"/>
      </rPr>
      <t>i</t>
    </r>
    <r>
      <rPr>
        <b/>
        <i/>
        <sz val="8"/>
        <rFont val="Aptos Narrow"/>
        <family val="2"/>
        <scheme val="minor"/>
      </rPr>
      <t>√n</t>
    </r>
  </si>
  <si>
    <r>
      <t xml:space="preserve">and </t>
    </r>
    <r>
      <rPr>
        <b/>
        <i/>
        <sz val="8"/>
        <rFont val="Aptos Narrow"/>
        <family val="2"/>
        <scheme val="minor"/>
      </rPr>
      <t>u</t>
    </r>
    <r>
      <rPr>
        <b/>
        <i/>
        <vertAlign val="subscript"/>
        <sz val="8"/>
        <rFont val="Aptos Narrow"/>
        <family val="2"/>
        <scheme val="minor"/>
      </rPr>
      <t>i</t>
    </r>
    <r>
      <rPr>
        <sz val="8"/>
        <rFont val="Aptos Narrow"/>
        <family val="2"/>
        <scheme val="minor"/>
      </rPr>
      <t xml:space="preserve"> = </t>
    </r>
    <r>
      <rPr>
        <b/>
        <i/>
        <sz val="8"/>
        <rFont val="Aptos Narrow"/>
        <family val="2"/>
        <scheme val="minor"/>
      </rPr>
      <t>U / k</t>
    </r>
    <r>
      <rPr>
        <b/>
        <i/>
        <vertAlign val="subscript"/>
        <sz val="8"/>
        <rFont val="Aptos Narrow"/>
        <family val="2"/>
        <scheme val="minor"/>
      </rPr>
      <t>i</t>
    </r>
    <r>
      <rPr>
        <sz val="8"/>
        <rFont val="Aptos Narrow"/>
        <family val="2"/>
        <scheme val="minor"/>
      </rPr>
      <t xml:space="preserve"> = </t>
    </r>
    <r>
      <rPr>
        <b/>
        <i/>
        <sz val="8"/>
        <rFont val="Aptos Narrow"/>
        <family val="2"/>
        <scheme val="minor"/>
      </rPr>
      <t>s / √n</t>
    </r>
    <r>
      <rPr>
        <sz val="8"/>
        <rFont val="Aptos Narrow"/>
        <family val="2"/>
        <scheme val="minor"/>
      </rPr>
      <t xml:space="preserve"> =</t>
    </r>
    <r>
      <rPr>
        <b/>
        <i/>
        <sz val="8"/>
        <rFont val="Aptos Narrow"/>
        <family val="2"/>
        <scheme val="minor"/>
      </rPr>
      <t>ESDM</t>
    </r>
  </si>
  <si>
    <r>
      <rPr>
        <b/>
        <i/>
        <sz val="8"/>
        <rFont val="Aptos Narrow"/>
        <family val="2"/>
        <scheme val="minor"/>
      </rPr>
      <t xml:space="preserve"> v</t>
    </r>
    <r>
      <rPr>
        <b/>
        <i/>
        <vertAlign val="subscript"/>
        <sz val="8"/>
        <rFont val="Aptos Narrow"/>
        <family val="2"/>
        <scheme val="minor"/>
      </rPr>
      <t>i</t>
    </r>
    <r>
      <rPr>
        <sz val="8"/>
        <rFont val="Aptos Narrow"/>
        <family val="2"/>
        <scheme val="minor"/>
      </rPr>
      <t xml:space="preserve"> = </t>
    </r>
    <r>
      <rPr>
        <b/>
        <i/>
        <sz val="8"/>
        <rFont val="Aptos Narrow"/>
        <family val="2"/>
        <scheme val="minor"/>
      </rPr>
      <t>n</t>
    </r>
    <r>
      <rPr>
        <sz val="8"/>
        <rFont val="Aptos Narrow"/>
        <family val="2"/>
        <scheme val="minor"/>
      </rPr>
      <t xml:space="preserve"> - 1</t>
    </r>
  </si>
  <si>
    <t xml:space="preserve">Another type of type A calcualtion is determing standard uncertaines from fitted curves and </t>
  </si>
  <si>
    <t xml:space="preserve">vi = number of measurements minus the number of constants fitted by regression.
</t>
  </si>
  <si>
    <t>Eg: 1st order; y=a+bx has two constants so vi = n-2.</t>
  </si>
  <si>
    <t>2nd order: y=a+bx+cx2  has three constants so vi = n-3.</t>
  </si>
  <si>
    <t>3rd order: y= a+bx+cx2 +dx3  has four constants so  vi = n-4.</t>
  </si>
  <si>
    <t>The standard uncertainty can be taken as square root of “maximum deviation from nominal” generated by curve.</t>
  </si>
  <si>
    <t>Type B Components</t>
  </si>
  <si>
    <t>Uncertainties from calibration reports.</t>
  </si>
  <si>
    <t xml:space="preserve"> ui=U/ ki   (std uncert=expanded uncert / coverage factor from report)</t>
  </si>
  <si>
    <t>Manufact specs or reference tables</t>
  </si>
  <si>
    <t>Component</t>
  </si>
  <si>
    <t>Distrib.</t>
  </si>
  <si>
    <t>Divisor (ki)</t>
  </si>
  <si>
    <t>DOF        (vi)</t>
  </si>
  <si>
    <t>Uncert from cert</t>
  </si>
  <si>
    <t>Norm.</t>
  </si>
  <si>
    <t>=k from cal</t>
  </si>
  <si>
    <t>If k=2 (95%) vi = 50-70</t>
  </si>
  <si>
    <t>report</t>
  </si>
  <si>
    <t>If k=2 (99%) vi = 13</t>
  </si>
  <si>
    <t>Scale Readability</t>
  </si>
  <si>
    <t>(analogue)</t>
  </si>
  <si>
    <t>Use ¼ to 1/5 of a division for gauges and machine scales.</t>
  </si>
  <si>
    <t>Use 1/5 to 1/10 of a division for a dial gauge or precision measuring tool.</t>
  </si>
  <si>
    <r>
      <rPr>
        <sz val="8"/>
        <rFont val="Calibri"/>
        <family val="2"/>
      </rPr>
      <t>√</t>
    </r>
    <r>
      <rPr>
        <sz val="8"/>
        <rFont val="Aptos Narrow"/>
        <family val="2"/>
        <scheme val="minor"/>
      </rPr>
      <t>3</t>
    </r>
  </si>
  <si>
    <t>(digital)</t>
  </si>
  <si>
    <t>Use ½ of  1 digit if  the device has a stable display.  If unstable the input uncertainty may have to be higher.</t>
  </si>
  <si>
    <t xml:space="preserve"> Repeatability</t>
  </si>
  <si>
    <t>S.D.</t>
  </si>
  <si>
    <t>k=√n</t>
  </si>
  <si>
    <t>vi =n-1</t>
  </si>
  <si>
    <t>Used when repeated sets of measurements are made to establish a standard deviation.</t>
  </si>
  <si>
    <t>½ of observed diff</t>
  </si>
  <si>
    <t>√3</t>
  </si>
  <si>
    <t xml:space="preserve">Used when repeatability is taken as the maximum difference between readings.  </t>
  </si>
  <si>
    <t>Perceived Anomalies. Assessment of Uncertainties of measurement : RR COOK. 1999.</t>
  </si>
  <si>
    <t>Supplementary Example #6 describes the readability of a pressure gauge as “normal”, quoting a semi range of  ±1/5 of a division which implies a range of 2/5 of a division. Surely this is a very conservative estimate as if we can read to 1/5 of a division confidently then the semi range is more likely to be ± 1/10 of a division.</t>
  </si>
  <si>
    <t>Example 2 pge 55-57 describes the resolution of a micrometer using the vernier scale a rectangular distribution.</t>
  </si>
  <si>
    <t>Should analogue scales with a reasonable readability; say up to 1/5 of a division be treated as normal due to the fact that the estimation is not over zealous so the chances of being closer to the central value being quoted is greater.</t>
  </si>
  <si>
    <t>For digital; or analogue scales where the estimation is harder to justify easily, then the probability of the value being anywhere within the quoted limits is greater; therefore a rectangular distribution.</t>
  </si>
  <si>
    <t>Uncertainty Budgets</t>
  </si>
  <si>
    <t>Measurement System Assesment</t>
  </si>
  <si>
    <t xml:space="preserve">The first and most important step in creating an uncertainty budget is to critically asses the measurement process and </t>
  </si>
  <si>
    <t>LIST all the potential sources of Deviation.</t>
  </si>
  <si>
    <t>Type of Evaluation</t>
  </si>
  <si>
    <t xml:space="preserve">Once a list of potential sources of Deviation has been established the evaluation method needs to be decided.  A type A evaluation is based on a statistcal analysis of measuremed data. </t>
  </si>
  <si>
    <t xml:space="preserve"> A type B evaluation is based on estimated values and relies on experience to achieve reasonable results.</t>
  </si>
  <si>
    <t>Distribution Type</t>
  </si>
  <si>
    <t>For type B evaluations a conservative approach is to assume rectangular distribution.  We could possibly achieve better results with normal distribution but we would need to justify that decision.</t>
  </si>
  <si>
    <t>Uncertainty values from calibration reports are considered normal distribution.</t>
  </si>
  <si>
    <t>ESDM calculated by type A evaluations are always considered normal distribution</t>
  </si>
  <si>
    <t>Degrees of Freedom (Type A evaluation)</t>
  </si>
  <si>
    <t>The degrees of freedom for a type A assessment is strictly calculated from the student-T tables.</t>
  </si>
  <si>
    <t>I have normally assumed a DoF of 60.</t>
  </si>
  <si>
    <t>Degrees of Freedom (Cook)</t>
  </si>
  <si>
    <t>To simplify degrees of freedom estimates adopt the convention of 50 (90% uncertainty) or 200 (95% uncertainty) when using the Ron Cook method.</t>
  </si>
  <si>
    <t>Degrees of Freedom (Bentley)</t>
  </si>
  <si>
    <t>When using the Bentley method for a type B evaluation use the following Degrees of Freedom.</t>
  </si>
  <si>
    <t>Confidence = Excellent (95%), DoF = 100</t>
  </si>
  <si>
    <t>Confidence = Good (90%), DoF = 30</t>
  </si>
  <si>
    <t>Confidence = Reasonable (75%), DoF = 10</t>
  </si>
  <si>
    <t>Confidence = Rough (50%), DoF = 3</t>
  </si>
  <si>
    <t>Sensitivity Coefficents</t>
  </si>
  <si>
    <t>Sensitivity coefficients convert into common units.  For example if a gauge reads in mm and a potential source of Deviation is thermal expansion measured in degrees celcius the sensitivity coefficient converts the components into common units.</t>
  </si>
  <si>
    <t>Coverage Factor (ki)</t>
  </si>
  <si>
    <t>Coverage factor is also known as a divisor, expansion factor, reducing factor or students t factor.</t>
  </si>
  <si>
    <t>A standard uncertainty is expanded to an 'expanded uncertainty' using the expansion or coverage factor.</t>
  </si>
  <si>
    <t>An expanded uncertainty is reduced to a 'standard uncertainty' using the reducing or coverage factor.</t>
  </si>
  <si>
    <t>If uncertainty components are expressed as an expanded uncertainty then the coverage factor k = 1</t>
  </si>
  <si>
    <t>If the uncertainty component is a standard uncertainty the coverage factor is assumed k = 2</t>
  </si>
  <si>
    <t>If the distribution is rectangular then the coverage factor is assumed to be k = 1.73</t>
  </si>
  <si>
    <t>Repeatability is sometimes included to cover Deviations due to random effects.</t>
  </si>
  <si>
    <t>Max Purse</t>
  </si>
  <si>
    <t>Using reference equipment without applying corrections.</t>
  </si>
  <si>
    <t xml:space="preserve">Strictly speaking a bias should be corrected.  In a non critical application where we read the reference without </t>
  </si>
  <si>
    <t>applying correction we can and should combine Deviations associated with the reference device.  The combined Deviation should</t>
  </si>
  <si>
    <t>include the uncertainty from the calibration report plus an estimate of the worst case Deviation with a RECTANGULAR distribution.</t>
  </si>
  <si>
    <t xml:space="preserve">A methodology needs to be established to assess what level of detail is required for the uncertainty budget. (Ive responded  </t>
  </si>
  <si>
    <t>saying that all uncertainty budgets submitted to NATA are least uncertainties and the long term plan is to calculate the</t>
  </si>
  <si>
    <t>uncertainties in the spreadsheet once we have established which components are dominant.</t>
  </si>
  <si>
    <t>In a non critical calibration where, for example, a micrometer or balance is used.  The mic spec or balance LOP can be</t>
  </si>
  <si>
    <t>used as an uncertainty component eliminating uncerts from a variety of sources including cal reports.</t>
  </si>
  <si>
    <t>Input variables to be considered if using a deadweight tester:</t>
  </si>
  <si>
    <t>1./ Uncertainty of the deadweight tester,/ test gauge / pressure transducer.</t>
  </si>
  <si>
    <t xml:space="preserve"> This is normally taken from the calibration certificate for the DWT or Pressure Transducer.</t>
  </si>
  <si>
    <t>For most applications where this is 0.1% or less the overall affect on the end result is negligible and need not be considered.  If an entry is to be made enter this expressed as the units the gauge reads in calculated at full scale.  For example if the DWT has an uncertainty of 0.05% and the gauge has a capacity of 1000 kPa; the value is 0.05% of 1000 = 0.5 kPa.  This value is to be entered on the uncertainty spreadsheet for a pressure gauge at cell reference ( I 17).</t>
  </si>
  <si>
    <t>2./</t>
  </si>
  <si>
    <t>Gravity and temperature have a negligible affect and need not be considered.</t>
  </si>
  <si>
    <t>3./</t>
  </si>
  <si>
    <t>Head correction may only be an issue if large differences in reference height are used on a low capacity gauge.  This has not been considered at this time; however more information may be obtained by referring to supplementary example no six; “Uncertainty calculation for the calibration of a pressure gauge” from NATA publication “Assessment of uncertainties of measurement”.</t>
  </si>
  <si>
    <t>4./</t>
  </si>
  <si>
    <t>Gauge Scale Readability:</t>
  </si>
  <si>
    <t>Estimate the best possible readability of the scale taking into account the distance apart of the graduation marks; the thickness of the pointer and parallax Deviation.  Do not use a readability of better than 1/5 of one scale division.  For example for a 1000 kPa pressure gauge with a scale division of 10 kPa do not use a readability of better than 2 kPa.  This value is to be entered on the Uncertainty spreadsheet at cell reference  (I 21).</t>
  </si>
  <si>
    <t xml:space="preserve">5./ </t>
  </si>
  <si>
    <t>Gauge Repeatability;</t>
  </si>
  <si>
    <t>For Industrial gauges an estimation can be made from the general performance of the gauge and a figure of twice this amount entered on the spreadsheet at cell reference ( I 22).  For Test Gauges a where this may be considered to be a more important issue six repeated observations can be made a the lower end of the scale and as above enter the repeatability as twice the observed reading.</t>
  </si>
  <si>
    <t>TRANSDUCERS</t>
  </si>
  <si>
    <t>The only change being that digital systems with pressure transducers attached generally have a much greater resolution and the reference equipment uncertainty will play a larger part in the overall reported uncertainty figure.  A pressure gauge may only have an overall readability figure of 1:500 whereas a digital system may have 4000 counts or more.</t>
  </si>
  <si>
    <t>Gravity and temperature</t>
  </si>
  <si>
    <t>As for above.</t>
  </si>
  <si>
    <t xml:space="preserve">Gauge scale Readability </t>
  </si>
  <si>
    <t>For a digital system this is the least count.</t>
  </si>
  <si>
    <t>Gauge Repeatability</t>
  </si>
  <si>
    <t>Van</t>
  </si>
  <si>
    <t>Tech</t>
  </si>
  <si>
    <t>Vic</t>
  </si>
  <si>
    <t>1BY8LR</t>
  </si>
  <si>
    <t>Conor Ebbut</t>
  </si>
  <si>
    <t>Formula Check  for NATA Pass Fail criteria test</t>
  </si>
  <si>
    <t>1DS2UQ</t>
  </si>
  <si>
    <t>DCM087</t>
  </si>
  <si>
    <t>Carl</t>
  </si>
  <si>
    <t>DBV725</t>
  </si>
  <si>
    <t>DBV724</t>
  </si>
  <si>
    <t>DBV723</t>
  </si>
  <si>
    <t>CVQ732</t>
  </si>
  <si>
    <t>CVQ726</t>
  </si>
  <si>
    <t>orig formula; red font causes the mis-calculation as it is not producing an absolute value within the difference of the IUT tolerance - reference uncertainty thus creating a false failure</t>
  </si>
  <si>
    <r>
      <t>IF($A27="","---",IF(H27="","Data?",IF((TestType="M1")*AND(NATA="Y"),IF(ABS((ABS(H27))-ABS($C27))</t>
    </r>
    <r>
      <rPr>
        <sz val="10"/>
        <color rgb="FFFF0000"/>
        <rFont val="Arial"/>
        <family val="2"/>
      </rPr>
      <t>&lt;=(T27-ABS(Q27))</t>
    </r>
    <r>
      <rPr>
        <sz val="10"/>
        <rFont val="Arial"/>
        <family val="2"/>
      </rPr>
      <t>,"Pass","Fail"),IF((TestType="M1")*AND(NATA="N"),IF(ABS((ABS(H27))-ABS($C27))&lt;=(T27),"Pass","Fail"),IF(ABS(ABS(H27)-ABS($C27))&lt;=T27,"Pass","Fail")))))</t>
    </r>
  </si>
  <si>
    <t>NSW</t>
  </si>
  <si>
    <t>1SW5CT</t>
  </si>
  <si>
    <t>Ryan Blackburn</t>
  </si>
  <si>
    <t>Laboratory</t>
  </si>
  <si>
    <t>E5:E8</t>
  </si>
  <si>
    <t>revised formula</t>
  </si>
  <si>
    <t>IF($A27="","---",IF(H27="","Data?",IF((TestType="M1")*AND(NATA="Y"),IF(ABS((ABS(H27))-ABS($C27))&lt;=ABS(ABS(T27)-ABS(Q27)),"Pass","Fail"),IF((TestType="M1")*AND(NATA="N"),IF(ABS((ABS(H27))-ABS($C27))&lt;=(T27),"Pass","Fail"),IF(ABS(ABS(H27)-ABS($C27))&lt;=T27,"Pass","Fail")))))</t>
  </si>
  <si>
    <t>1HB2GX</t>
  </si>
  <si>
    <t>Kamel</t>
  </si>
  <si>
    <t>Onsite</t>
  </si>
  <si>
    <t>1IA7YR</t>
  </si>
  <si>
    <t>Luke</t>
  </si>
  <si>
    <t>B4:B17</t>
  </si>
  <si>
    <t>simulation</t>
  </si>
  <si>
    <t>1MB1OB</t>
  </si>
  <si>
    <t>IUT tolerance</t>
  </si>
  <si>
    <t>1JD6AZ</t>
  </si>
  <si>
    <t>Ray Wennerstroem</t>
  </si>
  <si>
    <t>Reference Uncertainty</t>
  </si>
  <si>
    <t>SA</t>
  </si>
  <si>
    <t>1EP7RE</t>
  </si>
  <si>
    <t>Troy Habermann</t>
  </si>
  <si>
    <t>ZYS831</t>
  </si>
  <si>
    <t>Sainath</t>
  </si>
  <si>
    <t>1IC3BG</t>
  </si>
  <si>
    <t>Paulo Graciliano</t>
  </si>
  <si>
    <t>Internal and customer Gear</t>
  </si>
  <si>
    <t>1IC3BH</t>
  </si>
  <si>
    <t>James Clark</t>
  </si>
  <si>
    <t>1IQ9GN</t>
  </si>
  <si>
    <t>Patrick Vidgen</t>
  </si>
  <si>
    <t>1JD1HT</t>
  </si>
  <si>
    <t>Adrian</t>
  </si>
  <si>
    <t>1BY8LS</t>
  </si>
  <si>
    <t>Andres Carrera</t>
  </si>
  <si>
    <t>WA</t>
  </si>
  <si>
    <t>1CR6YW</t>
  </si>
  <si>
    <t>Ben Johnson</t>
  </si>
  <si>
    <t>For kamel</t>
  </si>
  <si>
    <t>1DS2UR</t>
  </si>
  <si>
    <t>Grayson</t>
  </si>
  <si>
    <t>1FE1DV</t>
  </si>
  <si>
    <t>Karattha</t>
  </si>
  <si>
    <t>1JD1HN</t>
  </si>
  <si>
    <t>New Zealand</t>
  </si>
  <si>
    <t>Kit Expiry Warning</t>
  </si>
  <si>
    <t>NZ</t>
  </si>
  <si>
    <t>JPK501</t>
  </si>
  <si>
    <t xml:space="preserve">KRK330 </t>
  </si>
  <si>
    <t>HDP89</t>
  </si>
  <si>
    <t>KRK306</t>
  </si>
  <si>
    <t>LTE49</t>
  </si>
  <si>
    <t>NT</t>
  </si>
  <si>
    <t>1JD1HX</t>
  </si>
  <si>
    <t>Alstom Cert</t>
  </si>
  <si>
    <t>Vline Cert</t>
  </si>
  <si>
    <t>Cardinal Interval</t>
  </si>
  <si>
    <t>Report Revamp</t>
  </si>
  <si>
    <t>Header and Footer - left footer</t>
  </si>
  <si>
    <t>Statements</t>
  </si>
  <si>
    <t>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</si>
  <si>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NATA</t>
  </si>
  <si>
    <t>Tex At Site operates a quality management system in accordance with ISO/IEC 17025. 
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</si>
  <si>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Traceable</t>
  </si>
  <si>
    <t>Latest Date</t>
  </si>
  <si>
    <t>Latest Time</t>
  </si>
  <si>
    <t>Latest By</t>
  </si>
  <si>
    <t>Latest Version</t>
  </si>
  <si>
    <t>Latest Workbook</t>
  </si>
  <si>
    <t>Latest Details</t>
  </si>
  <si>
    <t>Verification</t>
  </si>
  <si>
    <t>Date</t>
  </si>
  <si>
    <t>Time</t>
  </si>
  <si>
    <t>By</t>
  </si>
  <si>
    <t>Version</t>
  </si>
  <si>
    <t>Workbook</t>
  </si>
  <si>
    <t>Details</t>
  </si>
  <si>
    <t>1</t>
  </si>
  <si>
    <t>Initial Release of the Thread gauge Software</t>
  </si>
  <si>
    <t>Thread Gage</t>
  </si>
  <si>
    <t>A / 7000</t>
  </si>
  <si>
    <t>Transducer</t>
  </si>
  <si>
    <t>Converted</t>
  </si>
  <si>
    <t>NM</t>
  </si>
  <si>
    <t>to N.m</t>
  </si>
  <si>
    <t>from N.m</t>
  </si>
  <si>
    <t>cN.m</t>
  </si>
  <si>
    <t>3 GIBBENS RD, WEST GOSFORD, 2250</t>
  </si>
  <si>
    <t>dN.m</t>
  </si>
  <si>
    <t>MSA1-NATA</t>
  </si>
  <si>
    <t>Druclk</t>
  </si>
  <si>
    <t>N.m</t>
  </si>
  <si>
    <t>200Bar</t>
  </si>
  <si>
    <t>Reference Range in N.m</t>
  </si>
  <si>
    <t>Certificate No:</t>
  </si>
  <si>
    <t>Cal Due date</t>
  </si>
  <si>
    <t>Reference's Used</t>
  </si>
  <si>
    <t>Used True/False</t>
  </si>
  <si>
    <t>Reference list compiled</t>
  </si>
  <si>
    <t>kgf.m</t>
  </si>
  <si>
    <t>Decimal Place lookup</t>
  </si>
  <si>
    <t>0</t>
  </si>
  <si>
    <t>kgf.cm</t>
  </si>
  <si>
    <t>0.0</t>
  </si>
  <si>
    <t>C:\Tex Onsite\Tex_Reff\equip.csv</t>
  </si>
  <si>
    <t>lbf.ft</t>
  </si>
  <si>
    <t>0.00</t>
  </si>
  <si>
    <t>lbf.inch</t>
  </si>
  <si>
    <t>0.000</t>
  </si>
  <si>
    <t>Model</t>
  </si>
  <si>
    <t>M10X1.50-6H</t>
  </si>
  <si>
    <t>ozf.inch</t>
  </si>
  <si>
    <t>0.0000</t>
  </si>
  <si>
    <t>Go / Go and No-Go</t>
  </si>
  <si>
    <t>Go</t>
  </si>
  <si>
    <t>NATA Report (Y or N)</t>
  </si>
  <si>
    <t>AD</t>
  </si>
  <si>
    <t>AE</t>
  </si>
  <si>
    <t>Apply Reference Correction</t>
  </si>
  <si>
    <t>Reference Equipment Kit No:</t>
  </si>
  <si>
    <t>Uncertainty Polynomial equation coefficients</t>
  </si>
  <si>
    <t>Drift Polynomial equation coefficients</t>
  </si>
  <si>
    <t>Accuracy Polynomial equation coefficients</t>
  </si>
  <si>
    <t>Decimal places</t>
  </si>
  <si>
    <t>Standard</t>
  </si>
  <si>
    <t>TAS</t>
  </si>
  <si>
    <t>Select</t>
  </si>
  <si>
    <t>Preloads</t>
  </si>
  <si>
    <t>Cal Points %</t>
  </si>
  <si>
    <t>Repeats</t>
  </si>
  <si>
    <t>Accuracy</t>
  </si>
  <si>
    <t>Fixed</t>
  </si>
  <si>
    <t>Kit No.</t>
  </si>
  <si>
    <t>Cert No.</t>
  </si>
  <si>
    <t>Serial No.</t>
  </si>
  <si>
    <t>Over Due</t>
  </si>
  <si>
    <t>Min nm</t>
  </si>
  <si>
    <t>Max nm</t>
  </si>
  <si>
    <t>Direction</t>
  </si>
  <si>
    <t>Acc (%)</t>
  </si>
  <si>
    <t>Ref Deviation (N.m)</t>
  </si>
  <si>
    <t>Drift (N.m)</t>
  </si>
  <si>
    <t>X3</t>
  </si>
  <si>
    <t>X2</t>
  </si>
  <si>
    <t>R²</t>
  </si>
  <si>
    <t>AS</t>
  </si>
  <si>
    <t>AS1721 &amp; AS1014</t>
  </si>
  <si>
    <t>A - Wrench, deflcting beam</t>
  </si>
  <si>
    <t>Tolerance%:</t>
  </si>
  <si>
    <t>II</t>
  </si>
  <si>
    <t>B - Wrench, deflecting beam w/o head</t>
  </si>
  <si>
    <t>Pitch Diameter Tolerance :</t>
  </si>
  <si>
    <t>No-Go</t>
  </si>
  <si>
    <t>III</t>
  </si>
  <si>
    <t>Electronic</t>
  </si>
  <si>
    <t>C - Wrench, rigid housing</t>
  </si>
  <si>
    <t>D - Wrench, rigid housing w/o head</t>
  </si>
  <si>
    <t>Max</t>
  </si>
  <si>
    <t>E - Screwdriver, grip</t>
  </si>
  <si>
    <t>Electronic - Wrench</t>
  </si>
  <si>
    <t>A - Wrench, graduated</t>
  </si>
  <si>
    <t>B - Wrench, non-graduated</t>
  </si>
  <si>
    <t>A S1</t>
  </si>
  <si>
    <t>A, Style 1 - Screwdriver graduated</t>
  </si>
  <si>
    <t>A S2</t>
  </si>
  <si>
    <t>A, Style 2 - Screwdriver non-graduated</t>
  </si>
  <si>
    <t>B S1</t>
  </si>
  <si>
    <t>B, T-Handle Grip; Non ratcheting</t>
  </si>
  <si>
    <t>B S2</t>
  </si>
  <si>
    <t>B, T-Handle Grip; Ratcheting</t>
  </si>
  <si>
    <t>IV</t>
  </si>
  <si>
    <t>A, Break Over Wrench</t>
  </si>
  <si>
    <t>INDIRECT(VLOOKUP('Test Data'!$AL$30,'Test Data'!$AL$31:$AQ$45,5,0))</t>
  </si>
  <si>
    <t>Picture 1</t>
  </si>
  <si>
    <t>Type I Class A - Wrench, deflcting beam</t>
  </si>
  <si>
    <t>$AN$31</t>
  </si>
  <si>
    <t>Picture 2</t>
  </si>
  <si>
    <t>Type I Class B - Wrench, deflecting beam w/o head</t>
  </si>
  <si>
    <t>$AN$32</t>
  </si>
  <si>
    <t>Picture 3</t>
  </si>
  <si>
    <t>Type I Class C - Wrench, rigid housing</t>
  </si>
  <si>
    <t>$AN$33</t>
  </si>
  <si>
    <t>Picture 4</t>
  </si>
  <si>
    <t>Type I Class D - Wrench, rigid housing w/o head</t>
  </si>
  <si>
    <t>$AN$34</t>
  </si>
  <si>
    <t>Picture 5</t>
  </si>
  <si>
    <t>Type I Class E - Screwdriver, grip</t>
  </si>
  <si>
    <t>$AN$35</t>
  </si>
  <si>
    <t>Picture 6</t>
  </si>
  <si>
    <t>Type II Class A - Wrench, graduated</t>
  </si>
  <si>
    <t>$AN$36</t>
  </si>
  <si>
    <t>Picture 7</t>
  </si>
  <si>
    <t>Type II Class B - Wrench, non-graduated</t>
  </si>
  <si>
    <t>$AN$37</t>
  </si>
  <si>
    <t>Picture 8</t>
  </si>
  <si>
    <t>Type I Class Electronic - Wrench</t>
  </si>
  <si>
    <t>$AN$38</t>
  </si>
  <si>
    <t>Picture 9</t>
  </si>
  <si>
    <t>Type III Class A, Style 1 - Screwdriver graduated</t>
  </si>
  <si>
    <t>$AN$39</t>
  </si>
  <si>
    <t>Picture 10</t>
  </si>
  <si>
    <t>Type III Class A, Style 2 - Screwdriver non-graduated</t>
  </si>
  <si>
    <t>$AN$40</t>
  </si>
  <si>
    <t>Picture 11</t>
  </si>
  <si>
    <t>Type III Class B, T-Handle Grip; Non ratcheting</t>
  </si>
  <si>
    <t>$AN$41</t>
  </si>
  <si>
    <t>Picture 12</t>
  </si>
  <si>
    <t>Type II Class G - Wrench, adjustable, with electronic measurement</t>
  </si>
  <si>
    <t>$AN$42</t>
  </si>
  <si>
    <t>Picture 13</t>
  </si>
  <si>
    <t>$AN$43</t>
  </si>
  <si>
    <t>Picture 14</t>
  </si>
  <si>
    <t>Type IV Class A, Break Over Wrench</t>
  </si>
  <si>
    <t>$AN$44</t>
  </si>
  <si>
    <t>$AN$45</t>
  </si>
  <si>
    <t>nata_approvals@texatsite.com.au</t>
  </si>
  <si>
    <t>Test</t>
  </si>
  <si>
    <t>Pitch Diameter Go</t>
  </si>
  <si>
    <t>Pitch Diameter No-Go</t>
  </si>
  <si>
    <t>Major Diameter Go</t>
  </si>
  <si>
    <t>Major Diameter No-Go</t>
  </si>
  <si>
    <t>Minor Diameter</t>
  </si>
  <si>
    <t>Table 4.6 of AS1014 - Deviations for Go Screw Plug Gages</t>
  </si>
  <si>
    <t>MIN</t>
  </si>
  <si>
    <t>MAX</t>
  </si>
  <si>
    <r>
      <t>P</t>
    </r>
    <r>
      <rPr>
        <sz val="10"/>
        <color theme="1"/>
        <rFont val="Aptos Narrow"/>
        <family val="2"/>
      </rPr>
      <t>Ø</t>
    </r>
    <r>
      <rPr>
        <sz val="10"/>
        <color theme="1"/>
        <rFont val="Arial Narrow"/>
        <family val="2"/>
      </rPr>
      <t xml:space="preserve"> tolerances for Internal thread</t>
    </r>
  </si>
  <si>
    <t>Deviation</t>
  </si>
  <si>
    <t>Worn</t>
  </si>
  <si>
    <r>
      <t xml:space="preserve">Major </t>
    </r>
    <r>
      <rPr>
        <sz val="10"/>
        <color theme="1"/>
        <rFont val="Aptos Narrow"/>
        <family val="2"/>
      </rPr>
      <t>Ø</t>
    </r>
  </si>
  <si>
    <r>
      <t xml:space="preserve">Pitch </t>
    </r>
    <r>
      <rPr>
        <sz val="10"/>
        <color theme="1"/>
        <rFont val="Aptos Narrow"/>
        <family val="2"/>
      </rPr>
      <t>Ø</t>
    </r>
  </si>
  <si>
    <r>
      <t xml:space="preserve">Minor </t>
    </r>
    <r>
      <rPr>
        <sz val="10"/>
        <color theme="1"/>
        <rFont val="Aptos Narrow"/>
        <family val="2"/>
      </rPr>
      <t>Ø</t>
    </r>
  </si>
  <si>
    <t>Wear</t>
  </si>
  <si>
    <t>M10X1.25-6H</t>
  </si>
  <si>
    <t>Upper</t>
  </si>
  <si>
    <t>Lower</t>
  </si>
  <si>
    <t>lower</t>
  </si>
  <si>
    <t>M10X1.50-6G</t>
  </si>
  <si>
    <t>M10X1.50-8G</t>
  </si>
  <si>
    <t>M125X2.00-6H</t>
  </si>
  <si>
    <t>M12X1.00-6H</t>
  </si>
  <si>
    <t>M12X1.75-6H</t>
  </si>
  <si>
    <t>M12X1.75-8G</t>
  </si>
  <si>
    <t>M140X2.00-6H</t>
  </si>
  <si>
    <t>M14X2.00-6H</t>
  </si>
  <si>
    <t>M16X2.00-6G</t>
  </si>
  <si>
    <t>M16X2.00-6H</t>
  </si>
  <si>
    <t>M16X2.00-8G</t>
  </si>
  <si>
    <t>M20X1.50-6H</t>
  </si>
  <si>
    <t>M20X2.50-6H</t>
  </si>
  <si>
    <t>M20X2.50-8G</t>
  </si>
  <si>
    <t>M24X3.00-6G</t>
  </si>
  <si>
    <t>M24X3.00-6H</t>
  </si>
  <si>
    <t>M24X3.00-8G</t>
  </si>
  <si>
    <t>M30X3.50-6H</t>
  </si>
  <si>
    <t>M32X1.50-6H</t>
  </si>
  <si>
    <t>M345X4.00-8g</t>
  </si>
  <si>
    <t>Table 4.2 of AS 1721</t>
  </si>
  <si>
    <t>M36X1.50-6H</t>
  </si>
  <si>
    <r>
      <t xml:space="preserve">Basic Major </t>
    </r>
    <r>
      <rPr>
        <sz val="10"/>
        <color theme="1"/>
        <rFont val="Aptos Narrow"/>
        <family val="2"/>
      </rPr>
      <t>Ø</t>
    </r>
    <r>
      <rPr>
        <sz val="10"/>
        <color theme="1"/>
        <rFont val="Arial Narrow"/>
        <family val="2"/>
      </rPr>
      <t xml:space="preserve">
mm</t>
    </r>
  </si>
  <si>
    <t>Pitch
mm</t>
  </si>
  <si>
    <r>
      <t xml:space="preserve">Tolerance, </t>
    </r>
    <r>
      <rPr>
        <sz val="10"/>
        <color theme="1"/>
        <rFont val="Aptos Narrow"/>
        <family val="2"/>
      </rPr>
      <t>µ</t>
    </r>
    <r>
      <rPr>
        <sz val="10"/>
        <color theme="1"/>
        <rFont val="Arial Narrow"/>
        <family val="2"/>
      </rPr>
      <t>m</t>
    </r>
  </si>
  <si>
    <t>M36X3.00-4H</t>
  </si>
  <si>
    <t>Tolerance, grade</t>
  </si>
  <si>
    <t>M36X4.00-6G</t>
  </si>
  <si>
    <t>M36X4.00-6H</t>
  </si>
  <si>
    <t>M3X0.50-6H</t>
  </si>
  <si>
    <t>M48X1.50-6H</t>
  </si>
  <si>
    <t>M48X5.00-6G</t>
  </si>
  <si>
    <t>M4X0.70-6H</t>
  </si>
  <si>
    <t>M5X0.80-6H</t>
  </si>
  <si>
    <t>M60X1.50-6H</t>
  </si>
  <si>
    <t>M6X1.00-6H</t>
  </si>
  <si>
    <t>M75X1.50-6H</t>
  </si>
  <si>
    <t>M8X1.25-6H</t>
  </si>
  <si>
    <t>M90X2.00-6H</t>
  </si>
  <si>
    <t>M150X6.00-6H</t>
  </si>
  <si>
    <t>7/16X20 UNF-2B</t>
  </si>
  <si>
    <t>7/16X20 UNC-2B</t>
  </si>
  <si>
    <t>5/8X18 UNF-2B</t>
  </si>
  <si>
    <t>5/8X11 UNF-2B</t>
  </si>
  <si>
    <t>5/16X24 UNF-2B</t>
  </si>
  <si>
    <t>5/16X18 UNC-2B</t>
  </si>
  <si>
    <t>3/8X24 UNF-2B</t>
  </si>
  <si>
    <t>3/8X16 UNC-2B</t>
  </si>
  <si>
    <t>3/4X16 UNF-2B</t>
  </si>
  <si>
    <t>3/4X10 UNC-2B</t>
  </si>
  <si>
    <t>1X8 UNC-2B</t>
  </si>
  <si>
    <t>1X14 UNS-2B</t>
  </si>
  <si>
    <t>1/4X28 UNF-2B</t>
  </si>
  <si>
    <t>1/4X20 UNC-2B</t>
  </si>
  <si>
    <t>1/2X20 UNF-2B</t>
  </si>
  <si>
    <t>1/2X13 UNC-2B</t>
  </si>
  <si>
    <t>1 3/8X12 UNF-2B</t>
  </si>
  <si>
    <t>1 1/4X7 UNF-2B</t>
  </si>
  <si>
    <t>1 1/2X12 UNF-2B</t>
  </si>
  <si>
    <t>M25X1.50-6H</t>
  </si>
  <si>
    <t>Pitch</t>
  </si>
  <si>
    <t>3H/4
Table 3.1 of AS1014</t>
  </si>
  <si>
    <t>Table 4.7 of AS1014 - Deviations for No-Go Screw Plug Gages</t>
  </si>
  <si>
    <r>
      <t xml:space="preserve">Minor </t>
    </r>
    <r>
      <rPr>
        <sz val="10"/>
        <color theme="1"/>
        <rFont val="Aptos Narrow"/>
        <family val="2"/>
      </rPr>
      <t>Ø</t>
    </r>
    <r>
      <rPr>
        <sz val="10"/>
        <color theme="1"/>
        <rFont val="Arial Narrow"/>
        <family val="2"/>
      </rPr>
      <t xml:space="preserve"> Tolerances for Internal threads
Table 4.4 of AS 1721</t>
    </r>
  </si>
  <si>
    <t xml:space="preserve">Go </t>
  </si>
  <si>
    <t>Variables</t>
  </si>
  <si>
    <t>Features</t>
  </si>
  <si>
    <t>Pitch Diameter</t>
  </si>
  <si>
    <t>Go
No-Go</t>
  </si>
  <si>
    <t>Feature</t>
  </si>
  <si>
    <t>Test Location</t>
  </si>
  <si>
    <t>Front</t>
  </si>
  <si>
    <t>Rear</t>
  </si>
  <si>
    <r>
      <t>P</t>
    </r>
    <r>
      <rPr>
        <sz val="10"/>
        <color theme="1"/>
        <rFont val="Aptos Narrow"/>
        <family val="2"/>
      </rPr>
      <t>Ø</t>
    </r>
    <r>
      <rPr>
        <sz val="10"/>
        <color theme="1"/>
        <rFont val="Arial Narrow"/>
        <family val="2"/>
      </rPr>
      <t xml:space="preserve"> Test Points</t>
    </r>
  </si>
  <si>
    <r>
      <t xml:space="preserve">Major </t>
    </r>
    <r>
      <rPr>
        <sz val="10"/>
        <color theme="1"/>
        <rFont val="Aptos Narrow"/>
        <family val="2"/>
      </rPr>
      <t>Ø</t>
    </r>
    <r>
      <rPr>
        <sz val="10"/>
        <color theme="1"/>
        <rFont val="Arial Narrow"/>
        <family val="2"/>
      </rPr>
      <t xml:space="preserve"> Test Points</t>
    </r>
  </si>
  <si>
    <t>Go and No-Go / Pitch Diameter</t>
  </si>
  <si>
    <t>Go / Pitch Diameter</t>
  </si>
  <si>
    <t>Go / Pitch and Major Diameter</t>
  </si>
  <si>
    <t>Go and No-Go / Pitch and Major Diameter</t>
  </si>
  <si>
    <t>Repeatablity</t>
  </si>
  <si>
    <t>Pass / Fail</t>
  </si>
  <si>
    <t>https://en.ittrip.xyz/ms-office/excel/execute-python-from-excel-vba</t>
  </si>
  <si>
    <t>I have this issue of passing arguments to the function. The python code is running from vba fine but at the end it will give me this error. Temporarily solved this by making the parameters local inside the acq function. The dia, pd and tg parameters are still dynamic as it is grabbing its value from cells Q5, Q6 and Q7 of the excel file</t>
  </si>
  <si>
    <t>Test Set Up</t>
  </si>
  <si>
    <t>Screw Plug Gauge</t>
  </si>
  <si>
    <t>Dimensional Type ASME B107.300:</t>
  </si>
  <si>
    <t>Dimensional</t>
  </si>
  <si>
    <t>Toast.xlam</t>
  </si>
  <si>
    <t>25 mm TG</t>
  </si>
  <si>
    <t>50 mm TG</t>
  </si>
  <si>
    <t>4 in</t>
  </si>
  <si>
    <t>Error</t>
  </si>
  <si>
    <t>K16</t>
  </si>
  <si>
    <t>L16</t>
  </si>
  <si>
    <t>M16</t>
  </si>
  <si>
    <t>M345X4.00-8G</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</si>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</sst>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00000000000000000000000"/>
    <numFmt numFmtId="165" formatCode="0.000"/>
    <numFmt numFmtId="166" formatCode="[$-F800]dddd\,\ mmmm\ dd\,\ yyyy"/>
    <numFmt numFmtId="167" formatCode="dddd"/>
    <numFmt numFmtId="168" formatCode="00&quot; Months&quot;"/>
    <numFmt numFmtId="169" formatCode="dd\ mmm\ yyyy"/>
    <numFmt numFmtId="170" formatCode="d/m/yyyy;@"/>
    <numFmt numFmtId="171" formatCode="[h]:mm\_x000a_\_x000a_"/>
    <numFmt numFmtId="172" formatCode="0.00000000000"/>
    <numFmt numFmtId="173" formatCode="hh:mm:ss"/>
    <numFmt numFmtId="174" formatCode="0.0"/>
    <numFmt numFmtId="175" formatCode="0.00000000"/>
    <numFmt numFmtId="176" formatCode="\+#,##0.000;\-#,##0.000;0.000"/>
    <numFmt numFmtId="177" formatCode="\+#,##0.00;\-#,##0.00;0.00"/>
    <numFmt numFmtId="178" formatCode="[$-C09]dd\-mmm\-yy;@"/>
    <numFmt numFmtId="179" formatCode="0.000%"/>
    <numFmt numFmtId="180" formatCode="0.000000"/>
    <numFmt numFmtId="181" formatCode="0.0000"/>
    <numFmt numFmtId="182" formatCode="0.000E+00"/>
    <numFmt numFmtId="183" formatCode="0.00000"/>
    <numFmt numFmtId="184" formatCode="[h]:mm"/>
    <numFmt numFmtId="185" formatCode="d/mm/yyyy;@"/>
  </numFmts>
  <fonts count="136">
    <font>
      <sz val="11"/>
      <color theme="1"/>
      <name val="Aptos Narrow"/>
      <family val="2"/>
      <scheme val="minor"/>
    </font>
    <font>
      <sz val="11"/>
      <color theme="1"/>
      <name val="Aptos Narrow"/>
      <family val="2"/>
      <scheme val="minor"/>
    </font>
    <font>
      <sz val="11"/>
      <color rgb="FF000000"/>
      <name val="Calibri"/>
      <family val="2"/>
    </font>
    <font>
      <sz val="16"/>
      <color rgb="FF000000"/>
      <name val="Arial Black"/>
      <family val="2"/>
    </font>
    <font>
      <sz val="10"/>
      <color rgb="FF000000"/>
      <name val="Arial Narrow"/>
      <family val="2"/>
    </font>
    <font>
      <sz val="10"/>
      <color rgb="FF000000"/>
      <name val="Arial"/>
      <family val="2"/>
    </font>
    <font>
      <sz val="11"/>
      <color theme="0" tint="-0.14999847407452621"/>
      <name val="Arial Narrow"/>
      <family val="2"/>
    </font>
    <font>
      <sz val="11"/>
      <color theme="1"/>
      <name val="Arial Narrow"/>
      <family val="2"/>
    </font>
    <font>
      <sz val="10"/>
      <name val="Arial"/>
      <family val="2"/>
    </font>
    <font>
      <sz val="14"/>
      <name val="Arial Narrow"/>
      <family val="2"/>
    </font>
    <font>
      <sz val="14"/>
      <name val="Arial"/>
      <family val="2"/>
    </font>
    <font>
      <sz val="7"/>
      <name val="Arial"/>
      <family val="2"/>
    </font>
    <font>
      <b/>
      <sz val="10"/>
      <color theme="1"/>
      <name val="Aptos Narrow"/>
      <family val="2"/>
      <scheme val="minor"/>
    </font>
    <font>
      <sz val="12"/>
      <name val="Arial"/>
      <family val="2"/>
    </font>
    <font>
      <sz val="18"/>
      <color theme="1"/>
      <name val="Arial Narrow"/>
      <family val="2"/>
    </font>
    <font>
      <sz val="10"/>
      <name val="Arial Narrow"/>
      <family val="2"/>
    </font>
    <font>
      <sz val="10"/>
      <color theme="0" tint="-0.14999847407452621"/>
      <name val="Arial Narrow"/>
      <family val="2"/>
    </font>
    <font>
      <sz val="10"/>
      <color theme="0" tint="-0.14999847407452621"/>
      <name val="Arial"/>
      <family val="2"/>
    </font>
    <font>
      <sz val="11"/>
      <color theme="2"/>
      <name val="Arial Narrow"/>
      <family val="2"/>
    </font>
    <font>
      <sz val="12"/>
      <color theme="1"/>
      <name val="Arial Narrow"/>
      <family val="2"/>
    </font>
    <font>
      <sz val="7"/>
      <color theme="1"/>
      <name val="Arial"/>
      <family val="2"/>
    </font>
    <font>
      <sz val="11"/>
      <name val="Arial Narrow"/>
      <family val="2"/>
    </font>
    <font>
      <sz val="7"/>
      <name val="Arial Narrow"/>
      <family val="2"/>
    </font>
    <font>
      <sz val="7"/>
      <color theme="0" tint="-0.14999847407452621"/>
      <name val="Arial"/>
      <family val="2"/>
    </font>
    <font>
      <sz val="8"/>
      <name val="Arial Narrow"/>
      <family val="2"/>
    </font>
    <font>
      <b/>
      <sz val="12"/>
      <name val="Arial Narrow"/>
      <family val="2"/>
    </font>
    <font>
      <sz val="12"/>
      <name val="Arial Narrow"/>
      <family val="2"/>
    </font>
    <font>
      <sz val="11"/>
      <color theme="1"/>
      <name val="Arial"/>
      <family val="2"/>
    </font>
    <font>
      <b/>
      <sz val="14"/>
      <name val="Arial Narrow"/>
      <family val="2"/>
    </font>
    <font>
      <sz val="9"/>
      <name val="Arial Narrow"/>
      <family val="2"/>
    </font>
    <font>
      <u/>
      <sz val="10"/>
      <color theme="10"/>
      <name val="Arial"/>
      <family val="2"/>
    </font>
    <font>
      <b/>
      <sz val="9"/>
      <color indexed="81"/>
      <name val="Tahoma"/>
      <family val="2"/>
    </font>
    <font>
      <sz val="9"/>
      <color indexed="81"/>
      <name val="Tahoma"/>
      <family val="2"/>
    </font>
    <font>
      <sz val="8"/>
      <color rgb="FF000000"/>
      <name val="Calibri Light"/>
      <family val="2"/>
    </font>
    <font>
      <b/>
      <sz val="8"/>
      <name val="Arial"/>
      <family val="2"/>
    </font>
    <font>
      <sz val="8"/>
      <name val="Arial"/>
      <family val="2"/>
    </font>
    <font>
      <sz val="10"/>
      <color theme="1"/>
      <name val="Arial Narrow"/>
      <family val="2"/>
    </font>
    <font>
      <b/>
      <sz val="9"/>
      <name val="Arial Narrow"/>
      <family val="2"/>
    </font>
    <font>
      <sz val="12"/>
      <color theme="0" tint="-0.14999847407452621"/>
      <name val="Arial Narrow"/>
      <family val="2"/>
    </font>
    <font>
      <i/>
      <sz val="12"/>
      <color theme="1"/>
      <name val="Arial Narrow"/>
      <family val="2"/>
    </font>
    <font>
      <i/>
      <sz val="10"/>
      <color theme="1"/>
      <name val="Arial Narrow"/>
      <family val="2"/>
    </font>
    <font>
      <b/>
      <sz val="22"/>
      <color rgb="FFFF0000"/>
      <name val="Arial Narrow"/>
      <family val="2"/>
    </font>
    <font>
      <sz val="8"/>
      <color theme="1"/>
      <name val="Aptos Narrow"/>
      <family val="2"/>
      <scheme val="minor"/>
    </font>
    <font>
      <vertAlign val="superscript"/>
      <sz val="10"/>
      <name val="Arial"/>
      <family val="2"/>
    </font>
    <font>
      <sz val="10"/>
      <name val="Calibri"/>
      <family val="2"/>
    </font>
    <font>
      <sz val="8"/>
      <color rgb="FF000000"/>
      <name val="Calibri"/>
      <family val="2"/>
    </font>
    <font>
      <b/>
      <sz val="9"/>
      <color indexed="81"/>
      <name val="Arial Narrow"/>
      <family val="2"/>
    </font>
    <font>
      <b/>
      <sz val="12"/>
      <color indexed="81"/>
      <name val="Arial Narrow"/>
      <family val="2"/>
    </font>
    <font>
      <b/>
      <u/>
      <sz val="9"/>
      <color indexed="81"/>
      <name val="Tahoma"/>
      <family val="2"/>
    </font>
    <font>
      <sz val="8"/>
      <color rgb="FF000000"/>
      <name val="Segoe UI"/>
      <family val="2"/>
    </font>
    <font>
      <b/>
      <sz val="12"/>
      <color rgb="FF0000FF"/>
      <name val="Arial Narrow"/>
      <family val="2"/>
    </font>
    <font>
      <b/>
      <sz val="12"/>
      <color rgb="FF008000"/>
      <name val="Arial Narrow"/>
      <family val="2"/>
    </font>
    <font>
      <b/>
      <sz val="12"/>
      <color rgb="FFFF0000"/>
      <name val="Arial Narrow"/>
      <family val="2"/>
    </font>
    <font>
      <sz val="8"/>
      <color rgb="FF000000"/>
      <name val="Arial"/>
      <family val="2"/>
    </font>
    <font>
      <b/>
      <sz val="10"/>
      <name val="Arial Narrow"/>
      <family val="2"/>
    </font>
    <font>
      <sz val="10"/>
      <color theme="0" tint="-0.249977111117893"/>
      <name val="Arial Narrow"/>
      <family val="2"/>
    </font>
    <font>
      <sz val="9.5"/>
      <name val="Arial Narrow"/>
      <family val="2"/>
    </font>
    <font>
      <b/>
      <i/>
      <sz val="10"/>
      <name val="Arial Narrow"/>
      <family val="2"/>
    </font>
    <font>
      <sz val="10"/>
      <color indexed="10"/>
      <name val="Arial Narrow"/>
      <family val="2"/>
    </font>
    <font>
      <b/>
      <sz val="10"/>
      <color theme="0" tint="-0.14999847407452621"/>
      <name val="Arial Narrow"/>
      <family val="2"/>
    </font>
    <font>
      <sz val="10"/>
      <color theme="1"/>
      <name val="Arial"/>
      <family val="2"/>
    </font>
    <font>
      <b/>
      <sz val="10"/>
      <color rgb="FFFF0000"/>
      <name val="Arial Narrow"/>
      <family val="2"/>
    </font>
    <font>
      <sz val="10"/>
      <color indexed="81"/>
      <name val="Tahoma"/>
      <family val="2"/>
    </font>
    <font>
      <b/>
      <u/>
      <sz val="10"/>
      <color indexed="81"/>
      <name val="Tahoma"/>
      <family val="2"/>
    </font>
    <font>
      <u/>
      <sz val="10"/>
      <color indexed="81"/>
      <name val="Tahoma"/>
      <family val="2"/>
    </font>
    <font>
      <b/>
      <sz val="10"/>
      <color theme="1"/>
      <name val="Arial Narrow"/>
      <family val="2"/>
    </font>
    <font>
      <sz val="10"/>
      <color theme="0"/>
      <name val="Arial Narrow"/>
      <family val="2"/>
    </font>
    <font>
      <b/>
      <sz val="18"/>
      <name val="Arial Narrow"/>
      <family val="2"/>
    </font>
    <font>
      <b/>
      <sz val="10"/>
      <color theme="0"/>
      <name val="Arial Narrow"/>
      <family val="2"/>
    </font>
    <font>
      <b/>
      <sz val="25"/>
      <name val="Arial Narrow"/>
      <family val="2"/>
    </font>
    <font>
      <b/>
      <sz val="25"/>
      <color theme="0"/>
      <name val="Arial Narrow"/>
      <family val="2"/>
    </font>
    <font>
      <sz val="10"/>
      <color theme="0" tint="-0.34998626667073579"/>
      <name val="Arial Narrow"/>
      <family val="2"/>
    </font>
    <font>
      <sz val="12"/>
      <color theme="0" tint="-0.34998626667073579"/>
      <name val="Arial Narrow"/>
      <family val="2"/>
    </font>
    <font>
      <i/>
      <sz val="10"/>
      <name val="Arial Narrow"/>
      <family val="2"/>
    </font>
    <font>
      <sz val="8.5"/>
      <color theme="1"/>
      <name val="Arial Narrow"/>
      <family val="2"/>
    </font>
    <font>
      <sz val="9"/>
      <color theme="1"/>
      <name val="Arial Narrow"/>
      <family val="2"/>
    </font>
    <font>
      <sz val="8.5"/>
      <color theme="0"/>
      <name val="Arial Narrow"/>
      <family val="2"/>
    </font>
    <font>
      <sz val="9"/>
      <color theme="0"/>
      <name val="Arial Narrow"/>
      <family val="2"/>
    </font>
    <font>
      <b/>
      <sz val="11"/>
      <name val="Arial Narrow"/>
      <family val="2"/>
    </font>
    <font>
      <b/>
      <sz val="11"/>
      <color theme="0"/>
      <name val="Arial Narrow"/>
      <family val="2"/>
    </font>
    <font>
      <sz val="8"/>
      <color theme="0"/>
      <name val="Arial Narrow"/>
      <family val="2"/>
    </font>
    <font>
      <b/>
      <sz val="9"/>
      <color theme="0"/>
      <name val="Arial Narrow"/>
      <family val="2"/>
    </font>
    <font>
      <sz val="11"/>
      <color theme="0"/>
      <name val="Arial Narrow"/>
      <family val="2"/>
    </font>
    <font>
      <b/>
      <sz val="8"/>
      <name val="Arial Narrow"/>
      <family val="2"/>
    </font>
    <font>
      <b/>
      <i/>
      <sz val="8"/>
      <name val="Arial Narrow"/>
      <family val="2"/>
    </font>
    <font>
      <sz val="10"/>
      <name val="Aptos Narrow"/>
      <family val="2"/>
      <scheme val="minor"/>
    </font>
    <font>
      <sz val="8"/>
      <color rgb="FFFF0000"/>
      <name val="Arial Narrow"/>
      <family val="2"/>
    </font>
    <font>
      <sz val="9"/>
      <color rgb="FFFF0000"/>
      <name val="Arial Narrow"/>
      <family val="2"/>
    </font>
    <font>
      <b/>
      <sz val="8"/>
      <color theme="1"/>
      <name val="Arial Narrow"/>
      <family val="2"/>
    </font>
    <font>
      <sz val="8"/>
      <color theme="1"/>
      <name val="Arial Narrow"/>
      <family val="2"/>
    </font>
    <font>
      <sz val="8"/>
      <color indexed="10"/>
      <name val="Arial Narrow"/>
      <family val="2"/>
    </font>
    <font>
      <i/>
      <sz val="8"/>
      <name val="Arial Narrow"/>
      <family val="2"/>
    </font>
    <font>
      <i/>
      <sz val="8"/>
      <color rgb="FFFF0000"/>
      <name val="Arial Narrow"/>
      <family val="2"/>
    </font>
    <font>
      <b/>
      <sz val="12"/>
      <name val="Aptos Narrow"/>
      <family val="2"/>
      <scheme val="minor"/>
    </font>
    <font>
      <b/>
      <i/>
      <vertAlign val="subscript"/>
      <sz val="8"/>
      <name val="Arial Narrow"/>
      <family val="2"/>
    </font>
    <font>
      <b/>
      <i/>
      <vertAlign val="superscript"/>
      <sz val="8"/>
      <name val="Arial Narrow"/>
      <family val="2"/>
    </font>
    <font>
      <sz val="10"/>
      <color rgb="FFFF0000"/>
      <name val="Arial Narrow"/>
      <family val="2"/>
    </font>
    <font>
      <vertAlign val="subscript"/>
      <sz val="8"/>
      <name val="Arial Narrow"/>
      <family val="2"/>
    </font>
    <font>
      <sz val="12"/>
      <name val="Aptos Narrow"/>
      <family val="2"/>
      <scheme val="minor"/>
    </font>
    <font>
      <sz val="7"/>
      <color rgb="FFFF0000"/>
      <name val="Arial Narrow"/>
      <family val="2"/>
    </font>
    <font>
      <i/>
      <vertAlign val="superscript"/>
      <sz val="8"/>
      <name val="Arial Narrow"/>
      <family val="2"/>
    </font>
    <font>
      <sz val="10"/>
      <color rgb="FFFF0000"/>
      <name val="Aptos Narrow"/>
      <family val="2"/>
      <scheme val="minor"/>
    </font>
    <font>
      <vertAlign val="superscript"/>
      <sz val="7"/>
      <name val="Arial Narrow"/>
      <family val="2"/>
    </font>
    <font>
      <b/>
      <sz val="9"/>
      <color rgb="FFFF0000"/>
      <name val="Arial Narrow"/>
      <family val="2"/>
    </font>
    <font>
      <b/>
      <vertAlign val="subscript"/>
      <sz val="8"/>
      <name val="Arial Narrow"/>
      <family val="2"/>
    </font>
    <font>
      <sz val="10"/>
      <color rgb="FFFFE699"/>
      <name val="Arial Narrow"/>
      <family val="2"/>
    </font>
    <font>
      <u/>
      <sz val="8"/>
      <name val="Arial"/>
      <family val="2"/>
    </font>
    <font>
      <sz val="7"/>
      <name val="Tahoma"/>
      <family val="2"/>
    </font>
    <font>
      <sz val="7.7"/>
      <name val="Arial"/>
      <family val="2"/>
    </font>
    <font>
      <sz val="8"/>
      <name val="Aptos Narrow"/>
      <family val="2"/>
      <scheme val="minor"/>
    </font>
    <font>
      <b/>
      <u/>
      <sz val="8"/>
      <name val="Aptos Narrow"/>
      <family val="2"/>
      <scheme val="minor"/>
    </font>
    <font>
      <b/>
      <i/>
      <sz val="8"/>
      <name val="Aptos Narrow"/>
      <family val="2"/>
      <scheme val="minor"/>
    </font>
    <font>
      <b/>
      <i/>
      <vertAlign val="subscript"/>
      <sz val="8"/>
      <name val="Aptos Narrow"/>
      <family val="2"/>
      <scheme val="minor"/>
    </font>
    <font>
      <vertAlign val="superscript"/>
      <sz val="8"/>
      <name val="Aptos Narrow"/>
      <family val="2"/>
      <scheme val="minor"/>
    </font>
    <font>
      <sz val="8"/>
      <name val="Calibri"/>
      <family val="2"/>
    </font>
    <font>
      <sz val="10"/>
      <color rgb="FFFF0000"/>
      <name val="Arial"/>
      <family val="2"/>
    </font>
    <font>
      <sz val="10"/>
      <color theme="0"/>
      <name val="Arial"/>
      <family val="2"/>
    </font>
    <font>
      <sz val="10"/>
      <color theme="9"/>
      <name val="Arial"/>
      <family val="2"/>
    </font>
    <font>
      <b/>
      <sz val="10"/>
      <name val="Arial"/>
      <family val="2"/>
    </font>
    <font>
      <sz val="10"/>
      <color theme="7" tint="0.79998168889431442"/>
      <name val="Arial Unicode MS"/>
      <family val="2"/>
    </font>
    <font>
      <b/>
      <sz val="18"/>
      <color theme="1"/>
      <name val="Arial"/>
      <family val="2"/>
    </font>
    <font>
      <sz val="11"/>
      <color rgb="FF000000"/>
      <name val="Aptos Narrow"/>
      <family val="2"/>
    </font>
    <font>
      <sz val="11"/>
      <color theme="0"/>
      <name val="Aptos Narrow"/>
      <family val="2"/>
      <scheme val="minor"/>
    </font>
    <font>
      <sz val="12"/>
      <color theme="0" tint="-0.14996795556505021"/>
      <name val="Arial Narrow"/>
      <family val="2"/>
    </font>
    <font>
      <sz val="11"/>
      <color theme="0" tint="-0.14996795556505021"/>
      <name val="Arial Narrow"/>
      <family val="2"/>
    </font>
    <font>
      <sz val="10"/>
      <color theme="0" tint="-0.14996795556505021"/>
      <name val="Arial Narrow"/>
      <family val="2"/>
    </font>
    <font>
      <sz val="10"/>
      <color rgb="FF000000"/>
      <name val="Calibri Light"/>
      <family val="2"/>
    </font>
    <font>
      <sz val="11"/>
      <name val="Aptos Narrow"/>
      <family val="2"/>
      <scheme val="minor"/>
    </font>
    <font>
      <b/>
      <sz val="8"/>
      <color theme="0"/>
      <name val="Arial"/>
      <family val="2"/>
    </font>
    <font>
      <b/>
      <sz val="12"/>
      <color theme="0"/>
      <name val="Arial Narrow"/>
      <family val="2"/>
    </font>
    <font>
      <sz val="12"/>
      <color theme="7" tint="0.79998168889431442"/>
      <name val="Arial Narrow"/>
      <family val="2"/>
    </font>
    <font>
      <b/>
      <sz val="8"/>
      <color theme="0"/>
      <name val="Arial Narrow"/>
      <family val="2"/>
    </font>
    <font>
      <b/>
      <sz val="8"/>
      <name val="Aptos Narrow"/>
      <family val="2"/>
      <scheme val="minor"/>
    </font>
    <font>
      <sz val="10"/>
      <color theme="1"/>
      <name val="Aptos Narrow"/>
      <family val="2"/>
    </font>
    <font>
      <u/>
      <sz val="11"/>
      <color theme="10"/>
      <name val="Aptos Narrow"/>
      <family val="2"/>
      <scheme val="minor"/>
    </font>
    <font>
      <sz val="11"/>
      <color rgb="FFFF0000"/>
      <name val="Aptos Narrow"/>
      <family val="2"/>
      <scheme val="minor"/>
    </font>
  </fonts>
  <fills count="24">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F2CC"/>
        <bgColor indexed="64"/>
      </patternFill>
    </fill>
    <fill>
      <patternFill patternType="solid">
        <fgColor rgb="FFFFFFCC"/>
        <bgColor indexed="64"/>
      </patternFill>
    </fill>
    <fill>
      <patternFill patternType="solid">
        <fgColor theme="4" tint="0.39997558519241921"/>
        <bgColor indexed="64"/>
      </patternFill>
    </fill>
    <fill>
      <patternFill patternType="solid">
        <fgColor indexed="9"/>
        <bgColor indexed="64"/>
      </patternFill>
    </fill>
    <fill>
      <patternFill patternType="solid">
        <fgColor indexed="42"/>
        <bgColor indexed="64"/>
      </patternFill>
    </fill>
    <fill>
      <patternFill patternType="solid">
        <fgColor rgb="FF00B050"/>
        <bgColor indexed="64"/>
      </patternFill>
    </fill>
    <fill>
      <patternFill patternType="solid">
        <fgColor rgb="FFFF0000"/>
        <bgColor indexed="64"/>
      </patternFill>
    </fill>
    <fill>
      <patternFill patternType="solid">
        <fgColor rgb="FFCCFFFF"/>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rgb="FF000000"/>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0" tint="-0.14996795556505021"/>
        <bgColor indexed="64"/>
      </patternFill>
    </fill>
    <fill>
      <patternFill patternType="solid">
        <fgColor rgb="FFEFF3BF"/>
        <bgColor indexed="64"/>
      </patternFill>
    </fill>
    <fill>
      <patternFill patternType="mediumGray">
        <fgColor theme="0" tint="-0.14996795556505021"/>
        <bgColor indexed="65"/>
      </patternFill>
    </fill>
    <fill>
      <patternFill patternType="mediumGray">
        <fgColor theme="0" tint="-0.24994659260841701"/>
        <bgColor indexed="65"/>
      </patternFill>
    </fill>
  </fills>
  <borders count="1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diagonalUp="1">
      <left/>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left/>
      <right/>
      <top style="thin">
        <color auto="1"/>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tted">
        <color indexed="64"/>
      </bottom>
      <diagonal/>
    </border>
    <border>
      <left/>
      <right/>
      <top style="dotted">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style="thin">
        <color indexed="64"/>
      </bottom>
      <diagonal/>
    </border>
    <border>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0" fontId="1" fillId="0" borderId="0"/>
    <xf numFmtId="0" fontId="8" fillId="0" borderId="0"/>
    <xf numFmtId="0" fontId="30" fillId="0" borderId="0" applyNumberFormat="0" applyFill="0" applyBorder="0" applyAlignment="0" applyProtection="0"/>
    <xf numFmtId="9" fontId="8" fillId="0" borderId="0" applyFont="0" applyFill="0" applyBorder="0" applyAlignment="0" applyProtection="0"/>
    <xf numFmtId="0" fontId="1" fillId="0" borderId="0"/>
    <xf numFmtId="0" fontId="1" fillId="0" borderId="0"/>
    <xf numFmtId="0" fontId="134" fillId="0" borderId="0" applyNumberFormat="0" applyFill="0" applyBorder="0" applyAlignment="0" applyProtection="0"/>
  </cellStyleXfs>
  <cellXfs count="1125">
    <xf numFmtId="0" fontId="0" fillId="0" borderId="0" xfId="0"/>
    <xf numFmtId="0" fontId="6" fillId="2" borderId="1" xfId="1" applyFont="1" applyFill="1" applyBorder="1"/>
    <xf numFmtId="0" fontId="6" fillId="2" borderId="2" xfId="1" applyFont="1" applyFill="1" applyBorder="1" applyAlignment="1">
      <alignment horizontal="center" vertical="center"/>
    </xf>
    <xf numFmtId="0" fontId="7" fillId="2" borderId="2" xfId="1" applyFont="1" applyFill="1" applyBorder="1"/>
    <xf numFmtId="0" fontId="9" fillId="2" borderId="3" xfId="2" applyFont="1" applyFill="1" applyBorder="1" applyProtection="1">
      <protection hidden="1"/>
    </xf>
    <xf numFmtId="0" fontId="10" fillId="0" borderId="0" xfId="2" applyFont="1" applyProtection="1">
      <protection hidden="1"/>
    </xf>
    <xf numFmtId="0" fontId="11" fillId="0" borderId="0" xfId="2" applyFont="1" applyAlignment="1" applyProtection="1">
      <alignment horizontal="center" vertical="center"/>
      <protection hidden="1"/>
    </xf>
    <xf numFmtId="164" fontId="10" fillId="0" borderId="0" xfId="2" applyNumberFormat="1" applyFont="1" applyProtection="1">
      <protection hidden="1"/>
    </xf>
    <xf numFmtId="0" fontId="10" fillId="0" borderId="4" xfId="2" applyFont="1" applyBorder="1" applyProtection="1">
      <protection hidden="1"/>
    </xf>
    <xf numFmtId="0" fontId="12" fillId="0" borderId="5" xfId="2" applyFont="1" applyBorder="1" applyAlignment="1">
      <alignment horizontal="center" vertical="top"/>
    </xf>
    <xf numFmtId="0" fontId="12" fillId="0" borderId="6" xfId="2" applyFont="1" applyBorder="1" applyAlignment="1">
      <alignment horizontal="center" vertical="top"/>
    </xf>
    <xf numFmtId="49" fontId="12" fillId="0" borderId="6" xfId="2" applyNumberFormat="1" applyFont="1" applyBorder="1" applyAlignment="1">
      <alignment horizontal="center" vertical="top"/>
    </xf>
    <xf numFmtId="0" fontId="12" fillId="0" borderId="7" xfId="2" applyFont="1" applyBorder="1" applyAlignment="1">
      <alignment horizontal="center" vertical="top"/>
    </xf>
    <xf numFmtId="0" fontId="10" fillId="0" borderId="8" xfId="2" applyFont="1" applyBorder="1" applyProtection="1">
      <protection hidden="1"/>
    </xf>
    <xf numFmtId="0" fontId="1" fillId="0" borderId="0" xfId="1"/>
    <xf numFmtId="0" fontId="13" fillId="0" borderId="0" xfId="2" applyFont="1" applyProtection="1">
      <protection hidden="1"/>
    </xf>
    <xf numFmtId="0" fontId="8" fillId="0" borderId="0" xfId="2" applyProtection="1">
      <protection hidden="1"/>
    </xf>
    <xf numFmtId="0" fontId="6" fillId="2" borderId="9" xfId="1" applyFont="1" applyFill="1" applyBorder="1"/>
    <xf numFmtId="0" fontId="7" fillId="3" borderId="8" xfId="1" applyFont="1" applyFill="1" applyBorder="1" applyAlignment="1">
      <alignment horizontal="center" vertical="center"/>
    </xf>
    <xf numFmtId="0" fontId="7" fillId="2" borderId="0" xfId="1" applyFont="1" applyFill="1" applyAlignment="1">
      <alignment horizontal="center"/>
    </xf>
    <xf numFmtId="0" fontId="15" fillId="2" borderId="12" xfId="2" applyFont="1" applyFill="1" applyBorder="1" applyProtection="1">
      <protection hidden="1"/>
    </xf>
    <xf numFmtId="164" fontId="8" fillId="0" borderId="0" xfId="2" applyNumberFormat="1" applyProtection="1">
      <protection hidden="1"/>
    </xf>
    <xf numFmtId="0" fontId="8" fillId="0" borderId="13" xfId="2" applyBorder="1" applyProtection="1">
      <protection hidden="1"/>
    </xf>
    <xf numFmtId="0" fontId="8" fillId="5" borderId="14" xfId="2" applyFill="1" applyBorder="1" applyAlignment="1">
      <alignment vertical="top"/>
    </xf>
    <xf numFmtId="0" fontId="8" fillId="5" borderId="15" xfId="2" applyFill="1" applyBorder="1" applyAlignment="1">
      <alignment vertical="top"/>
    </xf>
    <xf numFmtId="0" fontId="8" fillId="5" borderId="16" xfId="2" applyFill="1" applyBorder="1" applyAlignment="1">
      <alignment vertical="top"/>
    </xf>
    <xf numFmtId="0" fontId="7" fillId="2" borderId="9" xfId="1" applyFont="1" applyFill="1" applyBorder="1"/>
    <xf numFmtId="0" fontId="16" fillId="2" borderId="12" xfId="2" applyFont="1" applyFill="1" applyBorder="1" applyAlignment="1">
      <alignment wrapText="1"/>
    </xf>
    <xf numFmtId="0" fontId="17" fillId="0" borderId="0" xfId="2" applyFont="1" applyProtection="1">
      <protection hidden="1"/>
    </xf>
    <xf numFmtId="165" fontId="11" fillId="0" borderId="0" xfId="2" applyNumberFormat="1" applyFont="1" applyAlignment="1" applyProtection="1">
      <alignment horizontal="center" vertical="center"/>
      <protection hidden="1"/>
    </xf>
    <xf numFmtId="0" fontId="7" fillId="2" borderId="0" xfId="1" applyFont="1" applyFill="1" applyAlignment="1">
      <alignment horizontal="center" vertical="center"/>
    </xf>
    <xf numFmtId="0" fontId="7" fillId="3" borderId="21" xfId="1" applyFont="1" applyFill="1" applyBorder="1" applyAlignment="1">
      <alignment horizontal="center" vertical="center"/>
    </xf>
    <xf numFmtId="49" fontId="15" fillId="2" borderId="12" xfId="2" applyNumberFormat="1" applyFont="1" applyFill="1" applyBorder="1"/>
    <xf numFmtId="0" fontId="7" fillId="3" borderId="24" xfId="1" applyFont="1" applyFill="1" applyBorder="1" applyAlignment="1">
      <alignment horizontal="center" vertical="center"/>
    </xf>
    <xf numFmtId="0" fontId="18" fillId="2" borderId="9" xfId="1" applyFont="1" applyFill="1" applyBorder="1"/>
    <xf numFmtId="0" fontId="7" fillId="3" borderId="16" xfId="1" applyFont="1" applyFill="1" applyBorder="1" applyAlignment="1">
      <alignment horizontal="center" vertical="center"/>
    </xf>
    <xf numFmtId="0" fontId="7" fillId="2" borderId="0" xfId="1" applyFont="1" applyFill="1" applyAlignment="1">
      <alignment horizontal="center" vertical="center" wrapText="1"/>
    </xf>
    <xf numFmtId="0" fontId="7" fillId="3" borderId="17" xfId="1" applyFont="1" applyFill="1" applyBorder="1" applyAlignment="1">
      <alignment horizontal="center" vertical="center"/>
    </xf>
    <xf numFmtId="0" fontId="7" fillId="3" borderId="34" xfId="1" applyFont="1" applyFill="1" applyBorder="1" applyAlignment="1">
      <alignment horizontal="center" vertical="center"/>
    </xf>
    <xf numFmtId="0" fontId="7" fillId="2" borderId="0" xfId="1" applyFont="1" applyFill="1"/>
    <xf numFmtId="49" fontId="7" fillId="2" borderId="0" xfId="1" applyNumberFormat="1" applyFont="1" applyFill="1" applyAlignment="1">
      <alignment horizontal="center"/>
    </xf>
    <xf numFmtId="49" fontId="8" fillId="0" borderId="24" xfId="2" applyNumberFormat="1" applyBorder="1" applyAlignment="1">
      <alignment vertical="top"/>
    </xf>
    <xf numFmtId="49" fontId="8" fillId="0" borderId="37" xfId="2" applyNumberFormat="1" applyBorder="1" applyAlignment="1">
      <alignment vertical="top" wrapText="1"/>
    </xf>
    <xf numFmtId="0" fontId="8" fillId="0" borderId="37" xfId="2" applyBorder="1"/>
    <xf numFmtId="49" fontId="8" fillId="0" borderId="37" xfId="2" applyNumberFormat="1" applyBorder="1" applyAlignment="1">
      <alignment vertical="top"/>
    </xf>
    <xf numFmtId="49" fontId="8" fillId="0" borderId="25" xfId="2" applyNumberFormat="1" applyBorder="1" applyAlignment="1">
      <alignment vertical="top"/>
    </xf>
    <xf numFmtId="0" fontId="8" fillId="5" borderId="38" xfId="2" applyFill="1" applyBorder="1" applyAlignment="1">
      <alignment vertical="top"/>
    </xf>
    <xf numFmtId="0" fontId="19" fillId="3" borderId="39" xfId="1" applyFont="1" applyFill="1" applyBorder="1" applyAlignment="1">
      <alignment horizontal="center" vertical="center"/>
    </xf>
    <xf numFmtId="0" fontId="20" fillId="2" borderId="0" xfId="2" applyFont="1" applyFill="1" applyProtection="1">
      <protection hidden="1"/>
    </xf>
    <xf numFmtId="0" fontId="21" fillId="3" borderId="1" xfId="2" applyFont="1" applyFill="1" applyBorder="1" applyAlignment="1" applyProtection="1">
      <alignment horizontal="right"/>
      <protection hidden="1"/>
    </xf>
    <xf numFmtId="167" fontId="21" fillId="3" borderId="3" xfId="2" applyNumberFormat="1" applyFont="1" applyFill="1" applyBorder="1" applyAlignment="1" applyProtection="1">
      <alignment horizontal="center" vertical="center"/>
      <protection hidden="1"/>
    </xf>
    <xf numFmtId="0" fontId="21" fillId="6" borderId="4" xfId="2" applyFont="1" applyFill="1" applyBorder="1" applyAlignment="1" applyProtection="1">
      <alignment horizontal="center" vertical="center"/>
      <protection hidden="1"/>
    </xf>
    <xf numFmtId="0" fontId="21" fillId="6" borderId="23" xfId="2" applyFont="1" applyFill="1" applyBorder="1" applyAlignment="1" applyProtection="1">
      <alignment horizontal="center" vertical="center"/>
      <protection hidden="1"/>
    </xf>
    <xf numFmtId="0" fontId="7" fillId="2" borderId="12" xfId="1" applyFont="1" applyFill="1" applyBorder="1"/>
    <xf numFmtId="0" fontId="8" fillId="0" borderId="8" xfId="2" applyBorder="1" applyAlignment="1" applyProtection="1">
      <alignment horizontal="center" vertical="center"/>
      <protection hidden="1"/>
    </xf>
    <xf numFmtId="164" fontId="8" fillId="0" borderId="21" xfId="2" applyNumberFormat="1" applyBorder="1" applyProtection="1">
      <protection hidden="1"/>
    </xf>
    <xf numFmtId="0" fontId="8" fillId="0" borderId="41" xfId="2" applyBorder="1" applyProtection="1">
      <protection hidden="1"/>
    </xf>
    <xf numFmtId="0" fontId="22" fillId="2" borderId="0" xfId="2" applyFont="1" applyFill="1" applyAlignment="1" applyProtection="1">
      <alignment horizontal="right"/>
      <protection hidden="1"/>
    </xf>
    <xf numFmtId="0" fontId="21" fillId="3" borderId="9" xfId="2" applyFont="1" applyFill="1" applyBorder="1" applyAlignment="1" applyProtection="1">
      <alignment horizontal="right"/>
      <protection hidden="1"/>
    </xf>
    <xf numFmtId="166" fontId="21" fillId="3" borderId="43" xfId="2" applyNumberFormat="1" applyFont="1" applyFill="1" applyBorder="1" applyAlignment="1" applyProtection="1">
      <alignment horizontal="center" vertical="center"/>
      <protection locked="0"/>
    </xf>
    <xf numFmtId="168" fontId="21" fillId="3" borderId="44" xfId="2" applyNumberFormat="1" applyFont="1" applyFill="1" applyBorder="1" applyAlignment="1" applyProtection="1">
      <alignment horizontal="center"/>
      <protection locked="0" hidden="1"/>
    </xf>
    <xf numFmtId="0" fontId="21" fillId="4" borderId="12" xfId="2" applyFont="1" applyFill="1" applyBorder="1" applyAlignment="1" applyProtection="1">
      <alignment horizontal="center" vertical="center"/>
      <protection hidden="1"/>
    </xf>
    <xf numFmtId="165" fontId="21" fillId="6" borderId="18" xfId="2" applyNumberFormat="1" applyFont="1" applyFill="1" applyBorder="1" applyAlignment="1" applyProtection="1">
      <alignment horizontal="right" vertical="center"/>
      <protection hidden="1"/>
    </xf>
    <xf numFmtId="0" fontId="21" fillId="6" borderId="20" xfId="2" applyFont="1" applyFill="1" applyBorder="1" applyAlignment="1" applyProtection="1">
      <alignment horizontal="left" vertical="center"/>
      <protection hidden="1"/>
    </xf>
    <xf numFmtId="164" fontId="8" fillId="0" borderId="24" xfId="2" applyNumberFormat="1" applyBorder="1" applyProtection="1">
      <protection hidden="1"/>
    </xf>
    <xf numFmtId="0" fontId="8" fillId="0" borderId="38" xfId="2" applyBorder="1" applyProtection="1">
      <protection hidden="1"/>
    </xf>
    <xf numFmtId="0" fontId="19" fillId="2" borderId="0" xfId="1" applyFont="1" applyFill="1" applyAlignment="1">
      <alignment horizontal="center"/>
    </xf>
    <xf numFmtId="169" fontId="21" fillId="3" borderId="43" xfId="2" applyNumberFormat="1" applyFont="1" applyFill="1" applyBorder="1" applyAlignment="1" applyProtection="1">
      <alignment horizontal="center" vertical="center"/>
      <protection hidden="1"/>
    </xf>
    <xf numFmtId="0" fontId="21" fillId="3" borderId="12" xfId="2" applyFont="1" applyFill="1" applyBorder="1" applyAlignment="1" applyProtection="1">
      <alignment horizontal="center"/>
      <protection hidden="1"/>
    </xf>
    <xf numFmtId="0" fontId="23" fillId="2" borderId="0" xfId="2" applyFont="1" applyFill="1" applyAlignment="1" applyProtection="1">
      <alignment vertical="top" wrapText="1"/>
      <protection hidden="1"/>
    </xf>
    <xf numFmtId="0" fontId="24" fillId="2" borderId="0" xfId="2" applyFont="1" applyFill="1" applyAlignment="1" applyProtection="1">
      <alignment horizontal="right" vertical="center"/>
      <protection hidden="1"/>
    </xf>
    <xf numFmtId="0" fontId="21" fillId="3" borderId="9" xfId="2" applyFont="1" applyFill="1" applyBorder="1" applyAlignment="1" applyProtection="1">
      <alignment horizontal="center" vertical="center"/>
      <protection hidden="1"/>
    </xf>
    <xf numFmtId="0" fontId="21" fillId="3" borderId="0" xfId="2" applyFont="1" applyFill="1" applyAlignment="1" applyProtection="1">
      <alignment horizontal="center" vertical="center"/>
      <protection locked="0"/>
    </xf>
    <xf numFmtId="0" fontId="21" fillId="6" borderId="0" xfId="2" applyFont="1" applyFill="1" applyAlignment="1" applyProtection="1">
      <alignment horizontal="center" vertical="center"/>
      <protection locked="0"/>
    </xf>
    <xf numFmtId="0" fontId="21" fillId="3" borderId="12" xfId="2" applyFont="1" applyFill="1" applyBorder="1" applyAlignment="1" applyProtection="1">
      <alignment horizontal="center" vertical="center"/>
      <protection locked="0"/>
    </xf>
    <xf numFmtId="0" fontId="22" fillId="2" borderId="0" xfId="2" applyFont="1" applyFill="1" applyAlignment="1" applyProtection="1">
      <alignment horizontal="right" vertical="center"/>
      <protection hidden="1"/>
    </xf>
    <xf numFmtId="166" fontId="21" fillId="3" borderId="45" xfId="2" applyNumberFormat="1" applyFont="1" applyFill="1" applyBorder="1" applyAlignment="1" applyProtection="1">
      <alignment horizontal="center" vertical="center"/>
      <protection locked="0"/>
    </xf>
    <xf numFmtId="168" fontId="21" fillId="3" borderId="45" xfId="2" applyNumberFormat="1" applyFont="1" applyFill="1" applyBorder="1" applyAlignment="1" applyProtection="1">
      <alignment horizontal="center"/>
      <protection locked="0" hidden="1"/>
    </xf>
    <xf numFmtId="0" fontId="21" fillId="3" borderId="18" xfId="2" applyFont="1" applyFill="1" applyBorder="1" applyAlignment="1" applyProtection="1">
      <alignment horizontal="center" vertical="center"/>
      <protection hidden="1"/>
    </xf>
    <xf numFmtId="0" fontId="21" fillId="3" borderId="19" xfId="2" applyFont="1" applyFill="1" applyBorder="1" applyAlignment="1" applyProtection="1">
      <alignment horizontal="center" vertical="center"/>
      <protection locked="0"/>
    </xf>
    <xf numFmtId="0" fontId="21" fillId="3" borderId="20" xfId="2" applyFont="1" applyFill="1" applyBorder="1" applyAlignment="1" applyProtection="1">
      <alignment horizontal="center" vertical="center"/>
      <protection locked="0"/>
    </xf>
    <xf numFmtId="164" fontId="8" fillId="0" borderId="34" xfId="2" applyNumberFormat="1" applyBorder="1" applyProtection="1">
      <protection hidden="1"/>
    </xf>
    <xf numFmtId="0" fontId="8" fillId="0" borderId="46" xfId="2" applyBorder="1" applyProtection="1">
      <protection hidden="1"/>
    </xf>
    <xf numFmtId="0" fontId="8" fillId="0" borderId="0" xfId="2" applyAlignment="1" applyProtection="1">
      <alignment horizontal="center"/>
      <protection hidden="1"/>
    </xf>
    <xf numFmtId="0" fontId="19" fillId="3" borderId="39" xfId="1" applyFont="1" applyFill="1" applyBorder="1" applyAlignment="1">
      <alignment horizontal="left" vertical="center"/>
    </xf>
    <xf numFmtId="0" fontId="21" fillId="2" borderId="2" xfId="2" applyFont="1" applyFill="1" applyBorder="1" applyAlignment="1" applyProtection="1">
      <alignment horizontal="right" vertical="center"/>
      <protection hidden="1"/>
    </xf>
    <xf numFmtId="0" fontId="21" fillId="2" borderId="2" xfId="2" applyFont="1" applyFill="1" applyBorder="1" applyAlignment="1" applyProtection="1">
      <alignment horizontal="left" vertical="center"/>
      <protection locked="0"/>
    </xf>
    <xf numFmtId="0" fontId="21" fillId="2" borderId="0" xfId="2" applyFont="1" applyFill="1" applyAlignment="1" applyProtection="1">
      <alignment horizontal="left" vertical="center"/>
      <protection locked="0"/>
    </xf>
    <xf numFmtId="0" fontId="21" fillId="2" borderId="0" xfId="2" applyFont="1" applyFill="1" applyAlignment="1" applyProtection="1">
      <alignment horizontal="right" vertical="center"/>
      <protection hidden="1"/>
    </xf>
    <xf numFmtId="0" fontId="7" fillId="2" borderId="18" xfId="1" applyFont="1" applyFill="1" applyBorder="1"/>
    <xf numFmtId="14" fontId="7" fillId="2" borderId="19" xfId="1" applyNumberFormat="1" applyFont="1" applyFill="1" applyBorder="1"/>
    <xf numFmtId="0" fontId="15" fillId="2" borderId="20" xfId="2" applyFont="1" applyFill="1" applyBorder="1" applyProtection="1">
      <protection hidden="1"/>
    </xf>
    <xf numFmtId="0" fontId="27" fillId="0" borderId="0" xfId="1" applyFont="1"/>
    <xf numFmtId="14" fontId="27" fillId="0" borderId="0" xfId="1" applyNumberFormat="1" applyFont="1"/>
    <xf numFmtId="2" fontId="27" fillId="0" borderId="0" xfId="1" applyNumberFormat="1" applyFont="1"/>
    <xf numFmtId="0" fontId="8" fillId="0" borderId="47" xfId="2" applyBorder="1" applyProtection="1">
      <protection hidden="1"/>
    </xf>
    <xf numFmtId="0" fontId="8" fillId="0" borderId="32" xfId="2" applyBorder="1" applyProtection="1">
      <protection hidden="1"/>
    </xf>
    <xf numFmtId="0" fontId="8" fillId="0" borderId="51" xfId="2" applyBorder="1" applyProtection="1">
      <protection hidden="1"/>
    </xf>
    <xf numFmtId="0" fontId="8" fillId="0" borderId="33" xfId="2" applyBorder="1" applyProtection="1">
      <protection hidden="1"/>
    </xf>
    <xf numFmtId="0" fontId="8" fillId="0" borderId="52" xfId="2" applyBorder="1" applyProtection="1">
      <protection hidden="1"/>
    </xf>
    <xf numFmtId="0" fontId="8" fillId="0" borderId="37" xfId="2" applyBorder="1" applyAlignment="1">
      <alignment shrinkToFit="1"/>
    </xf>
    <xf numFmtId="0" fontId="30" fillId="0" borderId="0" xfId="3"/>
    <xf numFmtId="0" fontId="8" fillId="0" borderId="0" xfId="2"/>
    <xf numFmtId="170" fontId="8" fillId="0" borderId="0" xfId="2" applyNumberFormat="1"/>
    <xf numFmtId="2" fontId="8" fillId="0" borderId="0" xfId="2" applyNumberFormat="1"/>
    <xf numFmtId="2" fontId="8" fillId="0" borderId="0" xfId="2" applyNumberFormat="1" applyProtection="1">
      <protection hidden="1"/>
    </xf>
    <xf numFmtId="171" fontId="8" fillId="0" borderId="0" xfId="2" applyNumberFormat="1"/>
    <xf numFmtId="0" fontId="1" fillId="0" borderId="9" xfId="1" applyBorder="1"/>
    <xf numFmtId="0" fontId="8" fillId="7" borderId="37" xfId="2" applyFill="1" applyBorder="1" applyAlignment="1" applyProtection="1">
      <alignment horizontal="center"/>
      <protection hidden="1"/>
    </xf>
    <xf numFmtId="0" fontId="8" fillId="0" borderId="25" xfId="2" applyBorder="1" applyProtection="1">
      <protection hidden="1"/>
    </xf>
    <xf numFmtId="0" fontId="15" fillId="0" borderId="37" xfId="2" applyFont="1" applyBorder="1" applyAlignment="1" applyProtection="1">
      <alignment horizontal="center" vertical="center"/>
      <protection hidden="1"/>
    </xf>
    <xf numFmtId="0" fontId="26" fillId="0" borderId="37" xfId="2" applyFont="1" applyBorder="1" applyProtection="1">
      <protection hidden="1"/>
    </xf>
    <xf numFmtId="0" fontId="19" fillId="2" borderId="0" xfId="1" applyFont="1" applyFill="1"/>
    <xf numFmtId="0" fontId="26" fillId="2" borderId="0" xfId="2" applyFont="1" applyFill="1" applyProtection="1">
      <protection hidden="1"/>
    </xf>
    <xf numFmtId="0" fontId="19" fillId="3" borderId="24" xfId="1" applyFont="1" applyFill="1" applyBorder="1" applyAlignment="1">
      <alignment horizontal="right"/>
    </xf>
    <xf numFmtId="0" fontId="26" fillId="6" borderId="38" xfId="2" applyFont="1" applyFill="1" applyBorder="1" applyAlignment="1" applyProtection="1">
      <alignment horizontal="left"/>
      <protection hidden="1"/>
    </xf>
    <xf numFmtId="0" fontId="26" fillId="6" borderId="34" xfId="2" applyFont="1" applyFill="1" applyBorder="1" applyAlignment="1" applyProtection="1">
      <alignment horizontal="right" vertical="center"/>
      <protection hidden="1"/>
    </xf>
    <xf numFmtId="0" fontId="26" fillId="4" borderId="46" xfId="2" applyFont="1" applyFill="1" applyBorder="1" applyAlignment="1" applyProtection="1">
      <alignment vertical="center"/>
      <protection hidden="1"/>
    </xf>
    <xf numFmtId="0" fontId="26" fillId="2" borderId="0" xfId="2" applyFont="1" applyFill="1" applyAlignment="1" applyProtection="1">
      <alignment vertical="center"/>
      <protection hidden="1"/>
    </xf>
    <xf numFmtId="0" fontId="35" fillId="0" borderId="66" xfId="2" applyFont="1" applyBorder="1" applyAlignment="1" applyProtection="1">
      <alignment horizontal="center"/>
      <protection hidden="1"/>
    </xf>
    <xf numFmtId="0" fontId="35" fillId="0" borderId="67" xfId="2" applyFont="1" applyBorder="1" applyAlignment="1" applyProtection="1">
      <alignment horizontal="left"/>
      <protection hidden="1"/>
    </xf>
    <xf numFmtId="0" fontId="35" fillId="0" borderId="67" xfId="2" applyFont="1" applyBorder="1" applyProtection="1">
      <protection hidden="1"/>
    </xf>
    <xf numFmtId="0" fontId="35" fillId="0" borderId="68" xfId="2" applyFont="1" applyBorder="1" applyProtection="1">
      <protection hidden="1"/>
    </xf>
    <xf numFmtId="0" fontId="26" fillId="0" borderId="37" xfId="2" applyFont="1" applyBorder="1"/>
    <xf numFmtId="0" fontId="26" fillId="4" borderId="25" xfId="2" applyFont="1" applyFill="1" applyBorder="1" applyProtection="1">
      <protection locked="0"/>
    </xf>
    <xf numFmtId="0" fontId="26" fillId="4" borderId="63" xfId="2" applyFont="1" applyFill="1" applyBorder="1" applyProtection="1">
      <protection locked="0"/>
    </xf>
    <xf numFmtId="0" fontId="26" fillId="4" borderId="26" xfId="2" applyFont="1" applyFill="1" applyBorder="1" applyProtection="1">
      <protection locked="0"/>
    </xf>
    <xf numFmtId="0" fontId="26" fillId="6" borderId="24" xfId="2" applyFont="1" applyFill="1" applyBorder="1" applyAlignment="1" applyProtection="1">
      <alignment horizontal="right"/>
      <protection hidden="1"/>
    </xf>
    <xf numFmtId="0" fontId="26" fillId="4" borderId="28" xfId="2" applyFont="1" applyFill="1" applyBorder="1" applyAlignment="1" applyProtection="1">
      <alignment horizontal="left"/>
      <protection locked="0" hidden="1"/>
    </xf>
    <xf numFmtId="0" fontId="26" fillId="6" borderId="70" xfId="2" applyFont="1" applyFill="1" applyBorder="1" applyProtection="1">
      <protection hidden="1"/>
    </xf>
    <xf numFmtId="0" fontId="35" fillId="0" borderId="71" xfId="2" applyFont="1" applyBorder="1" applyAlignment="1" applyProtection="1">
      <alignment horizontal="center"/>
      <protection hidden="1"/>
    </xf>
    <xf numFmtId="0" fontId="35" fillId="0" borderId="72" xfId="2" applyFont="1" applyBorder="1" applyAlignment="1" applyProtection="1">
      <alignment horizontal="left"/>
      <protection hidden="1"/>
    </xf>
    <xf numFmtId="0" fontId="35" fillId="0" borderId="72" xfId="2" applyFont="1" applyBorder="1" applyProtection="1">
      <protection hidden="1"/>
    </xf>
    <xf numFmtId="0" fontId="35" fillId="0" borderId="73" xfId="2" applyFont="1" applyBorder="1" applyProtection="1">
      <protection hidden="1"/>
    </xf>
    <xf numFmtId="0" fontId="26" fillId="6" borderId="27" xfId="2" applyFont="1" applyFill="1" applyBorder="1" applyAlignment="1" applyProtection="1">
      <alignment horizontal="right"/>
      <protection hidden="1"/>
    </xf>
    <xf numFmtId="0" fontId="37" fillId="6" borderId="70" xfId="2" applyFont="1" applyFill="1" applyBorder="1" applyAlignment="1" applyProtection="1">
      <alignment horizontal="center" vertical="center"/>
      <protection hidden="1"/>
    </xf>
    <xf numFmtId="0" fontId="19" fillId="8" borderId="74" xfId="2" applyFont="1" applyFill="1" applyBorder="1" applyProtection="1">
      <protection hidden="1"/>
    </xf>
    <xf numFmtId="0" fontId="8" fillId="0" borderId="76" xfId="2" applyBorder="1"/>
    <xf numFmtId="0" fontId="8" fillId="0" borderId="77" xfId="2" applyBorder="1"/>
    <xf numFmtId="49" fontId="8" fillId="0" borderId="0" xfId="2" applyNumberFormat="1"/>
    <xf numFmtId="49" fontId="26" fillId="4" borderId="28" xfId="2" applyNumberFormat="1" applyFont="1" applyFill="1" applyBorder="1" applyProtection="1">
      <protection locked="0"/>
    </xf>
    <xf numFmtId="49" fontId="26" fillId="4" borderId="63" xfId="2" applyNumberFormat="1" applyFont="1" applyFill="1" applyBorder="1" applyProtection="1">
      <protection locked="0"/>
    </xf>
    <xf numFmtId="49" fontId="26" fillId="4" borderId="26" xfId="2" applyNumberFormat="1" applyFont="1" applyFill="1" applyBorder="1" applyProtection="1">
      <protection locked="0"/>
    </xf>
    <xf numFmtId="0" fontId="26" fillId="4" borderId="25" xfId="2" applyFont="1" applyFill="1" applyBorder="1" applyAlignment="1" applyProtection="1">
      <alignment horizontal="left"/>
      <protection locked="0" hidden="1"/>
    </xf>
    <xf numFmtId="0" fontId="19" fillId="4" borderId="24" xfId="1" applyFont="1" applyFill="1" applyBorder="1" applyAlignment="1">
      <alignment horizontal="center" vertical="center"/>
    </xf>
    <xf numFmtId="0" fontId="26" fillId="6" borderId="37" xfId="2" applyFont="1" applyFill="1" applyBorder="1" applyAlignment="1" applyProtection="1">
      <alignment horizontal="center" vertical="center"/>
      <protection hidden="1"/>
    </xf>
    <xf numFmtId="0" fontId="8" fillId="0" borderId="78" xfId="2" applyBorder="1"/>
    <xf numFmtId="0" fontId="8" fillId="0" borderId="37" xfId="2" applyBorder="1" applyProtection="1">
      <protection hidden="1"/>
    </xf>
    <xf numFmtId="49" fontId="26" fillId="4" borderId="79" xfId="2" applyNumberFormat="1" applyFont="1" applyFill="1" applyBorder="1" applyProtection="1">
      <protection locked="0"/>
    </xf>
    <xf numFmtId="49" fontId="26" fillId="4" borderId="29" xfId="2" applyNumberFormat="1" applyFont="1" applyFill="1" applyBorder="1" applyProtection="1">
      <protection locked="0"/>
    </xf>
    <xf numFmtId="0" fontId="26" fillId="4" borderId="25" xfId="2" applyFont="1" applyFill="1" applyBorder="1" applyAlignment="1">
      <alignment vertical="center"/>
    </xf>
    <xf numFmtId="0" fontId="26" fillId="4" borderId="21" xfId="2" applyFont="1" applyFill="1" applyBorder="1" applyAlignment="1">
      <alignment horizontal="right" vertical="center"/>
    </xf>
    <xf numFmtId="0" fontId="26" fillId="3" borderId="41" xfId="2" applyFont="1" applyFill="1" applyBorder="1" applyAlignment="1">
      <alignment vertical="center"/>
    </xf>
    <xf numFmtId="172" fontId="26" fillId="6" borderId="14" xfId="2" applyNumberFormat="1" applyFont="1" applyFill="1" applyBorder="1" applyProtection="1">
      <protection hidden="1"/>
    </xf>
    <xf numFmtId="0" fontId="19" fillId="4" borderId="59" xfId="1" applyFont="1" applyFill="1" applyBorder="1" applyAlignment="1">
      <alignment horizontal="left"/>
    </xf>
    <xf numFmtId="0" fontId="19" fillId="2" borderId="18" xfId="1" applyFont="1" applyFill="1" applyBorder="1" applyAlignment="1">
      <alignment horizontal="left"/>
    </xf>
    <xf numFmtId="0" fontId="19" fillId="2" borderId="19" xfId="1" applyFont="1" applyFill="1" applyBorder="1" applyAlignment="1">
      <alignment horizontal="left"/>
    </xf>
    <xf numFmtId="0" fontId="26" fillId="4" borderId="34" xfId="2" applyFont="1" applyFill="1" applyBorder="1" applyAlignment="1" applyProtection="1">
      <alignment horizontal="right"/>
      <protection locked="0" hidden="1"/>
    </xf>
    <xf numFmtId="0" fontId="26" fillId="3" borderId="46" xfId="2" applyFont="1" applyFill="1" applyBorder="1" applyAlignment="1">
      <alignment vertical="center"/>
    </xf>
    <xf numFmtId="0" fontId="26" fillId="2" borderId="9" xfId="2" applyFont="1" applyFill="1" applyBorder="1" applyAlignment="1" applyProtection="1">
      <alignment horizontal="left"/>
      <protection locked="0" hidden="1"/>
    </xf>
    <xf numFmtId="0" fontId="26" fillId="2" borderId="0" xfId="2" applyFont="1" applyFill="1" applyAlignment="1" applyProtection="1">
      <alignment horizontal="left"/>
      <protection locked="0" hidden="1"/>
    </xf>
    <xf numFmtId="0" fontId="26" fillId="3" borderId="34" xfId="2" applyFont="1" applyFill="1" applyBorder="1" applyAlignment="1" applyProtection="1">
      <alignment horizontal="right"/>
      <protection hidden="1"/>
    </xf>
    <xf numFmtId="0" fontId="13" fillId="3" borderId="0" xfId="2" applyFont="1" applyFill="1"/>
    <xf numFmtId="0" fontId="26" fillId="2" borderId="17" xfId="2" applyFont="1" applyFill="1" applyBorder="1" applyAlignment="1" applyProtection="1">
      <alignment horizontal="left"/>
      <protection locked="0" hidden="1"/>
    </xf>
    <xf numFmtId="0" fontId="38" fillId="2" borderId="10" xfId="1" applyFont="1" applyFill="1" applyBorder="1" applyAlignment="1">
      <alignment horizontal="right"/>
    </xf>
    <xf numFmtId="0" fontId="26" fillId="4" borderId="37" xfId="2" applyFont="1" applyFill="1" applyBorder="1" applyAlignment="1" applyProtection="1">
      <alignment horizontal="left"/>
      <protection locked="0"/>
    </xf>
    <xf numFmtId="0" fontId="26" fillId="4" borderId="81" xfId="2" applyFont="1" applyFill="1" applyBorder="1" applyAlignment="1" applyProtection="1">
      <alignment horizontal="left"/>
      <protection locked="0" hidden="1"/>
    </xf>
    <xf numFmtId="0" fontId="26" fillId="6" borderId="14" xfId="2" applyFont="1" applyFill="1" applyBorder="1" applyAlignment="1" applyProtection="1">
      <alignment horizontal="right"/>
      <protection hidden="1"/>
    </xf>
    <xf numFmtId="0" fontId="8" fillId="4" borderId="0" xfId="2" applyFill="1"/>
    <xf numFmtId="0" fontId="8" fillId="4" borderId="65" xfId="2" applyFill="1" applyBorder="1"/>
    <xf numFmtId="0" fontId="26" fillId="4" borderId="82" xfId="2" applyFont="1" applyFill="1" applyBorder="1" applyAlignment="1" applyProtection="1">
      <alignment horizontal="center" vertical="center"/>
      <protection locked="0" hidden="1"/>
    </xf>
    <xf numFmtId="0" fontId="26" fillId="4" borderId="70" xfId="2" applyFont="1" applyFill="1" applyBorder="1" applyAlignment="1" applyProtection="1">
      <alignment horizontal="center" vertical="center"/>
      <protection locked="0" hidden="1"/>
    </xf>
    <xf numFmtId="0" fontId="39" fillId="2" borderId="0" xfId="1" applyFont="1" applyFill="1" applyAlignment="1">
      <alignment vertical="top" wrapText="1"/>
    </xf>
    <xf numFmtId="0" fontId="19" fillId="2" borderId="50" xfId="1" applyFont="1" applyFill="1" applyBorder="1"/>
    <xf numFmtId="0" fontId="19" fillId="2" borderId="19" xfId="1" applyFont="1" applyFill="1" applyBorder="1"/>
    <xf numFmtId="0" fontId="39" fillId="2" borderId="1" xfId="1" applyFont="1" applyFill="1" applyBorder="1" applyAlignment="1">
      <alignment vertical="top" wrapText="1"/>
    </xf>
    <xf numFmtId="0" fontId="39" fillId="2" borderId="3" xfId="1" applyFont="1" applyFill="1" applyBorder="1" applyAlignment="1">
      <alignment vertical="top" wrapText="1"/>
    </xf>
    <xf numFmtId="0" fontId="35" fillId="9" borderId="72" xfId="2" applyFont="1" applyFill="1" applyBorder="1" applyAlignment="1" applyProtection="1">
      <alignment horizontal="left"/>
      <protection locked="0" hidden="1"/>
    </xf>
    <xf numFmtId="0" fontId="35" fillId="9" borderId="72" xfId="2" applyFont="1" applyFill="1" applyBorder="1" applyProtection="1">
      <protection locked="0" hidden="1"/>
    </xf>
    <xf numFmtId="0" fontId="39" fillId="2" borderId="9" xfId="1" applyFont="1" applyFill="1" applyBorder="1" applyAlignment="1">
      <alignment vertical="top" wrapText="1"/>
    </xf>
    <xf numFmtId="0" fontId="39" fillId="2" borderId="12" xfId="1" applyFont="1" applyFill="1" applyBorder="1" applyAlignment="1">
      <alignment vertical="top" wrapText="1"/>
    </xf>
    <xf numFmtId="0" fontId="35" fillId="10" borderId="72" xfId="2" applyFont="1" applyFill="1" applyBorder="1" applyAlignment="1" applyProtection="1">
      <alignment horizontal="left"/>
      <protection locked="0" hidden="1"/>
    </xf>
    <xf numFmtId="0" fontId="35" fillId="10" borderId="72" xfId="2" applyFont="1" applyFill="1" applyBorder="1" applyProtection="1">
      <protection locked="0" hidden="1"/>
    </xf>
    <xf numFmtId="0" fontId="40" fillId="2" borderId="0" xfId="1" applyFont="1" applyFill="1" applyAlignment="1">
      <alignment horizontal="right" vertical="center" wrapText="1"/>
    </xf>
    <xf numFmtId="0" fontId="40" fillId="2" borderId="9" xfId="1" applyFont="1" applyFill="1" applyBorder="1" applyAlignment="1">
      <alignment vertical="top" wrapText="1"/>
    </xf>
    <xf numFmtId="0" fontId="40" fillId="2" borderId="0" xfId="1" applyFont="1" applyFill="1" applyAlignment="1">
      <alignment vertical="top" wrapText="1"/>
    </xf>
    <xf numFmtId="0" fontId="26" fillId="6" borderId="34" xfId="2" applyFont="1" applyFill="1" applyBorder="1" applyAlignment="1" applyProtection="1">
      <alignment horizontal="right"/>
      <protection hidden="1"/>
    </xf>
    <xf numFmtId="0" fontId="26" fillId="6" borderId="46" xfId="2" applyFont="1" applyFill="1" applyBorder="1" applyProtection="1">
      <protection hidden="1"/>
    </xf>
    <xf numFmtId="0" fontId="26" fillId="6" borderId="34" xfId="2" applyFont="1" applyFill="1" applyBorder="1" applyAlignment="1">
      <alignment horizontal="right"/>
    </xf>
    <xf numFmtId="0" fontId="26" fillId="4" borderId="65" xfId="2" applyFont="1" applyFill="1" applyBorder="1" applyAlignment="1" applyProtection="1">
      <alignment horizontal="left"/>
      <protection hidden="1"/>
    </xf>
    <xf numFmtId="0" fontId="19" fillId="2" borderId="18" xfId="1" applyFont="1" applyFill="1" applyBorder="1"/>
    <xf numFmtId="0" fontId="26" fillId="2" borderId="19" xfId="2" applyFont="1" applyFill="1" applyBorder="1" applyProtection="1">
      <protection hidden="1"/>
    </xf>
    <xf numFmtId="0" fontId="19" fillId="2" borderId="20" xfId="1" applyFont="1" applyFill="1" applyBorder="1"/>
    <xf numFmtId="0" fontId="35" fillId="0" borderId="87" xfId="2" applyFont="1" applyBorder="1" applyAlignment="1" applyProtection="1">
      <alignment horizontal="center"/>
      <protection hidden="1"/>
    </xf>
    <xf numFmtId="0" fontId="35" fillId="10" borderId="88" xfId="2" applyFont="1" applyFill="1" applyBorder="1" applyAlignment="1" applyProtection="1">
      <alignment horizontal="left"/>
      <protection locked="0" hidden="1"/>
    </xf>
    <xf numFmtId="0" fontId="35" fillId="10" borderId="88" xfId="2" applyFont="1" applyFill="1" applyBorder="1" applyProtection="1">
      <protection locked="0" hidden="1"/>
    </xf>
    <xf numFmtId="0" fontId="35" fillId="0" borderId="89" xfId="2" applyFont="1" applyBorder="1" applyProtection="1">
      <protection hidden="1"/>
    </xf>
    <xf numFmtId="0" fontId="8" fillId="2" borderId="0" xfId="2" applyFill="1"/>
    <xf numFmtId="0" fontId="7" fillId="2" borderId="19" xfId="1" applyFont="1" applyFill="1" applyBorder="1"/>
    <xf numFmtId="0" fontId="8" fillId="0" borderId="21" xfId="2" applyBorder="1" applyAlignment="1" applyProtection="1">
      <alignment vertical="center"/>
      <protection locked="0"/>
    </xf>
    <xf numFmtId="0" fontId="8" fillId="0" borderId="57" xfId="2" applyBorder="1" applyAlignment="1" applyProtection="1">
      <alignment vertical="center"/>
      <protection hidden="1"/>
    </xf>
    <xf numFmtId="0" fontId="8" fillId="0" borderId="2" xfId="2" applyBorder="1" applyAlignment="1" applyProtection="1">
      <alignment vertical="center"/>
      <protection hidden="1"/>
    </xf>
    <xf numFmtId="0" fontId="8" fillId="0" borderId="2" xfId="2" applyBorder="1" applyAlignment="1" applyProtection="1">
      <alignment horizontal="center"/>
      <protection hidden="1"/>
    </xf>
    <xf numFmtId="0" fontId="8" fillId="0" borderId="3" xfId="2" applyBorder="1" applyProtection="1">
      <protection hidden="1"/>
    </xf>
    <xf numFmtId="0" fontId="8" fillId="5" borderId="8" xfId="2" applyFill="1" applyBorder="1" applyProtection="1">
      <protection hidden="1"/>
    </xf>
    <xf numFmtId="164" fontId="8" fillId="5" borderId="8" xfId="2" applyNumberFormat="1" applyFill="1" applyBorder="1" applyProtection="1">
      <protection hidden="1"/>
    </xf>
    <xf numFmtId="0" fontId="8" fillId="0" borderId="8" xfId="2" applyBorder="1" applyProtection="1">
      <protection hidden="1"/>
    </xf>
    <xf numFmtId="0" fontId="8" fillId="0" borderId="27" xfId="2" applyBorder="1" applyAlignment="1" applyProtection="1">
      <alignment vertical="center"/>
      <protection locked="0"/>
    </xf>
    <xf numFmtId="0" fontId="8" fillId="0" borderId="82" xfId="2" applyBorder="1" applyAlignment="1" applyProtection="1">
      <alignment vertical="center"/>
      <protection hidden="1"/>
    </xf>
    <xf numFmtId="0" fontId="8" fillId="0" borderId="0" xfId="2" applyAlignment="1" applyProtection="1">
      <alignment vertical="center"/>
      <protection hidden="1"/>
    </xf>
    <xf numFmtId="0" fontId="8" fillId="0" borderId="12" xfId="2" applyBorder="1" applyProtection="1">
      <protection hidden="1"/>
    </xf>
    <xf numFmtId="0" fontId="42" fillId="5" borderId="18" xfId="2" applyFont="1" applyFill="1" applyBorder="1" applyProtection="1">
      <protection hidden="1"/>
    </xf>
    <xf numFmtId="0" fontId="42" fillId="5" borderId="19" xfId="2" applyFont="1" applyFill="1" applyBorder="1" applyProtection="1">
      <protection hidden="1"/>
    </xf>
    <xf numFmtId="0" fontId="42" fillId="5" borderId="20" xfId="2" applyFont="1" applyFill="1" applyBorder="1" applyProtection="1">
      <protection hidden="1"/>
    </xf>
    <xf numFmtId="0" fontId="8" fillId="0" borderId="1" xfId="2" applyBorder="1" applyAlignment="1" applyProtection="1">
      <alignment vertical="center" shrinkToFit="1"/>
      <protection hidden="1"/>
    </xf>
    <xf numFmtId="0" fontId="8" fillId="0" borderId="10" xfId="2" applyBorder="1" applyAlignment="1" applyProtection="1">
      <alignment horizontal="center" vertical="center"/>
      <protection hidden="1"/>
    </xf>
    <xf numFmtId="0" fontId="8" fillId="0" borderId="8" xfId="2" applyBorder="1" applyAlignment="1" applyProtection="1">
      <alignment horizontal="right" vertical="center"/>
      <protection hidden="1"/>
    </xf>
    <xf numFmtId="0" fontId="42" fillId="5" borderId="5" xfId="2" applyFont="1" applyFill="1" applyBorder="1" applyAlignment="1" applyProtection="1">
      <alignment horizontal="center"/>
      <protection hidden="1"/>
    </xf>
    <xf numFmtId="0" fontId="42" fillId="5" borderId="7" xfId="2" applyFont="1" applyFill="1" applyBorder="1" applyAlignment="1" applyProtection="1">
      <alignment horizontal="center"/>
      <protection hidden="1"/>
    </xf>
    <xf numFmtId="0" fontId="42" fillId="5" borderId="6" xfId="2" applyFont="1" applyFill="1" applyBorder="1" applyProtection="1">
      <protection hidden="1"/>
    </xf>
    <xf numFmtId="0" fontId="42" fillId="5" borderId="50" xfId="2" applyFont="1" applyFill="1" applyBorder="1" applyProtection="1">
      <protection hidden="1"/>
    </xf>
    <xf numFmtId="0" fontId="1" fillId="0" borderId="39" xfId="1" applyBorder="1" applyAlignment="1">
      <alignment shrinkToFit="1"/>
    </xf>
    <xf numFmtId="0" fontId="35" fillId="0" borderId="80" xfId="2" applyFont="1" applyBorder="1" applyAlignment="1" applyProtection="1">
      <alignment vertical="center"/>
      <protection hidden="1"/>
    </xf>
    <xf numFmtId="0" fontId="35" fillId="0" borderId="91" xfId="2" applyFont="1" applyBorder="1" applyAlignment="1" applyProtection="1">
      <alignment vertical="center"/>
      <protection hidden="1"/>
    </xf>
    <xf numFmtId="0" fontId="35" fillId="0" borderId="4" xfId="2" applyFont="1" applyBorder="1" applyAlignment="1">
      <alignment vertical="center"/>
    </xf>
    <xf numFmtId="0" fontId="35" fillId="0" borderId="56" xfId="2" applyFont="1" applyBorder="1" applyAlignment="1">
      <alignment vertical="center"/>
    </xf>
    <xf numFmtId="0" fontId="35" fillId="0" borderId="23" xfId="2" applyFont="1" applyBorder="1" applyAlignment="1">
      <alignment vertical="center"/>
    </xf>
    <xf numFmtId="0" fontId="8" fillId="0" borderId="92" xfId="2" applyBorder="1" applyAlignment="1" applyProtection="1">
      <alignment vertical="center"/>
      <protection hidden="1"/>
    </xf>
    <xf numFmtId="0" fontId="8" fillId="0" borderId="16" xfId="2" applyBorder="1" applyAlignment="1" applyProtection="1">
      <alignment horizontal="center" vertical="center"/>
      <protection hidden="1"/>
    </xf>
    <xf numFmtId="0" fontId="8" fillId="0" borderId="16" xfId="2" applyBorder="1" applyAlignment="1" applyProtection="1">
      <alignment horizontal="right" vertical="center"/>
      <protection hidden="1"/>
    </xf>
    <xf numFmtId="0" fontId="42" fillId="5" borderId="21" xfId="2" applyFont="1" applyFill="1" applyBorder="1" applyAlignment="1" applyProtection="1">
      <alignment horizontal="center"/>
      <protection hidden="1"/>
    </xf>
    <xf numFmtId="0" fontId="42" fillId="5" borderId="57" xfId="2" applyFont="1" applyFill="1" applyBorder="1" applyAlignment="1" applyProtection="1">
      <alignment horizontal="center"/>
      <protection hidden="1"/>
    </xf>
    <xf numFmtId="0" fontId="42" fillId="5" borderId="22" xfId="2" applyFont="1" applyFill="1" applyBorder="1" applyAlignment="1" applyProtection="1">
      <alignment horizontal="center"/>
      <protection hidden="1"/>
    </xf>
    <xf numFmtId="0" fontId="42" fillId="5" borderId="39" xfId="2" applyFont="1" applyFill="1" applyBorder="1" applyAlignment="1" applyProtection="1">
      <alignment horizontal="center"/>
      <protection hidden="1"/>
    </xf>
    <xf numFmtId="164" fontId="8" fillId="0" borderId="17" xfId="2" applyNumberFormat="1" applyBorder="1" applyAlignment="1" applyProtection="1">
      <alignment horizontal="center" vertical="center"/>
      <protection hidden="1"/>
    </xf>
    <xf numFmtId="0" fontId="8" fillId="0" borderId="17" xfId="2" applyBorder="1" applyProtection="1">
      <protection hidden="1"/>
    </xf>
    <xf numFmtId="164" fontId="8" fillId="0" borderId="8" xfId="2" applyNumberFormat="1" applyBorder="1" applyAlignment="1" applyProtection="1">
      <alignment horizontal="center" vertical="center"/>
      <protection hidden="1"/>
    </xf>
    <xf numFmtId="0" fontId="1" fillId="0" borderId="91" xfId="1" applyBorder="1" applyAlignment="1">
      <alignment shrinkToFit="1"/>
    </xf>
    <xf numFmtId="0" fontId="35" fillId="0" borderId="13" xfId="2" applyFont="1" applyBorder="1" applyAlignment="1">
      <alignment vertical="center"/>
    </xf>
    <xf numFmtId="0" fontId="35" fillId="0" borderId="63" xfId="2" applyFont="1" applyBorder="1" applyAlignment="1">
      <alignment vertical="center"/>
    </xf>
    <xf numFmtId="0" fontId="35" fillId="0" borderId="26" xfId="2" applyFont="1" applyBorder="1" applyAlignment="1">
      <alignment vertical="center"/>
    </xf>
    <xf numFmtId="0" fontId="8" fillId="0" borderId="38" xfId="2" applyBorder="1" applyAlignment="1" applyProtection="1">
      <alignment vertical="center"/>
      <protection hidden="1"/>
    </xf>
    <xf numFmtId="0" fontId="8" fillId="0" borderId="91" xfId="2" applyBorder="1" applyAlignment="1" applyProtection="1">
      <alignment horizontal="center" vertical="center"/>
      <protection hidden="1"/>
    </xf>
    <xf numFmtId="0" fontId="8" fillId="0" borderId="91" xfId="2" applyBorder="1" applyAlignment="1" applyProtection="1">
      <alignment horizontal="right" vertical="center"/>
      <protection hidden="1"/>
    </xf>
    <xf numFmtId="0" fontId="42" fillId="5" borderId="24" xfId="2" applyFont="1" applyFill="1" applyBorder="1" applyAlignment="1" applyProtection="1">
      <alignment horizontal="center"/>
      <protection hidden="1"/>
    </xf>
    <xf numFmtId="49" fontId="42" fillId="5" borderId="24" xfId="2" applyNumberFormat="1" applyFont="1" applyFill="1" applyBorder="1" applyAlignment="1" applyProtection="1">
      <alignment horizontal="center"/>
      <protection hidden="1"/>
    </xf>
    <xf numFmtId="0" fontId="35" fillId="0" borderId="63" xfId="2" applyFont="1" applyBorder="1" applyAlignment="1" applyProtection="1">
      <alignment vertical="center"/>
      <protection hidden="1"/>
    </xf>
    <xf numFmtId="0" fontId="8" fillId="0" borderId="37" xfId="2" applyBorder="1" applyAlignment="1" applyProtection="1">
      <alignment horizontal="center" vertical="center"/>
      <protection hidden="1"/>
    </xf>
    <xf numFmtId="0" fontId="1" fillId="0" borderId="42" xfId="1" applyBorder="1" applyAlignment="1">
      <alignment shrinkToFit="1"/>
    </xf>
    <xf numFmtId="0" fontId="35" fillId="0" borderId="86" xfId="2" applyFont="1" applyBorder="1" applyAlignment="1" applyProtection="1">
      <alignment vertical="center"/>
      <protection hidden="1"/>
    </xf>
    <xf numFmtId="0" fontId="35" fillId="0" borderId="42" xfId="2" applyFont="1" applyBorder="1" applyAlignment="1" applyProtection="1">
      <alignment vertical="center"/>
      <protection hidden="1"/>
    </xf>
    <xf numFmtId="0" fontId="35" fillId="0" borderId="47" xfId="2" applyFont="1" applyBorder="1" applyAlignment="1">
      <alignment vertical="center"/>
    </xf>
    <xf numFmtId="0" fontId="35" fillId="0" borderId="86" xfId="2" applyFont="1" applyBorder="1" applyAlignment="1">
      <alignment vertical="center"/>
    </xf>
    <xf numFmtId="0" fontId="35" fillId="0" borderId="36" xfId="2" applyFont="1" applyBorder="1" applyAlignment="1">
      <alignment vertical="center"/>
    </xf>
    <xf numFmtId="0" fontId="8" fillId="0" borderId="46" xfId="2" applyBorder="1" applyAlignment="1" applyProtection="1">
      <alignment vertical="center"/>
      <protection hidden="1"/>
    </xf>
    <xf numFmtId="0" fontId="8" fillId="0" borderId="42" xfId="2" applyBorder="1" applyAlignment="1" applyProtection="1">
      <alignment horizontal="center" vertical="center"/>
      <protection hidden="1"/>
    </xf>
    <xf numFmtId="0" fontId="8" fillId="0" borderId="47" xfId="2" applyBorder="1" applyAlignment="1" applyProtection="1">
      <alignment horizontal="right" vertical="center"/>
      <protection hidden="1"/>
    </xf>
    <xf numFmtId="0" fontId="8" fillId="0" borderId="36" xfId="2" applyBorder="1" applyAlignment="1" applyProtection="1">
      <alignment horizontal="right" vertical="center"/>
      <protection hidden="1"/>
    </xf>
    <xf numFmtId="0" fontId="45" fillId="0" borderId="0" xfId="2" applyFont="1" applyAlignment="1">
      <alignment vertical="center"/>
    </xf>
    <xf numFmtId="0" fontId="1" fillId="7" borderId="37" xfId="1" applyFill="1" applyBorder="1"/>
    <xf numFmtId="0" fontId="7" fillId="7" borderId="93" xfId="2" applyFont="1" applyFill="1" applyBorder="1" applyAlignment="1" applyProtection="1">
      <alignment shrinkToFit="1"/>
      <protection hidden="1"/>
    </xf>
    <xf numFmtId="0" fontId="21" fillId="3" borderId="52" xfId="2" applyFont="1" applyFill="1" applyBorder="1" applyAlignment="1" applyProtection="1">
      <alignment horizontal="center" shrinkToFit="1"/>
      <protection locked="0"/>
    </xf>
    <xf numFmtId="0" fontId="42" fillId="5" borderId="13" xfId="2" applyFont="1" applyFill="1" applyBorder="1" applyAlignment="1" applyProtection="1">
      <alignment horizontal="center"/>
      <protection hidden="1"/>
    </xf>
    <xf numFmtId="164" fontId="42" fillId="5" borderId="24" xfId="2" applyNumberFormat="1" applyFont="1" applyFill="1" applyBorder="1" applyAlignment="1" applyProtection="1">
      <alignment horizontal="center"/>
      <protection hidden="1"/>
    </xf>
    <xf numFmtId="164" fontId="42" fillId="5" borderId="91" xfId="2" applyNumberFormat="1" applyFont="1" applyFill="1" applyBorder="1" applyAlignment="1" applyProtection="1">
      <alignment horizontal="center"/>
      <protection hidden="1"/>
    </xf>
    <xf numFmtId="0" fontId="1" fillId="0" borderId="0" xfId="1" quotePrefix="1"/>
    <xf numFmtId="0" fontId="15" fillId="2" borderId="1" xfId="2" applyFont="1" applyFill="1" applyBorder="1" applyProtection="1">
      <protection hidden="1"/>
    </xf>
    <xf numFmtId="0" fontId="15" fillId="2" borderId="2" xfId="2" applyFont="1" applyFill="1" applyBorder="1" applyAlignment="1" applyProtection="1">
      <alignment horizontal="right"/>
      <protection hidden="1"/>
    </xf>
    <xf numFmtId="0" fontId="15" fillId="2" borderId="2" xfId="2" applyFont="1" applyFill="1" applyBorder="1" applyProtection="1">
      <protection hidden="1"/>
    </xf>
    <xf numFmtId="0" fontId="15" fillId="2" borderId="3" xfId="2" applyFont="1" applyFill="1" applyBorder="1" applyProtection="1">
      <protection hidden="1"/>
    </xf>
    <xf numFmtId="0" fontId="15" fillId="2" borderId="9" xfId="2" applyFont="1" applyFill="1" applyBorder="1" applyProtection="1">
      <protection hidden="1"/>
    </xf>
    <xf numFmtId="0" fontId="15" fillId="2" borderId="0" xfId="2" applyFont="1" applyFill="1" applyProtection="1">
      <protection hidden="1"/>
    </xf>
    <xf numFmtId="0" fontId="15" fillId="2" borderId="0" xfId="2" applyFont="1" applyFill="1" applyAlignment="1" applyProtection="1">
      <alignment vertical="center"/>
      <protection locked="0"/>
    </xf>
    <xf numFmtId="0" fontId="15" fillId="2" borderId="0" xfId="2" applyFont="1" applyFill="1" applyAlignment="1" applyProtection="1">
      <alignment vertical="center" wrapText="1"/>
      <protection locked="0"/>
    </xf>
    <xf numFmtId="0" fontId="15" fillId="2" borderId="0" xfId="2" applyFont="1" applyFill="1"/>
    <xf numFmtId="0" fontId="15" fillId="2" borderId="0" xfId="2" applyFont="1" applyFill="1" applyAlignment="1" applyProtection="1">
      <alignment vertical="top" wrapText="1"/>
      <protection hidden="1"/>
    </xf>
    <xf numFmtId="0" fontId="16" fillId="2" borderId="0" xfId="2" applyFont="1" applyFill="1" applyAlignment="1" applyProtection="1">
      <alignment vertical="top" wrapText="1"/>
      <protection hidden="1"/>
    </xf>
    <xf numFmtId="0" fontId="8" fillId="0" borderId="37" xfId="2" applyBorder="1" applyAlignment="1" applyProtection="1">
      <alignment vertical="center"/>
      <protection hidden="1"/>
    </xf>
    <xf numFmtId="0" fontId="8" fillId="0" borderId="64" xfId="2" applyBorder="1" applyAlignment="1" applyProtection="1">
      <alignment vertical="center"/>
      <protection hidden="1"/>
    </xf>
    <xf numFmtId="0" fontId="15" fillId="2" borderId="0" xfId="2" applyFont="1" applyFill="1" applyAlignment="1" applyProtection="1">
      <alignment vertical="top"/>
      <protection hidden="1"/>
    </xf>
    <xf numFmtId="0" fontId="15" fillId="11" borderId="0" xfId="2" applyFont="1" applyFill="1" applyAlignment="1" applyProtection="1">
      <alignment vertical="top"/>
      <protection hidden="1"/>
    </xf>
    <xf numFmtId="0" fontId="54" fillId="2" borderId="9" xfId="2" applyFont="1" applyFill="1" applyBorder="1" applyProtection="1">
      <protection hidden="1"/>
    </xf>
    <xf numFmtId="0" fontId="55" fillId="2" borderId="0" xfId="2" applyFont="1" applyFill="1" applyProtection="1">
      <protection hidden="1"/>
    </xf>
    <xf numFmtId="0" fontId="15" fillId="2" borderId="0" xfId="2" applyFont="1" applyFill="1" applyAlignment="1">
      <alignment horizontal="right"/>
    </xf>
    <xf numFmtId="0" fontId="56" fillId="3" borderId="95" xfId="2" applyFont="1" applyFill="1" applyBorder="1" applyAlignment="1" applyProtection="1">
      <alignment horizontal="center" vertical="center"/>
      <protection hidden="1"/>
    </xf>
    <xf numFmtId="0" fontId="56" fillId="2" borderId="0" xfId="2" applyFont="1" applyFill="1" applyAlignment="1" applyProtection="1">
      <alignment horizontal="center" vertical="center"/>
      <protection hidden="1"/>
    </xf>
    <xf numFmtId="0" fontId="8" fillId="0" borderId="25" xfId="2" applyBorder="1" applyAlignment="1" applyProtection="1">
      <alignment vertical="center"/>
      <protection hidden="1"/>
    </xf>
    <xf numFmtId="0" fontId="8" fillId="0" borderId="63" xfId="2" applyBorder="1" applyAlignment="1" applyProtection="1">
      <alignment vertical="center"/>
      <protection hidden="1"/>
    </xf>
    <xf numFmtId="0" fontId="56" fillId="3" borderId="30" xfId="2" applyFont="1" applyFill="1" applyBorder="1" applyAlignment="1" applyProtection="1">
      <alignment horizontal="center" vertical="center"/>
      <protection hidden="1"/>
    </xf>
    <xf numFmtId="0" fontId="56" fillId="3" borderId="27" xfId="2" applyFont="1" applyFill="1" applyBorder="1" applyAlignment="1" applyProtection="1">
      <alignment horizontal="center" vertical="center"/>
      <protection hidden="1"/>
    </xf>
    <xf numFmtId="0" fontId="56" fillId="3" borderId="98" xfId="2" applyFont="1" applyFill="1" applyBorder="1" applyAlignment="1" applyProtection="1">
      <alignment horizontal="center" vertical="center"/>
      <protection hidden="1"/>
    </xf>
    <xf numFmtId="0" fontId="56" fillId="3" borderId="37" xfId="2" applyFont="1" applyFill="1" applyBorder="1" applyAlignment="1" applyProtection="1">
      <alignment horizontal="center" vertical="center"/>
      <protection hidden="1"/>
    </xf>
    <xf numFmtId="0" fontId="56" fillId="3" borderId="38" xfId="2" applyFont="1" applyFill="1" applyBorder="1" applyAlignment="1" applyProtection="1">
      <alignment horizontal="center" vertical="center"/>
      <protection hidden="1"/>
    </xf>
    <xf numFmtId="0" fontId="26" fillId="2" borderId="20" xfId="2" applyFont="1" applyFill="1" applyBorder="1" applyProtection="1">
      <protection hidden="1"/>
    </xf>
    <xf numFmtId="0" fontId="15" fillId="3" borderId="24" xfId="2" applyFont="1" applyFill="1" applyBorder="1" applyAlignment="1" applyProtection="1">
      <alignment horizontal="center"/>
      <protection locked="0"/>
    </xf>
    <xf numFmtId="2" fontId="15" fillId="3" borderId="46" xfId="2" applyNumberFormat="1" applyFont="1" applyFill="1" applyBorder="1" applyAlignment="1" applyProtection="1">
      <alignment horizontal="center"/>
      <protection locked="0"/>
    </xf>
    <xf numFmtId="0" fontId="57" fillId="2" borderId="0" xfId="2" applyFont="1" applyFill="1" applyAlignment="1" applyProtection="1">
      <alignment horizontal="center"/>
      <protection hidden="1"/>
    </xf>
    <xf numFmtId="0" fontId="15" fillId="3" borderId="37" xfId="2" applyFont="1" applyFill="1" applyBorder="1" applyProtection="1">
      <protection hidden="1"/>
    </xf>
    <xf numFmtId="0" fontId="15" fillId="3" borderId="38" xfId="2" applyFont="1" applyFill="1" applyBorder="1" applyProtection="1">
      <protection hidden="1"/>
    </xf>
    <xf numFmtId="1" fontId="15" fillId="2" borderId="0" xfId="2" applyNumberFormat="1" applyFont="1" applyFill="1" applyAlignment="1">
      <alignment horizontal="center"/>
    </xf>
    <xf numFmtId="0" fontId="35" fillId="0" borderId="0" xfId="2" applyFont="1"/>
    <xf numFmtId="0" fontId="15" fillId="3" borderId="51" xfId="2" applyFont="1" applyFill="1" applyBorder="1" applyProtection="1">
      <protection hidden="1"/>
    </xf>
    <xf numFmtId="0" fontId="15" fillId="3" borderId="65" xfId="2" applyFont="1" applyFill="1" applyBorder="1" applyProtection="1">
      <protection hidden="1"/>
    </xf>
    <xf numFmtId="0" fontId="15" fillId="3" borderId="46" xfId="2" applyFont="1" applyFill="1" applyBorder="1" applyProtection="1">
      <protection hidden="1"/>
    </xf>
    <xf numFmtId="174" fontId="58" fillId="3" borderId="45" xfId="2" applyNumberFormat="1" applyFont="1" applyFill="1" applyBorder="1" applyAlignment="1">
      <alignment horizontal="center"/>
    </xf>
    <xf numFmtId="0" fontId="54" fillId="2" borderId="9"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9" fillId="2" borderId="0" xfId="2" applyFont="1" applyFill="1" applyAlignment="1" applyProtection="1">
      <alignment horizontal="left" vertical="center"/>
      <protection hidden="1"/>
    </xf>
    <xf numFmtId="0" fontId="16" fillId="2" borderId="0" xfId="2" applyFont="1" applyFill="1" applyAlignment="1" applyProtection="1">
      <alignment horizontal="center"/>
      <protection hidden="1"/>
    </xf>
    <xf numFmtId="175" fontId="15" fillId="2" borderId="0" xfId="2" applyNumberFormat="1" applyFont="1" applyFill="1" applyProtection="1">
      <protection hidden="1"/>
    </xf>
    <xf numFmtId="0" fontId="15" fillId="2" borderId="12" xfId="2" applyFont="1" applyFill="1" applyBorder="1"/>
    <xf numFmtId="0" fontId="35" fillId="0" borderId="9" xfId="2" applyFont="1" applyBorder="1" applyAlignment="1" applyProtection="1">
      <alignment horizontal="center"/>
      <protection hidden="1"/>
    </xf>
    <xf numFmtId="0" fontId="35" fillId="0" borderId="0" xfId="2" applyFont="1" applyAlignment="1" applyProtection="1">
      <alignment horizontal="center"/>
      <protection hidden="1"/>
    </xf>
    <xf numFmtId="0" fontId="56" fillId="3" borderId="96" xfId="2" applyFont="1" applyFill="1" applyBorder="1" applyAlignment="1">
      <alignment horizontal="center" vertical="center" wrapText="1"/>
    </xf>
    <xf numFmtId="0" fontId="56" fillId="3" borderId="41" xfId="2" applyFont="1" applyFill="1" applyBorder="1" applyAlignment="1">
      <alignment horizontal="center" vertical="center" wrapText="1"/>
    </xf>
    <xf numFmtId="0" fontId="35" fillId="3" borderId="94" xfId="2" applyFont="1" applyFill="1" applyBorder="1" applyAlignment="1" applyProtection="1">
      <alignment horizontal="center"/>
      <protection hidden="1"/>
    </xf>
    <xf numFmtId="0" fontId="35" fillId="3" borderId="81" xfId="2" applyFont="1" applyFill="1" applyBorder="1" applyAlignment="1" applyProtection="1">
      <alignment horizontal="center"/>
      <protection hidden="1"/>
    </xf>
    <xf numFmtId="0" fontId="8" fillId="2" borderId="37" xfId="2" applyFill="1" applyBorder="1" applyProtection="1">
      <protection hidden="1"/>
    </xf>
    <xf numFmtId="0" fontId="8" fillId="12" borderId="37" xfId="2" applyFill="1" applyBorder="1" applyProtection="1">
      <protection hidden="1"/>
    </xf>
    <xf numFmtId="0" fontId="56" fillId="3" borderId="99" xfId="2" applyFont="1" applyFill="1" applyBorder="1" applyAlignment="1" applyProtection="1">
      <alignment horizontal="center" vertical="center"/>
      <protection hidden="1"/>
    </xf>
    <xf numFmtId="0" fontId="56" fillId="3" borderId="99" xfId="2" applyFont="1" applyFill="1" applyBorder="1" applyAlignment="1">
      <alignment horizontal="center" vertical="center"/>
    </xf>
    <xf numFmtId="0" fontId="11" fillId="3" borderId="64" xfId="2" applyFont="1" applyFill="1" applyBorder="1" applyAlignment="1" applyProtection="1">
      <alignment horizontal="center"/>
      <protection hidden="1"/>
    </xf>
    <xf numFmtId="0" fontId="11" fillId="3" borderId="37" xfId="2" applyFont="1" applyFill="1" applyBorder="1" applyAlignment="1" applyProtection="1">
      <alignment horizontal="center"/>
      <protection hidden="1"/>
    </xf>
    <xf numFmtId="0" fontId="56" fillId="3" borderId="81" xfId="2" applyFont="1" applyFill="1" applyBorder="1" applyAlignment="1" applyProtection="1">
      <alignment horizontal="center" vertical="center"/>
      <protection hidden="1"/>
    </xf>
    <xf numFmtId="2" fontId="15" fillId="3" borderId="38" xfId="2" applyNumberFormat="1" applyFont="1" applyFill="1" applyBorder="1" applyAlignment="1" applyProtection="1">
      <alignment horizontal="center"/>
      <protection locked="0"/>
    </xf>
    <xf numFmtId="0" fontId="57" fillId="13" borderId="91" xfId="2" applyFont="1" applyFill="1" applyBorder="1" applyAlignment="1" applyProtection="1">
      <alignment horizontal="center"/>
      <protection hidden="1"/>
    </xf>
    <xf numFmtId="0" fontId="15" fillId="3" borderId="37" xfId="2" applyFont="1" applyFill="1" applyBorder="1" applyAlignment="1" applyProtection="1">
      <alignment horizontal="center"/>
      <protection hidden="1"/>
    </xf>
    <xf numFmtId="0" fontId="15" fillId="3" borderId="37" xfId="2" applyFont="1" applyFill="1" applyBorder="1" applyAlignment="1" applyProtection="1">
      <alignment horizontal="center" vertical="center"/>
      <protection locked="0"/>
    </xf>
    <xf numFmtId="176" fontId="15" fillId="3" borderId="37" xfId="2" applyNumberFormat="1" applyFont="1" applyFill="1" applyBorder="1" applyAlignment="1">
      <alignment horizontal="center"/>
    </xf>
    <xf numFmtId="177" fontId="15" fillId="3" borderId="37" xfId="2" applyNumberFormat="1" applyFont="1" applyFill="1" applyBorder="1" applyAlignment="1">
      <alignment horizontal="center"/>
    </xf>
    <xf numFmtId="2" fontId="15" fillId="3" borderId="37" xfId="4" applyNumberFormat="1" applyFont="1" applyFill="1" applyBorder="1" applyAlignment="1">
      <alignment horizontal="center"/>
    </xf>
    <xf numFmtId="2" fontId="15" fillId="3" borderId="37" xfId="2" applyNumberFormat="1" applyFont="1" applyFill="1" applyBorder="1" applyAlignment="1">
      <alignment horizontal="center"/>
    </xf>
    <xf numFmtId="2" fontId="15" fillId="3" borderId="38" xfId="2" applyNumberFormat="1" applyFont="1" applyFill="1" applyBorder="1" applyAlignment="1">
      <alignment horizontal="center"/>
    </xf>
    <xf numFmtId="0" fontId="11" fillId="3" borderId="37" xfId="2" applyFont="1" applyFill="1" applyBorder="1"/>
    <xf numFmtId="0" fontId="11" fillId="3" borderId="81" xfId="2" applyFont="1" applyFill="1" applyBorder="1"/>
    <xf numFmtId="164" fontId="8" fillId="0" borderId="21" xfId="2" applyNumberFormat="1" applyBorder="1"/>
    <xf numFmtId="0" fontId="8" fillId="0" borderId="14" xfId="2" applyBorder="1" applyProtection="1">
      <protection hidden="1"/>
    </xf>
    <xf numFmtId="0" fontId="8" fillId="0" borderId="81" xfId="2" applyBorder="1" applyProtection="1">
      <protection hidden="1"/>
    </xf>
    <xf numFmtId="0" fontId="8" fillId="0" borderId="92" xfId="2" applyBorder="1" applyProtection="1">
      <protection hidden="1"/>
    </xf>
    <xf numFmtId="0" fontId="8" fillId="2" borderId="14" xfId="2" applyFill="1" applyBorder="1" applyProtection="1">
      <protection hidden="1"/>
    </xf>
    <xf numFmtId="0" fontId="8" fillId="12" borderId="14" xfId="2" applyFill="1" applyBorder="1" applyProtection="1">
      <protection hidden="1"/>
    </xf>
    <xf numFmtId="0" fontId="8" fillId="0" borderId="24" xfId="2" applyBorder="1" applyProtection="1">
      <protection hidden="1"/>
    </xf>
    <xf numFmtId="0" fontId="8" fillId="2" borderId="24" xfId="2" applyFill="1" applyBorder="1" applyProtection="1">
      <protection hidden="1"/>
    </xf>
    <xf numFmtId="0" fontId="15" fillId="3" borderId="65" xfId="2" applyFont="1" applyFill="1" applyBorder="1" applyAlignment="1" applyProtection="1">
      <alignment horizontal="center" vertical="center"/>
      <protection locked="0"/>
    </xf>
    <xf numFmtId="0" fontId="15" fillId="3" borderId="65" xfId="2" applyFont="1" applyFill="1" applyBorder="1" applyAlignment="1" applyProtection="1">
      <alignment horizontal="center"/>
      <protection hidden="1"/>
    </xf>
    <xf numFmtId="2" fontId="15" fillId="3" borderId="65" xfId="4" applyNumberFormat="1" applyFont="1" applyFill="1" applyBorder="1" applyAlignment="1">
      <alignment horizontal="center"/>
    </xf>
    <xf numFmtId="2" fontId="15" fillId="3" borderId="65" xfId="2" applyNumberFormat="1" applyFont="1" applyFill="1" applyBorder="1" applyAlignment="1">
      <alignment horizontal="center"/>
    </xf>
    <xf numFmtId="0" fontId="8" fillId="0" borderId="34" xfId="2" applyBorder="1" applyProtection="1">
      <protection hidden="1"/>
    </xf>
    <xf numFmtId="0" fontId="8" fillId="0" borderId="65" xfId="2" applyBorder="1" applyProtection="1">
      <protection hidden="1"/>
    </xf>
    <xf numFmtId="172" fontId="15" fillId="2" borderId="9" xfId="2" applyNumberFormat="1" applyFont="1" applyFill="1" applyBorder="1" applyAlignment="1" applyProtection="1">
      <alignment horizontal="center"/>
      <protection hidden="1"/>
    </xf>
    <xf numFmtId="2" fontId="22" fillId="2" borderId="0" xfId="2" applyNumberFormat="1" applyFont="1" applyFill="1" applyProtection="1">
      <protection hidden="1"/>
    </xf>
    <xf numFmtId="1" fontId="8" fillId="0" borderId="37" xfId="2" applyNumberFormat="1" applyBorder="1" applyProtection="1">
      <protection hidden="1"/>
    </xf>
    <xf numFmtId="0" fontId="54" fillId="14" borderId="64" xfId="2" applyFont="1" applyFill="1" applyBorder="1" applyAlignment="1" applyProtection="1">
      <alignment vertical="center"/>
      <protection hidden="1"/>
    </xf>
    <xf numFmtId="0" fontId="15" fillId="2" borderId="18" xfId="2" applyFont="1" applyFill="1" applyBorder="1" applyProtection="1">
      <protection hidden="1"/>
    </xf>
    <xf numFmtId="0" fontId="15" fillId="2" borderId="19" xfId="2" applyFont="1" applyFill="1" applyBorder="1" applyProtection="1">
      <protection hidden="1"/>
    </xf>
    <xf numFmtId="0" fontId="15" fillId="0" borderId="0" xfId="2" applyFont="1" applyAlignment="1">
      <alignment horizontal="left" vertical="center"/>
    </xf>
    <xf numFmtId="0" fontId="15" fillId="0" borderId="0" xfId="2" applyFont="1" applyAlignment="1">
      <alignment vertical="center"/>
    </xf>
    <xf numFmtId="0" fontId="66" fillId="0" borderId="0" xfId="2" applyFont="1" applyAlignment="1">
      <alignment vertical="center"/>
    </xf>
    <xf numFmtId="0" fontId="66" fillId="0" borderId="0" xfId="2" applyFont="1" applyAlignment="1">
      <alignment horizontal="left" vertical="center"/>
    </xf>
    <xf numFmtId="0" fontId="67" fillId="0" borderId="0" xfId="2" applyFont="1" applyAlignment="1">
      <alignment vertical="center"/>
    </xf>
    <xf numFmtId="0" fontId="36" fillId="0" borderId="0" xfId="2" applyFont="1" applyAlignment="1">
      <alignment vertical="center"/>
    </xf>
    <xf numFmtId="0" fontId="65" fillId="0" borderId="0" xfId="2" applyFont="1" applyAlignment="1">
      <alignment vertical="center"/>
    </xf>
    <xf numFmtId="0" fontId="36" fillId="0" borderId="0" xfId="2" applyFont="1" applyAlignment="1">
      <alignment horizontal="right" vertical="center"/>
    </xf>
    <xf numFmtId="49" fontId="65" fillId="0" borderId="0" xfId="2" applyNumberFormat="1" applyFont="1" applyAlignment="1">
      <alignment vertical="center"/>
    </xf>
    <xf numFmtId="49" fontId="68" fillId="0" borderId="0" xfId="2" applyNumberFormat="1" applyFont="1" applyAlignment="1">
      <alignment vertical="center"/>
    </xf>
    <xf numFmtId="0" fontId="15" fillId="0" borderId="80" xfId="2" applyFont="1" applyBorder="1" applyAlignment="1">
      <alignment vertical="center"/>
    </xf>
    <xf numFmtId="0" fontId="36" fillId="0" borderId="80" xfId="2" applyFont="1" applyBorder="1" applyAlignment="1">
      <alignment vertical="center"/>
    </xf>
    <xf numFmtId="165" fontId="36" fillId="0" borderId="80" xfId="2" applyNumberFormat="1" applyFont="1" applyBorder="1" applyAlignment="1">
      <alignment vertical="center"/>
    </xf>
    <xf numFmtId="0" fontId="66" fillId="0" borderId="80" xfId="2" applyFont="1" applyBorder="1" applyAlignment="1">
      <alignment vertical="center"/>
    </xf>
    <xf numFmtId="0" fontId="69" fillId="0" borderId="0" xfId="2" applyFont="1" applyAlignment="1">
      <alignment horizontal="center" vertical="center"/>
    </xf>
    <xf numFmtId="0" fontId="70" fillId="0" borderId="0" xfId="2" applyFont="1" applyAlignment="1">
      <alignment horizontal="center" vertical="center"/>
    </xf>
    <xf numFmtId="165" fontId="36" fillId="0" borderId="0" xfId="2" applyNumberFormat="1" applyFont="1" applyAlignment="1">
      <alignment vertical="center"/>
    </xf>
    <xf numFmtId="49" fontId="36" fillId="0" borderId="0" xfId="2" applyNumberFormat="1" applyFont="1" applyAlignment="1">
      <alignment vertical="center"/>
    </xf>
    <xf numFmtId="0" fontId="66" fillId="0" borderId="0" xfId="2" quotePrefix="1" applyFont="1" applyAlignment="1">
      <alignment vertical="center"/>
    </xf>
    <xf numFmtId="0" fontId="54" fillId="0" borderId="0" xfId="2" applyFont="1" applyAlignment="1">
      <alignment vertical="center"/>
    </xf>
    <xf numFmtId="0" fontId="71" fillId="0" borderId="0" xfId="2" applyFont="1" applyAlignment="1">
      <alignment vertical="center"/>
    </xf>
    <xf numFmtId="0" fontId="54" fillId="0" borderId="0" xfId="2" applyFont="1" applyAlignment="1">
      <alignment horizontal="left" vertical="center"/>
    </xf>
    <xf numFmtId="0" fontId="71" fillId="0" borderId="0" xfId="2" applyFont="1" applyAlignment="1">
      <alignment vertical="center" wrapText="1"/>
    </xf>
    <xf numFmtId="0" fontId="73" fillId="0" borderId="0" xfId="2" applyFont="1" applyAlignment="1">
      <alignment vertical="center"/>
    </xf>
    <xf numFmtId="49" fontId="40" fillId="0" borderId="0" xfId="2" applyNumberFormat="1" applyFont="1" applyAlignment="1">
      <alignment vertical="center"/>
    </xf>
    <xf numFmtId="0" fontId="73" fillId="0" borderId="80" xfId="2" applyFont="1" applyBorder="1" applyAlignment="1">
      <alignment vertical="center"/>
    </xf>
    <xf numFmtId="0" fontId="54" fillId="0" borderId="80" xfId="2" applyFont="1" applyBorder="1" applyAlignment="1">
      <alignment vertical="center"/>
    </xf>
    <xf numFmtId="49" fontId="40" fillId="0" borderId="80" xfId="2" applyNumberFormat="1" applyFont="1" applyBorder="1" applyAlignment="1">
      <alignment vertical="center"/>
    </xf>
    <xf numFmtId="49" fontId="65" fillId="0" borderId="80" xfId="2" applyNumberFormat="1" applyFont="1" applyBorder="1" applyAlignment="1">
      <alignment vertical="center"/>
    </xf>
    <xf numFmtId="49" fontId="68" fillId="0" borderId="80" xfId="2" applyNumberFormat="1" applyFont="1" applyBorder="1" applyAlignment="1">
      <alignment vertical="center"/>
    </xf>
    <xf numFmtId="0" fontId="40" fillId="0" borderId="0" xfId="2" applyFont="1" applyAlignment="1">
      <alignment vertical="center"/>
    </xf>
    <xf numFmtId="0" fontId="68" fillId="0" borderId="0" xfId="2" applyFont="1" applyAlignment="1">
      <alignment vertical="center"/>
    </xf>
    <xf numFmtId="0" fontId="71" fillId="0" borderId="0" xfId="2" applyFont="1" applyAlignment="1">
      <alignment horizontal="left" vertical="center"/>
    </xf>
    <xf numFmtId="0" fontId="71" fillId="0" borderId="0" xfId="2" applyFont="1" applyAlignment="1">
      <alignment horizontal="center" vertical="center"/>
    </xf>
    <xf numFmtId="178" fontId="54" fillId="0" borderId="0" xfId="2" applyNumberFormat="1" applyFont="1" applyAlignment="1">
      <alignment horizontal="left" vertical="center"/>
    </xf>
    <xf numFmtId="0" fontId="74" fillId="0" borderId="0" xfId="2" applyFont="1" applyAlignment="1">
      <alignment vertical="center"/>
    </xf>
    <xf numFmtId="0" fontId="75" fillId="0" borderId="0" xfId="2" applyFont="1" applyAlignment="1">
      <alignment vertical="center"/>
    </xf>
    <xf numFmtId="0" fontId="76" fillId="0" borderId="0" xfId="2" applyFont="1" applyAlignment="1">
      <alignment vertical="top" wrapText="1"/>
    </xf>
    <xf numFmtId="0" fontId="74" fillId="0" borderId="0" xfId="2" applyFont="1" applyAlignment="1">
      <alignment horizontal="left"/>
    </xf>
    <xf numFmtId="0" fontId="74" fillId="0" borderId="0" xfId="2" applyFont="1" applyAlignment="1">
      <alignment vertical="top"/>
    </xf>
    <xf numFmtId="0" fontId="40" fillId="0" borderId="0" xfId="2" applyFont="1" applyAlignment="1">
      <alignment horizontal="right" vertical="center"/>
    </xf>
    <xf numFmtId="0" fontId="40" fillId="0" borderId="0" xfId="2" applyFont="1" applyAlignment="1">
      <alignment horizontal="left" vertical="center"/>
    </xf>
    <xf numFmtId="0" fontId="66" fillId="0" borderId="0" xfId="2" applyFont="1" applyAlignment="1">
      <alignment horizontal="left" vertical="center" wrapText="1"/>
    </xf>
    <xf numFmtId="0" fontId="75" fillId="0" borderId="0" xfId="2" applyFont="1" applyAlignment="1">
      <alignment horizontal="left" vertical="center"/>
    </xf>
    <xf numFmtId="165" fontId="36" fillId="0" borderId="0" xfId="2" applyNumberFormat="1" applyFont="1" applyAlignment="1">
      <alignment horizontal="left" vertical="center"/>
    </xf>
    <xf numFmtId="0" fontId="75" fillId="0" borderId="0" xfId="2" applyFont="1" applyAlignment="1">
      <alignment horizontal="center" vertical="center"/>
    </xf>
    <xf numFmtId="0" fontId="36" fillId="0" borderId="0" xfId="2" applyFont="1" applyAlignment="1">
      <alignment horizontal="center" vertical="center"/>
    </xf>
    <xf numFmtId="0" fontId="15" fillId="0" borderId="0" xfId="2" applyFont="1" applyAlignment="1">
      <alignment vertical="top"/>
    </xf>
    <xf numFmtId="0" fontId="77" fillId="0" borderId="0" xfId="2" applyFont="1" applyAlignment="1">
      <alignment vertical="center"/>
    </xf>
    <xf numFmtId="0" fontId="79" fillId="0" borderId="31" xfId="2" applyFont="1" applyBorder="1" applyAlignment="1">
      <alignment horizontal="center" vertical="center"/>
    </xf>
    <xf numFmtId="0" fontId="80" fillId="0" borderId="0" xfId="2" applyFont="1" applyAlignment="1">
      <alignment vertical="center" wrapText="1"/>
    </xf>
    <xf numFmtId="0" fontId="71" fillId="0" borderId="28" xfId="2" applyFont="1" applyBorder="1" applyAlignment="1">
      <alignment vertical="center"/>
    </xf>
    <xf numFmtId="0" fontId="71" fillId="0" borderId="79" xfId="2" applyFont="1" applyBorder="1" applyAlignment="1">
      <alignment vertical="center"/>
    </xf>
    <xf numFmtId="0" fontId="71" fillId="0" borderId="79" xfId="2" applyFont="1" applyBorder="1" applyAlignment="1">
      <alignment vertical="center" wrapText="1"/>
    </xf>
    <xf numFmtId="0" fontId="71" fillId="0" borderId="69" xfId="2" applyFont="1" applyBorder="1" applyAlignment="1">
      <alignment vertical="center"/>
    </xf>
    <xf numFmtId="0" fontId="15" fillId="0" borderId="37" xfId="2" applyFont="1" applyBorder="1" applyAlignment="1">
      <alignment horizontal="center" vertical="center"/>
    </xf>
    <xf numFmtId="0" fontId="66" fillId="0" borderId="31" xfId="2" applyFont="1" applyBorder="1" applyAlignment="1">
      <alignment horizontal="center" vertical="center"/>
    </xf>
    <xf numFmtId="0" fontId="71" fillId="0" borderId="31" xfId="2" applyFont="1" applyBorder="1" applyAlignment="1">
      <alignment vertical="center"/>
    </xf>
    <xf numFmtId="2" fontId="71" fillId="0" borderId="0" xfId="2" applyNumberFormat="1" applyFont="1" applyAlignment="1">
      <alignment vertical="center"/>
    </xf>
    <xf numFmtId="0" fontId="71" fillId="0" borderId="98" xfId="2" applyFont="1" applyBorder="1" applyAlignment="1">
      <alignment vertical="center"/>
    </xf>
    <xf numFmtId="0" fontId="21" fillId="0" borderId="0" xfId="2" applyFont="1" applyAlignment="1">
      <alignment horizontal="center" vertical="center"/>
    </xf>
    <xf numFmtId="49" fontId="66" fillId="0" borderId="0" xfId="2" applyNumberFormat="1" applyFont="1" applyAlignment="1">
      <alignment vertical="center"/>
    </xf>
    <xf numFmtId="0" fontId="81" fillId="0" borderId="0" xfId="2" applyFont="1" applyAlignment="1">
      <alignment vertical="center" wrapText="1"/>
    </xf>
    <xf numFmtId="0" fontId="66" fillId="0" borderId="0" xfId="2" applyFont="1" applyAlignment="1">
      <alignment vertical="top"/>
    </xf>
    <xf numFmtId="0" fontId="71" fillId="0" borderId="59" xfId="2" applyFont="1" applyBorder="1" applyAlignment="1">
      <alignment vertical="center"/>
    </xf>
    <xf numFmtId="0" fontId="71" fillId="0" borderId="80" xfId="2" applyFont="1" applyBorder="1" applyAlignment="1">
      <alignment vertical="center"/>
    </xf>
    <xf numFmtId="0" fontId="71" fillId="0" borderId="94" xfId="2" applyFont="1" applyBorder="1" applyAlignment="1">
      <alignment vertical="center"/>
    </xf>
    <xf numFmtId="0" fontId="21" fillId="0" borderId="0" xfId="2" applyFont="1" applyAlignment="1">
      <alignment horizontal="left" vertical="top"/>
    </xf>
    <xf numFmtId="0" fontId="82" fillId="0" borderId="0" xfId="2" applyFont="1" applyAlignment="1">
      <alignment horizontal="left" vertical="top"/>
    </xf>
    <xf numFmtId="0" fontId="21" fillId="0" borderId="0" xfId="2" applyFont="1" applyAlignment="1">
      <alignment vertical="center"/>
    </xf>
    <xf numFmtId="0" fontId="74" fillId="0" borderId="0" xfId="2" applyFont="1"/>
    <xf numFmtId="0" fontId="15" fillId="0" borderId="0" xfId="2" applyFont="1"/>
    <xf numFmtId="0" fontId="80" fillId="0" borderId="0" xfId="2" applyFont="1" applyAlignment="1">
      <alignment horizontal="left" vertical="center" wrapText="1"/>
    </xf>
    <xf numFmtId="0" fontId="84" fillId="4" borderId="37" xfId="2" applyFont="1" applyFill="1" applyBorder="1" applyAlignment="1" applyProtection="1">
      <alignment horizontal="center" vertical="center"/>
      <protection locked="0"/>
    </xf>
    <xf numFmtId="174" fontId="85" fillId="4" borderId="37" xfId="2" applyNumberFormat="1" applyFont="1" applyFill="1" applyBorder="1" applyAlignment="1" applyProtection="1">
      <alignment horizontal="center"/>
      <protection locked="0"/>
    </xf>
    <xf numFmtId="0" fontId="24" fillId="4" borderId="37" xfId="2" applyFont="1" applyFill="1" applyBorder="1" applyAlignment="1" applyProtection="1">
      <alignment horizontal="center" vertical="center"/>
      <protection locked="0"/>
    </xf>
    <xf numFmtId="0" fontId="83" fillId="2" borderId="2" xfId="2" applyFont="1" applyFill="1" applyBorder="1" applyAlignment="1" applyProtection="1">
      <alignment horizontal="left" vertical="center"/>
      <protection locked="0"/>
    </xf>
    <xf numFmtId="0" fontId="24" fillId="2" borderId="2" xfId="2" applyFont="1" applyFill="1" applyBorder="1" applyAlignment="1" applyProtection="1">
      <alignment horizontal="center" vertical="center"/>
      <protection locked="0"/>
    </xf>
    <xf numFmtId="0" fontId="84" fillId="2" borderId="0" xfId="2" applyFont="1" applyFill="1" applyAlignment="1" applyProtection="1">
      <alignment horizontal="right" vertical="center"/>
      <protection locked="0"/>
    </xf>
    <xf numFmtId="0" fontId="86" fillId="3" borderId="57" xfId="2" applyFont="1" applyFill="1" applyBorder="1" applyAlignment="1" applyProtection="1">
      <alignment horizontal="center" vertical="center"/>
      <protection locked="0"/>
    </xf>
    <xf numFmtId="0" fontId="87" fillId="4" borderId="57" xfId="2" applyFont="1" applyFill="1" applyBorder="1" applyAlignment="1" applyProtection="1">
      <alignment horizontal="center" vertical="center"/>
      <protection locked="0"/>
    </xf>
    <xf numFmtId="0" fontId="15" fillId="2" borderId="2" xfId="2" applyFont="1" applyFill="1" applyBorder="1" applyAlignment="1" applyProtection="1">
      <alignment vertical="top"/>
      <protection locked="0"/>
    </xf>
    <xf numFmtId="0" fontId="84" fillId="2" borderId="2" xfId="2" applyFont="1" applyFill="1" applyBorder="1" applyAlignment="1" applyProtection="1">
      <alignment horizontal="right" vertical="center"/>
      <protection locked="0"/>
    </xf>
    <xf numFmtId="0" fontId="15" fillId="2" borderId="3" xfId="2" applyFont="1" applyFill="1" applyBorder="1" applyAlignment="1" applyProtection="1">
      <alignment vertical="top"/>
      <protection locked="0"/>
    </xf>
    <xf numFmtId="0" fontId="85" fillId="0" borderId="0" xfId="2" applyFont="1" applyAlignment="1" applyProtection="1">
      <alignment vertical="top"/>
      <protection locked="0"/>
    </xf>
    <xf numFmtId="0" fontId="85" fillId="0" borderId="0" xfId="2" applyFont="1" applyProtection="1">
      <protection locked="0"/>
    </xf>
    <xf numFmtId="0" fontId="85" fillId="15" borderId="0" xfId="2" applyFont="1" applyFill="1" applyProtection="1">
      <protection locked="0"/>
    </xf>
    <xf numFmtId="0" fontId="88" fillId="0" borderId="24" xfId="2" applyFont="1" applyBorder="1" applyAlignment="1" applyProtection="1">
      <alignment horizontal="left"/>
      <protection locked="0"/>
    </xf>
    <xf numFmtId="0" fontId="88" fillId="0" borderId="37" xfId="2" applyFont="1" applyBorder="1" applyAlignment="1" applyProtection="1">
      <alignment horizontal="left"/>
      <protection locked="0"/>
    </xf>
    <xf numFmtId="0" fontId="89" fillId="0" borderId="37" xfId="2" applyFont="1" applyBorder="1" applyAlignment="1" applyProtection="1">
      <alignment horizontal="center" vertical="center"/>
      <protection locked="0"/>
    </xf>
    <xf numFmtId="11" fontId="90" fillId="2" borderId="0" xfId="2" applyNumberFormat="1" applyFont="1" applyFill="1" applyAlignment="1" applyProtection="1">
      <alignment horizontal="center" vertical="center"/>
      <protection locked="0"/>
    </xf>
    <xf numFmtId="174" fontId="24" fillId="2" borderId="0" xfId="2" applyNumberFormat="1" applyFont="1" applyFill="1" applyAlignment="1" applyProtection="1">
      <alignment horizontal="center"/>
      <protection locked="0"/>
    </xf>
    <xf numFmtId="0" fontId="90" fillId="2" borderId="0" xfId="2" applyFont="1" applyFill="1" applyAlignment="1" applyProtection="1">
      <alignment horizontal="center" vertical="center"/>
      <protection locked="0"/>
    </xf>
    <xf numFmtId="0" fontId="24" fillId="2" borderId="0" xfId="2" applyFont="1" applyFill="1" applyAlignment="1" applyProtection="1">
      <alignment horizontal="center" vertical="center"/>
      <protection locked="0"/>
    </xf>
    <xf numFmtId="179" fontId="83" fillId="2" borderId="0" xfId="2" applyNumberFormat="1" applyFont="1" applyFill="1" applyAlignment="1" applyProtection="1">
      <alignment horizontal="center" vertical="center"/>
      <protection locked="0"/>
    </xf>
    <xf numFmtId="0" fontId="91" fillId="2" borderId="0" xfId="2" applyFont="1" applyFill="1" applyAlignment="1" applyProtection="1">
      <alignment horizontal="center" vertical="center"/>
      <protection locked="0"/>
    </xf>
    <xf numFmtId="0" fontId="92" fillId="3" borderId="37" xfId="2" applyFont="1" applyFill="1" applyBorder="1" applyAlignment="1" applyProtection="1">
      <alignment horizontal="center" vertical="center"/>
      <protection locked="0"/>
    </xf>
    <xf numFmtId="0" fontId="87" fillId="4" borderId="37" xfId="2" applyFont="1" applyFill="1" applyBorder="1" applyAlignment="1" applyProtection="1">
      <alignment horizontal="center" vertical="center"/>
      <protection locked="0"/>
    </xf>
    <xf numFmtId="0" fontId="15" fillId="2" borderId="0" xfId="2" applyFont="1" applyFill="1" applyAlignment="1" applyProtection="1">
      <alignment vertical="top"/>
      <protection locked="0"/>
    </xf>
    <xf numFmtId="14" fontId="84" fillId="0" borderId="37" xfId="2" applyNumberFormat="1" applyFont="1" applyBorder="1" applyProtection="1">
      <protection locked="0"/>
    </xf>
    <xf numFmtId="0" fontId="15" fillId="2" borderId="12" xfId="2" applyFont="1" applyFill="1" applyBorder="1" applyAlignment="1" applyProtection="1">
      <alignment vertical="top"/>
      <protection locked="0"/>
    </xf>
    <xf numFmtId="0" fontId="93" fillId="0" borderId="0" xfId="2" applyFont="1" applyProtection="1">
      <protection locked="0"/>
    </xf>
    <xf numFmtId="0" fontId="93" fillId="15" borderId="0" xfId="2" applyFont="1" applyFill="1" applyProtection="1">
      <protection locked="0"/>
    </xf>
    <xf numFmtId="0" fontId="84" fillId="3" borderId="24" xfId="2" applyFont="1" applyFill="1" applyBorder="1" applyAlignment="1" applyProtection="1">
      <alignment horizontal="center" vertical="center" wrapText="1"/>
      <protection locked="0"/>
    </xf>
    <xf numFmtId="0" fontId="24" fillId="3" borderId="37" xfId="2" applyFont="1" applyFill="1" applyBorder="1" applyAlignment="1" applyProtection="1">
      <alignment horizontal="center" vertical="center" wrapText="1"/>
      <protection locked="0"/>
    </xf>
    <xf numFmtId="0" fontId="84" fillId="3" borderId="37" xfId="2" applyFont="1" applyFill="1" applyBorder="1" applyAlignment="1" applyProtection="1">
      <alignment horizontal="center" vertical="center" wrapText="1"/>
      <protection locked="0"/>
    </xf>
    <xf numFmtId="10" fontId="84" fillId="3" borderId="37" xfId="2" applyNumberFormat="1" applyFont="1" applyFill="1" applyBorder="1" applyAlignment="1" applyProtection="1">
      <alignment horizontal="center" vertical="center" wrapText="1"/>
      <protection locked="0"/>
    </xf>
    <xf numFmtId="180" fontId="84" fillId="3" borderId="37" xfId="2" applyNumberFormat="1" applyFont="1" applyFill="1" applyBorder="1" applyAlignment="1" applyProtection="1">
      <alignment horizontal="center" vertical="center" wrapText="1"/>
      <protection locked="0"/>
    </xf>
    <xf numFmtId="2" fontId="84" fillId="3" borderId="37" xfId="2" applyNumberFormat="1" applyFont="1" applyFill="1" applyBorder="1" applyAlignment="1" applyProtection="1">
      <alignment horizontal="center" vertical="center" wrapText="1"/>
      <protection locked="0"/>
    </xf>
    <xf numFmtId="0" fontId="96" fillId="3" borderId="37" xfId="2" applyFont="1" applyFill="1" applyBorder="1" applyAlignment="1" applyProtection="1">
      <alignment horizontal="center" vertical="center" wrapText="1"/>
      <protection locked="0"/>
    </xf>
    <xf numFmtId="180" fontId="24" fillId="2" borderId="0" xfId="2" applyNumberFormat="1" applyFont="1" applyFill="1" applyAlignment="1" applyProtection="1">
      <alignment horizontal="center" vertical="center" wrapText="1"/>
      <protection locked="0"/>
    </xf>
    <xf numFmtId="10" fontId="91" fillId="2" borderId="0" xfId="2" applyNumberFormat="1" applyFont="1" applyFill="1" applyAlignment="1" applyProtection="1">
      <alignment horizontal="center" vertical="center" wrapText="1"/>
      <protection locked="0"/>
    </xf>
    <xf numFmtId="0" fontId="15" fillId="2" borderId="12" xfId="2" applyFont="1" applyFill="1" applyBorder="1" applyAlignment="1" applyProtection="1">
      <alignment wrapText="1"/>
      <protection locked="0"/>
    </xf>
    <xf numFmtId="0" fontId="85" fillId="0" borderId="0" xfId="2" applyFont="1" applyAlignment="1" applyProtection="1">
      <alignment wrapText="1"/>
      <protection locked="0"/>
    </xf>
    <xf numFmtId="0" fontId="85" fillId="15" borderId="0" xfId="2" applyFont="1" applyFill="1" applyAlignment="1" applyProtection="1">
      <alignment wrapText="1"/>
      <protection locked="0"/>
    </xf>
    <xf numFmtId="0" fontId="91" fillId="3" borderId="24" xfId="2" applyFont="1" applyFill="1" applyBorder="1" applyAlignment="1" applyProtection="1">
      <alignment horizontal="center" vertical="center" wrapText="1"/>
      <protection locked="0"/>
    </xf>
    <xf numFmtId="0" fontId="91" fillId="4" borderId="37" xfId="2" applyFont="1" applyFill="1" applyBorder="1" applyAlignment="1" applyProtection="1">
      <alignment horizontal="center" vertical="center" wrapText="1"/>
      <protection locked="0"/>
    </xf>
    <xf numFmtId="0" fontId="22" fillId="0" borderId="37" xfId="2" applyFont="1" applyBorder="1" applyAlignment="1" applyProtection="1">
      <alignment horizontal="left" vertical="top" wrapText="1"/>
      <protection locked="0"/>
    </xf>
    <xf numFmtId="181" fontId="24" fillId="4" borderId="37" xfId="2" applyNumberFormat="1" applyFont="1" applyFill="1" applyBorder="1" applyAlignment="1" applyProtection="1">
      <alignment horizontal="center" vertical="center" wrapText="1"/>
      <protection locked="0"/>
    </xf>
    <xf numFmtId="0" fontId="91" fillId="3" borderId="37" xfId="2" applyFont="1" applyFill="1" applyBorder="1" applyAlignment="1">
      <alignment horizontal="center" vertical="center" wrapText="1"/>
    </xf>
    <xf numFmtId="180" fontId="24" fillId="3" borderId="37" xfId="2" applyNumberFormat="1" applyFont="1" applyFill="1" applyBorder="1" applyAlignment="1">
      <alignment horizontal="center" vertical="center"/>
    </xf>
    <xf numFmtId="2" fontId="24" fillId="3" borderId="37" xfId="2" applyNumberFormat="1" applyFont="1" applyFill="1" applyBorder="1" applyAlignment="1" applyProtection="1">
      <alignment horizontal="center" vertical="center" wrapText="1"/>
      <protection locked="0"/>
    </xf>
    <xf numFmtId="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pplyProtection="1">
      <alignment horizontal="center" vertical="center"/>
      <protection locked="0"/>
    </xf>
    <xf numFmtId="1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lignment horizontal="center" vertical="center" wrapText="1"/>
    </xf>
    <xf numFmtId="182" fontId="24" fillId="3" borderId="37" xfId="2" applyNumberFormat="1" applyFont="1" applyFill="1" applyBorder="1" applyAlignment="1">
      <alignment horizontal="center" vertical="center"/>
    </xf>
    <xf numFmtId="10" fontId="24" fillId="3" borderId="37" xfId="2" applyNumberFormat="1" applyFont="1" applyFill="1" applyBorder="1" applyAlignment="1">
      <alignment horizontal="center" vertical="center" wrapText="1"/>
    </xf>
    <xf numFmtId="164" fontId="87" fillId="4" borderId="37" xfId="2" applyNumberFormat="1" applyFont="1" applyFill="1" applyBorder="1" applyAlignment="1" applyProtection="1">
      <alignment horizontal="center" vertical="center"/>
      <protection locked="0"/>
    </xf>
    <xf numFmtId="180" fontId="24" fillId="2" borderId="0" xfId="2" applyNumberFormat="1" applyFont="1" applyFill="1" applyAlignment="1" applyProtection="1">
      <alignment horizontal="center" vertical="center"/>
      <protection locked="0"/>
    </xf>
    <xf numFmtId="0" fontId="15" fillId="2" borderId="12" xfId="2" applyFont="1" applyFill="1" applyBorder="1" applyAlignment="1" applyProtection="1">
      <alignment vertical="top" wrapText="1"/>
      <protection locked="0"/>
    </xf>
    <xf numFmtId="0" fontId="85" fillId="0" borderId="0" xfId="2" applyFont="1" applyAlignment="1" applyProtection="1">
      <alignment horizontal="center" vertical="center" wrapText="1"/>
      <protection locked="0"/>
    </xf>
    <xf numFmtId="0" fontId="85" fillId="0" borderId="0" xfId="2" applyFont="1" applyAlignment="1" applyProtection="1">
      <alignment vertical="top" wrapText="1"/>
      <protection locked="0"/>
    </xf>
    <xf numFmtId="0" fontId="85" fillId="15" borderId="0" xfId="2" applyFont="1" applyFill="1" applyAlignment="1" applyProtection="1">
      <alignment vertical="top" wrapText="1"/>
      <protection locked="0"/>
    </xf>
    <xf numFmtId="0" fontId="98" fillId="0" borderId="0" xfId="2" applyFont="1" applyAlignment="1">
      <alignment wrapText="1"/>
    </xf>
    <xf numFmtId="0" fontId="99" fillId="0" borderId="37" xfId="2" applyFont="1" applyBorder="1" applyAlignment="1" applyProtection="1">
      <alignment horizontal="left" vertical="center" wrapText="1"/>
      <protection locked="0"/>
    </xf>
    <xf numFmtId="181" fontId="86" fillId="4" borderId="37" xfId="2" applyNumberFormat="1" applyFont="1" applyFill="1" applyBorder="1" applyAlignment="1" applyProtection="1">
      <alignment horizontal="center" vertical="center" wrapText="1"/>
      <protection locked="0"/>
    </xf>
    <xf numFmtId="0" fontId="101" fillId="3" borderId="37" xfId="2" applyFont="1" applyFill="1" applyBorder="1" applyAlignment="1" applyProtection="1">
      <alignment horizontal="center" vertical="center" wrapText="1"/>
      <protection locked="0"/>
    </xf>
    <xf numFmtId="164" fontId="87" fillId="4" borderId="37" xfId="2" applyNumberFormat="1" applyFont="1" applyFill="1" applyBorder="1" applyAlignment="1" applyProtection="1">
      <alignment horizontal="center" vertical="center" wrapText="1"/>
      <protection locked="0"/>
    </xf>
    <xf numFmtId="0" fontId="103" fillId="3" borderId="37" xfId="2" applyFont="1" applyFill="1" applyBorder="1" applyAlignment="1" applyProtection="1">
      <alignment horizontal="center" vertical="center" wrapText="1"/>
      <protection locked="0"/>
    </xf>
    <xf numFmtId="0" fontId="98" fillId="0" borderId="0" xfId="2" applyFont="1"/>
    <xf numFmtId="0" fontId="22" fillId="0" borderId="37" xfId="2" applyFont="1" applyBorder="1" applyAlignment="1">
      <alignment horizontal="left" vertical="top" wrapText="1"/>
    </xf>
    <xf numFmtId="0" fontId="24" fillId="2" borderId="9" xfId="2" applyFont="1" applyFill="1" applyBorder="1" applyAlignment="1" applyProtection="1">
      <alignment horizontal="left" vertical="center"/>
      <protection locked="0"/>
    </xf>
    <xf numFmtId="0" fontId="24" fillId="2" borderId="0" xfId="2" applyFont="1" applyFill="1" applyAlignment="1" applyProtection="1">
      <alignment horizontal="left" vertical="center"/>
      <protection locked="0"/>
    </xf>
    <xf numFmtId="180" fontId="24" fillId="2" borderId="0" xfId="2" applyNumberFormat="1" applyFont="1" applyFill="1" applyAlignment="1">
      <alignment horizontal="center" vertical="center"/>
    </xf>
    <xf numFmtId="182" fontId="24" fillId="2" borderId="0" xfId="2" applyNumberFormat="1" applyFont="1" applyFill="1" applyAlignment="1">
      <alignment horizontal="center" vertical="center" wrapText="1"/>
    </xf>
    <xf numFmtId="10" fontId="91" fillId="2" borderId="0" xfId="2" applyNumberFormat="1" applyFont="1" applyFill="1" applyAlignment="1" applyProtection="1">
      <alignment horizontal="center" vertical="center"/>
      <protection locked="0"/>
    </xf>
    <xf numFmtId="0" fontId="98" fillId="0" borderId="0" xfId="2" applyFont="1" applyProtection="1">
      <protection locked="0"/>
    </xf>
    <xf numFmtId="0" fontId="98" fillId="15" borderId="0" xfId="2" applyFont="1" applyFill="1" applyProtection="1">
      <protection locked="0"/>
    </xf>
    <xf numFmtId="0" fontId="24" fillId="2" borderId="9" xfId="2" applyFont="1" applyFill="1" applyBorder="1" applyAlignment="1" applyProtection="1">
      <alignment horizontal="center" vertical="center"/>
      <protection locked="0"/>
    </xf>
    <xf numFmtId="0" fontId="24" fillId="2" borderId="0" xfId="2" applyFont="1" applyFill="1" applyAlignment="1">
      <alignment horizontal="center" vertical="center"/>
    </xf>
    <xf numFmtId="180" fontId="24" fillId="2" borderId="0" xfId="2" applyNumberFormat="1" applyFont="1" applyFill="1" applyAlignment="1">
      <alignment horizontal="right"/>
    </xf>
    <xf numFmtId="2" fontId="24" fillId="2" borderId="0" xfId="2" applyNumberFormat="1" applyFont="1" applyFill="1" applyAlignment="1">
      <alignment horizontal="center"/>
    </xf>
    <xf numFmtId="180" fontId="24" fillId="2" borderId="0" xfId="2" applyNumberFormat="1" applyFont="1" applyFill="1" applyAlignment="1">
      <alignment horizontal="left"/>
    </xf>
    <xf numFmtId="0" fontId="24" fillId="2" borderId="0" xfId="2" applyFont="1" applyFill="1" applyAlignment="1">
      <alignment horizontal="left"/>
    </xf>
    <xf numFmtId="182" fontId="24" fillId="2" borderId="0" xfId="2" applyNumberFormat="1" applyFont="1" applyFill="1" applyAlignment="1">
      <alignment horizontal="center" vertical="center"/>
    </xf>
    <xf numFmtId="0" fontId="83" fillId="2" borderId="0" xfId="2" applyFont="1" applyFill="1" applyAlignment="1" applyProtection="1">
      <alignment horizontal="center" vertical="center"/>
      <protection locked="0"/>
    </xf>
    <xf numFmtId="180" fontId="83" fillId="2" borderId="0" xfId="2" applyNumberFormat="1" applyFont="1" applyFill="1" applyAlignment="1">
      <alignment horizontal="right"/>
    </xf>
    <xf numFmtId="2" fontId="83" fillId="2" borderId="0" xfId="2" applyNumberFormat="1" applyFont="1" applyFill="1" applyAlignment="1">
      <alignment horizontal="center"/>
    </xf>
    <xf numFmtId="180" fontId="83" fillId="2" borderId="0" xfId="2" applyNumberFormat="1" applyFont="1" applyFill="1" applyAlignment="1">
      <alignment horizontal="left"/>
    </xf>
    <xf numFmtId="0" fontId="24" fillId="3" borderId="37" xfId="2" applyFont="1" applyFill="1" applyBorder="1" applyAlignment="1" applyProtection="1">
      <alignment horizontal="center" vertical="center"/>
      <protection locked="0"/>
    </xf>
    <xf numFmtId="181" fontId="24" fillId="3" borderId="37" xfId="2" applyNumberFormat="1" applyFont="1" applyFill="1" applyBorder="1" applyAlignment="1" applyProtection="1">
      <alignment horizontal="center" vertical="center"/>
      <protection locked="0"/>
    </xf>
    <xf numFmtId="165" fontId="83" fillId="2" borderId="0" xfId="2" applyNumberFormat="1" applyFont="1" applyFill="1" applyAlignment="1">
      <alignment horizontal="center" vertical="center"/>
    </xf>
    <xf numFmtId="0" fontId="83" fillId="2" borderId="0" xfId="2" applyFont="1" applyFill="1" applyAlignment="1">
      <alignment horizontal="left" vertical="center"/>
    </xf>
    <xf numFmtId="0" fontId="15" fillId="2" borderId="0" xfId="2" applyFont="1" applyFill="1" applyAlignment="1" applyProtection="1">
      <alignment horizontal="center" vertical="center"/>
      <protection locked="0"/>
    </xf>
    <xf numFmtId="0" fontId="24" fillId="2" borderId="0" xfId="2" applyFont="1" applyFill="1" applyAlignment="1" applyProtection="1">
      <alignment vertical="top" wrapText="1"/>
      <protection locked="0"/>
    </xf>
    <xf numFmtId="183" fontId="24" fillId="2" borderId="0" xfId="2" applyNumberFormat="1" applyFont="1" applyFill="1" applyAlignment="1" applyProtection="1">
      <alignment vertical="top" wrapText="1"/>
      <protection locked="0"/>
    </xf>
    <xf numFmtId="0" fontId="15" fillId="2" borderId="0" xfId="2" applyFont="1" applyFill="1" applyAlignment="1" applyProtection="1">
      <alignment vertical="top" wrapText="1"/>
      <protection locked="0"/>
    </xf>
    <xf numFmtId="180" fontId="24" fillId="2" borderId="0" xfId="2" applyNumberFormat="1" applyFont="1" applyFill="1" applyAlignment="1" applyProtection="1">
      <alignment horizontal="center"/>
      <protection locked="0"/>
    </xf>
    <xf numFmtId="180" fontId="24" fillId="3" borderId="37" xfId="2" applyNumberFormat="1" applyFont="1" applyFill="1" applyBorder="1" applyAlignment="1" applyProtection="1">
      <alignment horizontal="center"/>
      <protection locked="0"/>
    </xf>
    <xf numFmtId="2" fontId="24" fillId="2" borderId="0" xfId="2" applyNumberFormat="1" applyFont="1" applyFill="1" applyAlignment="1" applyProtection="1">
      <alignment horizontal="center" vertical="center"/>
      <protection locked="0"/>
    </xf>
    <xf numFmtId="0" fontId="15" fillId="2" borderId="18" xfId="2" applyFont="1" applyFill="1" applyBorder="1" applyProtection="1">
      <protection locked="0"/>
    </xf>
    <xf numFmtId="0" fontId="15" fillId="2" borderId="19" xfId="2" applyFont="1" applyFill="1" applyBorder="1" applyProtection="1">
      <protection locked="0"/>
    </xf>
    <xf numFmtId="0" fontId="105" fillId="2" borderId="19" xfId="2" applyFont="1" applyFill="1" applyBorder="1" applyAlignment="1" applyProtection="1">
      <alignment horizontal="center"/>
      <protection locked="0"/>
    </xf>
    <xf numFmtId="0" fontId="15" fillId="2" borderId="19" xfId="2" applyFont="1" applyFill="1" applyBorder="1" applyAlignment="1" applyProtection="1">
      <alignment horizontal="center"/>
      <protection locked="0"/>
    </xf>
    <xf numFmtId="10" fontId="15" fillId="2" borderId="19" xfId="2" applyNumberFormat="1" applyFont="1" applyFill="1" applyBorder="1" applyAlignment="1" applyProtection="1">
      <alignment horizontal="center"/>
      <protection locked="0"/>
    </xf>
    <xf numFmtId="165" fontId="15" fillId="2" borderId="19" xfId="2" applyNumberFormat="1" applyFont="1" applyFill="1" applyBorder="1" applyAlignment="1" applyProtection="1">
      <alignment horizontal="center" vertical="center"/>
      <protection locked="0"/>
    </xf>
    <xf numFmtId="10" fontId="15" fillId="2" borderId="19" xfId="2" applyNumberFormat="1" applyFont="1" applyFill="1" applyBorder="1" applyProtection="1">
      <protection locked="0"/>
    </xf>
    <xf numFmtId="0" fontId="15" fillId="2" borderId="20" xfId="2" applyFont="1" applyFill="1" applyBorder="1" applyProtection="1">
      <protection locked="0"/>
    </xf>
    <xf numFmtId="0" fontId="91" fillId="15" borderId="37" xfId="2" applyFont="1" applyFill="1" applyBorder="1" applyAlignment="1" applyProtection="1">
      <alignment horizontal="center" vertical="center" wrapText="1"/>
      <protection locked="0"/>
    </xf>
    <xf numFmtId="0" fontId="85" fillId="15" borderId="0" xfId="2" applyFont="1" applyFill="1" applyAlignment="1" applyProtection="1">
      <alignment horizontal="center"/>
      <protection locked="0"/>
    </xf>
    <xf numFmtId="10" fontId="85" fillId="15" borderId="0" xfId="2" applyNumberFormat="1" applyFont="1" applyFill="1" applyAlignment="1" applyProtection="1">
      <alignment horizontal="center"/>
      <protection locked="0"/>
    </xf>
    <xf numFmtId="10" fontId="85" fillId="15" borderId="0" xfId="2" applyNumberFormat="1" applyFont="1" applyFill="1" applyProtection="1">
      <protection locked="0"/>
    </xf>
    <xf numFmtId="0" fontId="35" fillId="0" borderId="0" xfId="2" applyFont="1" applyAlignment="1">
      <alignment horizontal="center"/>
    </xf>
    <xf numFmtId="0" fontId="106" fillId="0" borderId="0" xfId="2" applyFont="1"/>
    <xf numFmtId="0" fontId="106" fillId="0" borderId="0" xfId="2" applyFont="1" applyAlignment="1">
      <alignment horizontal="center"/>
    </xf>
    <xf numFmtId="10" fontId="35" fillId="0" borderId="0" xfId="2" applyNumberFormat="1" applyFont="1" applyAlignment="1">
      <alignment horizontal="center"/>
    </xf>
    <xf numFmtId="0" fontId="11" fillId="16" borderId="14" xfId="2" applyFont="1" applyFill="1" applyBorder="1" applyAlignment="1" applyProtection="1">
      <alignment horizontal="center" vertical="center"/>
      <protection hidden="1"/>
    </xf>
    <xf numFmtId="0" fontId="11" fillId="16" borderId="94" xfId="2" applyFont="1" applyFill="1" applyBorder="1" applyAlignment="1" applyProtection="1">
      <alignment horizontal="center" vertical="center"/>
      <protection hidden="1"/>
    </xf>
    <xf numFmtId="0" fontId="11" fillId="16" borderId="27" xfId="2" applyFont="1" applyFill="1" applyBorder="1" applyAlignment="1" applyProtection="1">
      <alignment horizontal="center" vertical="center"/>
      <protection hidden="1"/>
    </xf>
    <xf numFmtId="0" fontId="11" fillId="16" borderId="69" xfId="2" applyFont="1" applyFill="1" applyBorder="1" applyAlignment="1" applyProtection="1">
      <alignment horizontal="center" vertical="center"/>
      <protection hidden="1"/>
    </xf>
    <xf numFmtId="0" fontId="11" fillId="16" borderId="34" xfId="2" applyFont="1" applyFill="1" applyBorder="1" applyAlignment="1" applyProtection="1">
      <alignment horizontal="center" vertical="center"/>
      <protection hidden="1"/>
    </xf>
    <xf numFmtId="0" fontId="11" fillId="16" borderId="85" xfId="2" applyFont="1" applyFill="1" applyBorder="1" applyAlignment="1" applyProtection="1">
      <alignment horizontal="center" vertical="center"/>
      <protection hidden="1"/>
    </xf>
    <xf numFmtId="0" fontId="109" fillId="17" borderId="0" xfId="2" applyFont="1" applyFill="1"/>
    <xf numFmtId="0" fontId="110" fillId="17" borderId="0" xfId="2" applyFont="1" applyFill="1"/>
    <xf numFmtId="0" fontId="111" fillId="17" borderId="0" xfId="2" applyFont="1" applyFill="1"/>
    <xf numFmtId="0" fontId="109" fillId="18" borderId="0" xfId="2" applyFont="1" applyFill="1"/>
    <xf numFmtId="49" fontId="109" fillId="17" borderId="0" xfId="2" applyNumberFormat="1" applyFont="1" applyFill="1"/>
    <xf numFmtId="0" fontId="109" fillId="17" borderId="0" xfId="2" applyFont="1" applyFill="1" applyAlignment="1">
      <alignment vertical="center"/>
    </xf>
    <xf numFmtId="0" fontId="109" fillId="18" borderId="0" xfId="2" applyFont="1" applyFill="1" applyAlignment="1">
      <alignment vertical="center"/>
    </xf>
    <xf numFmtId="0" fontId="8" fillId="0" borderId="0" xfId="2" applyAlignment="1">
      <alignment horizontal="center" vertical="center"/>
    </xf>
    <xf numFmtId="49" fontId="8" fillId="0" borderId="0" xfId="2" applyNumberFormat="1" applyAlignment="1">
      <alignment vertical="top"/>
    </xf>
    <xf numFmtId="0" fontId="8" fillId="0" borderId="0" xfId="2" applyAlignment="1">
      <alignment vertical="center"/>
    </xf>
    <xf numFmtId="0" fontId="8" fillId="0" borderId="0" xfId="2" applyAlignment="1">
      <alignment vertical="center" wrapText="1"/>
    </xf>
    <xf numFmtId="2" fontId="8" fillId="0" borderId="0" xfId="2" applyNumberFormat="1" applyAlignment="1">
      <alignment vertical="center"/>
    </xf>
    <xf numFmtId="0" fontId="116" fillId="11" borderId="0" xfId="2" applyFont="1" applyFill="1"/>
    <xf numFmtId="0" fontId="117" fillId="19" borderId="0" xfId="2" applyFont="1" applyFill="1"/>
    <xf numFmtId="1" fontId="8" fillId="0" borderId="0" xfId="2" applyNumberFormat="1"/>
    <xf numFmtId="0" fontId="8" fillId="0" borderId="0" xfId="2" applyAlignment="1">
      <alignment horizontal="right"/>
    </xf>
    <xf numFmtId="0" fontId="118" fillId="0" borderId="0" xfId="2" applyFont="1"/>
    <xf numFmtId="0" fontId="8" fillId="0" borderId="0" xfId="2" applyAlignment="1">
      <alignment horizontal="left" vertical="center" wrapText="1"/>
    </xf>
    <xf numFmtId="0" fontId="8" fillId="0" borderId="0" xfId="2" applyAlignment="1">
      <alignment wrapText="1"/>
    </xf>
    <xf numFmtId="0" fontId="8" fillId="0" borderId="0" xfId="2" applyAlignment="1">
      <alignment horizontal="left" vertical="center"/>
    </xf>
    <xf numFmtId="0" fontId="119" fillId="3" borderId="0" xfId="2" applyFont="1" applyFill="1" applyAlignment="1">
      <alignment horizontal="left" vertical="center"/>
    </xf>
    <xf numFmtId="0" fontId="120" fillId="3" borderId="0" xfId="2" applyFont="1" applyFill="1" applyAlignment="1">
      <alignment vertical="center"/>
    </xf>
    <xf numFmtId="0" fontId="60" fillId="0" borderId="0" xfId="2" applyFont="1"/>
    <xf numFmtId="0" fontId="120" fillId="3" borderId="80" xfId="2" applyFont="1" applyFill="1" applyBorder="1" applyAlignment="1">
      <alignment vertical="center"/>
    </xf>
    <xf numFmtId="14" fontId="8" fillId="3" borderId="107" xfId="2" applyNumberFormat="1" applyFill="1" applyBorder="1" applyAlignment="1" applyProtection="1">
      <alignment horizontal="center"/>
      <protection hidden="1"/>
    </xf>
    <xf numFmtId="2" fontId="8" fillId="3" borderId="108" xfId="2" applyNumberFormat="1" applyFill="1" applyBorder="1" applyAlignment="1" applyProtection="1">
      <alignment horizontal="center"/>
      <protection hidden="1"/>
    </xf>
    <xf numFmtId="49" fontId="8" fillId="3" borderId="108" xfId="2" applyNumberFormat="1" applyFill="1" applyBorder="1" applyAlignment="1" applyProtection="1">
      <alignment horizontal="center"/>
      <protection hidden="1"/>
    </xf>
    <xf numFmtId="165" fontId="8" fillId="3" borderId="108" xfId="2" applyNumberFormat="1" applyFill="1" applyBorder="1" applyAlignment="1" applyProtection="1">
      <alignment horizontal="center"/>
      <protection hidden="1"/>
    </xf>
    <xf numFmtId="49" fontId="8" fillId="3" borderId="107" xfId="2" applyNumberFormat="1" applyFill="1" applyBorder="1" applyAlignment="1" applyProtection="1">
      <alignment wrapText="1"/>
      <protection hidden="1"/>
    </xf>
    <xf numFmtId="165" fontId="8" fillId="3" borderId="107" xfId="2" applyNumberFormat="1" applyFill="1" applyBorder="1" applyAlignment="1" applyProtection="1">
      <alignment horizontal="center"/>
      <protection hidden="1"/>
    </xf>
    <xf numFmtId="14" fontId="8" fillId="3" borderId="107" xfId="2" applyNumberFormat="1" applyFill="1" applyBorder="1" applyAlignment="1" applyProtection="1">
      <alignment horizontal="center" vertical="center"/>
      <protection hidden="1"/>
    </xf>
    <xf numFmtId="184" fontId="8" fillId="3" borderId="37" xfId="2" applyNumberFormat="1" applyFill="1" applyBorder="1" applyAlignment="1" applyProtection="1">
      <alignment horizontal="center" vertical="center"/>
      <protection hidden="1"/>
    </xf>
    <xf numFmtId="0" fontId="8" fillId="3" borderId="108" xfId="2" applyFill="1" applyBorder="1" applyAlignment="1" applyProtection="1">
      <alignment horizontal="center" vertical="center"/>
      <protection hidden="1"/>
    </xf>
    <xf numFmtId="2" fontId="8" fillId="3" borderId="108" xfId="2" applyNumberFormat="1" applyFill="1" applyBorder="1" applyAlignment="1" applyProtection="1">
      <alignment horizontal="center" vertical="center"/>
      <protection hidden="1"/>
    </xf>
    <xf numFmtId="165" fontId="8" fillId="3" borderId="108" xfId="2" applyNumberFormat="1" applyFill="1" applyBorder="1" applyAlignment="1" applyProtection="1">
      <alignment horizontal="center" vertical="center" wrapText="1"/>
      <protection hidden="1"/>
    </xf>
    <xf numFmtId="0" fontId="8" fillId="3" borderId="109" xfId="2" applyFill="1" applyBorder="1" applyAlignment="1" applyProtection="1">
      <alignment horizontal="left" vertical="center" wrapText="1"/>
      <protection hidden="1"/>
    </xf>
    <xf numFmtId="185" fontId="60" fillId="0" borderId="110" xfId="2" applyNumberFormat="1" applyFont="1" applyBorder="1" applyAlignment="1">
      <alignment horizontal="center"/>
    </xf>
    <xf numFmtId="184" fontId="8" fillId="0" borderId="111" xfId="2" applyNumberFormat="1" applyBorder="1" applyAlignment="1" applyProtection="1">
      <alignment horizontal="center"/>
      <protection hidden="1"/>
    </xf>
    <xf numFmtId="49" fontId="60" fillId="0" borderId="110" xfId="2" applyNumberFormat="1" applyFont="1" applyBorder="1" applyAlignment="1">
      <alignment horizontal="center"/>
    </xf>
    <xf numFmtId="2" fontId="60" fillId="0" borderId="110" xfId="2" applyNumberFormat="1" applyFont="1" applyBorder="1" applyAlignment="1">
      <alignment horizontal="center"/>
    </xf>
    <xf numFmtId="165" fontId="60" fillId="0" borderId="54" xfId="2" applyNumberFormat="1" applyFont="1" applyBorder="1" applyAlignment="1">
      <alignment horizontal="center" shrinkToFit="1"/>
    </xf>
    <xf numFmtId="49" fontId="60" fillId="0" borderId="0" xfId="2" applyNumberFormat="1" applyFont="1" applyAlignment="1">
      <alignment horizontal="left"/>
    </xf>
    <xf numFmtId="165" fontId="60" fillId="0" borderId="0" xfId="2" applyNumberFormat="1" applyFont="1" applyAlignment="1">
      <alignment horizontal="center" shrinkToFit="1"/>
    </xf>
    <xf numFmtId="165" fontId="60" fillId="0" borderId="110" xfId="2" applyNumberFormat="1" applyFont="1" applyBorder="1" applyAlignment="1">
      <alignment horizontal="center" shrinkToFit="1"/>
    </xf>
    <xf numFmtId="49" fontId="8" fillId="0" borderId="111" xfId="2" applyNumberFormat="1" applyBorder="1" applyAlignment="1" applyProtection="1">
      <alignment wrapText="1"/>
      <protection hidden="1"/>
    </xf>
    <xf numFmtId="165" fontId="60" fillId="0" borderId="111" xfId="2" applyNumberFormat="1" applyFont="1" applyBorder="1" applyAlignment="1">
      <alignment horizontal="center" shrinkToFit="1"/>
    </xf>
    <xf numFmtId="49" fontId="8" fillId="0" borderId="111" xfId="2" applyNumberFormat="1" applyBorder="1" applyAlignment="1" applyProtection="1">
      <alignment horizontal="left" vertical="top" wrapText="1"/>
      <protection hidden="1"/>
    </xf>
    <xf numFmtId="0" fontId="60" fillId="0" borderId="110" xfId="2" applyFont="1" applyBorder="1" applyAlignment="1">
      <alignment horizontal="center"/>
    </xf>
    <xf numFmtId="14" fontId="8" fillId="0" borderId="112" xfId="2" applyNumberFormat="1" applyBorder="1" applyAlignment="1" applyProtection="1">
      <alignment horizontal="center"/>
      <protection hidden="1"/>
    </xf>
    <xf numFmtId="2" fontId="8" fillId="0" borderId="111" xfId="2" applyNumberFormat="1" applyBorder="1" applyAlignment="1" applyProtection="1">
      <alignment horizontal="center"/>
      <protection hidden="1"/>
    </xf>
    <xf numFmtId="49" fontId="8" fillId="0" borderId="110" xfId="2" applyNumberFormat="1" applyBorder="1" applyAlignment="1" applyProtection="1">
      <alignment horizontal="center"/>
      <protection hidden="1"/>
    </xf>
    <xf numFmtId="165" fontId="8" fillId="0" borderId="111" xfId="2" applyNumberFormat="1" applyBorder="1" applyAlignment="1" applyProtection="1">
      <alignment horizontal="center"/>
      <protection hidden="1"/>
    </xf>
    <xf numFmtId="0" fontId="8" fillId="0" borderId="0" xfId="2" applyAlignment="1" applyProtection="1">
      <alignment horizontal="left" vertical="center"/>
      <protection hidden="1"/>
    </xf>
    <xf numFmtId="0" fontId="8" fillId="0" borderId="0" xfId="2" applyAlignment="1" applyProtection="1">
      <alignment horizontal="center" vertical="center"/>
      <protection hidden="1"/>
    </xf>
    <xf numFmtId="0" fontId="124" fillId="20" borderId="0" xfId="1" applyFont="1" applyFill="1"/>
    <xf numFmtId="0" fontId="125" fillId="20" borderId="0" xfId="2" applyFont="1" applyFill="1" applyAlignment="1" applyProtection="1">
      <alignment horizontal="center" vertical="center"/>
      <protection hidden="1"/>
    </xf>
    <xf numFmtId="0" fontId="125" fillId="20" borderId="0" xfId="1" applyFont="1" applyFill="1" applyAlignment="1">
      <alignment horizontal="center" vertical="center"/>
    </xf>
    <xf numFmtId="0" fontId="123" fillId="20" borderId="0" xfId="2" applyFont="1" applyFill="1" applyAlignment="1" applyProtection="1">
      <alignment vertical="center"/>
      <protection hidden="1"/>
    </xf>
    <xf numFmtId="0" fontId="123" fillId="20" borderId="0" xfId="1" applyFont="1" applyFill="1"/>
    <xf numFmtId="0" fontId="124" fillId="20" borderId="0" xfId="1" applyFont="1" applyFill="1" applyAlignment="1">
      <alignment horizontal="center" vertical="center"/>
    </xf>
    <xf numFmtId="0" fontId="116" fillId="0" borderId="0" xfId="2" applyFont="1"/>
    <xf numFmtId="0" fontId="1" fillId="0" borderId="0" xfId="5"/>
    <xf numFmtId="0" fontId="6" fillId="2" borderId="28" xfId="6" applyFont="1" applyFill="1" applyBorder="1"/>
    <xf numFmtId="0" fontId="7" fillId="2" borderId="79" xfId="6" applyFont="1" applyFill="1" applyBorder="1"/>
    <xf numFmtId="0" fontId="7" fillId="2" borderId="69" xfId="6" applyFont="1" applyFill="1" applyBorder="1"/>
    <xf numFmtId="0" fontId="1" fillId="0" borderId="0" xfId="6"/>
    <xf numFmtId="0" fontId="122" fillId="0" borderId="0" xfId="6" applyFont="1"/>
    <xf numFmtId="0" fontId="66" fillId="0" borderId="0" xfId="2" applyFont="1" applyAlignment="1" applyProtection="1">
      <alignment horizontal="center" vertical="center" wrapText="1"/>
      <protection hidden="1"/>
    </xf>
    <xf numFmtId="0" fontId="68" fillId="0" borderId="0" xfId="2" applyFont="1" applyAlignment="1">
      <alignment horizontal="center" vertical="center" wrapText="1"/>
    </xf>
    <xf numFmtId="0" fontId="68" fillId="0" borderId="0" xfId="2" applyFont="1" applyAlignment="1">
      <alignment horizontal="center" vertical="center"/>
    </xf>
    <xf numFmtId="0" fontId="116" fillId="0" borderId="0" xfId="2" applyFont="1" applyAlignment="1">
      <alignment horizontal="center" vertical="center"/>
    </xf>
    <xf numFmtId="0" fontId="122" fillId="0" borderId="0" xfId="6" applyFont="1" applyAlignment="1">
      <alignment horizontal="center" vertical="center"/>
    </xf>
    <xf numFmtId="0" fontId="127" fillId="0" borderId="0" xfId="6" applyFont="1"/>
    <xf numFmtId="0" fontId="7" fillId="2" borderId="31" xfId="6" applyFont="1" applyFill="1" applyBorder="1"/>
    <xf numFmtId="0" fontId="7" fillId="2" borderId="98" xfId="6" applyFont="1" applyFill="1" applyBorder="1"/>
    <xf numFmtId="0" fontId="66" fillId="0" borderId="0" xfId="2" applyFont="1" applyAlignment="1">
      <alignment horizontal="center" vertical="center"/>
    </xf>
    <xf numFmtId="0" fontId="19" fillId="3" borderId="37" xfId="6" applyFont="1" applyFill="1" applyBorder="1" applyAlignment="1">
      <alignment horizontal="left" vertical="center"/>
    </xf>
    <xf numFmtId="0" fontId="26" fillId="3" borderId="25" xfId="2" applyFont="1" applyFill="1" applyBorder="1" applyAlignment="1" applyProtection="1">
      <alignment vertical="center"/>
      <protection hidden="1"/>
    </xf>
    <xf numFmtId="0" fontId="26" fillId="3" borderId="64" xfId="2" applyFont="1" applyFill="1" applyBorder="1" applyAlignment="1" applyProtection="1">
      <alignment vertical="center"/>
      <protection hidden="1"/>
    </xf>
    <xf numFmtId="0" fontId="66" fillId="0" borderId="0" xfId="2" applyFont="1" applyAlignment="1" applyProtection="1">
      <alignment horizontal="center" vertical="center"/>
      <protection hidden="1"/>
    </xf>
    <xf numFmtId="0" fontId="26" fillId="20" borderId="37" xfId="2" applyFont="1" applyFill="1" applyBorder="1" applyAlignment="1" applyProtection="1">
      <alignment horizontal="left" vertical="center"/>
      <protection locked="0"/>
    </xf>
    <xf numFmtId="0" fontId="7" fillId="20" borderId="82" xfId="6" applyFont="1" applyFill="1" applyBorder="1"/>
    <xf numFmtId="0" fontId="7" fillId="20" borderId="99" xfId="6" applyFont="1" applyFill="1" applyBorder="1"/>
    <xf numFmtId="0" fontId="54" fillId="3" borderId="37" xfId="2" applyFont="1" applyFill="1" applyBorder="1" applyAlignment="1">
      <alignment horizontal="center" vertical="center" wrapText="1"/>
    </xf>
    <xf numFmtId="0" fontId="66" fillId="0" borderId="0" xfId="2" applyFont="1" applyAlignment="1">
      <alignment horizontal="center" vertical="center" wrapText="1"/>
    </xf>
    <xf numFmtId="0" fontId="128" fillId="0" borderId="0" xfId="2" applyFont="1" applyAlignment="1" applyProtection="1">
      <alignment vertical="center" wrapText="1"/>
      <protection hidden="1"/>
    </xf>
    <xf numFmtId="0" fontId="66" fillId="0" borderId="0" xfId="2" applyFont="1" applyAlignment="1">
      <alignment horizontal="center"/>
    </xf>
    <xf numFmtId="49" fontId="82" fillId="0" borderId="0" xfId="2" applyNumberFormat="1" applyFont="1"/>
    <xf numFmtId="49" fontId="26" fillId="20" borderId="37" xfId="2" applyNumberFormat="1" applyFont="1" applyFill="1" applyBorder="1" applyAlignment="1" applyProtection="1">
      <alignment horizontal="left" vertical="center"/>
      <protection locked="0"/>
    </xf>
    <xf numFmtId="0" fontId="26" fillId="3" borderId="37" xfId="2" applyFont="1" applyFill="1" applyBorder="1" applyAlignment="1">
      <alignment horizontal="center" vertical="center"/>
    </xf>
    <xf numFmtId="0" fontId="66" fillId="0" borderId="0" xfId="2" applyFont="1"/>
    <xf numFmtId="49" fontId="66" fillId="0" borderId="0" xfId="2" applyNumberFormat="1" applyFont="1"/>
    <xf numFmtId="0" fontId="7" fillId="20" borderId="81" xfId="6" applyFont="1" applyFill="1" applyBorder="1"/>
    <xf numFmtId="14" fontId="66" fillId="0" borderId="0" xfId="2" applyNumberFormat="1" applyFont="1" applyAlignment="1">
      <alignment horizontal="center" vertical="center"/>
    </xf>
    <xf numFmtId="0" fontId="26" fillId="3" borderId="37" xfId="2" applyFont="1" applyFill="1" applyBorder="1" applyAlignment="1">
      <alignment horizontal="left" vertical="center"/>
    </xf>
    <xf numFmtId="0" fontId="26" fillId="20" borderId="64" xfId="2" applyFont="1" applyFill="1" applyBorder="1" applyAlignment="1">
      <alignment horizontal="left" vertical="center"/>
    </xf>
    <xf numFmtId="0" fontId="129" fillId="0" borderId="0" xfId="2" applyFont="1" applyAlignment="1" applyProtection="1">
      <alignment horizontal="center" vertical="center"/>
      <protection hidden="1"/>
    </xf>
    <xf numFmtId="0" fontId="130" fillId="3" borderId="37" xfId="2" applyFont="1" applyFill="1" applyBorder="1" applyAlignment="1">
      <alignment horizontal="center" vertical="center"/>
    </xf>
    <xf numFmtId="0" fontId="26" fillId="20" borderId="64" xfId="2" applyFont="1" applyFill="1" applyBorder="1" applyAlignment="1" applyProtection="1">
      <alignment horizontal="left" vertical="center"/>
      <protection locked="0"/>
    </xf>
    <xf numFmtId="0" fontId="26" fillId="20" borderId="37" xfId="2" applyFont="1" applyFill="1" applyBorder="1" applyAlignment="1" applyProtection="1">
      <alignment horizontal="left"/>
      <protection locked="0"/>
    </xf>
    <xf numFmtId="0" fontId="131" fillId="0" borderId="0" xfId="2" applyFont="1" applyAlignment="1" applyProtection="1">
      <alignment vertical="center" wrapText="1"/>
      <protection hidden="1"/>
    </xf>
    <xf numFmtId="0" fontId="79" fillId="0" borderId="0" xfId="6" applyFont="1"/>
    <xf numFmtId="0" fontId="132" fillId="0" borderId="0" xfId="2" applyFont="1" applyAlignment="1">
      <alignment horizontal="center" vertical="center"/>
    </xf>
    <xf numFmtId="0" fontId="80" fillId="0" borderId="0" xfId="6" applyFont="1"/>
    <xf numFmtId="0" fontId="132" fillId="0" borderId="0" xfId="2" applyFont="1" applyAlignment="1">
      <alignment horizontal="center"/>
    </xf>
    <xf numFmtId="0" fontId="39" fillId="2" borderId="28" xfId="6" applyFont="1" applyFill="1" applyBorder="1" applyAlignment="1">
      <alignment vertical="top" wrapText="1"/>
    </xf>
    <xf numFmtId="0" fontId="39" fillId="2" borderId="69" xfId="6" applyFont="1" applyFill="1" applyBorder="1" applyAlignment="1">
      <alignment vertical="top" wrapText="1"/>
    </xf>
    <xf numFmtId="9" fontId="15" fillId="0" borderId="0" xfId="2" applyNumberFormat="1" applyFont="1"/>
    <xf numFmtId="9" fontId="66" fillId="0" borderId="0" xfId="2" applyNumberFormat="1" applyFont="1"/>
    <xf numFmtId="0" fontId="66" fillId="0" borderId="0" xfId="4" applyNumberFormat="1" applyFont="1" applyBorder="1"/>
    <xf numFmtId="0" fontId="80" fillId="0" borderId="0" xfId="2" applyFont="1" applyAlignment="1">
      <alignment horizontal="left" vertical="center"/>
    </xf>
    <xf numFmtId="0" fontId="24" fillId="0" borderId="0" xfId="2" applyFont="1" applyAlignment="1">
      <alignment horizontal="center" vertical="center"/>
    </xf>
    <xf numFmtId="0" fontId="26" fillId="3" borderId="37" xfId="2" applyFont="1" applyFill="1" applyBorder="1" applyAlignment="1">
      <alignment horizontal="right" vertical="center"/>
    </xf>
    <xf numFmtId="0" fontId="26" fillId="4" borderId="37" xfId="2" applyFont="1" applyFill="1" applyBorder="1" applyAlignment="1">
      <alignment horizontal="center" vertical="center"/>
    </xf>
    <xf numFmtId="0" fontId="39" fillId="2" borderId="31" xfId="6" applyFont="1" applyFill="1" applyBorder="1" applyAlignment="1">
      <alignment vertical="top" wrapText="1"/>
    </xf>
    <xf numFmtId="0" fontId="39" fillId="2" borderId="98" xfId="6" applyFont="1" applyFill="1" applyBorder="1" applyAlignment="1">
      <alignment vertical="top" wrapText="1"/>
    </xf>
    <xf numFmtId="0" fontId="26" fillId="3" borderId="37" xfId="2" applyFont="1" applyFill="1" applyBorder="1" applyAlignment="1" applyProtection="1">
      <alignment horizontal="center"/>
      <protection locked="0"/>
    </xf>
    <xf numFmtId="0" fontId="7" fillId="20" borderId="31" xfId="6" applyFont="1" applyFill="1" applyBorder="1"/>
    <xf numFmtId="0" fontId="7" fillId="20" borderId="98" xfId="6" applyFont="1" applyFill="1" applyBorder="1"/>
    <xf numFmtId="0" fontId="7" fillId="20" borderId="59" xfId="6" applyFont="1" applyFill="1" applyBorder="1"/>
    <xf numFmtId="0" fontId="7" fillId="20" borderId="80" xfId="6" applyFont="1" applyFill="1" applyBorder="1"/>
    <xf numFmtId="0" fontId="7" fillId="20" borderId="94" xfId="6" applyFont="1" applyFill="1" applyBorder="1"/>
    <xf numFmtId="0" fontId="7" fillId="0" borderId="0" xfId="6" applyFont="1"/>
    <xf numFmtId="0" fontId="82" fillId="17" borderId="0" xfId="6" applyFont="1" applyFill="1"/>
    <xf numFmtId="0" fontId="116" fillId="0" borderId="0" xfId="2" applyFont="1" applyProtection="1">
      <protection hidden="1"/>
    </xf>
    <xf numFmtId="164" fontId="116" fillId="0" borderId="0" xfId="2" applyNumberFormat="1" applyFont="1" applyProtection="1">
      <protection hidden="1"/>
    </xf>
    <xf numFmtId="0" fontId="89" fillId="0" borderId="0" xfId="6" applyFont="1"/>
    <xf numFmtId="0" fontId="80" fillId="0" borderId="0" xfId="6" applyFont="1" applyAlignment="1">
      <alignment horizontal="center" vertical="center"/>
    </xf>
    <xf numFmtId="0" fontId="122" fillId="0" borderId="0" xfId="6" quotePrefix="1" applyFont="1" applyAlignment="1">
      <alignment horizontal="center" vertical="center"/>
    </xf>
    <xf numFmtId="0" fontId="66" fillId="0" borderId="0" xfId="4" applyNumberFormat="1" applyFont="1" applyBorder="1" applyAlignment="1">
      <alignment horizontal="center" vertical="center"/>
    </xf>
    <xf numFmtId="0" fontId="35" fillId="0" borderId="0" xfId="2" applyFont="1" applyAlignment="1" applyProtection="1">
      <alignment vertical="center"/>
      <protection hidden="1"/>
    </xf>
    <xf numFmtId="0" fontId="36" fillId="0" borderId="37" xfId="6" applyFont="1" applyBorder="1" applyAlignment="1">
      <alignment horizontal="center" vertical="center"/>
    </xf>
    <xf numFmtId="0" fontId="36" fillId="0" borderId="0" xfId="6" applyFont="1" applyAlignment="1">
      <alignment horizontal="center" vertical="center"/>
    </xf>
    <xf numFmtId="0" fontId="36" fillId="0" borderId="0" xfId="6" applyFont="1" applyAlignment="1">
      <alignment vertical="center"/>
    </xf>
    <xf numFmtId="1" fontId="36" fillId="0" borderId="0" xfId="6" applyNumberFormat="1" applyFont="1" applyAlignment="1">
      <alignment horizontal="center" vertical="center"/>
    </xf>
    <xf numFmtId="1" fontId="36" fillId="0" borderId="37" xfId="6" applyNumberFormat="1" applyFont="1" applyBorder="1" applyAlignment="1">
      <alignment horizontal="center" vertical="center"/>
    </xf>
    <xf numFmtId="165" fontId="36" fillId="0" borderId="37" xfId="6" applyNumberFormat="1" applyFont="1" applyBorder="1" applyAlignment="1">
      <alignment horizontal="right" vertical="center"/>
    </xf>
    <xf numFmtId="165" fontId="36" fillId="0" borderId="37" xfId="6" applyNumberFormat="1" applyFont="1" applyBorder="1" applyAlignment="1">
      <alignment horizontal="center" vertical="center"/>
    </xf>
    <xf numFmtId="2" fontId="36" fillId="0" borderId="0" xfId="6" applyNumberFormat="1" applyFont="1" applyAlignment="1">
      <alignment vertical="center"/>
    </xf>
    <xf numFmtId="0" fontId="36" fillId="0" borderId="0" xfId="6" applyFont="1" applyAlignment="1">
      <alignment horizontal="left" vertical="center"/>
    </xf>
    <xf numFmtId="49" fontId="36" fillId="0" borderId="0" xfId="6" applyNumberFormat="1" applyFont="1" applyAlignment="1">
      <alignment vertical="center"/>
    </xf>
    <xf numFmtId="2" fontId="36" fillId="0" borderId="37" xfId="6" applyNumberFormat="1" applyFont="1" applyBorder="1" applyAlignment="1">
      <alignment horizontal="center" vertical="center"/>
    </xf>
    <xf numFmtId="0" fontId="36" fillId="0" borderId="63" xfId="6" applyFont="1" applyBorder="1" applyAlignment="1">
      <alignment horizontal="center" vertical="center"/>
    </xf>
    <xf numFmtId="1" fontId="15" fillId="21" borderId="37" xfId="2" applyNumberFormat="1" applyFont="1" applyFill="1" applyBorder="1" applyAlignment="1" applyProtection="1">
      <alignment horizontal="center"/>
      <protection locked="0"/>
    </xf>
    <xf numFmtId="1" fontId="15" fillId="21" borderId="65" xfId="2" applyNumberFormat="1" applyFont="1" applyFill="1" applyBorder="1" applyAlignment="1" applyProtection="1">
      <alignment horizontal="center"/>
      <protection locked="0"/>
    </xf>
    <xf numFmtId="0" fontId="15" fillId="21" borderId="24" xfId="2" applyFont="1" applyFill="1" applyBorder="1" applyAlignment="1" applyProtection="1">
      <alignment horizontal="center"/>
      <protection locked="0"/>
    </xf>
    <xf numFmtId="0" fontId="15" fillId="21" borderId="37" xfId="2" applyFont="1" applyFill="1" applyBorder="1" applyAlignment="1" applyProtection="1">
      <alignment horizontal="center"/>
      <protection locked="0"/>
    </xf>
    <xf numFmtId="0" fontId="15" fillId="21" borderId="34" xfId="2" applyFont="1" applyFill="1" applyBorder="1" applyAlignment="1" applyProtection="1">
      <alignment horizontal="center"/>
      <protection locked="0"/>
    </xf>
    <xf numFmtId="0" fontId="15" fillId="21" borderId="65" xfId="2" applyFont="1" applyFill="1" applyBorder="1" applyAlignment="1" applyProtection="1">
      <alignment horizontal="center"/>
      <protection locked="0"/>
    </xf>
    <xf numFmtId="0" fontId="61" fillId="21" borderId="24" xfId="2" applyFont="1" applyFill="1" applyBorder="1" applyAlignment="1">
      <alignment horizontal="center" vertical="center"/>
    </xf>
    <xf numFmtId="49" fontId="7" fillId="21" borderId="22" xfId="1" applyNumberFormat="1" applyFont="1" applyFill="1" applyBorder="1" applyAlignment="1">
      <alignment vertical="top"/>
    </xf>
    <xf numFmtId="0" fontId="7" fillId="21" borderId="28" xfId="1" applyFont="1" applyFill="1" applyBorder="1" applyAlignment="1">
      <alignment vertical="top" wrapText="1"/>
    </xf>
    <xf numFmtId="0" fontId="7" fillId="21" borderId="31" xfId="1" applyFont="1" applyFill="1" applyBorder="1" applyAlignment="1">
      <alignment vertical="top" wrapText="1"/>
    </xf>
    <xf numFmtId="0" fontId="7" fillId="21" borderId="33" xfId="1" applyFont="1" applyFill="1" applyBorder="1" applyAlignment="1">
      <alignment vertical="top" wrapText="1"/>
    </xf>
    <xf numFmtId="49" fontId="7" fillId="21" borderId="23" xfId="1" applyNumberFormat="1" applyFont="1" applyFill="1" applyBorder="1" applyAlignment="1">
      <alignment vertical="top"/>
    </xf>
    <xf numFmtId="0" fontId="7" fillId="21" borderId="29" xfId="1" applyFont="1" applyFill="1" applyBorder="1" applyAlignment="1">
      <alignment vertical="top" wrapText="1"/>
    </xf>
    <xf numFmtId="0" fontId="7" fillId="21" borderId="12" xfId="1" applyFont="1" applyFill="1" applyBorder="1" applyAlignment="1">
      <alignment vertical="top" wrapText="1"/>
    </xf>
    <xf numFmtId="0" fontId="7" fillId="21" borderId="20" xfId="1" applyFont="1" applyFill="1" applyBorder="1" applyAlignment="1">
      <alignment vertical="top" wrapText="1"/>
    </xf>
    <xf numFmtId="49" fontId="7" fillId="21" borderId="11" xfId="1" applyNumberFormat="1" applyFont="1" applyFill="1" applyBorder="1" applyAlignment="1">
      <alignment horizontal="center" vertical="center"/>
    </xf>
    <xf numFmtId="49" fontId="7" fillId="21" borderId="22" xfId="1" applyNumberFormat="1" applyFont="1" applyFill="1" applyBorder="1" applyAlignment="1">
      <alignment vertical="center"/>
    </xf>
    <xf numFmtId="49" fontId="7" fillId="21" borderId="25" xfId="1" applyNumberFormat="1" applyFont="1" applyFill="1" applyBorder="1" applyAlignment="1">
      <alignment vertical="center"/>
    </xf>
    <xf numFmtId="0" fontId="7" fillId="21" borderId="35" xfId="1" applyFont="1" applyFill="1" applyBorder="1" applyAlignment="1">
      <alignment vertical="center"/>
    </xf>
    <xf numFmtId="49" fontId="7" fillId="21" borderId="23" xfId="1" applyNumberFormat="1" applyFont="1" applyFill="1" applyBorder="1" applyAlignment="1">
      <alignment vertical="center"/>
    </xf>
    <xf numFmtId="49" fontId="7" fillId="21" borderId="26" xfId="1" applyNumberFormat="1" applyFont="1" applyFill="1" applyBorder="1" applyAlignment="1">
      <alignment vertical="center"/>
    </xf>
    <xf numFmtId="0" fontId="7" fillId="21" borderId="36" xfId="1" applyFont="1" applyFill="1" applyBorder="1" applyAlignment="1">
      <alignment vertical="center"/>
    </xf>
    <xf numFmtId="166" fontId="21" fillId="21" borderId="40" xfId="2" applyNumberFormat="1" applyFont="1" applyFill="1" applyBorder="1" applyAlignment="1" applyProtection="1">
      <alignment horizontal="center" vertical="center"/>
      <protection locked="0"/>
    </xf>
    <xf numFmtId="167" fontId="21" fillId="21" borderId="2" xfId="2" applyNumberFormat="1" applyFont="1" applyFill="1" applyBorder="1" applyAlignment="1" applyProtection="1">
      <alignment horizontal="center" vertical="center"/>
      <protection hidden="1"/>
    </xf>
    <xf numFmtId="166" fontId="21" fillId="21" borderId="43" xfId="2" applyNumberFormat="1" applyFont="1" applyFill="1" applyBorder="1" applyAlignment="1" applyProtection="1">
      <alignment horizontal="center"/>
      <protection hidden="1"/>
    </xf>
    <xf numFmtId="0" fontId="21" fillId="21" borderId="12" xfId="2" applyFont="1" applyFill="1" applyBorder="1" applyAlignment="1" applyProtection="1">
      <alignment horizontal="center" vertical="center"/>
      <protection hidden="1"/>
    </xf>
    <xf numFmtId="0" fontId="29" fillId="21" borderId="49" xfId="2" applyFont="1" applyFill="1" applyBorder="1" applyAlignment="1" applyProtection="1">
      <alignment horizontal="left" vertical="center"/>
      <protection locked="0"/>
    </xf>
    <xf numFmtId="0" fontId="27" fillId="21" borderId="42" xfId="2" applyFont="1" applyFill="1" applyBorder="1" applyAlignment="1" applyProtection="1">
      <alignment horizontal="center" vertical="center"/>
      <protection hidden="1"/>
    </xf>
    <xf numFmtId="0" fontId="20" fillId="21" borderId="42" xfId="2" applyFont="1" applyFill="1" applyBorder="1" applyAlignment="1" applyProtection="1">
      <alignment horizontal="center" vertical="center"/>
      <protection hidden="1"/>
    </xf>
    <xf numFmtId="0" fontId="7" fillId="21" borderId="17" xfId="1" applyFont="1" applyFill="1" applyBorder="1" applyAlignment="1">
      <alignment horizontal="center" vertical="center"/>
    </xf>
    <xf numFmtId="0" fontId="36" fillId="0" borderId="37" xfId="6" applyFont="1" applyBorder="1" applyAlignment="1">
      <alignment vertical="center"/>
    </xf>
    <xf numFmtId="0" fontId="36" fillId="0" borderId="64" xfId="6" applyFont="1" applyBorder="1" applyAlignment="1">
      <alignment horizontal="left" vertical="center"/>
    </xf>
    <xf numFmtId="1" fontId="36" fillId="0" borderId="37" xfId="6" applyNumberFormat="1" applyFont="1" applyBorder="1" applyAlignment="1">
      <alignment horizontal="left" vertical="center"/>
    </xf>
    <xf numFmtId="2" fontId="36" fillId="0" borderId="37" xfId="6" applyNumberFormat="1" applyFont="1" applyBorder="1" applyAlignment="1">
      <alignment horizontal="left" vertical="center"/>
    </xf>
    <xf numFmtId="0" fontId="36" fillId="22" borderId="82" xfId="6" applyFont="1" applyFill="1" applyBorder="1" applyAlignment="1">
      <alignment horizontal="center" vertical="center"/>
    </xf>
    <xf numFmtId="0" fontId="36" fillId="22" borderId="81" xfId="6" applyFont="1" applyFill="1" applyBorder="1" applyAlignment="1">
      <alignment horizontal="center" vertical="center"/>
    </xf>
    <xf numFmtId="0" fontId="36" fillId="0" borderId="81" xfId="6" applyFont="1" applyBorder="1" applyAlignment="1">
      <alignment horizontal="center" vertical="center"/>
    </xf>
    <xf numFmtId="2" fontId="36" fillId="0" borderId="81" xfId="6" applyNumberFormat="1" applyFont="1" applyBorder="1" applyAlignment="1">
      <alignment horizontal="center" vertical="center"/>
    </xf>
    <xf numFmtId="0" fontId="56" fillId="3" borderId="82" xfId="2" applyFont="1" applyFill="1" applyBorder="1" applyAlignment="1">
      <alignment horizontal="center" vertical="center" wrapText="1"/>
    </xf>
    <xf numFmtId="1" fontId="36" fillId="0" borderId="81" xfId="6" applyNumberFormat="1" applyFont="1" applyBorder="1" applyAlignment="1">
      <alignment horizontal="center" vertical="center"/>
    </xf>
    <xf numFmtId="1" fontId="36" fillId="0" borderId="37" xfId="6" applyNumberFormat="1" applyFont="1" applyBorder="1" applyAlignment="1">
      <alignment vertical="center"/>
    </xf>
    <xf numFmtId="0" fontId="19" fillId="2" borderId="31" xfId="6" applyFont="1" applyFill="1" applyBorder="1"/>
    <xf numFmtId="0" fontId="19" fillId="2" borderId="98" xfId="6" applyFont="1" applyFill="1" applyBorder="1"/>
    <xf numFmtId="0" fontId="7" fillId="2" borderId="80" xfId="6" applyFont="1" applyFill="1" applyBorder="1"/>
    <xf numFmtId="0" fontId="7" fillId="2" borderId="59" xfId="6" applyFont="1" applyFill="1" applyBorder="1"/>
    <xf numFmtId="0" fontId="7" fillId="2" borderId="94" xfId="6" applyFont="1" applyFill="1" applyBorder="1"/>
    <xf numFmtId="0" fontId="56" fillId="3" borderId="94" xfId="2" applyFont="1" applyFill="1" applyBorder="1" applyAlignment="1" applyProtection="1">
      <alignment horizontal="center" vertical="center"/>
      <protection hidden="1"/>
    </xf>
    <xf numFmtId="0" fontId="56" fillId="3" borderId="37" xfId="2" applyFont="1" applyFill="1" applyBorder="1" applyAlignment="1">
      <alignment horizontal="center" vertical="center" wrapText="1"/>
    </xf>
    <xf numFmtId="165" fontId="61" fillId="21" borderId="37" xfId="2" applyNumberFormat="1" applyFont="1" applyFill="1" applyBorder="1" applyAlignment="1">
      <alignment horizontal="center" vertical="center"/>
    </xf>
    <xf numFmtId="0" fontId="61" fillId="21" borderId="37" xfId="2" applyFont="1" applyFill="1" applyBorder="1" applyAlignment="1">
      <alignment horizontal="center" vertical="center"/>
    </xf>
    <xf numFmtId="2" fontId="15" fillId="3" borderId="25" xfId="2" applyNumberFormat="1" applyFont="1" applyFill="1" applyBorder="1" applyAlignment="1" applyProtection="1">
      <alignment horizontal="center" wrapText="1"/>
      <protection locked="0"/>
    </xf>
    <xf numFmtId="2" fontId="15" fillId="3" borderId="25" xfId="2" applyNumberFormat="1" applyFont="1" applyFill="1" applyBorder="1" applyAlignment="1" applyProtection="1">
      <alignment horizontal="center"/>
      <protection locked="0"/>
    </xf>
    <xf numFmtId="0" fontId="15" fillId="21" borderId="64" xfId="2" applyFont="1" applyFill="1" applyBorder="1" applyAlignment="1" applyProtection="1">
      <alignment horizontal="center"/>
      <protection locked="0"/>
    </xf>
    <xf numFmtId="2" fontId="15" fillId="3" borderId="37" xfId="2" applyNumberFormat="1" applyFont="1" applyFill="1" applyBorder="1" applyAlignment="1" applyProtection="1">
      <alignment horizontal="center"/>
      <protection locked="0"/>
    </xf>
    <xf numFmtId="0" fontId="57" fillId="13" borderId="25" xfId="2" applyFont="1" applyFill="1" applyBorder="1" applyAlignment="1" applyProtection="1">
      <alignment horizontal="center"/>
      <protection hidden="1"/>
    </xf>
    <xf numFmtId="0" fontId="15" fillId="13" borderId="25" xfId="2" applyFont="1" applyFill="1" applyBorder="1" applyAlignment="1" applyProtection="1">
      <alignment horizontal="center"/>
      <protection hidden="1"/>
    </xf>
    <xf numFmtId="0" fontId="39" fillId="2" borderId="28" xfId="1" applyFont="1" applyFill="1" applyBorder="1" applyAlignment="1">
      <alignment vertical="top" wrapText="1"/>
    </xf>
    <xf numFmtId="0" fontId="39" fillId="2" borderId="31" xfId="1" applyFont="1" applyFill="1" applyBorder="1" applyAlignment="1">
      <alignment vertical="top" wrapText="1"/>
    </xf>
    <xf numFmtId="0" fontId="39" fillId="2" borderId="98" xfId="1" applyFont="1" applyFill="1" applyBorder="1" applyAlignment="1">
      <alignment vertical="top" wrapText="1"/>
    </xf>
    <xf numFmtId="0" fontId="40" fillId="2" borderId="31" xfId="1" applyFont="1" applyFill="1" applyBorder="1" applyAlignment="1">
      <alignment vertical="top" wrapText="1"/>
    </xf>
    <xf numFmtId="0" fontId="19" fillId="2" borderId="59" xfId="1" applyFont="1" applyFill="1" applyBorder="1"/>
    <xf numFmtId="0" fontId="19" fillId="2" borderId="80" xfId="1" applyFont="1" applyFill="1" applyBorder="1"/>
    <xf numFmtId="0" fontId="26" fillId="2" borderId="80" xfId="2" applyFont="1" applyFill="1" applyBorder="1" applyProtection="1">
      <protection hidden="1"/>
    </xf>
    <xf numFmtId="0" fontId="26" fillId="2" borderId="94" xfId="2" applyFont="1" applyFill="1" applyBorder="1" applyProtection="1">
      <protection hidden="1"/>
    </xf>
    <xf numFmtId="0" fontId="15" fillId="2" borderId="28" xfId="2" applyFont="1" applyFill="1" applyBorder="1" applyProtection="1">
      <protection hidden="1"/>
    </xf>
    <xf numFmtId="0" fontId="15" fillId="2" borderId="79" xfId="2" applyFont="1" applyFill="1" applyBorder="1" applyAlignment="1" applyProtection="1">
      <alignment horizontal="right"/>
      <protection hidden="1"/>
    </xf>
    <xf numFmtId="0" fontId="15" fillId="2" borderId="79" xfId="2" applyFont="1" applyFill="1" applyBorder="1" applyProtection="1">
      <protection hidden="1"/>
    </xf>
    <xf numFmtId="0" fontId="15" fillId="2" borderId="69" xfId="2" applyFont="1" applyFill="1" applyBorder="1" applyProtection="1">
      <protection hidden="1"/>
    </xf>
    <xf numFmtId="0" fontId="15" fillId="2" borderId="31" xfId="2" applyFont="1" applyFill="1" applyBorder="1" applyProtection="1">
      <protection hidden="1"/>
    </xf>
    <xf numFmtId="0" fontId="15" fillId="2" borderId="98" xfId="2" applyFont="1" applyFill="1" applyBorder="1" applyProtection="1">
      <protection hidden="1"/>
    </xf>
    <xf numFmtId="0" fontId="54" fillId="2" borderId="31" xfId="2" applyFont="1" applyFill="1" applyBorder="1" applyProtection="1">
      <protection hidden="1"/>
    </xf>
    <xf numFmtId="0" fontId="54" fillId="2" borderId="31" xfId="2" applyFont="1" applyFill="1" applyBorder="1" applyAlignment="1" applyProtection="1">
      <alignment horizontal="center"/>
      <protection hidden="1"/>
    </xf>
    <xf numFmtId="0" fontId="15" fillId="2" borderId="98" xfId="2" applyFont="1" applyFill="1" applyBorder="1"/>
    <xf numFmtId="172" fontId="15" fillId="2" borderId="31" xfId="2" applyNumberFormat="1" applyFont="1" applyFill="1" applyBorder="1" applyAlignment="1" applyProtection="1">
      <alignment horizontal="center"/>
      <protection hidden="1"/>
    </xf>
    <xf numFmtId="0" fontId="15" fillId="2" borderId="59" xfId="2" applyFont="1" applyFill="1" applyBorder="1" applyProtection="1">
      <protection hidden="1"/>
    </xf>
    <xf numFmtId="0" fontId="15" fillId="2" borderId="80" xfId="2" applyFont="1" applyFill="1" applyBorder="1" applyProtection="1">
      <protection hidden="1"/>
    </xf>
    <xf numFmtId="0" fontId="15" fillId="2" borderId="94" xfId="2" applyFont="1" applyFill="1" applyBorder="1" applyProtection="1">
      <protection hidden="1"/>
    </xf>
    <xf numFmtId="0" fontId="19" fillId="2" borderId="0" xfId="6" applyFont="1" applyFill="1" applyAlignment="1">
      <alignment vertical="center"/>
    </xf>
    <xf numFmtId="0" fontId="19" fillId="2" borderId="0" xfId="6" applyFont="1" applyFill="1"/>
    <xf numFmtId="0" fontId="26" fillId="2" borderId="0" xfId="2" applyFont="1" applyFill="1"/>
    <xf numFmtId="0" fontId="26" fillId="2" borderId="0" xfId="2" applyFont="1" applyFill="1" applyAlignment="1">
      <alignment vertical="center"/>
    </xf>
    <xf numFmtId="0" fontId="7" fillId="20" borderId="0" xfId="6" applyFont="1" applyFill="1"/>
    <xf numFmtId="0" fontId="39" fillId="2" borderId="0" xfId="6" applyFont="1" applyFill="1" applyAlignment="1">
      <alignment vertical="top" wrapText="1"/>
    </xf>
    <xf numFmtId="0" fontId="39" fillId="2" borderId="0" xfId="6" applyFont="1" applyFill="1" applyAlignment="1">
      <alignment horizontal="right" vertical="center" wrapText="1"/>
    </xf>
    <xf numFmtId="0" fontId="7" fillId="2" borderId="0" xfId="6" applyFont="1" applyFill="1"/>
    <xf numFmtId="0" fontId="15" fillId="0" borderId="0" xfId="2" applyFont="1" applyAlignment="1">
      <alignment horizontal="center" vertical="center" wrapText="1"/>
    </xf>
    <xf numFmtId="0" fontId="15" fillId="0" borderId="0" xfId="2" applyFont="1" applyAlignment="1">
      <alignment horizontal="center"/>
    </xf>
    <xf numFmtId="0" fontId="26" fillId="0" borderId="0" xfId="2" applyFont="1" applyAlignment="1" applyProtection="1">
      <alignment horizontal="center" vertical="center"/>
      <protection hidden="1"/>
    </xf>
    <xf numFmtId="0" fontId="34" fillId="0" borderId="0" xfId="2" applyFont="1" applyAlignment="1" applyProtection="1">
      <alignment vertical="center" wrapText="1"/>
      <protection hidden="1"/>
    </xf>
    <xf numFmtId="0" fontId="134" fillId="0" borderId="0" xfId="7"/>
    <xf numFmtId="0" fontId="135" fillId="0" borderId="0" xfId="6" applyFont="1"/>
    <xf numFmtId="0" fontId="115" fillId="0" borderId="0" xfId="2" applyFont="1"/>
    <xf numFmtId="0" fontId="66" fillId="0" borderId="0" xfId="6" applyFont="1" applyAlignment="1">
      <alignment vertical="center"/>
    </xf>
    <xf numFmtId="0" fontId="66" fillId="0" borderId="0" xfId="6" applyFont="1" applyAlignment="1">
      <alignment horizontal="center" vertical="center"/>
    </xf>
    <xf numFmtId="14" fontId="130" fillId="3" borderId="37" xfId="2" applyNumberFormat="1" applyFont="1" applyFill="1" applyBorder="1" applyAlignment="1">
      <alignment horizontal="center" vertical="center"/>
    </xf>
    <xf numFmtId="14" fontId="26" fillId="3" borderId="37" xfId="2" applyNumberFormat="1" applyFont="1" applyFill="1" applyBorder="1" applyAlignment="1">
      <alignment horizontal="center" vertical="center"/>
    </xf>
    <xf numFmtId="178" fontId="24" fillId="0" borderId="0" xfId="2" applyNumberFormat="1" applyFont="1" applyAlignment="1">
      <alignment horizontal="center" vertical="center"/>
    </xf>
    <xf numFmtId="0" fontId="36" fillId="0" borderId="0" xfId="6" applyFont="1" applyAlignment="1">
      <alignment horizontal="center" vertical="center" wrapText="1"/>
    </xf>
    <xf numFmtId="0" fontId="54" fillId="3" borderId="37" xfId="2" applyFont="1" applyFill="1" applyBorder="1" applyAlignment="1">
      <alignment vertical="center" wrapText="1"/>
    </xf>
    <xf numFmtId="0" fontId="56" fillId="3" borderId="82" xfId="2" applyFont="1" applyFill="1" applyBorder="1" applyAlignment="1" applyProtection="1">
      <alignment horizontal="center" vertical="center" wrapText="1"/>
      <protection hidden="1"/>
    </xf>
    <xf numFmtId="0" fontId="56" fillId="3" borderId="81" xfId="2" applyFont="1" applyFill="1" applyBorder="1" applyAlignment="1" applyProtection="1">
      <alignment horizontal="center" vertical="center" wrapText="1"/>
      <protection hidden="1"/>
    </xf>
    <xf numFmtId="0" fontId="15" fillId="0" borderId="0" xfId="6" applyFont="1" applyAlignment="1">
      <alignment horizontal="center" vertical="center"/>
    </xf>
    <xf numFmtId="165" fontId="15" fillId="0" borderId="0" xfId="6" applyNumberFormat="1" applyFont="1" applyAlignment="1">
      <alignment horizontal="center" vertical="center"/>
    </xf>
    <xf numFmtId="0" fontId="15" fillId="0" borderId="0" xfId="6" applyFont="1" applyAlignment="1">
      <alignment vertical="center"/>
    </xf>
    <xf numFmtId="0" fontId="36" fillId="0" borderId="80" xfId="6" applyFont="1" applyBorder="1" applyAlignment="1">
      <alignment vertical="center"/>
    </xf>
    <xf numFmtId="0" fontId="15" fillId="0" borderId="37" xfId="6" applyFont="1" applyBorder="1" applyAlignment="1">
      <alignment horizontal="left" vertical="center"/>
    </xf>
    <xf numFmtId="165" fontId="15" fillId="0" borderId="37" xfId="6" applyNumberFormat="1" applyFont="1" applyBorder="1" applyAlignment="1">
      <alignment horizontal="center" vertical="center"/>
    </xf>
    <xf numFmtId="0" fontId="15" fillId="23" borderId="37" xfId="6" applyFont="1" applyFill="1" applyBorder="1" applyAlignment="1">
      <alignment horizontal="center" vertical="center"/>
    </xf>
    <xf numFmtId="0" fontId="15" fillId="23" borderId="37" xfId="6" applyFont="1" applyFill="1" applyBorder="1" applyAlignment="1">
      <alignment vertical="center"/>
    </xf>
    <xf numFmtId="2" fontId="26" fillId="6" borderId="13" xfId="2" applyNumberFormat="1" applyFont="1" applyFill="1" applyBorder="1" applyAlignment="1" applyProtection="1">
      <alignment horizontal="center" vertical="center"/>
      <protection hidden="1"/>
    </xf>
    <xf numFmtId="2" fontId="26" fillId="6" borderId="26" xfId="2" applyNumberFormat="1" applyFont="1" applyFill="1" applyBorder="1" applyAlignment="1" applyProtection="1">
      <alignment horizontal="center" vertical="center"/>
      <protection hidden="1"/>
    </xf>
    <xf numFmtId="0" fontId="14" fillId="2" borderId="1" xfId="1" applyFont="1" applyFill="1" applyBorder="1" applyAlignment="1">
      <alignment horizontal="center" vertical="center"/>
    </xf>
    <xf numFmtId="0" fontId="14" fillId="2" borderId="2" xfId="1" applyFont="1" applyFill="1" applyBorder="1" applyAlignment="1">
      <alignment horizontal="center" vertical="center"/>
    </xf>
    <xf numFmtId="0" fontId="14" fillId="2" borderId="3" xfId="1" applyFont="1" applyFill="1" applyBorder="1" applyAlignment="1">
      <alignment horizontal="center" vertical="center"/>
    </xf>
    <xf numFmtId="0" fontId="14" fillId="2" borderId="18" xfId="1" applyFont="1" applyFill="1" applyBorder="1" applyAlignment="1">
      <alignment horizontal="center" vertical="center"/>
    </xf>
    <xf numFmtId="0" fontId="14" fillId="2" borderId="19" xfId="1" applyFont="1" applyFill="1" applyBorder="1" applyAlignment="1">
      <alignment horizontal="center" vertical="center"/>
    </xf>
    <xf numFmtId="0" fontId="14" fillId="2" borderId="20" xfId="1" applyFont="1" applyFill="1" applyBorder="1" applyAlignment="1">
      <alignment horizontal="center" vertical="center"/>
    </xf>
    <xf numFmtId="0" fontId="8" fillId="3" borderId="10" xfId="2" applyFill="1" applyBorder="1"/>
    <xf numFmtId="0" fontId="8" fillId="3" borderId="11" xfId="2" applyFill="1" applyBorder="1"/>
    <xf numFmtId="0" fontId="8" fillId="0" borderId="0" xfId="2" applyAlignment="1" applyProtection="1">
      <alignment horizontal="left" vertical="center"/>
      <protection hidden="1"/>
    </xf>
    <xf numFmtId="0" fontId="7" fillId="3" borderId="27" xfId="1" applyFont="1" applyFill="1" applyBorder="1" applyAlignment="1">
      <alignment horizontal="center" vertical="center"/>
    </xf>
    <xf numFmtId="0" fontId="7" fillId="3" borderId="30" xfId="1" applyFont="1" applyFill="1" applyBorder="1" applyAlignment="1">
      <alignment horizontal="center" vertical="center"/>
    </xf>
    <xf numFmtId="0" fontId="7" fillId="3" borderId="32" xfId="1" applyFont="1" applyFill="1" applyBorder="1" applyAlignment="1">
      <alignment horizontal="center" vertical="center"/>
    </xf>
    <xf numFmtId="0" fontId="25" fillId="6" borderId="4" xfId="2" applyFont="1" applyFill="1" applyBorder="1" applyAlignment="1" applyProtection="1">
      <alignment horizontal="center" vertical="center"/>
      <protection hidden="1"/>
    </xf>
    <xf numFmtId="0" fontId="25" fillId="6" borderId="23" xfId="2" applyFont="1" applyFill="1" applyBorder="1" applyAlignment="1" applyProtection="1">
      <alignment horizontal="center" vertical="center"/>
      <protection hidden="1"/>
    </xf>
    <xf numFmtId="0" fontId="8" fillId="0" borderId="0" xfId="2" applyAlignment="1" applyProtection="1">
      <alignment horizontal="center" vertical="center"/>
      <protection hidden="1"/>
    </xf>
    <xf numFmtId="0" fontId="25" fillId="6" borderId="13" xfId="2" applyFont="1" applyFill="1" applyBorder="1" applyAlignment="1" applyProtection="1">
      <alignment horizontal="center" vertical="center"/>
      <protection hidden="1"/>
    </xf>
    <xf numFmtId="0" fontId="25" fillId="6" borderId="26" xfId="2" applyFont="1" applyFill="1" applyBorder="1" applyAlignment="1" applyProtection="1">
      <alignment horizontal="center" vertical="center"/>
      <protection hidden="1"/>
    </xf>
    <xf numFmtId="0" fontId="8" fillId="0" borderId="0" xfId="2" applyAlignment="1" applyProtection="1">
      <alignment horizontal="center"/>
      <protection hidden="1"/>
    </xf>
    <xf numFmtId="0" fontId="26" fillId="6" borderId="47" xfId="2" applyFont="1" applyFill="1" applyBorder="1" applyAlignment="1" applyProtection="1">
      <alignment horizontal="center" vertical="center"/>
      <protection hidden="1"/>
    </xf>
    <xf numFmtId="0" fontId="26" fillId="6" borderId="36" xfId="2" applyFont="1" applyFill="1" applyBorder="1" applyAlignment="1" applyProtection="1">
      <alignment horizontal="center" vertical="center"/>
      <protection hidden="1"/>
    </xf>
    <xf numFmtId="0" fontId="28" fillId="3" borderId="10" xfId="2" applyFont="1" applyFill="1" applyBorder="1" applyAlignment="1" applyProtection="1">
      <alignment horizontal="center" vertical="center"/>
      <protection hidden="1"/>
    </xf>
    <xf numFmtId="0" fontId="28" fillId="3" borderId="48" xfId="2" applyFont="1" applyFill="1" applyBorder="1" applyAlignment="1" applyProtection="1">
      <alignment horizontal="center" vertical="center"/>
      <protection hidden="1"/>
    </xf>
    <xf numFmtId="0" fontId="7" fillId="2" borderId="19" xfId="1" applyFont="1" applyFill="1" applyBorder="1" applyAlignment="1">
      <alignment horizontal="center"/>
    </xf>
    <xf numFmtId="0" fontId="7" fillId="2" borderId="50" xfId="1" applyFont="1" applyFill="1" applyBorder="1" applyAlignment="1">
      <alignment horizontal="center"/>
    </xf>
    <xf numFmtId="0" fontId="39" fillId="2" borderId="0" xfId="6" applyFont="1" applyFill="1" applyAlignment="1">
      <alignment horizontal="center" vertical="top" wrapText="1"/>
    </xf>
    <xf numFmtId="0" fontId="39" fillId="2" borderId="31" xfId="6" applyFont="1" applyFill="1" applyBorder="1" applyAlignment="1">
      <alignment horizontal="right" vertical="center" wrapText="1"/>
    </xf>
    <xf numFmtId="0" fontId="39" fillId="2" borderId="0" xfId="6" applyFont="1" applyFill="1" applyAlignment="1">
      <alignment horizontal="right" vertical="center" wrapText="1"/>
    </xf>
    <xf numFmtId="0" fontId="8" fillId="0" borderId="0" xfId="2" applyAlignment="1">
      <alignment horizontal="center" vertical="center"/>
    </xf>
    <xf numFmtId="0" fontId="54" fillId="0" borderId="0" xfId="2" applyFont="1" applyAlignment="1">
      <alignment horizontal="left" vertical="center"/>
    </xf>
    <xf numFmtId="0" fontId="132" fillId="0" borderId="0" xfId="2" applyFont="1" applyAlignment="1">
      <alignment horizontal="center" vertical="center"/>
    </xf>
    <xf numFmtId="0" fontId="8" fillId="0" borderId="0" xfId="2" applyAlignment="1">
      <alignment horizontal="center" vertical="center" wrapText="1"/>
    </xf>
    <xf numFmtId="0" fontId="26" fillId="3" borderId="82" xfId="2" applyFont="1" applyFill="1" applyBorder="1" applyAlignment="1">
      <alignment horizontal="left" vertical="center"/>
    </xf>
    <xf numFmtId="0" fontId="26" fillId="3" borderId="81" xfId="2" applyFont="1" applyFill="1" applyBorder="1" applyAlignment="1">
      <alignment horizontal="left" vertical="center"/>
    </xf>
    <xf numFmtId="0" fontId="68" fillId="0" borderId="0" xfId="2" applyFont="1" applyAlignment="1">
      <alignment horizontal="center" vertical="center" wrapText="1"/>
    </xf>
    <xf numFmtId="0" fontId="66" fillId="0" borderId="0" xfId="2" applyFont="1" applyAlignment="1">
      <alignment horizontal="center" vertical="center" wrapText="1"/>
    </xf>
    <xf numFmtId="0" fontId="39" fillId="2" borderId="79" xfId="6" applyFont="1" applyFill="1" applyBorder="1" applyAlignment="1">
      <alignment horizontal="center" vertical="center" wrapText="1"/>
    </xf>
    <xf numFmtId="0" fontId="26" fillId="3" borderId="25" xfId="2" applyFont="1" applyFill="1" applyBorder="1" applyAlignment="1">
      <alignment horizontal="center" vertical="center"/>
    </xf>
    <xf numFmtId="0" fontId="26" fillId="3" borderId="64" xfId="2" applyFont="1" applyFill="1" applyBorder="1" applyAlignment="1">
      <alignment horizontal="center" vertical="center"/>
    </xf>
    <xf numFmtId="0" fontId="39" fillId="3" borderId="25" xfId="6" applyFont="1" applyFill="1" applyBorder="1" applyAlignment="1">
      <alignment horizontal="right" vertical="center" wrapText="1"/>
    </xf>
    <xf numFmtId="0" fontId="39" fillId="3" borderId="63" xfId="6" applyFont="1" applyFill="1" applyBorder="1" applyAlignment="1">
      <alignment horizontal="right" vertical="center" wrapText="1"/>
    </xf>
    <xf numFmtId="0" fontId="39" fillId="3" borderId="63" xfId="6" applyFont="1" applyFill="1" applyBorder="1" applyAlignment="1">
      <alignment horizontal="left" vertical="center" wrapText="1"/>
    </xf>
    <xf numFmtId="0" fontId="39" fillId="3" borderId="64" xfId="6" applyFont="1" applyFill="1" applyBorder="1" applyAlignment="1">
      <alignment horizontal="left" vertical="center" wrapText="1"/>
    </xf>
    <xf numFmtId="0" fontId="66" fillId="0" borderId="0" xfId="2" applyFont="1" applyAlignment="1">
      <alignment horizontal="center"/>
    </xf>
    <xf numFmtId="0" fontId="26" fillId="3" borderId="37" xfId="2" applyFont="1" applyFill="1" applyBorder="1" applyAlignment="1" applyProtection="1">
      <alignment horizontal="center" vertical="center"/>
      <protection hidden="1"/>
    </xf>
    <xf numFmtId="0" fontId="26" fillId="3" borderId="25" xfId="2" applyFont="1" applyFill="1" applyBorder="1" applyAlignment="1" applyProtection="1">
      <alignment horizontal="center"/>
      <protection hidden="1"/>
    </xf>
    <xf numFmtId="0" fontId="26" fillId="3" borderId="63" xfId="2" applyFont="1" applyFill="1" applyBorder="1" applyAlignment="1" applyProtection="1">
      <alignment horizontal="center"/>
      <protection hidden="1"/>
    </xf>
    <xf numFmtId="0" fontId="26" fillId="3" borderId="64" xfId="2" applyFont="1" applyFill="1" applyBorder="1" applyAlignment="1" applyProtection="1">
      <alignment horizontal="center"/>
      <protection hidden="1"/>
    </xf>
    <xf numFmtId="0" fontId="26" fillId="2" borderId="80" xfId="2" applyFont="1" applyFill="1" applyBorder="1" applyAlignment="1" applyProtection="1">
      <alignment horizontal="left" vertical="center"/>
      <protection hidden="1"/>
    </xf>
    <xf numFmtId="0" fontId="26" fillId="2" borderId="94" xfId="2" applyFont="1" applyFill="1" applyBorder="1" applyAlignment="1" applyProtection="1">
      <alignment horizontal="left" vertical="center"/>
      <protection hidden="1"/>
    </xf>
    <xf numFmtId="0" fontId="116" fillId="0" borderId="0" xfId="2" applyFont="1" applyAlignment="1">
      <alignment horizontal="center"/>
    </xf>
    <xf numFmtId="0" fontId="54" fillId="3" borderId="25" xfId="2" applyFont="1" applyFill="1" applyBorder="1" applyAlignment="1">
      <alignment horizontal="center" vertical="center" wrapText="1"/>
    </xf>
    <xf numFmtId="0" fontId="54" fillId="3" borderId="64" xfId="2" applyFont="1" applyFill="1" applyBorder="1" applyAlignment="1">
      <alignment horizontal="center" vertical="center" wrapText="1"/>
    </xf>
    <xf numFmtId="0" fontId="15" fillId="0" borderId="0" xfId="2" applyFont="1" applyAlignment="1">
      <alignment horizontal="center" vertical="center" wrapText="1"/>
    </xf>
    <xf numFmtId="0" fontId="34" fillId="0" borderId="28" xfId="2" applyFont="1" applyBorder="1" applyAlignment="1" applyProtection="1">
      <alignment horizontal="center" vertical="center" wrapText="1"/>
      <protection hidden="1"/>
    </xf>
    <xf numFmtId="0" fontId="34" fillId="0" borderId="53" xfId="2" applyFont="1" applyBorder="1" applyAlignment="1" applyProtection="1">
      <alignment horizontal="center" vertical="center" wrapText="1"/>
      <protection hidden="1"/>
    </xf>
    <xf numFmtId="0" fontId="34" fillId="0" borderId="59" xfId="2" applyFont="1" applyBorder="1" applyAlignment="1" applyProtection="1">
      <alignment horizontal="center" vertical="center" wrapText="1"/>
      <protection hidden="1"/>
    </xf>
    <xf numFmtId="0" fontId="34" fillId="0" borderId="60" xfId="2" applyFont="1" applyBorder="1" applyAlignment="1" applyProtection="1">
      <alignment horizontal="center" vertical="center" wrapText="1"/>
      <protection hidden="1"/>
    </xf>
    <xf numFmtId="0" fontId="35" fillId="0" borderId="54" xfId="2" applyFont="1" applyBorder="1" applyAlignment="1" applyProtection="1">
      <alignment horizontal="center" vertical="center" wrapText="1"/>
      <protection hidden="1"/>
    </xf>
    <xf numFmtId="0" fontId="35" fillId="0" borderId="61" xfId="2" applyFont="1" applyBorder="1" applyAlignment="1" applyProtection="1">
      <alignment horizontal="center" vertical="center" wrapText="1"/>
      <protection hidden="1"/>
    </xf>
    <xf numFmtId="0" fontId="35" fillId="0" borderId="55" xfId="2" applyFont="1" applyBorder="1" applyAlignment="1" applyProtection="1">
      <alignment horizontal="center" vertical="center" wrapText="1"/>
      <protection hidden="1"/>
    </xf>
    <xf numFmtId="0" fontId="35" fillId="0" borderId="62" xfId="2" applyFont="1" applyBorder="1" applyAlignment="1" applyProtection="1">
      <alignment horizontal="center" vertical="center" wrapText="1"/>
      <protection hidden="1"/>
    </xf>
    <xf numFmtId="0" fontId="26" fillId="3" borderId="4" xfId="2" applyFont="1" applyFill="1" applyBorder="1" applyAlignment="1" applyProtection="1">
      <alignment horizontal="center" vertical="center"/>
      <protection hidden="1"/>
    </xf>
    <xf numFmtId="0" fontId="26" fillId="3" borderId="56" xfId="2" applyFont="1" applyFill="1" applyBorder="1" applyAlignment="1" applyProtection="1">
      <alignment horizontal="center" vertical="center"/>
      <protection hidden="1"/>
    </xf>
    <xf numFmtId="0" fontId="26" fillId="3" borderId="23" xfId="2" applyFont="1" applyFill="1" applyBorder="1" applyAlignment="1" applyProtection="1">
      <alignment horizontal="center" vertical="center"/>
      <protection hidden="1"/>
    </xf>
    <xf numFmtId="0" fontId="26" fillId="3" borderId="4" xfId="2" applyFont="1" applyFill="1" applyBorder="1" applyAlignment="1" applyProtection="1">
      <alignment horizontal="center"/>
      <protection hidden="1"/>
    </xf>
    <xf numFmtId="0" fontId="26" fillId="3" borderId="56" xfId="2" applyFont="1" applyFill="1" applyBorder="1" applyAlignment="1" applyProtection="1">
      <alignment horizontal="center"/>
      <protection hidden="1"/>
    </xf>
    <xf numFmtId="0" fontId="26" fillId="3" borderId="23" xfId="2" applyFont="1" applyFill="1" applyBorder="1" applyAlignment="1" applyProtection="1">
      <alignment horizontal="center"/>
      <protection hidden="1"/>
    </xf>
    <xf numFmtId="0" fontId="26" fillId="6" borderId="4" xfId="2" applyFont="1" applyFill="1" applyBorder="1" applyAlignment="1" applyProtection="1">
      <alignment horizontal="center"/>
      <protection hidden="1"/>
    </xf>
    <xf numFmtId="0" fontId="26" fillId="6" borderId="75" xfId="2" applyFont="1" applyFill="1" applyBorder="1" applyAlignment="1" applyProtection="1">
      <alignment horizontal="center"/>
      <protection hidden="1"/>
    </xf>
    <xf numFmtId="0" fontId="26" fillId="6" borderId="22" xfId="2" applyFont="1" applyFill="1" applyBorder="1" applyAlignment="1" applyProtection="1">
      <alignment horizontal="center"/>
      <protection hidden="1"/>
    </xf>
    <xf numFmtId="0" fontId="26" fillId="6" borderId="22" xfId="2" applyFont="1" applyFill="1" applyBorder="1" applyAlignment="1">
      <alignment horizontal="center"/>
    </xf>
    <xf numFmtId="0" fontId="26" fillId="6" borderId="23" xfId="2" applyFont="1" applyFill="1" applyBorder="1" applyAlignment="1">
      <alignment horizontal="center"/>
    </xf>
    <xf numFmtId="0" fontId="124" fillId="20" borderId="0" xfId="1" applyFont="1" applyFill="1" applyAlignment="1">
      <alignment horizontal="center" vertical="center" wrapText="1"/>
    </xf>
    <xf numFmtId="0" fontId="26" fillId="4" borderId="25" xfId="2" applyFont="1" applyFill="1" applyBorder="1" applyAlignment="1" applyProtection="1">
      <alignment horizontal="left" vertical="center"/>
      <protection hidden="1"/>
    </xf>
    <xf numFmtId="0" fontId="26" fillId="4" borderId="63" xfId="2" applyFont="1" applyFill="1" applyBorder="1" applyAlignment="1" applyProtection="1">
      <alignment horizontal="left" vertical="center"/>
      <protection hidden="1"/>
    </xf>
    <xf numFmtId="0" fontId="26" fillId="4" borderId="26" xfId="2" applyFont="1" applyFill="1" applyBorder="1" applyAlignment="1" applyProtection="1">
      <alignment horizontal="left" vertical="center"/>
      <protection hidden="1"/>
    </xf>
    <xf numFmtId="0" fontId="26" fillId="4" borderId="25" xfId="2" applyFont="1" applyFill="1" applyBorder="1" applyAlignment="1" applyProtection="1">
      <alignment horizontal="left"/>
      <protection locked="0"/>
    </xf>
    <xf numFmtId="0" fontId="26" fillId="4" borderId="64" xfId="2" applyFont="1" applyFill="1" applyBorder="1" applyAlignment="1" applyProtection="1">
      <alignment horizontal="left"/>
      <protection locked="0"/>
    </xf>
    <xf numFmtId="0" fontId="26" fillId="4" borderId="28" xfId="2" applyFont="1" applyFill="1" applyBorder="1" applyAlignment="1" applyProtection="1">
      <alignment horizontal="left"/>
      <protection locked="0" hidden="1"/>
    </xf>
    <xf numFmtId="0" fontId="26" fillId="4" borderId="69" xfId="2" applyFont="1" applyFill="1" applyBorder="1" applyAlignment="1" applyProtection="1">
      <alignment horizontal="left"/>
      <protection locked="0" hidden="1"/>
    </xf>
    <xf numFmtId="0" fontId="8" fillId="0" borderId="25" xfId="2" applyBorder="1" applyAlignment="1">
      <alignment horizontal="center"/>
    </xf>
    <xf numFmtId="0" fontId="8" fillId="0" borderId="64" xfId="2" applyBorder="1" applyAlignment="1">
      <alignment horizontal="center"/>
    </xf>
    <xf numFmtId="0" fontId="26" fillId="4" borderId="25" xfId="2" applyFont="1" applyFill="1" applyBorder="1" applyAlignment="1" applyProtection="1">
      <alignment horizontal="left"/>
      <protection locked="0" hidden="1"/>
    </xf>
    <xf numFmtId="0" fontId="26" fillId="4" borderId="63" xfId="2" applyFont="1" applyFill="1" applyBorder="1" applyAlignment="1" applyProtection="1">
      <alignment horizontal="left"/>
      <protection locked="0" hidden="1"/>
    </xf>
    <xf numFmtId="0" fontId="26" fillId="4" borderId="64" xfId="2" applyFont="1" applyFill="1" applyBorder="1" applyAlignment="1" applyProtection="1">
      <alignment horizontal="left"/>
      <protection locked="0" hidden="1"/>
    </xf>
    <xf numFmtId="0" fontId="26" fillId="6" borderId="25" xfId="2" applyFont="1" applyFill="1" applyBorder="1" applyAlignment="1" applyProtection="1">
      <alignment horizontal="center" vertical="center"/>
      <protection hidden="1"/>
    </xf>
    <xf numFmtId="0" fontId="26" fillId="6" borderId="64" xfId="2" applyFont="1" applyFill="1" applyBorder="1" applyAlignment="1" applyProtection="1">
      <alignment horizontal="center" vertical="center"/>
      <protection hidden="1"/>
    </xf>
    <xf numFmtId="14" fontId="26" fillId="6" borderId="25" xfId="2" applyNumberFormat="1" applyFont="1" applyFill="1" applyBorder="1" applyAlignment="1" applyProtection="1">
      <alignment horizontal="center" vertical="center"/>
      <protection hidden="1"/>
    </xf>
    <xf numFmtId="14" fontId="26" fillId="6" borderId="64" xfId="2" applyNumberFormat="1" applyFont="1" applyFill="1" applyBorder="1" applyAlignment="1" applyProtection="1">
      <alignment horizontal="center" vertical="center"/>
      <protection hidden="1"/>
    </xf>
    <xf numFmtId="14" fontId="26" fillId="6" borderId="26" xfId="2" applyNumberFormat="1" applyFont="1" applyFill="1" applyBorder="1" applyAlignment="1" applyProtection="1">
      <alignment horizontal="center" vertical="center"/>
      <protection hidden="1"/>
    </xf>
    <xf numFmtId="0" fontId="26" fillId="4" borderId="59" xfId="2" applyFont="1" applyFill="1" applyBorder="1" applyProtection="1">
      <protection locked="0" hidden="1"/>
    </xf>
    <xf numFmtId="0" fontId="26" fillId="4" borderId="80" xfId="2" applyFont="1" applyFill="1" applyBorder="1" applyProtection="1">
      <protection locked="0" hidden="1"/>
    </xf>
    <xf numFmtId="0" fontId="26" fillId="4" borderId="58" xfId="2" applyFont="1" applyFill="1" applyBorder="1" applyProtection="1">
      <protection locked="0" hidden="1"/>
    </xf>
    <xf numFmtId="0" fontId="26" fillId="3" borderId="35" xfId="2" applyFont="1" applyFill="1" applyBorder="1" applyAlignment="1" applyProtection="1">
      <alignment horizontal="left"/>
      <protection hidden="1"/>
    </xf>
    <xf numFmtId="0" fontId="26" fillId="3" borderId="36" xfId="2" applyFont="1" applyFill="1" applyBorder="1" applyAlignment="1" applyProtection="1">
      <alignment horizontal="left"/>
      <protection hidden="1"/>
    </xf>
    <xf numFmtId="0" fontId="26" fillId="3" borderId="3" xfId="2" applyFont="1" applyFill="1" applyBorder="1" applyAlignment="1" applyProtection="1">
      <alignment horizontal="center" wrapText="1"/>
      <protection hidden="1"/>
    </xf>
    <xf numFmtId="0" fontId="26" fillId="3" borderId="58" xfId="2" applyFont="1" applyFill="1" applyBorder="1" applyAlignment="1" applyProtection="1">
      <alignment horizontal="center" wrapText="1"/>
      <protection hidden="1"/>
    </xf>
    <xf numFmtId="0" fontId="38" fillId="2" borderId="50" xfId="1" applyFont="1" applyFill="1" applyBorder="1" applyAlignment="1">
      <alignment horizontal="left"/>
    </xf>
    <xf numFmtId="0" fontId="38" fillId="2" borderId="11" xfId="1" applyFont="1" applyFill="1" applyBorder="1" applyAlignment="1">
      <alignment horizontal="left"/>
    </xf>
    <xf numFmtId="0" fontId="26" fillId="6" borderId="22" xfId="2" applyFont="1" applyFill="1" applyBorder="1" applyAlignment="1" applyProtection="1">
      <alignment horizontal="left"/>
      <protection hidden="1"/>
    </xf>
    <xf numFmtId="0" fontId="26" fillId="6" borderId="23" xfId="2" applyFont="1" applyFill="1" applyBorder="1" applyAlignment="1" applyProtection="1">
      <alignment horizontal="left"/>
      <protection hidden="1"/>
    </xf>
    <xf numFmtId="0" fontId="39" fillId="3" borderId="10" xfId="1" applyFont="1" applyFill="1" applyBorder="1" applyAlignment="1">
      <alignment horizontal="right" vertical="center" wrapText="1"/>
    </xf>
    <xf numFmtId="0" fontId="39" fillId="3" borderId="50" xfId="1" applyFont="1" applyFill="1" applyBorder="1" applyAlignment="1">
      <alignment horizontal="right" vertical="center" wrapText="1"/>
    </xf>
    <xf numFmtId="0" fontId="39" fillId="3" borderId="50" xfId="1" applyFont="1" applyFill="1" applyBorder="1" applyAlignment="1">
      <alignment horizontal="left" vertical="center" wrapText="1"/>
    </xf>
    <xf numFmtId="0" fontId="39" fillId="3" borderId="11" xfId="1" applyFont="1" applyFill="1" applyBorder="1" applyAlignment="1">
      <alignment horizontal="left" vertical="center" wrapText="1"/>
    </xf>
    <xf numFmtId="0" fontId="26" fillId="4" borderId="25" xfId="2" applyFont="1" applyFill="1" applyBorder="1" applyAlignment="1" applyProtection="1">
      <alignment horizontal="left" shrinkToFit="1"/>
      <protection locked="0" hidden="1"/>
    </xf>
    <xf numFmtId="0" fontId="26" fillId="4" borderId="63" xfId="2" applyFont="1" applyFill="1" applyBorder="1" applyAlignment="1" applyProtection="1">
      <alignment horizontal="left" shrinkToFit="1"/>
      <protection locked="0" hidden="1"/>
    </xf>
    <xf numFmtId="0" fontId="26" fillId="4" borderId="26" xfId="2" applyFont="1" applyFill="1" applyBorder="1" applyAlignment="1" applyProtection="1">
      <alignment horizontal="left" shrinkToFit="1"/>
      <protection locked="0" hidden="1"/>
    </xf>
    <xf numFmtId="3" fontId="26" fillId="4" borderId="25" xfId="2" applyNumberFormat="1" applyFont="1" applyFill="1" applyBorder="1" applyAlignment="1" applyProtection="1">
      <alignment horizontal="left"/>
      <protection locked="0"/>
    </xf>
    <xf numFmtId="3" fontId="26" fillId="4" borderId="64" xfId="2" applyNumberFormat="1" applyFont="1" applyFill="1" applyBorder="1" applyAlignment="1" applyProtection="1">
      <alignment horizontal="left"/>
      <protection locked="0"/>
    </xf>
    <xf numFmtId="0" fontId="39" fillId="2" borderId="2" xfId="1" applyFont="1" applyFill="1" applyBorder="1" applyAlignment="1">
      <alignment horizontal="center" vertical="center" wrapText="1"/>
    </xf>
    <xf numFmtId="0" fontId="26" fillId="6" borderId="56" xfId="2" applyFont="1" applyFill="1" applyBorder="1" applyAlignment="1" applyProtection="1">
      <alignment horizontal="center"/>
      <protection hidden="1"/>
    </xf>
    <xf numFmtId="0" fontId="26" fillId="6" borderId="23" xfId="2" applyFont="1" applyFill="1" applyBorder="1" applyAlignment="1" applyProtection="1">
      <alignment horizontal="center"/>
      <protection hidden="1"/>
    </xf>
    <xf numFmtId="0" fontId="39" fillId="2" borderId="0" xfId="1" applyFont="1" applyFill="1" applyAlignment="1">
      <alignment horizontal="center" vertical="top" wrapText="1"/>
    </xf>
    <xf numFmtId="0" fontId="39" fillId="2" borderId="83" xfId="1" applyFont="1" applyFill="1" applyBorder="1" applyAlignment="1">
      <alignment horizontal="center" vertical="top" wrapText="1"/>
    </xf>
    <xf numFmtId="0" fontId="8" fillId="0" borderId="90" xfId="2" applyBorder="1" applyAlignment="1" applyProtection="1">
      <alignment horizontal="left" vertical="center" wrapText="1"/>
      <protection hidden="1"/>
    </xf>
    <xf numFmtId="0" fontId="8" fillId="0" borderId="2" xfId="2" applyBorder="1" applyAlignment="1" applyProtection="1">
      <alignment horizontal="left" vertical="center" wrapText="1"/>
      <protection hidden="1"/>
    </xf>
    <xf numFmtId="0" fontId="8" fillId="0" borderId="33" xfId="2" applyBorder="1" applyAlignment="1" applyProtection="1">
      <alignment horizontal="left" vertical="center" wrapText="1"/>
      <protection hidden="1"/>
    </xf>
    <xf numFmtId="0" fontId="8" fillId="0" borderId="19" xfId="2" applyBorder="1" applyAlignment="1" applyProtection="1">
      <alignment horizontal="left" vertical="center" wrapText="1"/>
      <protection hidden="1"/>
    </xf>
    <xf numFmtId="0" fontId="26" fillId="4" borderId="25" xfId="2" applyFont="1" applyFill="1" applyBorder="1" applyAlignment="1" applyProtection="1">
      <alignment horizontal="left"/>
      <protection hidden="1"/>
    </xf>
    <xf numFmtId="0" fontId="26" fillId="4" borderId="63" xfId="2" applyFont="1" applyFill="1" applyBorder="1" applyAlignment="1" applyProtection="1">
      <alignment horizontal="left"/>
      <protection hidden="1"/>
    </xf>
    <xf numFmtId="0" fontId="26" fillId="4" borderId="26" xfId="2" applyFont="1" applyFill="1" applyBorder="1" applyAlignment="1" applyProtection="1">
      <alignment horizontal="left"/>
      <protection hidden="1"/>
    </xf>
    <xf numFmtId="0" fontId="40" fillId="2" borderId="9" xfId="1" applyFont="1" applyFill="1" applyBorder="1" applyAlignment="1">
      <alignment horizontal="right" vertical="center" wrapText="1"/>
    </xf>
    <xf numFmtId="0" fontId="40" fillId="2" borderId="0" xfId="1" applyFont="1" applyFill="1" applyAlignment="1">
      <alignment horizontal="right" vertical="center" wrapText="1"/>
    </xf>
    <xf numFmtId="0" fontId="26" fillId="4" borderId="25" xfId="2" applyFont="1" applyFill="1" applyBorder="1" applyAlignment="1">
      <alignment horizontal="left"/>
    </xf>
    <xf numFmtId="0" fontId="26" fillId="4" borderId="64" xfId="2" applyFont="1" applyFill="1" applyBorder="1" applyAlignment="1">
      <alignment horizontal="left"/>
    </xf>
    <xf numFmtId="0" fontId="39" fillId="2" borderId="84" xfId="1" applyFont="1" applyFill="1" applyBorder="1" applyAlignment="1">
      <alignment horizontal="center" vertical="top" wrapText="1"/>
    </xf>
    <xf numFmtId="0" fontId="26" fillId="3" borderId="25" xfId="2" applyFont="1" applyFill="1" applyBorder="1" applyAlignment="1" applyProtection="1">
      <alignment horizontal="left"/>
      <protection locked="0"/>
    </xf>
    <xf numFmtId="0" fontId="26" fillId="3" borderId="64" xfId="2" applyFont="1" applyFill="1" applyBorder="1" applyAlignment="1" applyProtection="1">
      <alignment horizontal="left"/>
      <protection locked="0"/>
    </xf>
    <xf numFmtId="1" fontId="26" fillId="4" borderId="35" xfId="2" applyNumberFormat="1" applyFont="1" applyFill="1" applyBorder="1" applyAlignment="1" applyProtection="1">
      <alignment horizontal="left"/>
      <protection hidden="1"/>
    </xf>
    <xf numFmtId="1" fontId="26" fillId="4" borderId="85" xfId="2" applyNumberFormat="1" applyFont="1" applyFill="1" applyBorder="1" applyAlignment="1" applyProtection="1">
      <alignment horizontal="left"/>
      <protection hidden="1"/>
    </xf>
    <xf numFmtId="0" fontId="26" fillId="4" borderId="35" xfId="2" applyFont="1" applyFill="1" applyBorder="1" applyAlignment="1" applyProtection="1">
      <alignment horizontal="left"/>
      <protection hidden="1"/>
    </xf>
    <xf numFmtId="0" fontId="26" fillId="4" borderId="36" xfId="2" applyFont="1" applyFill="1" applyBorder="1" applyAlignment="1" applyProtection="1">
      <alignment horizontal="left"/>
      <protection hidden="1"/>
    </xf>
    <xf numFmtId="0" fontId="41" fillId="2" borderId="0" xfId="1" applyFont="1" applyFill="1" applyAlignment="1">
      <alignment horizontal="center" vertical="center" wrapText="1"/>
    </xf>
    <xf numFmtId="0" fontId="41" fillId="2" borderId="12" xfId="1" applyFont="1" applyFill="1" applyBorder="1" applyAlignment="1">
      <alignment horizontal="center" vertical="center" wrapText="1"/>
    </xf>
    <xf numFmtId="0" fontId="41" fillId="2" borderId="19" xfId="1" applyFont="1" applyFill="1" applyBorder="1" applyAlignment="1">
      <alignment horizontal="center" vertical="center" wrapText="1"/>
    </xf>
    <xf numFmtId="0" fontId="41" fillId="2" borderId="20" xfId="1" applyFont="1" applyFill="1" applyBorder="1" applyAlignment="1">
      <alignment horizontal="center" vertical="center" wrapText="1"/>
    </xf>
    <xf numFmtId="0" fontId="7" fillId="3" borderId="4" xfId="1" applyFont="1" applyFill="1" applyBorder="1" applyAlignment="1">
      <alignment horizontal="center"/>
    </xf>
    <xf numFmtId="0" fontId="7" fillId="3" borderId="56" xfId="1" applyFont="1" applyFill="1" applyBorder="1" applyAlignment="1">
      <alignment horizontal="center"/>
    </xf>
    <xf numFmtId="0" fontId="7" fillId="3" borderId="23" xfId="1" applyFont="1" applyFill="1" applyBorder="1" applyAlignment="1">
      <alignment horizontal="center"/>
    </xf>
    <xf numFmtId="0" fontId="36" fillId="3" borderId="47" xfId="1" applyFont="1" applyFill="1" applyBorder="1" applyAlignment="1">
      <alignment horizontal="center"/>
    </xf>
    <xf numFmtId="0" fontId="36" fillId="3" borderId="86" xfId="1" applyFont="1" applyFill="1" applyBorder="1" applyAlignment="1">
      <alignment horizontal="center"/>
    </xf>
    <xf numFmtId="0" fontId="36" fillId="3" borderId="36" xfId="1" applyFont="1" applyFill="1" applyBorder="1" applyAlignment="1">
      <alignment horizontal="center"/>
    </xf>
    <xf numFmtId="0" fontId="8" fillId="0" borderId="10" xfId="2" applyBorder="1" applyAlignment="1" applyProtection="1">
      <alignment horizontal="center" vertical="center"/>
      <protection hidden="1"/>
    </xf>
    <xf numFmtId="0" fontId="8" fillId="0" borderId="50" xfId="2" applyBorder="1" applyAlignment="1" applyProtection="1">
      <alignment horizontal="center" vertical="center"/>
      <protection hidden="1"/>
    </xf>
    <xf numFmtId="0" fontId="8" fillId="0" borderId="11" xfId="2" applyBorder="1" applyAlignment="1" applyProtection="1">
      <alignment horizontal="center" vertical="center"/>
      <protection hidden="1"/>
    </xf>
    <xf numFmtId="164" fontId="8" fillId="0" borderId="10" xfId="2" applyNumberFormat="1" applyBorder="1" applyAlignment="1" applyProtection="1">
      <alignment horizontal="center"/>
      <protection hidden="1"/>
    </xf>
    <xf numFmtId="164" fontId="8" fillId="0" borderId="50" xfId="2" applyNumberFormat="1" applyBorder="1" applyAlignment="1" applyProtection="1">
      <alignment horizontal="center"/>
      <protection hidden="1"/>
    </xf>
    <xf numFmtId="164" fontId="8" fillId="0" borderId="11" xfId="2" applyNumberFormat="1" applyBorder="1" applyAlignment="1" applyProtection="1">
      <alignment horizontal="center"/>
      <protection hidden="1"/>
    </xf>
    <xf numFmtId="0" fontId="21" fillId="2" borderId="10" xfId="2" applyFont="1" applyFill="1" applyBorder="1" applyAlignment="1" applyProtection="1">
      <alignment horizontal="center" shrinkToFit="1"/>
      <protection hidden="1"/>
    </xf>
    <xf numFmtId="0" fontId="21" fillId="2" borderId="11" xfId="2" applyFont="1" applyFill="1" applyBorder="1" applyAlignment="1" applyProtection="1">
      <alignment horizontal="center" shrinkToFit="1"/>
      <protection hidden="1"/>
    </xf>
    <xf numFmtId="0" fontId="24" fillId="3" borderId="96" xfId="2" applyFont="1" applyFill="1" applyBorder="1" applyAlignment="1" applyProtection="1">
      <alignment horizontal="center" vertical="center" wrapText="1"/>
      <protection hidden="1"/>
    </xf>
    <xf numFmtId="0" fontId="24" fillId="3" borderId="81" xfId="2" applyFont="1" applyFill="1" applyBorder="1" applyAlignment="1" applyProtection="1">
      <alignment horizontal="center" vertical="center" wrapText="1"/>
      <protection hidden="1"/>
    </xf>
    <xf numFmtId="0" fontId="56" fillId="3" borderId="97" xfId="2" applyFont="1" applyFill="1" applyBorder="1" applyAlignment="1" applyProtection="1">
      <alignment horizontal="center" vertical="center" wrapText="1"/>
      <protection hidden="1"/>
    </xf>
    <xf numFmtId="0" fontId="56" fillId="3" borderId="92" xfId="2" applyFont="1" applyFill="1" applyBorder="1" applyAlignment="1" applyProtection="1">
      <alignment horizontal="center" vertical="center" wrapText="1"/>
      <protection hidden="1"/>
    </xf>
    <xf numFmtId="0" fontId="56" fillId="3" borderId="4" xfId="2" applyFont="1" applyFill="1" applyBorder="1" applyAlignment="1" applyProtection="1">
      <alignment horizontal="center" vertical="center"/>
      <protection hidden="1"/>
    </xf>
    <xf numFmtId="0" fontId="56" fillId="3" borderId="56" xfId="2" applyFont="1" applyFill="1" applyBorder="1" applyAlignment="1" applyProtection="1">
      <alignment horizontal="center" vertical="center"/>
      <protection hidden="1"/>
    </xf>
    <xf numFmtId="0" fontId="56" fillId="3" borderId="23" xfId="2" applyFont="1" applyFill="1" applyBorder="1" applyAlignment="1" applyProtection="1">
      <alignment horizontal="center" vertical="center"/>
      <protection hidden="1"/>
    </xf>
    <xf numFmtId="0" fontId="15" fillId="2" borderId="80" xfId="2" applyFont="1" applyFill="1" applyBorder="1" applyAlignment="1" applyProtection="1">
      <alignment horizontal="left" vertical="center"/>
      <protection hidden="1"/>
    </xf>
    <xf numFmtId="0" fontId="52" fillId="2" borderId="2" xfId="2" applyFont="1" applyFill="1" applyBorder="1" applyAlignment="1">
      <alignment horizontal="center" vertical="center"/>
    </xf>
    <xf numFmtId="0" fontId="15" fillId="2" borderId="25" xfId="2" applyFont="1" applyFill="1" applyBorder="1" applyAlignment="1" applyProtection="1">
      <alignment horizontal="center" vertical="center"/>
      <protection locked="0" hidden="1"/>
    </xf>
    <xf numFmtId="0" fontId="15" fillId="2" borderId="63" xfId="2" applyFont="1" applyFill="1" applyBorder="1" applyAlignment="1" applyProtection="1">
      <alignment horizontal="center" vertical="center"/>
      <protection locked="0" hidden="1"/>
    </xf>
    <xf numFmtId="0" fontId="15" fillId="2" borderId="64" xfId="2" applyFont="1" applyFill="1" applyBorder="1" applyAlignment="1" applyProtection="1">
      <alignment horizontal="center" vertical="center"/>
      <protection locked="0" hidden="1"/>
    </xf>
    <xf numFmtId="0" fontId="15" fillId="2" borderId="28" xfId="2" applyFont="1" applyFill="1" applyBorder="1" applyAlignment="1" applyProtection="1">
      <alignment horizontal="left" vertical="top" wrapText="1"/>
      <protection locked="0"/>
    </xf>
    <xf numFmtId="0" fontId="15" fillId="2" borderId="79" xfId="2" applyFont="1" applyFill="1" applyBorder="1" applyAlignment="1" applyProtection="1">
      <alignment horizontal="left" vertical="top" wrapText="1"/>
      <protection locked="0"/>
    </xf>
    <xf numFmtId="0" fontId="15" fillId="2" borderId="69" xfId="2" applyFont="1" applyFill="1" applyBorder="1" applyAlignment="1" applyProtection="1">
      <alignment horizontal="left" vertical="top" wrapText="1"/>
      <protection locked="0"/>
    </xf>
    <xf numFmtId="0" fontId="15" fillId="2" borderId="59" xfId="2" applyFont="1" applyFill="1" applyBorder="1" applyAlignment="1" applyProtection="1">
      <alignment horizontal="left" vertical="top" wrapText="1"/>
      <protection locked="0"/>
    </xf>
    <xf numFmtId="0" fontId="15" fillId="2" borderId="80" xfId="2" applyFont="1" applyFill="1" applyBorder="1" applyAlignment="1" applyProtection="1">
      <alignment horizontal="left" vertical="top" wrapText="1"/>
      <protection locked="0"/>
    </xf>
    <xf numFmtId="0" fontId="15" fillId="2" borderId="94" xfId="2" applyFont="1" applyFill="1" applyBorder="1" applyAlignment="1" applyProtection="1">
      <alignment horizontal="left" vertical="top" wrapText="1"/>
      <protection locked="0"/>
    </xf>
    <xf numFmtId="0" fontId="15" fillId="2" borderId="63" xfId="2" applyFont="1" applyFill="1" applyBorder="1" applyAlignment="1">
      <alignment horizontal="left" vertical="center"/>
    </xf>
    <xf numFmtId="0" fontId="15" fillId="2" borderId="25" xfId="2" applyFont="1" applyFill="1" applyBorder="1" applyAlignment="1" applyProtection="1">
      <alignment horizontal="center" vertical="top"/>
      <protection hidden="1"/>
    </xf>
    <xf numFmtId="0" fontId="15" fillId="2" borderId="63" xfId="2" applyFont="1" applyFill="1" applyBorder="1" applyAlignment="1" applyProtection="1">
      <alignment horizontal="center" vertical="top"/>
      <protection hidden="1"/>
    </xf>
    <xf numFmtId="0" fontId="15" fillId="2" borderId="64" xfId="2" applyFont="1" applyFill="1" applyBorder="1" applyAlignment="1" applyProtection="1">
      <alignment horizontal="center" vertical="top"/>
      <protection hidden="1"/>
    </xf>
    <xf numFmtId="0" fontId="15" fillId="2" borderId="0" xfId="2" applyFont="1" applyFill="1" applyAlignment="1" applyProtection="1">
      <alignment horizontal="center" vertical="top"/>
      <protection hidden="1"/>
    </xf>
    <xf numFmtId="0" fontId="15" fillId="2" borderId="12" xfId="2" applyFont="1" applyFill="1" applyBorder="1" applyAlignment="1" applyProtection="1">
      <alignment horizontal="center" vertical="top"/>
      <protection hidden="1"/>
    </xf>
    <xf numFmtId="0" fontId="39" fillId="2" borderId="3" xfId="1" applyFont="1" applyFill="1" applyBorder="1" applyAlignment="1">
      <alignment horizontal="center" vertical="center" wrapText="1"/>
    </xf>
    <xf numFmtId="0" fontId="15" fillId="2" borderId="28" xfId="2" applyFont="1" applyFill="1" applyBorder="1" applyAlignment="1" applyProtection="1">
      <alignment horizontal="left" vertical="top" wrapText="1"/>
      <protection hidden="1"/>
    </xf>
    <xf numFmtId="0" fontId="15" fillId="2" borderId="79" xfId="2" applyFont="1" applyFill="1" applyBorder="1" applyAlignment="1" applyProtection="1">
      <alignment horizontal="left" vertical="top" wrapText="1"/>
      <protection hidden="1"/>
    </xf>
    <xf numFmtId="0" fontId="15" fillId="2" borderId="69" xfId="2" applyFont="1" applyFill="1" applyBorder="1" applyAlignment="1" applyProtection="1">
      <alignment horizontal="left" vertical="top" wrapText="1"/>
      <protection hidden="1"/>
    </xf>
    <xf numFmtId="0" fontId="15" fillId="2" borderId="59" xfId="2" applyFont="1" applyFill="1" applyBorder="1" applyAlignment="1" applyProtection="1">
      <alignment horizontal="left" vertical="top" wrapText="1"/>
      <protection hidden="1"/>
    </xf>
    <xf numFmtId="0" fontId="15" fillId="2" borderId="80" xfId="2" applyFont="1" applyFill="1" applyBorder="1" applyAlignment="1" applyProtection="1">
      <alignment horizontal="left" vertical="top" wrapText="1"/>
      <protection hidden="1"/>
    </xf>
    <xf numFmtId="0" fontId="15" fillId="2" borderId="94" xfId="2" applyFont="1" applyFill="1" applyBorder="1" applyAlignment="1" applyProtection="1">
      <alignment horizontal="left" vertical="top" wrapText="1"/>
      <protection hidden="1"/>
    </xf>
    <xf numFmtId="173" fontId="15" fillId="2" borderId="1" xfId="2" applyNumberFormat="1" applyFont="1" applyFill="1" applyBorder="1" applyAlignment="1" applyProtection="1">
      <alignment horizontal="center" vertical="center"/>
      <protection hidden="1"/>
    </xf>
    <xf numFmtId="173" fontId="15" fillId="2" borderId="2" xfId="2" applyNumberFormat="1" applyFont="1" applyFill="1" applyBorder="1" applyAlignment="1" applyProtection="1">
      <alignment horizontal="center" vertical="center"/>
      <protection hidden="1"/>
    </xf>
    <xf numFmtId="173" fontId="15" fillId="2" borderId="3" xfId="2" applyNumberFormat="1" applyFont="1" applyFill="1" applyBorder="1" applyAlignment="1" applyProtection="1">
      <alignment horizontal="center" vertical="center"/>
      <protection hidden="1"/>
    </xf>
    <xf numFmtId="173" fontId="15" fillId="2" borderId="18" xfId="2" applyNumberFormat="1" applyFont="1" applyFill="1" applyBorder="1" applyAlignment="1" applyProtection="1">
      <alignment horizontal="center" vertical="center"/>
      <protection hidden="1"/>
    </xf>
    <xf numFmtId="173" fontId="15" fillId="2" borderId="19" xfId="2" applyNumberFormat="1" applyFont="1" applyFill="1" applyBorder="1" applyAlignment="1" applyProtection="1">
      <alignment horizontal="center" vertical="center"/>
      <protection hidden="1"/>
    </xf>
    <xf numFmtId="173" fontId="15" fillId="2" borderId="20" xfId="2" applyNumberFormat="1" applyFont="1" applyFill="1" applyBorder="1" applyAlignment="1" applyProtection="1">
      <alignment horizontal="center" vertical="center"/>
      <protection hidden="1"/>
    </xf>
    <xf numFmtId="0" fontId="56" fillId="3" borderId="95" xfId="2" applyFont="1" applyFill="1" applyBorder="1" applyAlignment="1" applyProtection="1">
      <alignment horizontal="center" vertical="center" wrapText="1"/>
      <protection hidden="1"/>
    </xf>
    <xf numFmtId="0" fontId="56" fillId="3" borderId="30" xfId="2" applyFont="1" applyFill="1" applyBorder="1" applyAlignment="1" applyProtection="1">
      <alignment horizontal="center" vertical="center" wrapText="1"/>
      <protection hidden="1"/>
    </xf>
    <xf numFmtId="0" fontId="56" fillId="3" borderId="14" xfId="2" applyFont="1" applyFill="1" applyBorder="1" applyAlignment="1" applyProtection="1">
      <alignment horizontal="center" vertical="center" wrapText="1"/>
      <protection hidden="1"/>
    </xf>
    <xf numFmtId="0" fontId="56" fillId="3" borderId="96" xfId="2" applyFont="1" applyFill="1" applyBorder="1" applyAlignment="1" applyProtection="1">
      <alignment horizontal="center" vertical="center" wrapText="1"/>
      <protection hidden="1"/>
    </xf>
    <xf numFmtId="0" fontId="56" fillId="3" borderId="99" xfId="2" applyFont="1" applyFill="1" applyBorder="1" applyAlignment="1" applyProtection="1">
      <alignment horizontal="center" vertical="center" wrapText="1"/>
      <protection hidden="1"/>
    </xf>
    <xf numFmtId="0" fontId="56" fillId="3" borderId="81" xfId="2" applyFont="1" applyFill="1" applyBorder="1" applyAlignment="1" applyProtection="1">
      <alignment horizontal="center" vertical="center" wrapText="1"/>
      <protection hidden="1"/>
    </xf>
    <xf numFmtId="0" fontId="56" fillId="3" borderId="100" xfId="2" applyFont="1" applyFill="1" applyBorder="1" applyAlignment="1" applyProtection="1">
      <alignment horizontal="center" vertical="center" wrapText="1"/>
      <protection hidden="1"/>
    </xf>
    <xf numFmtId="0" fontId="56" fillId="3" borderId="113" xfId="2" applyFont="1" applyFill="1" applyBorder="1" applyAlignment="1" applyProtection="1">
      <alignment horizontal="center" vertical="center" wrapText="1"/>
      <protection hidden="1"/>
    </xf>
    <xf numFmtId="0" fontId="56" fillId="3" borderId="114" xfId="2" applyFont="1" applyFill="1" applyBorder="1" applyAlignment="1" applyProtection="1">
      <alignment horizontal="center" vertical="center" wrapText="1"/>
      <protection hidden="1"/>
    </xf>
    <xf numFmtId="0" fontId="56" fillId="3" borderId="16" xfId="2" applyFont="1" applyFill="1" applyBorder="1" applyAlignment="1" applyProtection="1">
      <alignment horizontal="center" vertical="center" wrapText="1"/>
      <protection hidden="1"/>
    </xf>
    <xf numFmtId="0" fontId="56" fillId="3" borderId="22" xfId="2" applyFont="1" applyFill="1" applyBorder="1" applyAlignment="1" applyProtection="1">
      <alignment horizontal="center" vertical="center"/>
      <protection hidden="1"/>
    </xf>
    <xf numFmtId="0" fontId="56" fillId="3" borderId="75" xfId="2" applyFont="1" applyFill="1" applyBorder="1" applyAlignment="1" applyProtection="1">
      <alignment horizontal="center" vertical="center"/>
      <protection hidden="1"/>
    </xf>
    <xf numFmtId="0" fontId="56" fillId="3" borderId="22" xfId="2" applyFont="1" applyFill="1" applyBorder="1" applyAlignment="1" applyProtection="1">
      <alignment horizontal="center" vertical="center" wrapText="1"/>
      <protection hidden="1"/>
    </xf>
    <xf numFmtId="0" fontId="56" fillId="3" borderId="75" xfId="2" applyFont="1" applyFill="1" applyBorder="1" applyAlignment="1" applyProtection="1">
      <alignment horizontal="center" vertical="center" wrapText="1"/>
      <protection hidden="1"/>
    </xf>
    <xf numFmtId="0" fontId="8" fillId="12" borderId="10" xfId="2" applyFill="1" applyBorder="1" applyAlignment="1" applyProtection="1">
      <alignment horizontal="center" vertical="center"/>
      <protection hidden="1"/>
    </xf>
    <xf numFmtId="0" fontId="8" fillId="12" borderId="50" xfId="2" applyFill="1" applyBorder="1" applyAlignment="1" applyProtection="1">
      <alignment horizontal="center" vertical="center"/>
      <protection hidden="1"/>
    </xf>
    <xf numFmtId="0" fontId="8" fillId="12" borderId="11" xfId="2" applyFill="1" applyBorder="1" applyAlignment="1" applyProtection="1">
      <alignment horizontal="center" vertical="center"/>
      <protection hidden="1"/>
    </xf>
    <xf numFmtId="0" fontId="54" fillId="3" borderId="22" xfId="2" applyFont="1" applyFill="1" applyBorder="1" applyAlignment="1" applyProtection="1">
      <alignment horizontal="center"/>
      <protection hidden="1"/>
    </xf>
    <xf numFmtId="0" fontId="54" fillId="3" borderId="75" xfId="2" applyFont="1" applyFill="1" applyBorder="1" applyAlignment="1" applyProtection="1">
      <alignment horizontal="center"/>
      <protection hidden="1"/>
    </xf>
    <xf numFmtId="0" fontId="56" fillId="3" borderId="22" xfId="2" applyFont="1" applyFill="1" applyBorder="1" applyAlignment="1">
      <alignment horizontal="center" vertical="center"/>
    </xf>
    <xf numFmtId="0" fontId="56" fillId="3" borderId="75" xfId="2" applyFont="1" applyFill="1" applyBorder="1" applyAlignment="1">
      <alignment horizontal="center" vertical="center"/>
    </xf>
    <xf numFmtId="0" fontId="60" fillId="12" borderId="25" xfId="2" applyFont="1" applyFill="1" applyBorder="1" applyAlignment="1" applyProtection="1">
      <alignment horizontal="center"/>
      <protection hidden="1"/>
    </xf>
    <xf numFmtId="0" fontId="60" fillId="12" borderId="64" xfId="2" applyFont="1" applyFill="1" applyBorder="1" applyAlignment="1" applyProtection="1">
      <alignment horizontal="center"/>
      <protection hidden="1"/>
    </xf>
    <xf numFmtId="0" fontId="56" fillId="3" borderId="82" xfId="2" applyFont="1" applyFill="1" applyBorder="1" applyAlignment="1" applyProtection="1">
      <alignment horizontal="center" vertical="center" wrapText="1"/>
      <protection hidden="1"/>
    </xf>
    <xf numFmtId="0" fontId="56" fillId="3" borderId="82" xfId="2" applyFont="1" applyFill="1" applyBorder="1" applyAlignment="1">
      <alignment horizontal="center" vertical="center"/>
    </xf>
    <xf numFmtId="0" fontId="56" fillId="3" borderId="81" xfId="2" applyFont="1" applyFill="1" applyBorder="1" applyAlignment="1">
      <alignment horizontal="center" vertical="center"/>
    </xf>
    <xf numFmtId="0" fontId="56" fillId="3" borderId="82" xfId="2" applyFont="1" applyFill="1" applyBorder="1" applyAlignment="1" applyProtection="1">
      <alignment horizontal="center" vertical="center"/>
      <protection hidden="1"/>
    </xf>
    <xf numFmtId="0" fontId="56" fillId="3" borderId="81" xfId="2" applyFont="1" applyFill="1" applyBorder="1" applyAlignment="1" applyProtection="1">
      <alignment horizontal="center" vertical="center"/>
      <protection hidden="1"/>
    </xf>
    <xf numFmtId="0" fontId="56" fillId="3" borderId="82" xfId="2" applyFont="1" applyFill="1" applyBorder="1" applyAlignment="1">
      <alignment horizontal="center" vertical="center" wrapText="1"/>
    </xf>
    <xf numFmtId="0" fontId="56" fillId="3" borderId="81" xfId="2" applyFont="1" applyFill="1" applyBorder="1" applyAlignment="1">
      <alignment horizontal="center" vertical="center" wrapText="1"/>
    </xf>
    <xf numFmtId="0" fontId="56" fillId="3" borderId="70" xfId="2" applyFont="1" applyFill="1" applyBorder="1" applyAlignment="1">
      <alignment horizontal="center" vertical="center" wrapText="1"/>
    </xf>
    <xf numFmtId="0" fontId="56" fillId="3" borderId="92" xfId="2" applyFont="1" applyFill="1" applyBorder="1" applyAlignment="1">
      <alignment horizontal="center" vertical="center" wrapText="1"/>
    </xf>
    <xf numFmtId="0" fontId="8" fillId="0" borderId="25" xfId="2" applyBorder="1" applyAlignment="1" applyProtection="1">
      <alignment horizontal="center"/>
      <protection hidden="1"/>
    </xf>
    <xf numFmtId="0" fontId="8" fillId="0" borderId="64" xfId="2" applyBorder="1" applyAlignment="1" applyProtection="1">
      <alignment horizontal="center"/>
      <protection hidden="1"/>
    </xf>
    <xf numFmtId="0" fontId="54" fillId="14" borderId="25" xfId="2" applyFont="1" applyFill="1" applyBorder="1" applyAlignment="1" applyProtection="1">
      <alignment horizontal="right" vertical="center"/>
      <protection hidden="1"/>
    </xf>
    <xf numFmtId="0" fontId="54" fillId="14" borderId="63" xfId="2" applyFont="1" applyFill="1" applyBorder="1" applyAlignment="1" applyProtection="1">
      <alignment horizontal="right" vertical="center"/>
      <protection hidden="1"/>
    </xf>
    <xf numFmtId="0" fontId="8" fillId="0" borderId="31" xfId="2" applyBorder="1" applyAlignment="1" applyProtection="1">
      <alignment horizontal="left" vertical="center"/>
      <protection hidden="1"/>
    </xf>
    <xf numFmtId="0" fontId="8" fillId="2" borderId="10" xfId="2" applyFill="1" applyBorder="1" applyAlignment="1" applyProtection="1">
      <alignment horizontal="center" vertical="center"/>
      <protection hidden="1"/>
    </xf>
    <xf numFmtId="0" fontId="8" fillId="2" borderId="50" xfId="2" applyFill="1" applyBorder="1" applyAlignment="1" applyProtection="1">
      <alignment horizontal="center" vertical="center"/>
      <protection hidden="1"/>
    </xf>
    <xf numFmtId="0" fontId="8" fillId="2" borderId="11" xfId="2" applyFill="1" applyBorder="1" applyAlignment="1" applyProtection="1">
      <alignment horizontal="center" vertical="center"/>
      <protection hidden="1"/>
    </xf>
    <xf numFmtId="0" fontId="40" fillId="2" borderId="31" xfId="1" applyFont="1" applyFill="1" applyBorder="1" applyAlignment="1">
      <alignment horizontal="right" vertical="center" wrapText="1"/>
    </xf>
    <xf numFmtId="0" fontId="15" fillId="2" borderId="63" xfId="2" applyFont="1" applyFill="1" applyBorder="1" applyAlignment="1" applyProtection="1">
      <alignment horizontal="left" vertical="center"/>
      <protection hidden="1"/>
    </xf>
    <xf numFmtId="0" fontId="52" fillId="2" borderId="79" xfId="2" applyFont="1" applyFill="1" applyBorder="1" applyAlignment="1">
      <alignment horizontal="center" vertical="center"/>
    </xf>
    <xf numFmtId="0" fontId="39" fillId="2" borderId="79" xfId="1" applyFont="1" applyFill="1" applyBorder="1" applyAlignment="1">
      <alignment horizontal="center" vertical="center" wrapText="1"/>
    </xf>
    <xf numFmtId="0" fontId="39" fillId="2" borderId="69" xfId="1" applyFont="1" applyFill="1" applyBorder="1" applyAlignment="1">
      <alignment horizontal="center" vertical="center" wrapText="1"/>
    </xf>
    <xf numFmtId="173" fontId="15" fillId="2" borderId="79" xfId="2" applyNumberFormat="1" applyFont="1" applyFill="1" applyBorder="1" applyAlignment="1" applyProtection="1">
      <alignment horizontal="center" vertical="center"/>
      <protection hidden="1"/>
    </xf>
    <xf numFmtId="173" fontId="15" fillId="2" borderId="0" xfId="2" applyNumberFormat="1" applyFont="1" applyFill="1" applyAlignment="1" applyProtection="1">
      <alignment horizontal="center" vertical="center"/>
      <protection hidden="1"/>
    </xf>
    <xf numFmtId="0" fontId="56" fillId="3" borderId="28" xfId="2" applyFont="1" applyFill="1" applyBorder="1" applyAlignment="1" applyProtection="1">
      <alignment horizontal="center" vertical="center" wrapText="1"/>
      <protection hidden="1"/>
    </xf>
    <xf numFmtId="0" fontId="56" fillId="3" borderId="31" xfId="2" applyFont="1" applyFill="1" applyBorder="1" applyAlignment="1" applyProtection="1">
      <alignment horizontal="center" vertical="center" wrapText="1"/>
      <protection hidden="1"/>
    </xf>
    <xf numFmtId="0" fontId="56" fillId="3" borderId="59" xfId="2" applyFont="1" applyFill="1" applyBorder="1" applyAlignment="1" applyProtection="1">
      <alignment horizontal="center" vertical="center" wrapText="1"/>
      <protection hidden="1"/>
    </xf>
    <xf numFmtId="0" fontId="56" fillId="3" borderId="63" xfId="2" applyFont="1" applyFill="1" applyBorder="1" applyAlignment="1" applyProtection="1">
      <alignment horizontal="center" vertical="center"/>
      <protection hidden="1"/>
    </xf>
    <xf numFmtId="0" fontId="56" fillId="3" borderId="64" xfId="2" applyFont="1" applyFill="1" applyBorder="1" applyAlignment="1" applyProtection="1">
      <alignment horizontal="center" vertical="center"/>
      <protection hidden="1"/>
    </xf>
    <xf numFmtId="0" fontId="54" fillId="3" borderId="59" xfId="2" applyFont="1" applyFill="1" applyBorder="1" applyAlignment="1" applyProtection="1">
      <alignment horizontal="center"/>
      <protection hidden="1"/>
    </xf>
    <xf numFmtId="0" fontId="54" fillId="3" borderId="94" xfId="2" applyFont="1" applyFill="1" applyBorder="1" applyAlignment="1" applyProtection="1">
      <alignment horizontal="center"/>
      <protection hidden="1"/>
    </xf>
    <xf numFmtId="0" fontId="56" fillId="3" borderId="25" xfId="2" applyFont="1" applyFill="1" applyBorder="1" applyAlignment="1">
      <alignment horizontal="center" vertical="center"/>
    </xf>
    <xf numFmtId="0" fontId="56" fillId="3" borderId="64" xfId="2" applyFont="1" applyFill="1" applyBorder="1" applyAlignment="1">
      <alignment horizontal="center" vertical="center"/>
    </xf>
    <xf numFmtId="0" fontId="56" fillId="3" borderId="37" xfId="2" applyFont="1" applyFill="1" applyBorder="1" applyAlignment="1">
      <alignment horizontal="center" vertical="center"/>
    </xf>
    <xf numFmtId="0" fontId="67" fillId="0" borderId="0" xfId="2" applyFont="1" applyAlignment="1">
      <alignment horizontal="left"/>
    </xf>
    <xf numFmtId="0" fontId="69" fillId="0" borderId="79" xfId="2" applyFont="1" applyBorder="1" applyAlignment="1">
      <alignment horizontal="center" vertical="center"/>
    </xf>
    <xf numFmtId="0" fontId="69" fillId="0" borderId="0" xfId="2" applyFont="1" applyAlignment="1">
      <alignment horizontal="center" vertical="center"/>
    </xf>
    <xf numFmtId="0" fontId="36" fillId="0" borderId="0" xfId="2" applyFont="1" applyAlignment="1">
      <alignment horizontal="left" vertical="center"/>
    </xf>
    <xf numFmtId="1" fontId="36" fillId="0" borderId="0" xfId="2" applyNumberFormat="1" applyFont="1" applyAlignment="1">
      <alignment horizontal="left" vertical="center"/>
    </xf>
    <xf numFmtId="0" fontId="72" fillId="0" borderId="0" xfId="2" applyFont="1" applyAlignment="1">
      <alignment horizontal="center" vertical="center" wrapText="1"/>
    </xf>
    <xf numFmtId="0" fontId="15" fillId="0" borderId="0" xfId="2" applyFont="1" applyAlignment="1">
      <alignment horizontal="left" vertical="center"/>
    </xf>
    <xf numFmtId="0" fontId="75" fillId="0" borderId="0" xfId="2" applyFont="1" applyAlignment="1">
      <alignment horizontal="left" vertical="center" wrapText="1"/>
    </xf>
    <xf numFmtId="165" fontId="36" fillId="0" borderId="0" xfId="2" applyNumberFormat="1" applyFont="1" applyAlignment="1">
      <alignment horizontal="left" vertical="center"/>
    </xf>
    <xf numFmtId="0" fontId="75" fillId="0" borderId="0" xfId="2" applyFont="1" applyAlignment="1">
      <alignment horizontal="left" vertical="top" wrapText="1"/>
    </xf>
    <xf numFmtId="0" fontId="15" fillId="0" borderId="0" xfId="2" applyFont="1" applyAlignment="1">
      <alignment horizontal="center" vertical="center"/>
    </xf>
    <xf numFmtId="0" fontId="65" fillId="0" borderId="0" xfId="2" applyFont="1" applyAlignment="1">
      <alignment horizontal="left" vertical="center"/>
    </xf>
    <xf numFmtId="0" fontId="54" fillId="0" borderId="0" xfId="2" applyFont="1" applyAlignment="1">
      <alignment horizontal="center" vertical="center"/>
    </xf>
    <xf numFmtId="0" fontId="75" fillId="0" borderId="0" xfId="2" applyFont="1" applyAlignment="1">
      <alignment horizontal="center" vertical="top"/>
    </xf>
    <xf numFmtId="0" fontId="75" fillId="0" borderId="0" xfId="2" applyFont="1" applyAlignment="1">
      <alignment horizontal="center" vertical="center"/>
    </xf>
    <xf numFmtId="0" fontId="36" fillId="0" borderId="0" xfId="2" applyFont="1" applyAlignment="1">
      <alignment horizontal="center" vertical="center"/>
    </xf>
    <xf numFmtId="0" fontId="36" fillId="0" borderId="0" xfId="2" applyFont="1" applyAlignment="1">
      <alignment horizontal="left" vertical="center" wrapText="1"/>
    </xf>
    <xf numFmtId="0" fontId="78" fillId="0" borderId="37" xfId="2" applyFont="1" applyBorder="1" applyAlignment="1">
      <alignment horizontal="center" vertical="center"/>
    </xf>
    <xf numFmtId="0" fontId="78" fillId="0" borderId="25" xfId="2" applyFont="1" applyBorder="1" applyAlignment="1">
      <alignment horizontal="center" vertical="center"/>
    </xf>
    <xf numFmtId="0" fontId="78" fillId="0" borderId="64" xfId="2" applyFont="1" applyBorder="1" applyAlignment="1">
      <alignment horizontal="center" vertical="center"/>
    </xf>
    <xf numFmtId="0" fontId="71" fillId="0" borderId="79" xfId="2" applyFont="1" applyBorder="1" applyAlignment="1">
      <alignment horizontal="center" vertical="center" textRotation="90"/>
    </xf>
    <xf numFmtId="0" fontId="71" fillId="0" borderId="0" xfId="2" applyFont="1" applyAlignment="1">
      <alignment horizontal="center" vertical="center" textRotation="90"/>
    </xf>
    <xf numFmtId="0" fontId="71" fillId="0" borderId="80" xfId="2" applyFont="1" applyBorder="1" applyAlignment="1">
      <alignment horizontal="center" vertical="center" textRotation="90"/>
    </xf>
    <xf numFmtId="0" fontId="15" fillId="0" borderId="37" xfId="2" applyFont="1" applyBorder="1" applyAlignment="1">
      <alignment horizontal="center" vertical="center"/>
    </xf>
    <xf numFmtId="0" fontId="15" fillId="0" borderId="25" xfId="2" applyFont="1" applyBorder="1" applyAlignment="1">
      <alignment horizontal="center" vertical="center"/>
    </xf>
    <xf numFmtId="0" fontId="15" fillId="0" borderId="64" xfId="2" applyFont="1" applyBorder="1" applyAlignment="1">
      <alignment horizontal="center" vertical="center"/>
    </xf>
    <xf numFmtId="0" fontId="21" fillId="0" borderId="79" xfId="2" applyFont="1" applyBorder="1" applyAlignment="1">
      <alignment horizontal="center" vertical="center"/>
    </xf>
    <xf numFmtId="0" fontId="21" fillId="0" borderId="0" xfId="2" applyFont="1" applyAlignment="1">
      <alignment horizontal="center" vertical="center"/>
    </xf>
    <xf numFmtId="2" fontId="21" fillId="0" borderId="0" xfId="2" applyNumberFormat="1" applyFont="1" applyAlignment="1">
      <alignment horizontal="center" vertical="center"/>
    </xf>
    <xf numFmtId="0" fontId="15" fillId="0" borderId="0" xfId="2" applyFont="1" applyAlignment="1">
      <alignment horizontal="left" vertical="top"/>
    </xf>
    <xf numFmtId="0" fontId="15" fillId="0" borderId="0" xfId="2" applyFont="1" applyAlignment="1">
      <alignment horizontal="left" vertical="top" wrapText="1"/>
    </xf>
    <xf numFmtId="0" fontId="15" fillId="0" borderId="0" xfId="2" applyFont="1" applyAlignment="1">
      <alignment horizontal="left"/>
    </xf>
    <xf numFmtId="0" fontId="29" fillId="0" borderId="0" xfId="2" applyFont="1" applyAlignment="1">
      <alignment horizontal="left" vertical="center"/>
    </xf>
    <xf numFmtId="0" fontId="36" fillId="0" borderId="37" xfId="6" applyFont="1" applyBorder="1" applyAlignment="1">
      <alignment horizontal="center" vertical="center"/>
    </xf>
    <xf numFmtId="165" fontId="36" fillId="0" borderId="82" xfId="6" applyNumberFormat="1" applyFont="1" applyBorder="1" applyAlignment="1">
      <alignment horizontal="center" vertical="center"/>
    </xf>
    <xf numFmtId="165" fontId="36" fillId="0" borderId="81" xfId="6" applyNumberFormat="1" applyFont="1" applyBorder="1" applyAlignment="1">
      <alignment horizontal="center" vertical="center"/>
    </xf>
    <xf numFmtId="0" fontId="36" fillId="0" borderId="37" xfId="6" applyFont="1" applyBorder="1" applyAlignment="1">
      <alignment horizontal="center" vertical="center" wrapText="1"/>
    </xf>
    <xf numFmtId="0" fontId="36" fillId="0" borderId="25" xfId="6" applyFont="1" applyBorder="1" applyAlignment="1">
      <alignment horizontal="center" vertical="center"/>
    </xf>
    <xf numFmtId="0" fontId="36" fillId="0" borderId="64" xfId="6" applyFont="1" applyBorder="1" applyAlignment="1">
      <alignment horizontal="center" vertical="center"/>
    </xf>
    <xf numFmtId="0" fontId="36" fillId="0" borderId="82" xfId="6" applyFont="1" applyBorder="1" applyAlignment="1">
      <alignment horizontal="center" vertical="center"/>
    </xf>
    <xf numFmtId="0" fontId="36" fillId="0" borderId="81" xfId="6" applyFont="1" applyBorder="1" applyAlignment="1">
      <alignment horizontal="center" vertical="center"/>
    </xf>
    <xf numFmtId="1" fontId="36" fillId="0" borderId="37" xfId="6" applyNumberFormat="1" applyFont="1" applyBorder="1" applyAlignment="1">
      <alignment horizontal="center" vertical="center" wrapText="1"/>
    </xf>
    <xf numFmtId="1" fontId="36" fillId="0" borderId="37" xfId="6" applyNumberFormat="1" applyFont="1" applyBorder="1" applyAlignment="1">
      <alignment horizontal="center" vertical="center"/>
    </xf>
    <xf numFmtId="0" fontId="24" fillId="0" borderId="28" xfId="2" applyFont="1" applyBorder="1" applyAlignment="1" applyProtection="1">
      <alignment horizontal="left" vertical="top" wrapText="1"/>
      <protection locked="0"/>
    </xf>
    <xf numFmtId="0" fontId="24" fillId="0" borderId="79" xfId="2" applyFont="1" applyBorder="1" applyAlignment="1" applyProtection="1">
      <alignment horizontal="left" vertical="top" wrapText="1"/>
      <protection locked="0"/>
    </xf>
    <xf numFmtId="0" fontId="24" fillId="0" borderId="69" xfId="2" applyFont="1" applyBorder="1" applyAlignment="1" applyProtection="1">
      <alignment horizontal="left" vertical="top" wrapText="1"/>
      <protection locked="0"/>
    </xf>
    <xf numFmtId="0" fontId="24" fillId="0" borderId="31" xfId="2" applyFont="1" applyBorder="1" applyAlignment="1" applyProtection="1">
      <alignment horizontal="left" vertical="top" wrapText="1"/>
      <protection locked="0"/>
    </xf>
    <xf numFmtId="0" fontId="24" fillId="0" borderId="0" xfId="2" applyFont="1" applyAlignment="1" applyProtection="1">
      <alignment horizontal="left" vertical="top" wrapText="1"/>
      <protection locked="0"/>
    </xf>
    <xf numFmtId="0" fontId="24" fillId="0" borderId="98" xfId="2" applyFont="1" applyBorder="1" applyAlignment="1" applyProtection="1">
      <alignment horizontal="left" vertical="top" wrapText="1"/>
      <protection locked="0"/>
    </xf>
    <xf numFmtId="0" fontId="24" fillId="0" borderId="59" xfId="2" applyFont="1" applyBorder="1" applyAlignment="1" applyProtection="1">
      <alignment horizontal="left" vertical="top" wrapText="1"/>
      <protection locked="0"/>
    </xf>
    <xf numFmtId="0" fontId="24" fillId="0" borderId="80" xfId="2" applyFont="1" applyBorder="1" applyAlignment="1" applyProtection="1">
      <alignment horizontal="left" vertical="top" wrapText="1"/>
      <protection locked="0"/>
    </xf>
    <xf numFmtId="0" fontId="24" fillId="0" borderId="94" xfId="2" applyFont="1" applyBorder="1" applyAlignment="1" applyProtection="1">
      <alignment horizontal="left" vertical="top" wrapText="1"/>
      <protection locked="0"/>
    </xf>
    <xf numFmtId="0" fontId="83" fillId="0" borderId="1" xfId="2" applyFont="1" applyBorder="1" applyAlignment="1" applyProtection="1">
      <alignment horizontal="left" vertical="center"/>
      <protection locked="0"/>
    </xf>
    <xf numFmtId="0" fontId="83" fillId="0" borderId="2" xfId="2" applyFont="1" applyBorder="1" applyAlignment="1" applyProtection="1">
      <alignment horizontal="left" vertical="center"/>
      <protection locked="0"/>
    </xf>
    <xf numFmtId="174" fontId="54" fillId="0" borderId="2" xfId="2" applyNumberFormat="1" applyFont="1" applyBorder="1" applyAlignment="1" applyProtection="1">
      <alignment horizontal="center"/>
      <protection locked="0"/>
    </xf>
    <xf numFmtId="174" fontId="54" fillId="0" borderId="101" xfId="2" applyNumberFormat="1" applyFont="1" applyBorder="1" applyAlignment="1" applyProtection="1">
      <alignment horizontal="center"/>
      <protection locked="0"/>
    </xf>
    <xf numFmtId="0" fontId="24" fillId="2" borderId="31" xfId="2" applyFont="1" applyFill="1" applyBorder="1" applyAlignment="1" applyProtection="1">
      <alignment horizontal="right" vertical="center"/>
      <protection locked="0"/>
    </xf>
    <xf numFmtId="0" fontId="24" fillId="2" borderId="0" xfId="2" applyFont="1" applyFill="1" applyAlignment="1" applyProtection="1">
      <alignment horizontal="right" vertical="center"/>
      <protection locked="0"/>
    </xf>
    <xf numFmtId="0" fontId="24" fillId="2" borderId="19" xfId="2" applyFont="1" applyFill="1" applyBorder="1" applyAlignment="1" applyProtection="1">
      <alignment horizontal="right" vertical="center"/>
      <protection locked="0"/>
    </xf>
    <xf numFmtId="0" fontId="11" fillId="16" borderId="35" xfId="2" applyFont="1" applyFill="1" applyBorder="1" applyAlignment="1">
      <alignment horizontal="center"/>
    </xf>
    <xf numFmtId="0" fontId="11" fillId="16" borderId="106" xfId="2" applyFont="1" applyFill="1" applyBorder="1" applyAlignment="1">
      <alignment horizontal="center"/>
    </xf>
    <xf numFmtId="0" fontId="30" fillId="16" borderId="10" xfId="3" applyFill="1" applyBorder="1" applyAlignment="1" applyProtection="1">
      <alignment horizontal="center"/>
      <protection hidden="1"/>
    </xf>
    <xf numFmtId="0" fontId="11" fillId="16" borderId="50" xfId="2" applyFont="1" applyFill="1" applyBorder="1" applyAlignment="1" applyProtection="1">
      <alignment horizontal="center"/>
      <protection hidden="1"/>
    </xf>
    <xf numFmtId="0" fontId="11" fillId="16" borderId="102" xfId="2" applyFont="1" applyFill="1" applyBorder="1" applyAlignment="1" applyProtection="1">
      <alignment horizontal="center"/>
      <protection hidden="1"/>
    </xf>
    <xf numFmtId="0" fontId="11" fillId="16" borderId="22" xfId="2" applyFont="1" applyFill="1" applyBorder="1" applyAlignment="1">
      <alignment horizontal="center"/>
    </xf>
    <xf numFmtId="0" fontId="11" fillId="16" borderId="103" xfId="2" applyFont="1" applyFill="1" applyBorder="1" applyAlignment="1">
      <alignment horizontal="center"/>
    </xf>
    <xf numFmtId="0" fontId="11" fillId="16" borderId="28" xfId="2" applyFont="1" applyFill="1" applyBorder="1" applyAlignment="1">
      <alignment horizontal="center"/>
    </xf>
    <xf numFmtId="0" fontId="11" fillId="16" borderId="104" xfId="2" applyFont="1" applyFill="1" applyBorder="1" applyAlignment="1">
      <alignment horizontal="center"/>
    </xf>
    <xf numFmtId="0" fontId="11" fillId="16" borderId="25" xfId="2" applyFont="1" applyFill="1" applyBorder="1" applyAlignment="1">
      <alignment horizontal="center" wrapText="1"/>
    </xf>
    <xf numFmtId="0" fontId="11" fillId="16" borderId="105" xfId="2" applyFont="1" applyFill="1" applyBorder="1" applyAlignment="1">
      <alignment horizontal="center" wrapText="1"/>
    </xf>
    <xf numFmtId="165" fontId="8" fillId="3" borderId="79" xfId="2" applyNumberFormat="1" applyFill="1" applyBorder="1" applyAlignment="1" applyProtection="1">
      <alignment horizontal="center" vertical="center" wrapText="1"/>
      <protection hidden="1"/>
    </xf>
    <xf numFmtId="165" fontId="8" fillId="3" borderId="45" xfId="2" applyNumberFormat="1" applyFill="1" applyBorder="1" applyAlignment="1" applyProtection="1">
      <alignment horizontal="center" vertical="center" wrapText="1"/>
      <protection hidden="1"/>
    </xf>
    <xf numFmtId="0" fontId="24" fillId="23" borderId="37" xfId="6" applyFont="1" applyFill="1" applyBorder="1" applyAlignment="1">
      <alignment horizontal="left" vertical="center"/>
    </xf>
    <xf numFmtId="165" fontId="36" fillId="0" borderId="0" xfId="6" applyNumberFormat="1" applyFont="1" applyAlignment="1">
      <alignment horizontal="center" vertical="center"/>
    </xf>
    <xf numFmtId="0" fontId="56" fillId="3" borderId="64" xfId="2" applyFont="1" applyFill="1" applyBorder="1" applyAlignment="1" applyProtection="1">
      <alignment vertical="center"/>
      <protection hidden="1"/>
    </xf>
    <xf numFmtId="0" fontId="56" fillId="3" borderId="25" xfId="2" applyFont="1" applyFill="1" applyBorder="1" applyAlignment="1" applyProtection="1">
      <alignment vertical="center" wrapText="1"/>
      <protection hidden="1"/>
    </xf>
    <xf numFmtId="0" fontId="56" fillId="3" borderId="64" xfId="2" applyFont="1" applyFill="1" applyBorder="1" applyAlignment="1" applyProtection="1">
      <alignment vertical="center" wrapText="1"/>
      <protection hidden="1"/>
    </xf>
    <xf numFmtId="0" fontId="56" fillId="3" borderId="37" xfId="2" applyFont="1" applyFill="1" applyBorder="1" applyAlignment="1" applyProtection="1">
      <alignment horizontal="center" vertical="center"/>
      <protection hidden="1"/>
    </xf>
  </cellXfs>
  <cellStyles count="8">
    <cellStyle name="Hyperlink" xfId="7" builtinId="8"/>
    <cellStyle name="Hyperlink 2" xfId="3" xr:uid="{F7C8ADEF-D06C-4037-AE46-8F2575D4479A}"/>
    <cellStyle name="Normal" xfId="0" builtinId="0"/>
    <cellStyle name="Normal 2" xfId="2" xr:uid="{174A6BC3-D941-468E-8104-6F2963A92A93}"/>
    <cellStyle name="Normal 3" xfId="1" xr:uid="{075D3E95-61C8-42EA-A2E5-0B7B8528EF86}"/>
    <cellStyle name="Normal 3 2 4" xfId="6" xr:uid="{33E14AD4-5E95-430A-90C4-2B1140F627F7}"/>
    <cellStyle name="Normal 3 5" xfId="5" xr:uid="{40DBB9CF-1097-418C-B273-0CAA3F1309B4}"/>
    <cellStyle name="Percent 2" xfId="4" xr:uid="{4F69DF69-BC58-4DFE-9308-8D519201D2D2}"/>
  </cellStyles>
  <dxfs count="83">
    <dxf>
      <fill>
        <patternFill>
          <bgColor theme="0" tint="-4.9989318521683403E-2"/>
        </patternFill>
      </fill>
    </dxf>
    <dxf>
      <fill>
        <patternFill>
          <bgColor rgb="FFEFF3BF"/>
        </patternFill>
      </fill>
    </dxf>
    <dxf>
      <fill>
        <patternFill>
          <bgColor rgb="FFEFF3BF"/>
        </patternFill>
      </fill>
    </dxf>
    <dxf>
      <font>
        <color theme="1"/>
      </font>
    </dxf>
    <dxf>
      <font>
        <b/>
        <i val="0"/>
        <condense val="0"/>
        <extend val="0"/>
        <color indexed="10"/>
      </font>
    </dxf>
    <dxf>
      <font>
        <b/>
        <i val="0"/>
        <color theme="4"/>
      </font>
    </dxf>
    <dxf>
      <font>
        <b/>
        <i val="0"/>
        <color theme="5"/>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patternType="lightUp">
          <bgColor theme="0" tint="-0.14996795556505021"/>
        </patternFill>
      </fill>
    </dxf>
    <dxf>
      <fill>
        <patternFill>
          <bgColor rgb="FF97E4FF"/>
        </patternFill>
      </fill>
    </dxf>
    <dxf>
      <font>
        <color theme="0" tint="-0.14996795556505021"/>
      </font>
      <fill>
        <patternFill patternType="solid">
          <fgColor auto="1"/>
          <bgColor theme="0" tint="-0.14996795556505021"/>
        </patternFill>
      </fill>
      <border>
        <left/>
        <right/>
      </border>
    </dxf>
    <dxf>
      <font>
        <color theme="0" tint="-0.14996795556505021"/>
      </font>
      <fill>
        <patternFill patternType="solid">
          <fgColor auto="1"/>
          <bgColor theme="0" tint="-0.14996795556505021"/>
        </patternFill>
      </fill>
      <border>
        <left/>
        <right/>
      </border>
    </dxf>
    <dxf>
      <font>
        <color theme="0" tint="-0.14996795556505021"/>
      </font>
      <fill>
        <patternFill>
          <bgColor theme="0" tint="-0.14996795556505021"/>
        </patternFill>
      </fill>
      <border>
        <left/>
        <right/>
        <bottom/>
        <vertical/>
        <horizontal/>
      </border>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FF5050"/>
        </patternFill>
      </fill>
    </dxf>
    <dxf>
      <font>
        <color theme="0" tint="-0.14996795556505021"/>
      </font>
      <fill>
        <patternFill>
          <bgColor theme="0" tint="-0.14996795556505021"/>
        </patternFill>
      </fill>
      <border>
        <left/>
        <right/>
        <vertical/>
        <horizontal/>
      </border>
    </dxf>
    <dxf>
      <fill>
        <patternFill>
          <bgColor rgb="FF97E4FF"/>
        </patternFill>
      </fill>
    </dxf>
    <dxf>
      <fill>
        <patternFill>
          <bgColor rgb="FF00B050"/>
        </patternFill>
      </fill>
    </dxf>
    <dxf>
      <fill>
        <patternFill>
          <bgColor rgb="FF97E4FF"/>
        </patternFill>
      </fill>
    </dxf>
    <dxf>
      <fill>
        <patternFill>
          <bgColor rgb="FF97E4FF"/>
        </patternFill>
      </fill>
    </dxf>
    <dxf>
      <fill>
        <patternFill>
          <bgColor rgb="FF97E4FF"/>
        </patternFill>
      </fill>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left/>
        <right/>
        <vertical/>
        <horizontal/>
      </border>
    </dxf>
    <dxf>
      <font>
        <color theme="0" tint="-0.14996795556505021"/>
      </font>
      <fill>
        <patternFill>
          <bgColor theme="0" tint="-0.14996795556505021"/>
        </patternFill>
      </fill>
      <border>
        <left/>
        <right/>
        <vertical/>
        <horizontal/>
      </border>
    </dxf>
    <dxf>
      <font>
        <color theme="0" tint="-0.14996795556505021"/>
      </font>
      <fill>
        <patternFill patternType="solid">
          <fgColor auto="1"/>
          <bgColor theme="0" tint="-0.14996795556505021"/>
        </patternFill>
      </fill>
      <border>
        <left/>
        <right/>
        <bottom/>
      </border>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border>
        <bottom style="thin">
          <color auto="1"/>
        </bottom>
        <vertical/>
        <horizontal/>
      </border>
    </dxf>
    <dxf>
      <font>
        <color theme="0"/>
      </font>
      <border>
        <right/>
        <top/>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border>
    </dxf>
    <dxf>
      <fill>
        <patternFill>
          <bgColor rgb="FF00B0F0"/>
        </patternFill>
      </fill>
    </dxf>
    <dxf>
      <fill>
        <patternFill>
          <bgColor rgb="FF00B0F0"/>
        </patternFill>
      </fill>
    </dxf>
    <dxf>
      <font>
        <color theme="1"/>
      </font>
    </dxf>
    <dxf>
      <font>
        <b/>
        <i val="0"/>
        <condense val="0"/>
        <extend val="0"/>
        <color indexed="10"/>
      </font>
    </dxf>
    <dxf>
      <font>
        <b/>
        <i val="0"/>
        <color theme="4"/>
      </font>
    </dxf>
    <dxf>
      <font>
        <b/>
        <i val="0"/>
        <color theme="5"/>
      </font>
    </dxf>
    <dxf>
      <font>
        <b/>
        <i val="0"/>
        <condense val="0"/>
        <extend val="0"/>
        <color indexed="10"/>
      </font>
    </dxf>
    <dxf>
      <font>
        <b/>
        <i val="0"/>
        <color theme="5"/>
      </font>
    </dxf>
    <dxf>
      <font>
        <b/>
        <i val="0"/>
        <color theme="4"/>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B4C6E7"/>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bgColor theme="4" tint="0.39994506668294322"/>
        </patternFill>
      </fill>
    </dxf>
    <dxf>
      <font>
        <color theme="0" tint="-0.14996795556505021"/>
      </font>
      <fill>
        <patternFill>
          <bgColor theme="0" tint="-0.14996795556505021"/>
        </patternFill>
      </fill>
      <border>
        <left/>
        <right/>
        <vertical/>
        <horizontal/>
      </border>
    </dxf>
    <dxf>
      <font>
        <color theme="1"/>
      </font>
      <fill>
        <patternFill>
          <bgColor theme="7" tint="0.79998168889431442"/>
        </patternFill>
      </fill>
      <border>
        <top style="thin">
          <color auto="1"/>
        </top>
        <bottom style="thin">
          <color auto="1"/>
        </bottom>
        <vertical/>
        <horizontal/>
      </border>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right/>
        <bottom/>
        <vertical/>
        <horizontal/>
      </border>
    </dxf>
    <dxf>
      <font>
        <strike/>
        <color theme="0" tint="-0.14996795556505021"/>
      </font>
      <fill>
        <patternFill patternType="solid">
          <fgColor auto="1"/>
          <bgColor theme="0" tint="-0.14996795556505021"/>
        </patternFill>
      </fill>
      <border>
        <left/>
        <right/>
        <top/>
        <bottom/>
      </border>
    </dxf>
    <dxf>
      <font>
        <strike/>
      </font>
      <fill>
        <gradientFill degree="45">
          <stop position="0">
            <color theme="0"/>
          </stop>
          <stop position="0.5">
            <color rgb="FFFF0000"/>
          </stop>
          <stop position="1">
            <color theme="0"/>
          </stop>
        </gradientFill>
      </fill>
    </dxf>
    <dxf>
      <font>
        <strike/>
      </font>
      <fill>
        <gradientFill degree="45">
          <stop position="0">
            <color theme="0"/>
          </stop>
          <stop position="0.5">
            <color rgb="FFFF0000"/>
          </stop>
          <stop position="1">
            <color theme="0"/>
          </stop>
        </gradientFill>
      </fill>
    </dxf>
    <dxf>
      <fill>
        <patternFill>
          <bgColor rgb="FF00B0F0"/>
        </patternFill>
      </fill>
    </dxf>
    <dxf>
      <font>
        <color theme="1"/>
      </font>
      <fill>
        <patternFill>
          <bgColor rgb="FFFFFF00"/>
        </patternFill>
      </fill>
      <border>
        <left style="thin">
          <color auto="1"/>
        </left>
        <right style="thin">
          <color auto="1"/>
        </right>
        <top style="thin">
          <color auto="1"/>
        </top>
        <bottom style="thin">
          <color auto="1"/>
        </bottom>
        <vertical/>
        <horizontal/>
      </border>
    </dxf>
    <dxf>
      <font>
        <color theme="7" tint="0.79998168889431442"/>
      </font>
      <fill>
        <patternFill>
          <bgColor theme="7" tint="0.79998168889431442"/>
        </patternFill>
      </fill>
      <border>
        <top/>
        <bottom/>
        <vertical/>
        <horizontal/>
      </border>
    </dxf>
  </dxfs>
  <tableStyles count="0" defaultTableStyle="TableStyleMedium2" defaultPivotStyle="PivotStyleLight16"/>
  <colors>
    <mruColors>
      <color rgb="FFEFF3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23/09/relationships/Python" Target="pyth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GBox"/>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png"/><Relationship Id="rId1" Type="http://schemas.openxmlformats.org/officeDocument/2006/relationships/image" Target="../media/image13.jpeg"/><Relationship Id="rId6" Type="http://schemas.openxmlformats.org/officeDocument/2006/relationships/image" Target="../media/image18.jpeg"/><Relationship Id="rId11" Type="http://schemas.openxmlformats.org/officeDocument/2006/relationships/image" Target="../media/image23.tiff"/><Relationship Id="rId5" Type="http://schemas.openxmlformats.org/officeDocument/2006/relationships/image" Target="../media/image17.jpeg"/><Relationship Id="rId10" Type="http://schemas.openxmlformats.org/officeDocument/2006/relationships/image" Target="../media/image22.emf"/><Relationship Id="rId4" Type="http://schemas.openxmlformats.org/officeDocument/2006/relationships/image" Target="../media/image16.png"/><Relationship Id="rId9" Type="http://schemas.openxmlformats.org/officeDocument/2006/relationships/image" Target="../media/image21.emf"/></Relationships>
</file>

<file path=xl/drawings/_rels/drawing5.xml.rels><?xml version="1.0" encoding="UTF-8" standalone="yes"?>
<Relationships xmlns="http://schemas.openxmlformats.org/package/2006/relationships"><Relationship Id="rId8" Type="http://schemas.openxmlformats.org/officeDocument/2006/relationships/image" Target="../media/image33.JPG"/><Relationship Id="rId13" Type="http://schemas.openxmlformats.org/officeDocument/2006/relationships/image" Target="../media/image38.JPG"/><Relationship Id="rId3" Type="http://schemas.openxmlformats.org/officeDocument/2006/relationships/image" Target="../media/image28.emf"/><Relationship Id="rId7" Type="http://schemas.openxmlformats.org/officeDocument/2006/relationships/image" Target="../media/image32.JPG"/><Relationship Id="rId12" Type="http://schemas.openxmlformats.org/officeDocument/2006/relationships/image" Target="../media/image37.JPG"/><Relationship Id="rId2" Type="http://schemas.openxmlformats.org/officeDocument/2006/relationships/image" Target="../media/image27.jpeg"/><Relationship Id="rId1" Type="http://schemas.openxmlformats.org/officeDocument/2006/relationships/image" Target="../media/image26.png"/><Relationship Id="rId6" Type="http://schemas.openxmlformats.org/officeDocument/2006/relationships/image" Target="../media/image31.JPG"/><Relationship Id="rId11" Type="http://schemas.openxmlformats.org/officeDocument/2006/relationships/image" Target="../media/image36.JPG"/><Relationship Id="rId5" Type="http://schemas.openxmlformats.org/officeDocument/2006/relationships/image" Target="../media/image30.JPG"/><Relationship Id="rId15" Type="http://schemas.openxmlformats.org/officeDocument/2006/relationships/image" Target="../media/image40.png"/><Relationship Id="rId10" Type="http://schemas.openxmlformats.org/officeDocument/2006/relationships/image" Target="../media/image35.JPG"/><Relationship Id="rId4" Type="http://schemas.openxmlformats.org/officeDocument/2006/relationships/image" Target="../media/image29.JPG"/><Relationship Id="rId9" Type="http://schemas.openxmlformats.org/officeDocument/2006/relationships/image" Target="../media/image34.JPG"/><Relationship Id="rId14" Type="http://schemas.openxmlformats.org/officeDocument/2006/relationships/image" Target="../media/image39.JPG"/></Relationships>
</file>

<file path=xl/drawings/_rels/drawing8.xml.rels><?xml version="1.0" encoding="UTF-8" standalone="yes"?>
<Relationships xmlns="http://schemas.openxmlformats.org/package/2006/relationships"><Relationship Id="rId1" Type="http://schemas.openxmlformats.org/officeDocument/2006/relationships/image" Target="../media/image42.png"/></Relationships>
</file>

<file path=xl/drawings/_rels/drawing9.xml.rels><?xml version="1.0" encoding="UTF-8" standalone="yes"?>
<Relationships xmlns="http://schemas.openxmlformats.org/package/2006/relationships"><Relationship Id="rId1" Type="http://schemas.openxmlformats.org/officeDocument/2006/relationships/image" Target="../media/image4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1</xdr:row>
          <xdr:rowOff>19050</xdr:rowOff>
        </xdr:from>
        <xdr:to>
          <xdr:col>5</xdr:col>
          <xdr:colOff>1504950</xdr:colOff>
          <xdr:row>2</xdr:row>
          <xdr:rowOff>219075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 </a:t>
              </a:r>
              <a:r>
                <a:rPr lang="en-AU" sz="1600" b="0" i="0" u="none" strike="noStrike" baseline="0">
                  <a:solidFill>
                    <a:srgbClr val="000000"/>
                  </a:solidFill>
                  <a:latin typeface="Arial Black"/>
                  <a:ea typeface="Calibri"/>
                  <a:cs typeface="Calibri"/>
                </a:rPr>
                <a:t>Get Client details</a:t>
              </a:r>
              <a:endParaRPr lang="en-AU" sz="16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9</xdr:row>
          <xdr:rowOff>47625</xdr:rowOff>
        </xdr:from>
        <xdr:to>
          <xdr:col>3</xdr:col>
          <xdr:colOff>447675</xdr:colOff>
          <xdr:row>11</xdr:row>
          <xdr:rowOff>200025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Narrow"/>
                </a:rPr>
                <a:t>SET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16</xdr:row>
          <xdr:rowOff>95250</xdr:rowOff>
        </xdr:from>
        <xdr:to>
          <xdr:col>10</xdr:col>
          <xdr:colOff>9525</xdr:colOff>
          <xdr:row>17</xdr:row>
          <xdr:rowOff>133350</xdr:rowOff>
        </xdr:to>
        <xdr:sp macro="" textlink="">
          <xdr:nvSpPr>
            <xdr:cNvPr id="2051" name="forTrainee"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 Trainees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57150</xdr:colOff>
      <xdr:row>158</xdr:row>
      <xdr:rowOff>123825</xdr:rowOff>
    </xdr:from>
    <xdr:to>
      <xdr:col>4</xdr:col>
      <xdr:colOff>9525</xdr:colOff>
      <xdr:row>167</xdr:row>
      <xdr:rowOff>19050</xdr:rowOff>
    </xdr:to>
    <xdr:pic>
      <xdr:nvPicPr>
        <xdr:cNvPr id="2" name="Picture 5">
          <a:extLst>
            <a:ext uri="{FF2B5EF4-FFF2-40B4-BE49-F238E27FC236}">
              <a16:creationId xmlns:a16="http://schemas.microsoft.com/office/drawing/2014/main" id="{2AE6ED61-853F-4EFE-8CEE-009FED9E72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3" name="Picture 5">
          <a:extLst>
            <a:ext uri="{FF2B5EF4-FFF2-40B4-BE49-F238E27FC236}">
              <a16:creationId xmlns:a16="http://schemas.microsoft.com/office/drawing/2014/main" id="{7BC15F5C-720E-4782-854D-B6483BCDC1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4" name="Picture 5">
          <a:extLst>
            <a:ext uri="{FF2B5EF4-FFF2-40B4-BE49-F238E27FC236}">
              <a16:creationId xmlns:a16="http://schemas.microsoft.com/office/drawing/2014/main" id="{8F5D3452-FE31-4643-B745-DC370D855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59</xdr:row>
      <xdr:rowOff>0</xdr:rowOff>
    </xdr:from>
    <xdr:to>
      <xdr:col>2</xdr:col>
      <xdr:colOff>681920</xdr:colOff>
      <xdr:row>59</xdr:row>
      <xdr:rowOff>681667</xdr:rowOff>
    </xdr:to>
    <xdr:pic>
      <xdr:nvPicPr>
        <xdr:cNvPr id="5" name="IUTP1">
          <a:extLst>
            <a:ext uri="{FF2B5EF4-FFF2-40B4-BE49-F238E27FC236}">
              <a16:creationId xmlns:a16="http://schemas.microsoft.com/office/drawing/2014/main" id="{2DACBC11-BAD2-417D-9112-677E29D7EF7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8860" y="11955780"/>
          <a:ext cx="681920" cy="681667"/>
        </a:xfrm>
        <a:prstGeom prst="rect">
          <a:avLst/>
        </a:prstGeom>
      </xdr:spPr>
    </xdr:pic>
    <xdr:clientData/>
  </xdr:twoCellAnchor>
  <xdr:twoCellAnchor editAs="oneCell">
    <xdr:from>
      <xdr:col>2</xdr:col>
      <xdr:colOff>0</xdr:colOff>
      <xdr:row>60</xdr:row>
      <xdr:rowOff>0</xdr:rowOff>
    </xdr:from>
    <xdr:to>
      <xdr:col>2</xdr:col>
      <xdr:colOff>681413</xdr:colOff>
      <xdr:row>60</xdr:row>
      <xdr:rowOff>688908</xdr:rowOff>
    </xdr:to>
    <xdr:pic>
      <xdr:nvPicPr>
        <xdr:cNvPr id="6" name="IUTP2">
          <a:extLst>
            <a:ext uri="{FF2B5EF4-FFF2-40B4-BE49-F238E27FC236}">
              <a16:creationId xmlns:a16="http://schemas.microsoft.com/office/drawing/2014/main" id="{85D9349F-1710-430C-8D74-B534F5C4AED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8860" y="12717780"/>
          <a:ext cx="681413" cy="688908"/>
        </a:xfrm>
        <a:prstGeom prst="rect">
          <a:avLst/>
        </a:prstGeom>
      </xdr:spPr>
    </xdr:pic>
    <xdr:clientData/>
  </xdr:twoCellAnchor>
  <xdr:twoCellAnchor editAs="oneCell">
    <xdr:from>
      <xdr:col>2</xdr:col>
      <xdr:colOff>28575</xdr:colOff>
      <xdr:row>61</xdr:row>
      <xdr:rowOff>0</xdr:rowOff>
    </xdr:from>
    <xdr:to>
      <xdr:col>2</xdr:col>
      <xdr:colOff>721674</xdr:colOff>
      <xdr:row>61</xdr:row>
      <xdr:rowOff>720532</xdr:rowOff>
    </xdr:to>
    <xdr:pic>
      <xdr:nvPicPr>
        <xdr:cNvPr id="7" name="IUTP3">
          <a:extLst>
            <a:ext uri="{FF2B5EF4-FFF2-40B4-BE49-F238E27FC236}">
              <a16:creationId xmlns:a16="http://schemas.microsoft.com/office/drawing/2014/main" id="{598B11C4-801F-4AAB-B56E-61601EF52E3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39340" y="13479780"/>
          <a:ext cx="693099" cy="720532"/>
        </a:xfrm>
        <a:prstGeom prst="rect">
          <a:avLst/>
        </a:prstGeom>
      </xdr:spPr>
    </xdr:pic>
    <xdr:clientData/>
  </xdr:twoCellAnchor>
  <xdr:twoCellAnchor editAs="oneCell">
    <xdr:from>
      <xdr:col>2</xdr:col>
      <xdr:colOff>0</xdr:colOff>
      <xdr:row>62</xdr:row>
      <xdr:rowOff>0</xdr:rowOff>
    </xdr:from>
    <xdr:to>
      <xdr:col>2</xdr:col>
      <xdr:colOff>573074</xdr:colOff>
      <xdr:row>62</xdr:row>
      <xdr:rowOff>720532</xdr:rowOff>
    </xdr:to>
    <xdr:pic>
      <xdr:nvPicPr>
        <xdr:cNvPr id="8" name="IUTP4">
          <a:extLst>
            <a:ext uri="{FF2B5EF4-FFF2-40B4-BE49-F238E27FC236}">
              <a16:creationId xmlns:a16="http://schemas.microsoft.com/office/drawing/2014/main" id="{22B66EA2-4E0B-4DD0-8C2C-9FEF8B137BB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08860" y="14241780"/>
          <a:ext cx="573074" cy="720532"/>
        </a:xfrm>
        <a:prstGeom prst="rect">
          <a:avLst/>
        </a:prstGeom>
      </xdr:spPr>
    </xdr:pic>
    <xdr:clientData/>
  </xdr:twoCellAnchor>
  <xdr:twoCellAnchor editAs="oneCell">
    <xdr:from>
      <xdr:col>2</xdr:col>
      <xdr:colOff>0</xdr:colOff>
      <xdr:row>63</xdr:row>
      <xdr:rowOff>0</xdr:rowOff>
    </xdr:from>
    <xdr:to>
      <xdr:col>2</xdr:col>
      <xdr:colOff>376587</xdr:colOff>
      <xdr:row>63</xdr:row>
      <xdr:rowOff>725487</xdr:rowOff>
    </xdr:to>
    <xdr:pic>
      <xdr:nvPicPr>
        <xdr:cNvPr id="9" name="IUTP15">
          <a:extLst>
            <a:ext uri="{FF2B5EF4-FFF2-40B4-BE49-F238E27FC236}">
              <a16:creationId xmlns:a16="http://schemas.microsoft.com/office/drawing/2014/main" id="{DFEC9EDB-4D7A-4AE6-8C28-65946090F0E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08860" y="15003780"/>
          <a:ext cx="376587" cy="725487"/>
        </a:xfrm>
        <a:prstGeom prst="rect">
          <a:avLst/>
        </a:prstGeom>
      </xdr:spPr>
    </xdr:pic>
    <xdr:clientData/>
  </xdr:twoCellAnchor>
  <xdr:twoCellAnchor editAs="oneCell">
    <xdr:from>
      <xdr:col>2</xdr:col>
      <xdr:colOff>0</xdr:colOff>
      <xdr:row>64</xdr:row>
      <xdr:rowOff>0</xdr:rowOff>
    </xdr:from>
    <xdr:to>
      <xdr:col>2</xdr:col>
      <xdr:colOff>415959</xdr:colOff>
      <xdr:row>64</xdr:row>
      <xdr:rowOff>725487</xdr:rowOff>
    </xdr:to>
    <xdr:pic>
      <xdr:nvPicPr>
        <xdr:cNvPr id="10" name="IUTP6">
          <a:extLst>
            <a:ext uri="{FF2B5EF4-FFF2-40B4-BE49-F238E27FC236}">
              <a16:creationId xmlns:a16="http://schemas.microsoft.com/office/drawing/2014/main" id="{381AEE5C-F31A-4E39-8F43-4D89C3A708F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308860" y="15765780"/>
          <a:ext cx="415959" cy="725487"/>
        </a:xfrm>
        <a:prstGeom prst="rect">
          <a:avLst/>
        </a:prstGeom>
      </xdr:spPr>
    </xdr:pic>
    <xdr:clientData/>
  </xdr:twoCellAnchor>
  <xdr:twoCellAnchor editAs="oneCell">
    <xdr:from>
      <xdr:col>2</xdr:col>
      <xdr:colOff>0</xdr:colOff>
      <xdr:row>65</xdr:row>
      <xdr:rowOff>0</xdr:rowOff>
    </xdr:from>
    <xdr:to>
      <xdr:col>2</xdr:col>
      <xdr:colOff>415706</xdr:colOff>
      <xdr:row>65</xdr:row>
      <xdr:rowOff>725487</xdr:rowOff>
    </xdr:to>
    <xdr:pic>
      <xdr:nvPicPr>
        <xdr:cNvPr id="11" name="IUTP7">
          <a:extLst>
            <a:ext uri="{FF2B5EF4-FFF2-40B4-BE49-F238E27FC236}">
              <a16:creationId xmlns:a16="http://schemas.microsoft.com/office/drawing/2014/main" id="{2EB38863-AAF2-4174-9EDA-0662E8984D6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308860" y="16527780"/>
          <a:ext cx="415706" cy="725487"/>
        </a:xfrm>
        <a:prstGeom prst="rect">
          <a:avLst/>
        </a:prstGeom>
      </xdr:spPr>
    </xdr:pic>
    <xdr:clientData/>
  </xdr:twoCellAnchor>
  <xdr:twoCellAnchor editAs="oneCell">
    <xdr:from>
      <xdr:col>2</xdr:col>
      <xdr:colOff>0</xdr:colOff>
      <xdr:row>66</xdr:row>
      <xdr:rowOff>0</xdr:rowOff>
    </xdr:from>
    <xdr:to>
      <xdr:col>2</xdr:col>
      <xdr:colOff>681413</xdr:colOff>
      <xdr:row>66</xdr:row>
      <xdr:rowOff>721039</xdr:rowOff>
    </xdr:to>
    <xdr:pic>
      <xdr:nvPicPr>
        <xdr:cNvPr id="12" name="IUTP18">
          <a:extLst>
            <a:ext uri="{FF2B5EF4-FFF2-40B4-BE49-F238E27FC236}">
              <a16:creationId xmlns:a16="http://schemas.microsoft.com/office/drawing/2014/main" id="{D01F7F5F-2EDF-4900-9958-AE142D43C96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308860" y="17289780"/>
          <a:ext cx="681413" cy="721039"/>
        </a:xfrm>
        <a:prstGeom prst="rect">
          <a:avLst/>
        </a:prstGeom>
      </xdr:spPr>
    </xdr:pic>
    <xdr:clientData/>
  </xdr:twoCellAnchor>
  <xdr:twoCellAnchor editAs="oneCell">
    <xdr:from>
      <xdr:col>2</xdr:col>
      <xdr:colOff>0</xdr:colOff>
      <xdr:row>67</xdr:row>
      <xdr:rowOff>0</xdr:rowOff>
    </xdr:from>
    <xdr:to>
      <xdr:col>2</xdr:col>
      <xdr:colOff>301777</xdr:colOff>
      <xdr:row>67</xdr:row>
      <xdr:rowOff>720025</xdr:rowOff>
    </xdr:to>
    <xdr:pic>
      <xdr:nvPicPr>
        <xdr:cNvPr id="13" name="IUTP19">
          <a:extLst>
            <a:ext uri="{FF2B5EF4-FFF2-40B4-BE49-F238E27FC236}">
              <a16:creationId xmlns:a16="http://schemas.microsoft.com/office/drawing/2014/main" id="{820E1F94-2407-480A-9E00-DF2067A790F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8860" y="18051780"/>
          <a:ext cx="301777" cy="7200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121595</xdr:colOff>
          <xdr:row>19</xdr:row>
          <xdr:rowOff>1</xdr:rowOff>
        </xdr:from>
        <xdr:to>
          <xdr:col>6</xdr:col>
          <xdr:colOff>1094361</xdr:colOff>
          <xdr:row>22</xdr:row>
          <xdr:rowOff>101330</xdr:rowOff>
        </xdr:to>
        <xdr:pic>
          <xdr:nvPicPr>
            <xdr:cNvPr id="14" name="Picture 13">
              <a:extLst>
                <a:ext uri="{FF2B5EF4-FFF2-40B4-BE49-F238E27FC236}">
                  <a16:creationId xmlns:a16="http://schemas.microsoft.com/office/drawing/2014/main" id="{6DE09030-1666-4DAE-B064-295579F32A50}"/>
                </a:ext>
              </a:extLst>
            </xdr:cNvPr>
            <xdr:cNvPicPr>
              <a:picLocks noChangeAspect="1"/>
              <a:extLst>
                <a:ext uri="{84589F7E-364E-4C9E-8A38-B11213B215E9}">
                  <a14:cameraTool cellRange="IUTPIC" spid="_x0000_s3639"/>
                </a:ext>
              </a:extLst>
            </xdr:cNvPicPr>
          </xdr:nvPicPr>
          <xdr:blipFill>
            <a:blip xmlns:r="http://schemas.openxmlformats.org/officeDocument/2006/relationships" r:embed="rId11"/>
            <a:stretch>
              <a:fillRect/>
            </a:stretch>
          </xdr:blipFill>
          <xdr:spPr>
            <a:xfrm>
              <a:off x="4995558" y="4103857"/>
              <a:ext cx="972766" cy="75997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11</xdr:row>
          <xdr:rowOff>19050</xdr:rowOff>
        </xdr:from>
        <xdr:to>
          <xdr:col>6</xdr:col>
          <xdr:colOff>466725</xdr:colOff>
          <xdr:row>12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57150</xdr:rowOff>
        </xdr:from>
        <xdr:to>
          <xdr:col>1</xdr:col>
          <xdr:colOff>419100</xdr:colOff>
          <xdr:row>6</xdr:row>
          <xdr:rowOff>38100</xdr:rowOff>
        </xdr:to>
        <xdr:sp macro="" textlink="">
          <xdr:nvSpPr>
            <xdr:cNvPr id="22529" name="TestData"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19050</xdr:rowOff>
        </xdr:to>
        <xdr:sp macro="" textlink="">
          <xdr:nvSpPr>
            <xdr:cNvPr id="22530" name="Zero"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95250</xdr:rowOff>
        </xdr:from>
        <xdr:to>
          <xdr:col>1</xdr:col>
          <xdr:colOff>352425</xdr:colOff>
          <xdr:row>4</xdr:row>
          <xdr:rowOff>66675</xdr:rowOff>
        </xdr:to>
        <xdr:sp macro="" textlink="">
          <xdr:nvSpPr>
            <xdr:cNvPr id="22531" name="Pass" hidden="1">
              <a:extLst>
                <a:ext uri="{63B3BB69-23CF-44E3-9099-C40C66FF867C}">
                  <a14:compatExt spid="_x0000_s22531"/>
                </a:ext>
                <a:ext uri="{FF2B5EF4-FFF2-40B4-BE49-F238E27FC236}">
                  <a16:creationId xmlns:a16="http://schemas.microsoft.com/office/drawing/2014/main" id="{00000000-0008-0000-03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133350</xdr:rowOff>
        </xdr:from>
        <xdr:to>
          <xdr:col>1</xdr:col>
          <xdr:colOff>352425</xdr:colOff>
          <xdr:row>5</xdr:row>
          <xdr:rowOff>142875</xdr:rowOff>
        </xdr:to>
        <xdr:sp macro="" textlink="">
          <xdr:nvSpPr>
            <xdr:cNvPr id="22532" name="Fail" hidden="1">
              <a:extLst>
                <a:ext uri="{63B3BB69-23CF-44E3-9099-C40C66FF867C}">
                  <a14:compatExt spid="_x0000_s22532"/>
                </a:ext>
                <a:ext uri="{FF2B5EF4-FFF2-40B4-BE49-F238E27FC236}">
                  <a16:creationId xmlns:a16="http://schemas.microsoft.com/office/drawing/2014/main" id="{00000000-0008-0000-03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22533" name="Points" hidden="1">
              <a:extLst>
                <a:ext uri="{63B3BB69-23CF-44E3-9099-C40C66FF867C}">
                  <a14:compatExt spid="_x0000_s22533"/>
                </a:ext>
                <a:ext uri="{FF2B5EF4-FFF2-40B4-BE49-F238E27FC236}">
                  <a16:creationId xmlns:a16="http://schemas.microsoft.com/office/drawing/2014/main" id="{00000000-0008-0000-03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2</xdr:row>
          <xdr:rowOff>161925</xdr:rowOff>
        </xdr:from>
        <xdr:to>
          <xdr:col>17</xdr:col>
          <xdr:colOff>428625</xdr:colOff>
          <xdr:row>4</xdr:row>
          <xdr:rowOff>47625</xdr:rowOff>
        </xdr:to>
        <xdr:sp macro="" textlink="">
          <xdr:nvSpPr>
            <xdr:cNvPr id="22534" name="retern" hidden="1">
              <a:extLst>
                <a:ext uri="{63B3BB69-23CF-44E3-9099-C40C66FF867C}">
                  <a14:compatExt spid="_x0000_s22534"/>
                </a:ext>
                <a:ext uri="{FF2B5EF4-FFF2-40B4-BE49-F238E27FC236}">
                  <a16:creationId xmlns:a16="http://schemas.microsoft.com/office/drawing/2014/main" id="{00000000-0008-0000-0300-000006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47625</xdr:rowOff>
        </xdr:from>
        <xdr:to>
          <xdr:col>17</xdr:col>
          <xdr:colOff>428625</xdr:colOff>
          <xdr:row>2</xdr:row>
          <xdr:rowOff>123825</xdr:rowOff>
        </xdr:to>
        <xdr:sp macro="" textlink="">
          <xdr:nvSpPr>
            <xdr:cNvPr id="22535" name="Reviewed" hidden="1">
              <a:extLst>
                <a:ext uri="{63B3BB69-23CF-44E3-9099-C40C66FF867C}">
                  <a14:compatExt spid="_x0000_s22535"/>
                </a:ext>
                <a:ext uri="{FF2B5EF4-FFF2-40B4-BE49-F238E27FC236}">
                  <a16:creationId xmlns:a16="http://schemas.microsoft.com/office/drawing/2014/main" id="{00000000-0008-0000-0300-000007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438150</xdr:colOff>
          <xdr:row>2</xdr:row>
          <xdr:rowOff>123825</xdr:rowOff>
        </xdr:to>
        <xdr:sp macro="" textlink="">
          <xdr:nvSpPr>
            <xdr:cNvPr id="22536" name="NATAB" hidden="1">
              <a:extLst>
                <a:ext uri="{63B3BB69-23CF-44E3-9099-C40C66FF867C}">
                  <a14:compatExt spid="_x0000_s22536"/>
                </a:ext>
                <a:ext uri="{FF2B5EF4-FFF2-40B4-BE49-F238E27FC236}">
                  <a16:creationId xmlns:a16="http://schemas.microsoft.com/office/drawing/2014/main" id="{00000000-0008-0000-03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495300</xdr:colOff>
          <xdr:row>4</xdr:row>
          <xdr:rowOff>114300</xdr:rowOff>
        </xdr:to>
        <xdr:sp macro="" textlink="">
          <xdr:nvSpPr>
            <xdr:cNvPr id="22537" name="Group Box 9" hidden="1">
              <a:extLst>
                <a:ext uri="{63B3BB69-23CF-44E3-9099-C40C66FF867C}">
                  <a14:compatExt spid="_x0000_s22537"/>
                </a:ext>
                <a:ext uri="{FF2B5EF4-FFF2-40B4-BE49-F238E27FC236}">
                  <a16:creationId xmlns:a16="http://schemas.microsoft.com/office/drawing/2014/main" id="{00000000-0008-0000-0300-00000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590550</xdr:colOff>
          <xdr:row>13</xdr:row>
          <xdr:rowOff>171450</xdr:rowOff>
        </xdr:to>
        <xdr:sp macro="" textlink="">
          <xdr:nvSpPr>
            <xdr:cNvPr id="22538" name="Norm" hidden="1">
              <a:extLst>
                <a:ext uri="{63B3BB69-23CF-44E3-9099-C40C66FF867C}">
                  <a14:compatExt spid="_x0000_s22538"/>
                </a:ext>
                <a:ext uri="{FF2B5EF4-FFF2-40B4-BE49-F238E27FC236}">
                  <a16:creationId xmlns:a16="http://schemas.microsoft.com/office/drawing/2014/main" id="{00000000-0008-0000-0300-00000A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13</xdr:row>
          <xdr:rowOff>19050</xdr:rowOff>
        </xdr:from>
        <xdr:to>
          <xdr:col>9</xdr:col>
          <xdr:colOff>161925</xdr:colOff>
          <xdr:row>13</xdr:row>
          <xdr:rowOff>171450</xdr:rowOff>
        </xdr:to>
        <xdr:sp macro="" textlink="">
          <xdr:nvSpPr>
            <xdr:cNvPr id="22539" name="INorm" hidden="1">
              <a:extLst>
                <a:ext uri="{63B3BB69-23CF-44E3-9099-C40C66FF867C}">
                  <a14:compatExt spid="_x0000_s22539"/>
                </a:ext>
                <a:ext uri="{FF2B5EF4-FFF2-40B4-BE49-F238E27FC236}">
                  <a16:creationId xmlns:a16="http://schemas.microsoft.com/office/drawing/2014/main" id="{00000000-0008-0000-0300-00000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400050</xdr:colOff>
          <xdr:row>6</xdr:row>
          <xdr:rowOff>171450</xdr:rowOff>
        </xdr:from>
        <xdr:to>
          <xdr:col>20</xdr:col>
          <xdr:colOff>95250</xdr:colOff>
          <xdr:row>8</xdr:row>
          <xdr:rowOff>57150</xdr:rowOff>
        </xdr:to>
        <xdr:sp macro="" textlink="">
          <xdr:nvSpPr>
            <xdr:cNvPr id="22540" name="Trainee" hidden="1">
              <a:extLst>
                <a:ext uri="{63B3BB69-23CF-44E3-9099-C40C66FF867C}">
                  <a14:compatExt spid="_x0000_s22540"/>
                </a:ext>
                <a:ext uri="{FF2B5EF4-FFF2-40B4-BE49-F238E27FC236}">
                  <a16:creationId xmlns:a16="http://schemas.microsoft.com/office/drawing/2014/main" id="{00000000-0008-0000-0300-00000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19050</xdr:rowOff>
        </xdr:from>
        <xdr:to>
          <xdr:col>17</xdr:col>
          <xdr:colOff>428625</xdr:colOff>
          <xdr:row>2</xdr:row>
          <xdr:rowOff>95250</xdr:rowOff>
        </xdr:to>
        <xdr:sp macro="" textlink="">
          <xdr:nvSpPr>
            <xdr:cNvPr id="22541" name="Traceable" hidden="1">
              <a:extLst>
                <a:ext uri="{63B3BB69-23CF-44E3-9099-C40C66FF867C}">
                  <a14:compatExt spid="_x0000_s22541"/>
                </a:ext>
                <a:ext uri="{FF2B5EF4-FFF2-40B4-BE49-F238E27FC236}">
                  <a16:creationId xmlns:a16="http://schemas.microsoft.com/office/drawing/2014/main" id="{00000000-0008-0000-0300-00000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11</xdr:row>
          <xdr:rowOff>38100</xdr:rowOff>
        </xdr:from>
        <xdr:to>
          <xdr:col>16</xdr:col>
          <xdr:colOff>581025</xdr:colOff>
          <xdr:row>11</xdr:row>
          <xdr:rowOff>247650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300-00000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12</xdr:row>
          <xdr:rowOff>28575</xdr:rowOff>
        </xdr:from>
        <xdr:to>
          <xdr:col>16</xdr:col>
          <xdr:colOff>581025</xdr:colOff>
          <xdr:row>12</xdr:row>
          <xdr:rowOff>238125</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300-00000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11</xdr:row>
          <xdr:rowOff>28575</xdr:rowOff>
        </xdr:from>
        <xdr:to>
          <xdr:col>15</xdr:col>
          <xdr:colOff>590550</xdr:colOff>
          <xdr:row>12</xdr:row>
          <xdr:rowOff>228600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300-000010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31</xdr:row>
          <xdr:rowOff>180975</xdr:rowOff>
        </xdr:from>
        <xdr:to>
          <xdr:col>34</xdr:col>
          <xdr:colOff>9525</xdr:colOff>
          <xdr:row>33</xdr:row>
          <xdr:rowOff>76200</xdr:rowOff>
        </xdr:to>
        <xdr:sp macro="" textlink="">
          <xdr:nvSpPr>
            <xdr:cNvPr id="22545" name="Button 17" hidden="1">
              <a:extLst>
                <a:ext uri="{63B3BB69-23CF-44E3-9099-C40C66FF867C}">
                  <a14:compatExt spid="_x0000_s22545"/>
                </a:ext>
                <a:ext uri="{FF2B5EF4-FFF2-40B4-BE49-F238E27FC236}">
                  <a16:creationId xmlns:a16="http://schemas.microsoft.com/office/drawing/2014/main" id="{00000000-0008-0000-0300-00001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34</xdr:row>
          <xdr:rowOff>9525</xdr:rowOff>
        </xdr:from>
        <xdr:to>
          <xdr:col>33</xdr:col>
          <xdr:colOff>581025</xdr:colOff>
          <xdr:row>35</xdr:row>
          <xdr:rowOff>142875</xdr:rowOff>
        </xdr:to>
        <xdr:sp macro="" textlink="">
          <xdr:nvSpPr>
            <xdr:cNvPr id="22546" name="Button 18" hidden="1">
              <a:extLst>
                <a:ext uri="{63B3BB69-23CF-44E3-9099-C40C66FF867C}">
                  <a14:compatExt spid="_x0000_s22546"/>
                </a:ext>
                <a:ext uri="{FF2B5EF4-FFF2-40B4-BE49-F238E27FC236}">
                  <a16:creationId xmlns:a16="http://schemas.microsoft.com/office/drawing/2014/main" id="{00000000-0008-0000-0300-00001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Show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36</xdr:row>
          <xdr:rowOff>38100</xdr:rowOff>
        </xdr:from>
        <xdr:to>
          <xdr:col>33</xdr:col>
          <xdr:colOff>590550</xdr:colOff>
          <xdr:row>38</xdr:row>
          <xdr:rowOff>9525</xdr:rowOff>
        </xdr:to>
        <xdr:sp macro="" textlink="">
          <xdr:nvSpPr>
            <xdr:cNvPr id="22547" name="Button 19" hidden="1">
              <a:extLst>
                <a:ext uri="{63B3BB69-23CF-44E3-9099-C40C66FF867C}">
                  <a14:compatExt spid="_x0000_s22547"/>
                </a:ext>
                <a:ext uri="{FF2B5EF4-FFF2-40B4-BE49-F238E27FC236}">
                  <a16:creationId xmlns:a16="http://schemas.microsoft.com/office/drawing/2014/main" id="{00000000-0008-0000-0300-00001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0</xdr:colOff>
      <xdr:row>2</xdr:row>
      <xdr:rowOff>47625</xdr:rowOff>
    </xdr:from>
    <xdr:to>
      <xdr:col>14</xdr:col>
      <xdr:colOff>150223</xdr:colOff>
      <xdr:row>7</xdr:row>
      <xdr:rowOff>30772</xdr:rowOff>
    </xdr:to>
    <xdr:pic>
      <xdr:nvPicPr>
        <xdr:cNvPr id="2" name="NATA" descr="A logo with orange and blue text&#10;&#10;Description automatically generated" hidden="1">
          <a:extLst>
            <a:ext uri="{FF2B5EF4-FFF2-40B4-BE49-F238E27FC236}">
              <a16:creationId xmlns:a16="http://schemas.microsoft.com/office/drawing/2014/main" id="{BBFCA149-11AB-4381-8885-F2B49525C188}"/>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452360" y="243840"/>
          <a:ext cx="559798" cy="849922"/>
        </a:xfrm>
        <a:prstGeom prst="rect">
          <a:avLst/>
        </a:prstGeom>
      </xdr:spPr>
    </xdr:pic>
    <xdr:clientData/>
  </xdr:twoCellAnchor>
  <xdr:twoCellAnchor editAs="oneCell">
    <xdr:from>
      <xdr:col>20</xdr:col>
      <xdr:colOff>266700</xdr:colOff>
      <xdr:row>21</xdr:row>
      <xdr:rowOff>0</xdr:rowOff>
    </xdr:from>
    <xdr:to>
      <xdr:col>22</xdr:col>
      <xdr:colOff>568583</xdr:colOff>
      <xdr:row>28</xdr:row>
      <xdr:rowOff>86548</xdr:rowOff>
    </xdr:to>
    <xdr:pic>
      <xdr:nvPicPr>
        <xdr:cNvPr id="3" name="Picture 2" descr="A black and orange logo&#10;&#10;Description automatically generated">
          <a:extLst>
            <a:ext uri="{FF2B5EF4-FFF2-40B4-BE49-F238E27FC236}">
              <a16:creationId xmlns:a16="http://schemas.microsoft.com/office/drawing/2014/main" id="{AB18446E-19F0-45FE-8CA7-9D3A058F4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458700" y="3726180"/>
          <a:ext cx="1521083" cy="743773"/>
        </a:xfrm>
        <a:prstGeom prst="rect">
          <a:avLst/>
        </a:prstGeom>
      </xdr:spPr>
    </xdr:pic>
    <xdr:clientData/>
  </xdr:twoCellAnchor>
  <xdr:twoCellAnchor editAs="oneCell">
    <xdr:from>
      <xdr:col>18</xdr:col>
      <xdr:colOff>133349</xdr:colOff>
      <xdr:row>21</xdr:row>
      <xdr:rowOff>0</xdr:rowOff>
    </xdr:from>
    <xdr:to>
      <xdr:col>20</xdr:col>
      <xdr:colOff>373378</xdr:colOff>
      <xdr:row>28</xdr:row>
      <xdr:rowOff>123072</xdr:rowOff>
    </xdr:to>
    <xdr:pic>
      <xdr:nvPicPr>
        <xdr:cNvPr id="4" name="Picture 3" descr="A close-up of logos&#10;&#10;Description automatically generated">
          <a:extLst>
            <a:ext uri="{FF2B5EF4-FFF2-40B4-BE49-F238E27FC236}">
              <a16:creationId xmlns:a16="http://schemas.microsoft.com/office/drawing/2014/main" id="{F628855F-8C6F-46C8-BC57-97FAC9437A4B}"/>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806" r="13089"/>
        <a:stretch/>
      </xdr:blipFill>
      <xdr:spPr>
        <a:xfrm>
          <a:off x="11109959" y="3726180"/>
          <a:ext cx="1459229" cy="780297"/>
        </a:xfrm>
        <a:prstGeom prst="rect">
          <a:avLst/>
        </a:prstGeom>
      </xdr:spPr>
    </xdr:pic>
    <xdr:clientData/>
  </xdr:twoCellAnchor>
  <xdr:twoCellAnchor editAs="oneCell">
    <xdr:from>
      <xdr:col>22</xdr:col>
      <xdr:colOff>533400</xdr:colOff>
      <xdr:row>21</xdr:row>
      <xdr:rowOff>0</xdr:rowOff>
    </xdr:from>
    <xdr:to>
      <xdr:col>25</xdr:col>
      <xdr:colOff>4059</xdr:colOff>
      <xdr:row>28</xdr:row>
      <xdr:rowOff>161926</xdr:rowOff>
    </xdr:to>
    <xdr:pic>
      <xdr:nvPicPr>
        <xdr:cNvPr id="5" name="Picture 4" descr="A black and orange logo&#10;&#10;Description automatically generated">
          <a:extLst>
            <a:ext uri="{FF2B5EF4-FFF2-40B4-BE49-F238E27FC236}">
              <a16:creationId xmlns:a16="http://schemas.microsoft.com/office/drawing/2014/main" id="{4F529BCB-2103-455B-BACC-D3ED33207C4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8995"/>
        <a:stretch/>
      </xdr:blipFill>
      <xdr:spPr>
        <a:xfrm>
          <a:off x="13944600" y="3726180"/>
          <a:ext cx="1518534" cy="819151"/>
        </a:xfrm>
        <a:prstGeom prst="rect">
          <a:avLst/>
        </a:prstGeom>
      </xdr:spPr>
    </xdr:pic>
    <xdr:clientData/>
  </xdr:twoCellAnchor>
  <xdr:twoCellAnchor editAs="oneCell">
    <xdr:from>
      <xdr:col>26</xdr:col>
      <xdr:colOff>0</xdr:colOff>
      <xdr:row>147</xdr:row>
      <xdr:rowOff>0</xdr:rowOff>
    </xdr:from>
    <xdr:to>
      <xdr:col>27</xdr:col>
      <xdr:colOff>997376</xdr:colOff>
      <xdr:row>147</xdr:row>
      <xdr:rowOff>647700</xdr:rowOff>
    </xdr:to>
    <xdr:pic>
      <xdr:nvPicPr>
        <xdr:cNvPr id="6" name="Picture 5" descr="A blue and grey logo&#10;&#10;Description automatically generated">
          <a:extLst>
            <a:ext uri="{FF2B5EF4-FFF2-40B4-BE49-F238E27FC236}">
              <a16:creationId xmlns:a16="http://schemas.microsoft.com/office/drawing/2014/main" id="{4FADC77E-F69A-4E73-BB78-39F8B740D06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7363420"/>
          <a:ext cx="1397426" cy="647700"/>
        </a:xfrm>
        <a:prstGeom prst="rect">
          <a:avLst/>
        </a:prstGeom>
      </xdr:spPr>
    </xdr:pic>
    <xdr:clientData/>
  </xdr:twoCellAnchor>
  <xdr:twoCellAnchor editAs="oneCell">
    <xdr:from>
      <xdr:col>26</xdr:col>
      <xdr:colOff>0</xdr:colOff>
      <xdr:row>148</xdr:row>
      <xdr:rowOff>0</xdr:rowOff>
    </xdr:from>
    <xdr:to>
      <xdr:col>27</xdr:col>
      <xdr:colOff>997376</xdr:colOff>
      <xdr:row>148</xdr:row>
      <xdr:rowOff>647700</xdr:rowOff>
    </xdr:to>
    <xdr:pic>
      <xdr:nvPicPr>
        <xdr:cNvPr id="7" name="Picture 6" descr="A blue and grey logo&#10;&#10;Description automatically generated">
          <a:extLst>
            <a:ext uri="{FF2B5EF4-FFF2-40B4-BE49-F238E27FC236}">
              <a16:creationId xmlns:a16="http://schemas.microsoft.com/office/drawing/2014/main" id="{D63BA68E-9132-451F-AD0D-FF627FDE8E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8209240"/>
          <a:ext cx="1397426" cy="647700"/>
        </a:xfrm>
        <a:prstGeom prst="rect">
          <a:avLst/>
        </a:prstGeom>
      </xdr:spPr>
    </xdr:pic>
    <xdr:clientData/>
  </xdr:twoCellAnchor>
  <xdr:twoCellAnchor editAs="oneCell">
    <xdr:from>
      <xdr:col>26</xdr:col>
      <xdr:colOff>0</xdr:colOff>
      <xdr:row>149</xdr:row>
      <xdr:rowOff>0</xdr:rowOff>
    </xdr:from>
    <xdr:to>
      <xdr:col>27</xdr:col>
      <xdr:colOff>997376</xdr:colOff>
      <xdr:row>149</xdr:row>
      <xdr:rowOff>647700</xdr:rowOff>
    </xdr:to>
    <xdr:pic>
      <xdr:nvPicPr>
        <xdr:cNvPr id="8" name="Picture 7" descr="A blue and grey logo&#10;&#10;Description automatically generated">
          <a:extLst>
            <a:ext uri="{FF2B5EF4-FFF2-40B4-BE49-F238E27FC236}">
              <a16:creationId xmlns:a16="http://schemas.microsoft.com/office/drawing/2014/main" id="{225CC295-6D8B-4E2F-87DC-29389E300F6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055060"/>
          <a:ext cx="1397426" cy="647700"/>
        </a:xfrm>
        <a:prstGeom prst="rect">
          <a:avLst/>
        </a:prstGeom>
      </xdr:spPr>
    </xdr:pic>
    <xdr:clientData/>
  </xdr:twoCellAnchor>
  <xdr:twoCellAnchor editAs="oneCell">
    <xdr:from>
      <xdr:col>26</xdr:col>
      <xdr:colOff>0</xdr:colOff>
      <xdr:row>150</xdr:row>
      <xdr:rowOff>0</xdr:rowOff>
    </xdr:from>
    <xdr:to>
      <xdr:col>27</xdr:col>
      <xdr:colOff>997376</xdr:colOff>
      <xdr:row>150</xdr:row>
      <xdr:rowOff>647700</xdr:rowOff>
    </xdr:to>
    <xdr:pic>
      <xdr:nvPicPr>
        <xdr:cNvPr id="9" name="Picture 8" descr="A blue and grey logo&#10;&#10;Description automatically generated">
          <a:extLst>
            <a:ext uri="{FF2B5EF4-FFF2-40B4-BE49-F238E27FC236}">
              <a16:creationId xmlns:a16="http://schemas.microsoft.com/office/drawing/2014/main" id="{5B63BFB0-DF82-4D1D-B652-9E8DAF0473E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900880"/>
          <a:ext cx="1397426" cy="647700"/>
        </a:xfrm>
        <a:prstGeom prst="rect">
          <a:avLst/>
        </a:prstGeom>
      </xdr:spPr>
    </xdr:pic>
    <xdr:clientData/>
  </xdr:twoCellAnchor>
  <xdr:twoCellAnchor editAs="oneCell">
    <xdr:from>
      <xdr:col>26</xdr:col>
      <xdr:colOff>0</xdr:colOff>
      <xdr:row>151</xdr:row>
      <xdr:rowOff>0</xdr:rowOff>
    </xdr:from>
    <xdr:to>
      <xdr:col>27</xdr:col>
      <xdr:colOff>997376</xdr:colOff>
      <xdr:row>151</xdr:row>
      <xdr:rowOff>647700</xdr:rowOff>
    </xdr:to>
    <xdr:pic>
      <xdr:nvPicPr>
        <xdr:cNvPr id="10" name="Picture 9" descr="A blue and grey logo&#10;&#10;Description automatically generated">
          <a:extLst>
            <a:ext uri="{FF2B5EF4-FFF2-40B4-BE49-F238E27FC236}">
              <a16:creationId xmlns:a16="http://schemas.microsoft.com/office/drawing/2014/main" id="{B7CB9110-721E-48C0-8A6D-4111BEDBE55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30746700"/>
          <a:ext cx="1397426" cy="647700"/>
        </a:xfrm>
        <a:prstGeom prst="rect">
          <a:avLst/>
        </a:prstGeom>
      </xdr:spPr>
    </xdr:pic>
    <xdr:clientData/>
  </xdr:twoCellAnchor>
  <xdr:twoCellAnchor editAs="oneCell">
    <xdr:from>
      <xdr:col>30</xdr:col>
      <xdr:colOff>0</xdr:colOff>
      <xdr:row>146</xdr:row>
      <xdr:rowOff>0</xdr:rowOff>
    </xdr:from>
    <xdr:to>
      <xdr:col>32</xdr:col>
      <xdr:colOff>301303</xdr:colOff>
      <xdr:row>146</xdr:row>
      <xdr:rowOff>720914</xdr:rowOff>
    </xdr:to>
    <xdr:pic>
      <xdr:nvPicPr>
        <xdr:cNvPr id="11" name="Picture 10" descr="A black and orange logo&#10;&#10;Description automatically generated">
          <a:extLst>
            <a:ext uri="{FF2B5EF4-FFF2-40B4-BE49-F238E27FC236}">
              <a16:creationId xmlns:a16="http://schemas.microsoft.com/office/drawing/2014/main" id="{6A7E3B0D-F1A2-4CB2-904F-30D5E45554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26517600"/>
          <a:ext cx="1520503" cy="720914"/>
        </a:xfrm>
        <a:prstGeom prst="rect">
          <a:avLst/>
        </a:prstGeom>
      </xdr:spPr>
    </xdr:pic>
    <xdr:clientData/>
  </xdr:twoCellAnchor>
  <xdr:twoCellAnchor editAs="oneCell">
    <xdr:from>
      <xdr:col>26</xdr:col>
      <xdr:colOff>0</xdr:colOff>
      <xdr:row>146</xdr:row>
      <xdr:rowOff>0</xdr:rowOff>
    </xdr:from>
    <xdr:to>
      <xdr:col>27</xdr:col>
      <xdr:colOff>997376</xdr:colOff>
      <xdr:row>146</xdr:row>
      <xdr:rowOff>647700</xdr:rowOff>
    </xdr:to>
    <xdr:pic>
      <xdr:nvPicPr>
        <xdr:cNvPr id="12" name="Picture 11" descr="A blue and grey logo&#10;&#10;Description automatically generated">
          <a:extLst>
            <a:ext uri="{FF2B5EF4-FFF2-40B4-BE49-F238E27FC236}">
              <a16:creationId xmlns:a16="http://schemas.microsoft.com/office/drawing/2014/main" id="{A9481406-686E-4746-A1F3-51829129EC6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6517600"/>
          <a:ext cx="1397426" cy="647700"/>
        </a:xfrm>
        <a:prstGeom prst="rect">
          <a:avLst/>
        </a:prstGeom>
      </xdr:spPr>
    </xdr:pic>
    <xdr:clientData/>
  </xdr:twoCellAnchor>
  <xdr:twoCellAnchor editAs="oneCell">
    <xdr:from>
      <xdr:col>30</xdr:col>
      <xdr:colOff>0</xdr:colOff>
      <xdr:row>152</xdr:row>
      <xdr:rowOff>0</xdr:rowOff>
    </xdr:from>
    <xdr:to>
      <xdr:col>32</xdr:col>
      <xdr:colOff>301303</xdr:colOff>
      <xdr:row>153</xdr:row>
      <xdr:rowOff>160844</xdr:rowOff>
    </xdr:to>
    <xdr:pic>
      <xdr:nvPicPr>
        <xdr:cNvPr id="13" name="Picture 12" descr="A black and orange logo&#10;&#10;Description automatically generated">
          <a:extLst>
            <a:ext uri="{FF2B5EF4-FFF2-40B4-BE49-F238E27FC236}">
              <a16:creationId xmlns:a16="http://schemas.microsoft.com/office/drawing/2014/main" id="{53597EA5-EAB1-4CA1-8CCC-A146070E012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31584900"/>
          <a:ext cx="1520503" cy="351344"/>
        </a:xfrm>
        <a:prstGeom prst="rect">
          <a:avLst/>
        </a:prstGeom>
      </xdr:spPr>
    </xdr:pic>
    <xdr:clientData/>
  </xdr:twoCellAnchor>
  <xdr:twoCellAnchor editAs="oneCell">
    <xdr:from>
      <xdr:col>26</xdr:col>
      <xdr:colOff>0</xdr:colOff>
      <xdr:row>152</xdr:row>
      <xdr:rowOff>0</xdr:rowOff>
    </xdr:from>
    <xdr:to>
      <xdr:col>27</xdr:col>
      <xdr:colOff>997376</xdr:colOff>
      <xdr:row>154</xdr:row>
      <xdr:rowOff>1905</xdr:rowOff>
    </xdr:to>
    <xdr:pic>
      <xdr:nvPicPr>
        <xdr:cNvPr id="14" name="Picture 13" descr="A blue and grey logo&#10;&#10;Description automatically generated">
          <a:extLst>
            <a:ext uri="{FF2B5EF4-FFF2-40B4-BE49-F238E27FC236}">
              <a16:creationId xmlns:a16="http://schemas.microsoft.com/office/drawing/2014/main" id="{B09B9377-12E1-41FF-B935-1B6A498290D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817340" y="31584900"/>
          <a:ext cx="1397426" cy="354330"/>
        </a:xfrm>
        <a:prstGeom prst="rect">
          <a:avLst/>
        </a:prstGeom>
      </xdr:spPr>
    </xdr:pic>
    <xdr:clientData/>
  </xdr:twoCellAnchor>
  <xdr:twoCellAnchor editAs="oneCell">
    <xdr:from>
      <xdr:col>0</xdr:col>
      <xdr:colOff>340995</xdr:colOff>
      <xdr:row>1</xdr:row>
      <xdr:rowOff>89535</xdr:rowOff>
    </xdr:from>
    <xdr:to>
      <xdr:col>4</xdr:col>
      <xdr:colOff>191761</xdr:colOff>
      <xdr:row>5</xdr:row>
      <xdr:rowOff>73920</xdr:rowOff>
    </xdr:to>
    <xdr:pic>
      <xdr:nvPicPr>
        <xdr:cNvPr id="15" name="Picture 14">
          <a:extLst>
            <a:ext uri="{FF2B5EF4-FFF2-40B4-BE49-F238E27FC236}">
              <a16:creationId xmlns:a16="http://schemas.microsoft.com/office/drawing/2014/main" id="{A3EA134B-A73C-4150-A33F-BBC0ABB02BB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0995" y="87630"/>
          <a:ext cx="1498591" cy="784485"/>
        </a:xfrm>
        <a:prstGeom prst="rect">
          <a:avLst/>
        </a:prstGeom>
      </xdr:spPr>
    </xdr:pic>
    <xdr:clientData/>
  </xdr:twoCellAnchor>
  <xdr:twoCellAnchor editAs="oneCell">
    <xdr:from>
      <xdr:col>0</xdr:col>
      <xdr:colOff>251460</xdr:colOff>
      <xdr:row>66</xdr:row>
      <xdr:rowOff>38100</xdr:rowOff>
    </xdr:from>
    <xdr:to>
      <xdr:col>4</xdr:col>
      <xdr:colOff>73651</xdr:colOff>
      <xdr:row>69</xdr:row>
      <xdr:rowOff>167265</xdr:rowOff>
    </xdr:to>
    <xdr:pic>
      <xdr:nvPicPr>
        <xdr:cNvPr id="16" name="Picture 15">
          <a:extLst>
            <a:ext uri="{FF2B5EF4-FFF2-40B4-BE49-F238E27FC236}">
              <a16:creationId xmlns:a16="http://schemas.microsoft.com/office/drawing/2014/main" id="{AD4B2BCB-0B62-4C98-93EC-A415A7E56B5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5270" y="11955780"/>
          <a:ext cx="1470016" cy="7578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386715</xdr:colOff>
          <xdr:row>53</xdr:row>
          <xdr:rowOff>81915</xdr:rowOff>
        </xdr:from>
        <xdr:to>
          <xdr:col>5</xdr:col>
          <xdr:colOff>800100</xdr:colOff>
          <xdr:row>54</xdr:row>
          <xdr:rowOff>80010</xdr:rowOff>
        </xdr:to>
        <xdr:pic>
          <xdr:nvPicPr>
            <xdr:cNvPr id="17" name="Picture 16" hidden="1">
              <a:extLst>
                <a:ext uri="{FF2B5EF4-FFF2-40B4-BE49-F238E27FC236}">
                  <a16:creationId xmlns:a16="http://schemas.microsoft.com/office/drawing/2014/main" id="{444FB7F9-FFEE-4FBB-98FF-D2F7709A135B}"/>
                </a:ext>
              </a:extLst>
            </xdr:cNvPr>
            <xdr:cNvPicPr>
              <a:picLocks noChangeAspect="1"/>
              <a:extLst>
                <a:ext uri="{84589F7E-364E-4C9E-8A38-B11213B215E9}">
                  <a14:cameraTool cellRange="NATASign" spid="_x0000_s31813"/>
                </a:ext>
              </a:extLst>
            </xdr:cNvPicPr>
          </xdr:nvPicPr>
          <xdr:blipFill>
            <a:blip xmlns:r="http://schemas.openxmlformats.org/officeDocument/2006/relationships" r:embed="rId9"/>
            <a:stretch>
              <a:fillRect/>
            </a:stretch>
          </xdr:blipFill>
          <xdr:spPr>
            <a:xfrm>
              <a:off x="2038350" y="8599170"/>
              <a:ext cx="8229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xdr:colOff>
          <xdr:row>126</xdr:row>
          <xdr:rowOff>24765</xdr:rowOff>
        </xdr:from>
        <xdr:to>
          <xdr:col>6</xdr:col>
          <xdr:colOff>266700</xdr:colOff>
          <xdr:row>127</xdr:row>
          <xdr:rowOff>70485</xdr:rowOff>
        </xdr:to>
        <xdr:pic>
          <xdr:nvPicPr>
            <xdr:cNvPr id="18" name="Picture 17">
              <a:extLst>
                <a:ext uri="{FF2B5EF4-FFF2-40B4-BE49-F238E27FC236}">
                  <a16:creationId xmlns:a16="http://schemas.microsoft.com/office/drawing/2014/main" id="{6592D5A2-4ED5-426B-907A-F1D3E8521016}"/>
                </a:ext>
              </a:extLst>
            </xdr:cNvPr>
            <xdr:cNvPicPr>
              <a:picLocks noChangeAspect="1"/>
              <a:extLst>
                <a:ext uri="{84589F7E-364E-4C9E-8A38-B11213B215E9}">
                  <a14:cameraTool cellRange="calibratedBy" spid="_x0000_s31814"/>
                </a:ext>
              </a:extLst>
            </xdr:cNvPicPr>
          </xdr:nvPicPr>
          <xdr:blipFill>
            <a:blip xmlns:r="http://schemas.openxmlformats.org/officeDocument/2006/relationships" r:embed="rId10"/>
            <a:stretch>
              <a:fillRect/>
            </a:stretch>
          </xdr:blipFill>
          <xdr:spPr>
            <a:xfrm>
              <a:off x="2129790" y="21850350"/>
              <a:ext cx="10134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38</xdr:row>
          <xdr:rowOff>123825</xdr:rowOff>
        </xdr:from>
        <xdr:to>
          <xdr:col>23</xdr:col>
          <xdr:colOff>19050</xdr:colOff>
          <xdr:row>40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41</xdr:row>
          <xdr:rowOff>38100</xdr:rowOff>
        </xdr:from>
        <xdr:to>
          <xdr:col>23</xdr:col>
          <xdr:colOff>19050</xdr:colOff>
          <xdr:row>44</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a:t>
              </a:r>
            </a:p>
          </xdr:txBody>
        </xdr:sp>
        <xdr:clientData fPrintsWithSheet="0"/>
      </xdr:twoCellAnchor>
    </mc:Choice>
    <mc:Fallback/>
  </mc:AlternateContent>
  <xdr:twoCellAnchor>
    <xdr:from>
      <xdr:col>9</xdr:col>
      <xdr:colOff>78105</xdr:colOff>
      <xdr:row>79</xdr:row>
      <xdr:rowOff>182880</xdr:rowOff>
    </xdr:from>
    <xdr:to>
      <xdr:col>11</xdr:col>
      <xdr:colOff>3810</xdr:colOff>
      <xdr:row>81</xdr:row>
      <xdr:rowOff>30480</xdr:rowOff>
    </xdr:to>
    <xdr:sp macro="" textlink="">
      <xdr:nvSpPr>
        <xdr:cNvPr id="19" name="TextBox 18">
          <a:extLst>
            <a:ext uri="{FF2B5EF4-FFF2-40B4-BE49-F238E27FC236}">
              <a16:creationId xmlns:a16="http://schemas.microsoft.com/office/drawing/2014/main" id="{BDC9E820-A017-42EA-81C8-8A2530F8F78C}"/>
            </a:ext>
          </a:extLst>
        </xdr:cNvPr>
        <xdr:cNvSpPr txBox="1"/>
      </xdr:nvSpPr>
      <xdr:spPr>
        <a:xfrm>
          <a:off x="5183505" y="13618845"/>
          <a:ext cx="67246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Narrow" panose="020B0606020202030204" pitchFamily="34" charset="0"/>
            </a:rPr>
            <a:t>seconds</a:t>
          </a:r>
        </a:p>
      </xdr:txBody>
    </xdr:sp>
    <xdr:clientData/>
  </xdr:twoCellAnchor>
  <xdr:twoCellAnchor editAs="oneCell">
    <xdr:from>
      <xdr:col>12</xdr:col>
      <xdr:colOff>38100</xdr:colOff>
      <xdr:row>1</xdr:row>
      <xdr:rowOff>114300</xdr:rowOff>
    </xdr:from>
    <xdr:to>
      <xdr:col>13</xdr:col>
      <xdr:colOff>341456</xdr:colOff>
      <xdr:row>5</xdr:row>
      <xdr:rowOff>140970</xdr:rowOff>
    </xdr:to>
    <xdr:pic>
      <xdr:nvPicPr>
        <xdr:cNvPr id="20" name="NATA1">
          <a:extLst>
            <a:ext uri="{FF2B5EF4-FFF2-40B4-BE49-F238E27FC236}">
              <a16:creationId xmlns:a16="http://schemas.microsoft.com/office/drawing/2014/main" id="{0E4DE977-D6C7-4169-A2DB-D79FB563A025}"/>
            </a:ext>
          </a:extLst>
        </xdr:cNvPr>
        <xdr:cNvPicPr>
          <a:picLocks noChangeAspect="1"/>
        </xdr:cNvPicPr>
      </xdr:nvPicPr>
      <xdr:blipFill>
        <a:blip xmlns:r="http://schemas.openxmlformats.org/officeDocument/2006/relationships" r:embed="rId11"/>
        <a:stretch>
          <a:fillRect/>
        </a:stretch>
      </xdr:blipFill>
      <xdr:spPr>
        <a:xfrm>
          <a:off x="7078980" y="114300"/>
          <a:ext cx="712931" cy="826770"/>
        </a:xfrm>
        <a:prstGeom prst="rect">
          <a:avLst/>
        </a:prstGeom>
      </xdr:spPr>
    </xdr:pic>
    <xdr:clientData/>
  </xdr:twoCellAnchor>
  <xdr:twoCellAnchor editAs="oneCell">
    <xdr:from>
      <xdr:col>12</xdr:col>
      <xdr:colOff>57150</xdr:colOff>
      <xdr:row>66</xdr:row>
      <xdr:rowOff>28575</xdr:rowOff>
    </xdr:from>
    <xdr:to>
      <xdr:col>13</xdr:col>
      <xdr:colOff>337646</xdr:colOff>
      <xdr:row>71</xdr:row>
      <xdr:rowOff>0</xdr:rowOff>
    </xdr:to>
    <xdr:pic>
      <xdr:nvPicPr>
        <xdr:cNvPr id="21" name="NATA2">
          <a:extLst>
            <a:ext uri="{FF2B5EF4-FFF2-40B4-BE49-F238E27FC236}">
              <a16:creationId xmlns:a16="http://schemas.microsoft.com/office/drawing/2014/main" id="{527F83EA-239C-4A68-BF4D-BB59C5A06A54}"/>
            </a:ext>
          </a:extLst>
        </xdr:cNvPr>
        <xdr:cNvPicPr>
          <a:picLocks noChangeAspect="1"/>
        </xdr:cNvPicPr>
      </xdr:nvPicPr>
      <xdr:blipFill>
        <a:blip xmlns:r="http://schemas.openxmlformats.org/officeDocument/2006/relationships" r:embed="rId11"/>
        <a:stretch>
          <a:fillRect/>
        </a:stretch>
      </xdr:blipFill>
      <xdr:spPr>
        <a:xfrm>
          <a:off x="7101840" y="11948160"/>
          <a:ext cx="690071" cy="8267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79375</xdr:colOff>
      <xdr:row>43</xdr:row>
      <xdr:rowOff>39688</xdr:rowOff>
    </xdr:from>
    <xdr:to>
      <xdr:col>55</xdr:col>
      <xdr:colOff>225626</xdr:colOff>
      <xdr:row>43</xdr:row>
      <xdr:rowOff>1329929</xdr:rowOff>
    </xdr:to>
    <xdr:pic>
      <xdr:nvPicPr>
        <xdr:cNvPr id="2" name="Picture 1">
          <a:extLst>
            <a:ext uri="{FF2B5EF4-FFF2-40B4-BE49-F238E27FC236}">
              <a16:creationId xmlns:a16="http://schemas.microsoft.com/office/drawing/2014/main" id="{0A64F1B0-C5F4-44A7-9018-258AFE6DFCBE}"/>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0178375" y="22442488"/>
          <a:ext cx="3803888" cy="1290241"/>
        </a:xfrm>
        <a:prstGeom prst="rect">
          <a:avLst/>
        </a:prstGeom>
      </xdr:spPr>
    </xdr:pic>
    <xdr:clientData/>
  </xdr:twoCellAnchor>
  <xdr:twoCellAnchor editAs="oneCell">
    <xdr:from>
      <xdr:col>40</xdr:col>
      <xdr:colOff>489178</xdr:colOff>
      <xdr:row>44</xdr:row>
      <xdr:rowOff>59531</xdr:rowOff>
    </xdr:from>
    <xdr:to>
      <xdr:col>53</xdr:col>
      <xdr:colOff>224518</xdr:colOff>
      <xdr:row>44</xdr:row>
      <xdr:rowOff>1371110</xdr:rowOff>
    </xdr:to>
    <xdr:pic>
      <xdr:nvPicPr>
        <xdr:cNvPr id="3" name="Picture 2">
          <a:extLst>
            <a:ext uri="{FF2B5EF4-FFF2-40B4-BE49-F238E27FC236}">
              <a16:creationId xmlns:a16="http://schemas.microsoft.com/office/drawing/2014/main" id="{8317ACD4-76DC-4141-AAE4-0D9B1658EB6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88178" y="23833931"/>
          <a:ext cx="2553437" cy="1311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44824</xdr:colOff>
          <xdr:row>5</xdr:row>
          <xdr:rowOff>131729</xdr:rowOff>
        </xdr:from>
        <xdr:to>
          <xdr:col>54</xdr:col>
          <xdr:colOff>415850</xdr:colOff>
          <xdr:row>11</xdr:row>
          <xdr:rowOff>155486</xdr:rowOff>
        </xdr:to>
        <xdr:pic>
          <xdr:nvPicPr>
            <xdr:cNvPr id="4" name="Picture 3">
              <a:extLst>
                <a:ext uri="{FF2B5EF4-FFF2-40B4-BE49-F238E27FC236}">
                  <a16:creationId xmlns:a16="http://schemas.microsoft.com/office/drawing/2014/main" id="{2E57411A-0055-41B3-985D-AA7638FFE6BC}"/>
                </a:ext>
              </a:extLst>
            </xdr:cNvPr>
            <xdr:cNvPicPr>
              <a:picLocks/>
              <a:extLst>
                <a:ext uri="{84589F7E-364E-4C9E-8A38-B11213B215E9}">
                  <a14:cameraTool cellRange="TorPic" spid="_x0000_s12943"/>
                </a:ext>
              </a:extLst>
            </xdr:cNvPicPr>
          </xdr:nvPicPr>
          <xdr:blipFill>
            <a:blip xmlns:r="http://schemas.openxmlformats.org/officeDocument/2006/relationships" r:embed="rId3"/>
            <a:stretch>
              <a:fillRect/>
            </a:stretch>
          </xdr:blipFill>
          <xdr:spPr>
            <a:xfrm>
              <a:off x="16656424" y="1395753"/>
              <a:ext cx="3321759" cy="1422251"/>
            </a:xfrm>
            <a:prstGeom prst="rect">
              <a:avLst/>
            </a:prstGeom>
            <a:noFill/>
            <a:ln>
              <a:noFill/>
            </a:ln>
          </xdr:spPr>
        </xdr:pic>
        <xdr:clientData/>
      </xdr:twoCellAnchor>
    </mc:Choice>
    <mc:Fallback/>
  </mc:AlternateContent>
  <xdr:twoCellAnchor editAs="oneCell">
    <xdr:from>
      <xdr:col>40</xdr:col>
      <xdr:colOff>95250</xdr:colOff>
      <xdr:row>35</xdr:row>
      <xdr:rowOff>103909</xdr:rowOff>
    </xdr:from>
    <xdr:to>
      <xdr:col>55</xdr:col>
      <xdr:colOff>193465</xdr:colOff>
      <xdr:row>35</xdr:row>
      <xdr:rowOff>1219027</xdr:rowOff>
    </xdr:to>
    <xdr:pic>
      <xdr:nvPicPr>
        <xdr:cNvPr id="5" name="Picture 4">
          <a:extLst>
            <a:ext uri="{FF2B5EF4-FFF2-40B4-BE49-F238E27FC236}">
              <a16:creationId xmlns:a16="http://schemas.microsoft.com/office/drawing/2014/main" id="{7EA0BD93-B1F4-465A-9AF1-F8B67FDD04E8}"/>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552" r="4146"/>
        <a:stretch/>
      </xdr:blipFill>
      <xdr:spPr>
        <a:xfrm>
          <a:off x="30194250" y="11533909"/>
          <a:ext cx="3788872" cy="1115118"/>
        </a:xfrm>
        <a:prstGeom prst="rect">
          <a:avLst/>
        </a:prstGeom>
      </xdr:spPr>
    </xdr:pic>
    <xdr:clientData/>
  </xdr:twoCellAnchor>
  <xdr:twoCellAnchor editAs="oneCell">
    <xdr:from>
      <xdr:col>40</xdr:col>
      <xdr:colOff>311728</xdr:colOff>
      <xdr:row>37</xdr:row>
      <xdr:rowOff>43295</xdr:rowOff>
    </xdr:from>
    <xdr:to>
      <xdr:col>54</xdr:col>
      <xdr:colOff>41502</xdr:colOff>
      <xdr:row>37</xdr:row>
      <xdr:rowOff>1178501</xdr:rowOff>
    </xdr:to>
    <xdr:pic>
      <xdr:nvPicPr>
        <xdr:cNvPr id="6" name="Picture 6">
          <a:extLst>
            <a:ext uri="{FF2B5EF4-FFF2-40B4-BE49-F238E27FC236}">
              <a16:creationId xmlns:a16="http://schemas.microsoft.com/office/drawing/2014/main" id="{F92DD511-13EE-48C8-A43E-B7E071E6412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0410728" y="14216495"/>
          <a:ext cx="3001760" cy="1135206"/>
        </a:xfrm>
        <a:prstGeom prst="rect">
          <a:avLst/>
        </a:prstGeom>
      </xdr:spPr>
    </xdr:pic>
    <xdr:clientData/>
  </xdr:twoCellAnchor>
  <xdr:twoCellAnchor editAs="oneCell">
    <xdr:from>
      <xdr:col>40</xdr:col>
      <xdr:colOff>415636</xdr:colOff>
      <xdr:row>38</xdr:row>
      <xdr:rowOff>25976</xdr:rowOff>
    </xdr:from>
    <xdr:to>
      <xdr:col>54</xdr:col>
      <xdr:colOff>109738</xdr:colOff>
      <xdr:row>38</xdr:row>
      <xdr:rowOff>1366923</xdr:rowOff>
    </xdr:to>
    <xdr:pic>
      <xdr:nvPicPr>
        <xdr:cNvPr id="7" name="Picture 7">
          <a:extLst>
            <a:ext uri="{FF2B5EF4-FFF2-40B4-BE49-F238E27FC236}">
              <a16:creationId xmlns:a16="http://schemas.microsoft.com/office/drawing/2014/main" id="{4306DBA6-C975-44D6-B2BC-B75D4237931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514636" y="15570776"/>
          <a:ext cx="3054756" cy="1339042"/>
        </a:xfrm>
        <a:prstGeom prst="rect">
          <a:avLst/>
        </a:prstGeom>
      </xdr:spPr>
    </xdr:pic>
    <xdr:clientData/>
  </xdr:twoCellAnchor>
  <xdr:twoCellAnchor editAs="oneCell">
    <xdr:from>
      <xdr:col>40</xdr:col>
      <xdr:colOff>363682</xdr:colOff>
      <xdr:row>40</xdr:row>
      <xdr:rowOff>77932</xdr:rowOff>
    </xdr:from>
    <xdr:to>
      <xdr:col>54</xdr:col>
      <xdr:colOff>72329</xdr:colOff>
      <xdr:row>40</xdr:row>
      <xdr:rowOff>1292110</xdr:rowOff>
    </xdr:to>
    <xdr:pic>
      <xdr:nvPicPr>
        <xdr:cNvPr id="8" name="Picture 9">
          <a:extLst>
            <a:ext uri="{FF2B5EF4-FFF2-40B4-BE49-F238E27FC236}">
              <a16:creationId xmlns:a16="http://schemas.microsoft.com/office/drawing/2014/main" id="{D8A7889B-8688-4E94-AF4F-7432DE99092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62682" y="18365932"/>
          <a:ext cx="3026872" cy="1214178"/>
        </a:xfrm>
        <a:prstGeom prst="rect">
          <a:avLst/>
        </a:prstGeom>
      </xdr:spPr>
    </xdr:pic>
    <xdr:clientData/>
  </xdr:twoCellAnchor>
  <xdr:twoCellAnchor editAs="oneCell">
    <xdr:from>
      <xdr:col>40</xdr:col>
      <xdr:colOff>545523</xdr:colOff>
      <xdr:row>41</xdr:row>
      <xdr:rowOff>77932</xdr:rowOff>
    </xdr:from>
    <xdr:to>
      <xdr:col>54</xdr:col>
      <xdr:colOff>193556</xdr:colOff>
      <xdr:row>41</xdr:row>
      <xdr:rowOff>1335232</xdr:rowOff>
    </xdr:to>
    <xdr:pic>
      <xdr:nvPicPr>
        <xdr:cNvPr id="9" name="Picture 10">
          <a:extLst>
            <a:ext uri="{FF2B5EF4-FFF2-40B4-BE49-F238E27FC236}">
              <a16:creationId xmlns:a16="http://schemas.microsoft.com/office/drawing/2014/main" id="{68377063-D923-4B80-A915-A400255722B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644523" y="19737532"/>
          <a:ext cx="3153814" cy="1257300"/>
        </a:xfrm>
        <a:prstGeom prst="rect">
          <a:avLst/>
        </a:prstGeom>
      </xdr:spPr>
    </xdr:pic>
    <xdr:clientData/>
  </xdr:twoCellAnchor>
  <xdr:twoCellAnchor editAs="oneCell">
    <xdr:from>
      <xdr:col>40</xdr:col>
      <xdr:colOff>216477</xdr:colOff>
      <xdr:row>36</xdr:row>
      <xdr:rowOff>34636</xdr:rowOff>
    </xdr:from>
    <xdr:to>
      <xdr:col>55</xdr:col>
      <xdr:colOff>118131</xdr:colOff>
      <xdr:row>36</xdr:row>
      <xdr:rowOff>1298863</xdr:rowOff>
    </xdr:to>
    <xdr:pic>
      <xdr:nvPicPr>
        <xdr:cNvPr id="10" name="Picture 5">
          <a:extLst>
            <a:ext uri="{FF2B5EF4-FFF2-40B4-BE49-F238E27FC236}">
              <a16:creationId xmlns:a16="http://schemas.microsoft.com/office/drawing/2014/main" id="{4CDA7FB4-98DC-45F5-8F96-617285F0B604}"/>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773"/>
        <a:stretch/>
      </xdr:blipFill>
      <xdr:spPr>
        <a:xfrm>
          <a:off x="30315477" y="12836236"/>
          <a:ext cx="3702108" cy="1264227"/>
        </a:xfrm>
        <a:prstGeom prst="rect">
          <a:avLst/>
        </a:prstGeom>
      </xdr:spPr>
    </xdr:pic>
    <xdr:clientData/>
  </xdr:twoCellAnchor>
  <xdr:twoCellAnchor editAs="oneCell">
    <xdr:from>
      <xdr:col>40</xdr:col>
      <xdr:colOff>43296</xdr:colOff>
      <xdr:row>39</xdr:row>
      <xdr:rowOff>121228</xdr:rowOff>
    </xdr:from>
    <xdr:to>
      <xdr:col>55</xdr:col>
      <xdr:colOff>338418</xdr:colOff>
      <xdr:row>39</xdr:row>
      <xdr:rowOff>1216949</xdr:rowOff>
    </xdr:to>
    <xdr:pic>
      <xdr:nvPicPr>
        <xdr:cNvPr id="11" name="Picture 8">
          <a:extLst>
            <a:ext uri="{FF2B5EF4-FFF2-40B4-BE49-F238E27FC236}">
              <a16:creationId xmlns:a16="http://schemas.microsoft.com/office/drawing/2014/main" id="{4923AE02-F1A5-4E29-B480-B5B02F63646B}"/>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33155"/>
        <a:stretch/>
      </xdr:blipFill>
      <xdr:spPr>
        <a:xfrm>
          <a:off x="30142296" y="17037628"/>
          <a:ext cx="3916680" cy="109572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95250</xdr:colOff>
          <xdr:row>5</xdr:row>
          <xdr:rowOff>190500</xdr:rowOff>
        </xdr:from>
        <xdr:to>
          <xdr:col>4</xdr:col>
          <xdr:colOff>1390650</xdr:colOff>
          <xdr:row>8</xdr:row>
          <xdr:rowOff>57150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twoCellAnchor editAs="oneCell">
    <xdr:from>
      <xdr:col>40</xdr:col>
      <xdr:colOff>1053354</xdr:colOff>
      <xdr:row>42</xdr:row>
      <xdr:rowOff>179294</xdr:rowOff>
    </xdr:from>
    <xdr:to>
      <xdr:col>52</xdr:col>
      <xdr:colOff>187602</xdr:colOff>
      <xdr:row>42</xdr:row>
      <xdr:rowOff>1176841</xdr:rowOff>
    </xdr:to>
    <xdr:pic>
      <xdr:nvPicPr>
        <xdr:cNvPr id="12" name="Picture 11">
          <a:extLst>
            <a:ext uri="{FF2B5EF4-FFF2-40B4-BE49-F238E27FC236}">
              <a16:creationId xmlns:a16="http://schemas.microsoft.com/office/drawing/2014/main" id="{25CC3A47-CC9D-48D4-9EEB-90C916E98E1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152354" y="21210494"/>
          <a:ext cx="1881371" cy="995642"/>
        </a:xfrm>
        <a:prstGeom prst="rect">
          <a:avLst/>
        </a:prstGeom>
      </xdr:spPr>
    </xdr:pic>
    <xdr:clientData/>
  </xdr:twoCellAnchor>
  <xdr:twoCellAnchor editAs="oneCell">
    <xdr:from>
      <xdr:col>40</xdr:col>
      <xdr:colOff>537882</xdr:colOff>
      <xdr:row>32</xdr:row>
      <xdr:rowOff>145676</xdr:rowOff>
    </xdr:from>
    <xdr:to>
      <xdr:col>54</xdr:col>
      <xdr:colOff>41013</xdr:colOff>
      <xdr:row>32</xdr:row>
      <xdr:rowOff>1335515</xdr:rowOff>
    </xdr:to>
    <xdr:pic>
      <xdr:nvPicPr>
        <xdr:cNvPr id="13" name="Picture 1">
          <a:extLst>
            <a:ext uri="{FF2B5EF4-FFF2-40B4-BE49-F238E27FC236}">
              <a16:creationId xmlns:a16="http://schemas.microsoft.com/office/drawing/2014/main" id="{B603A2F3-634B-4EB9-98DE-4F45965EA421}"/>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0636882" y="7460876"/>
          <a:ext cx="3003176" cy="1189839"/>
        </a:xfrm>
        <a:prstGeom prst="rect">
          <a:avLst/>
        </a:prstGeom>
      </xdr:spPr>
    </xdr:pic>
    <xdr:clientData/>
  </xdr:twoCellAnchor>
  <xdr:twoCellAnchor editAs="oneCell">
    <xdr:from>
      <xdr:col>40</xdr:col>
      <xdr:colOff>481853</xdr:colOff>
      <xdr:row>33</xdr:row>
      <xdr:rowOff>67235</xdr:rowOff>
    </xdr:from>
    <xdr:to>
      <xdr:col>54</xdr:col>
      <xdr:colOff>148010</xdr:colOff>
      <xdr:row>33</xdr:row>
      <xdr:rowOff>1330421</xdr:rowOff>
    </xdr:to>
    <xdr:pic>
      <xdr:nvPicPr>
        <xdr:cNvPr id="14" name="Picture 2">
          <a:extLst>
            <a:ext uri="{FF2B5EF4-FFF2-40B4-BE49-F238E27FC236}">
              <a16:creationId xmlns:a16="http://schemas.microsoft.com/office/drawing/2014/main" id="{860BB57B-B27B-4EA4-8CAC-A7EF576419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0580853" y="8754035"/>
          <a:ext cx="3093028" cy="1261281"/>
        </a:xfrm>
        <a:prstGeom prst="rect">
          <a:avLst/>
        </a:prstGeom>
      </xdr:spPr>
    </xdr:pic>
    <xdr:clientData/>
  </xdr:twoCellAnchor>
  <xdr:twoCellAnchor editAs="oneCell">
    <xdr:from>
      <xdr:col>40</xdr:col>
      <xdr:colOff>526676</xdr:colOff>
      <xdr:row>34</xdr:row>
      <xdr:rowOff>89647</xdr:rowOff>
    </xdr:from>
    <xdr:to>
      <xdr:col>54</xdr:col>
      <xdr:colOff>149222</xdr:colOff>
      <xdr:row>34</xdr:row>
      <xdr:rowOff>1300015</xdr:rowOff>
    </xdr:to>
    <xdr:pic>
      <xdr:nvPicPr>
        <xdr:cNvPr id="15" name="Picture 3">
          <a:extLst>
            <a:ext uri="{FF2B5EF4-FFF2-40B4-BE49-F238E27FC236}">
              <a16:creationId xmlns:a16="http://schemas.microsoft.com/office/drawing/2014/main" id="{09B1FFEA-3CB2-4705-8363-72ACD614FC71}"/>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12242"/>
        <a:stretch/>
      </xdr:blipFill>
      <xdr:spPr>
        <a:xfrm>
          <a:off x="30625676" y="10148047"/>
          <a:ext cx="3094240" cy="1212273"/>
        </a:xfrm>
        <a:prstGeom prst="rect">
          <a:avLst/>
        </a:prstGeom>
      </xdr:spPr>
    </xdr:pic>
    <xdr:clientData/>
  </xdr:twoCellAnchor>
  <xdr:twoCellAnchor editAs="oneCell">
    <xdr:from>
      <xdr:col>40</xdr:col>
      <xdr:colOff>1019736</xdr:colOff>
      <xdr:row>45</xdr:row>
      <xdr:rowOff>56029</xdr:rowOff>
    </xdr:from>
    <xdr:to>
      <xdr:col>52</xdr:col>
      <xdr:colOff>33645</xdr:colOff>
      <xdr:row>45</xdr:row>
      <xdr:rowOff>1370815</xdr:rowOff>
    </xdr:to>
    <xdr:pic>
      <xdr:nvPicPr>
        <xdr:cNvPr id="16" name="Picture 15">
          <a:extLst>
            <a:ext uri="{FF2B5EF4-FFF2-40B4-BE49-F238E27FC236}">
              <a16:creationId xmlns:a16="http://schemas.microsoft.com/office/drawing/2014/main" id="{13AB1BB1-AEDD-4C07-A2DC-3C154EB22FE5}"/>
            </a:ext>
          </a:extLst>
        </xdr:cNvPr>
        <xdr:cNvPicPr>
          <a:picLocks noChangeAspect="1"/>
        </xdr:cNvPicPr>
      </xdr:nvPicPr>
      <xdr:blipFill>
        <a:blip xmlns:r="http://schemas.openxmlformats.org/officeDocument/2006/relationships" r:embed="rId15"/>
        <a:stretch>
          <a:fillRect/>
        </a:stretch>
      </xdr:blipFill>
      <xdr:spPr>
        <a:xfrm>
          <a:off x="31118736" y="25354429"/>
          <a:ext cx="1723604" cy="13147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57150</xdr:rowOff>
        </xdr:from>
        <xdr:to>
          <xdr:col>1</xdr:col>
          <xdr:colOff>419100</xdr:colOff>
          <xdr:row>6</xdr:row>
          <xdr:rowOff>38100</xdr:rowOff>
        </xdr:to>
        <xdr:sp macro="" textlink="">
          <xdr:nvSpPr>
            <xdr:cNvPr id="4097" name="TestData"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19050</xdr:rowOff>
        </xdr:to>
        <xdr:sp macro="" textlink="">
          <xdr:nvSpPr>
            <xdr:cNvPr id="4098" name="Zero"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95250</xdr:rowOff>
        </xdr:from>
        <xdr:to>
          <xdr:col>1</xdr:col>
          <xdr:colOff>352425</xdr:colOff>
          <xdr:row>4</xdr:row>
          <xdr:rowOff>66675</xdr:rowOff>
        </xdr:to>
        <xdr:sp macro="" textlink="">
          <xdr:nvSpPr>
            <xdr:cNvPr id="4099" name="Pass"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133350</xdr:rowOff>
        </xdr:from>
        <xdr:to>
          <xdr:col>1</xdr:col>
          <xdr:colOff>352425</xdr:colOff>
          <xdr:row>5</xdr:row>
          <xdr:rowOff>142875</xdr:rowOff>
        </xdr:to>
        <xdr:sp macro="" textlink="">
          <xdr:nvSpPr>
            <xdr:cNvPr id="4100" name="Fail"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4101" name="Points"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2</xdr:row>
          <xdr:rowOff>161925</xdr:rowOff>
        </xdr:from>
        <xdr:to>
          <xdr:col>17</xdr:col>
          <xdr:colOff>428625</xdr:colOff>
          <xdr:row>4</xdr:row>
          <xdr:rowOff>47625</xdr:rowOff>
        </xdr:to>
        <xdr:sp macro="" textlink="">
          <xdr:nvSpPr>
            <xdr:cNvPr id="4102" name="retern"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47625</xdr:rowOff>
        </xdr:from>
        <xdr:to>
          <xdr:col>17</xdr:col>
          <xdr:colOff>428625</xdr:colOff>
          <xdr:row>2</xdr:row>
          <xdr:rowOff>123825</xdr:rowOff>
        </xdr:to>
        <xdr:sp macro="" textlink="">
          <xdr:nvSpPr>
            <xdr:cNvPr id="4103" name="Reviewed"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438150</xdr:colOff>
          <xdr:row>2</xdr:row>
          <xdr:rowOff>123825</xdr:rowOff>
        </xdr:to>
        <xdr:sp macro="" textlink="">
          <xdr:nvSpPr>
            <xdr:cNvPr id="4104" name="NATAB"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504825</xdr:colOff>
          <xdr:row>4</xdr:row>
          <xdr:rowOff>95250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590550</xdr:colOff>
          <xdr:row>13</xdr:row>
          <xdr:rowOff>171450</xdr:rowOff>
        </xdr:to>
        <xdr:sp macro="" textlink="">
          <xdr:nvSpPr>
            <xdr:cNvPr id="4106" name="Norm"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400050</xdr:colOff>
          <xdr:row>6</xdr:row>
          <xdr:rowOff>171450</xdr:rowOff>
        </xdr:from>
        <xdr:to>
          <xdr:col>20</xdr:col>
          <xdr:colOff>95250</xdr:colOff>
          <xdr:row>8</xdr:row>
          <xdr:rowOff>57150</xdr:rowOff>
        </xdr:to>
        <xdr:sp macro="" textlink="">
          <xdr:nvSpPr>
            <xdr:cNvPr id="4108" name="Traine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19050</xdr:rowOff>
        </xdr:from>
        <xdr:to>
          <xdr:col>17</xdr:col>
          <xdr:colOff>428625</xdr:colOff>
          <xdr:row>2</xdr:row>
          <xdr:rowOff>95250</xdr:rowOff>
        </xdr:to>
        <xdr:sp macro="" textlink="">
          <xdr:nvSpPr>
            <xdr:cNvPr id="4109" name="Traceabl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30</xdr:row>
          <xdr:rowOff>38100</xdr:rowOff>
        </xdr:from>
        <xdr:to>
          <xdr:col>33</xdr:col>
          <xdr:colOff>590550</xdr:colOff>
          <xdr:row>32</xdr:row>
          <xdr:rowOff>9525</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10</xdr:col>
      <xdr:colOff>0</xdr:colOff>
      <xdr:row>7</xdr:row>
      <xdr:rowOff>91440</xdr:rowOff>
    </xdr:from>
    <xdr:ext cx="38472" cy="176972"/>
    <xdr:sp macro="" textlink="">
      <xdr:nvSpPr>
        <xdr:cNvPr id="2" name="Rectangle 206">
          <a:extLst>
            <a:ext uri="{FF2B5EF4-FFF2-40B4-BE49-F238E27FC236}">
              <a16:creationId xmlns:a16="http://schemas.microsoft.com/office/drawing/2014/main" id="{5FDD84AD-489C-42D9-B6B5-1211F76B1336}"/>
            </a:ext>
          </a:extLst>
        </xdr:cNvPr>
        <xdr:cNvSpPr>
          <a:spLocks noChangeArrowheads="1"/>
        </xdr:cNvSpPr>
      </xdr:nvSpPr>
      <xdr:spPr bwMode="auto">
        <a:xfrm>
          <a:off x="6096000" y="121539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8</xdr:row>
      <xdr:rowOff>121920</xdr:rowOff>
    </xdr:from>
    <xdr:ext cx="38472" cy="176972"/>
    <xdr:sp macro="" textlink="">
      <xdr:nvSpPr>
        <xdr:cNvPr id="3" name="Rectangle 209">
          <a:extLst>
            <a:ext uri="{FF2B5EF4-FFF2-40B4-BE49-F238E27FC236}">
              <a16:creationId xmlns:a16="http://schemas.microsoft.com/office/drawing/2014/main" id="{A083C133-E478-40BA-907D-58555933D681}"/>
            </a:ext>
          </a:extLst>
        </xdr:cNvPr>
        <xdr:cNvSpPr>
          <a:spLocks noChangeArrowheads="1"/>
        </xdr:cNvSpPr>
      </xdr:nvSpPr>
      <xdr:spPr bwMode="auto">
        <a:xfrm>
          <a:off x="6096000" y="1415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9</xdr:row>
      <xdr:rowOff>137160</xdr:rowOff>
    </xdr:from>
    <xdr:ext cx="38472" cy="176972"/>
    <xdr:sp macro="" textlink="">
      <xdr:nvSpPr>
        <xdr:cNvPr id="4" name="Rectangle 245">
          <a:extLst>
            <a:ext uri="{FF2B5EF4-FFF2-40B4-BE49-F238E27FC236}">
              <a16:creationId xmlns:a16="http://schemas.microsoft.com/office/drawing/2014/main" id="{B7D21BE0-4807-4123-B370-0331A4295025}"/>
            </a:ext>
          </a:extLst>
        </xdr:cNvPr>
        <xdr:cNvSpPr>
          <a:spLocks noChangeArrowheads="1"/>
        </xdr:cNvSpPr>
      </xdr:nvSpPr>
      <xdr:spPr bwMode="auto">
        <a:xfrm>
          <a:off x="6096000" y="16116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10</xdr:row>
      <xdr:rowOff>144780</xdr:rowOff>
    </xdr:from>
    <xdr:ext cx="38472" cy="176972"/>
    <xdr:sp macro="" textlink="">
      <xdr:nvSpPr>
        <xdr:cNvPr id="5" name="Rectangle 306">
          <a:extLst>
            <a:ext uri="{FF2B5EF4-FFF2-40B4-BE49-F238E27FC236}">
              <a16:creationId xmlns:a16="http://schemas.microsoft.com/office/drawing/2014/main" id="{7D199E92-C930-4DED-8A69-54A71CA5B022}"/>
            </a:ext>
          </a:extLst>
        </xdr:cNvPr>
        <xdr:cNvSpPr>
          <a:spLocks noChangeArrowheads="1"/>
        </xdr:cNvSpPr>
      </xdr:nvSpPr>
      <xdr:spPr bwMode="auto">
        <a:xfrm>
          <a:off x="6096000" y="17773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11</xdr:col>
      <xdr:colOff>423333</xdr:colOff>
      <xdr:row>14</xdr:row>
      <xdr:rowOff>33626</xdr:rowOff>
    </xdr:from>
    <xdr:ext cx="38472" cy="176972"/>
    <xdr:sp macro="" textlink="">
      <xdr:nvSpPr>
        <xdr:cNvPr id="6" name="Rectangle 353">
          <a:extLst>
            <a:ext uri="{FF2B5EF4-FFF2-40B4-BE49-F238E27FC236}">
              <a16:creationId xmlns:a16="http://schemas.microsoft.com/office/drawing/2014/main" id="{75D724C7-30A9-4038-90B9-5DD215F4711B}"/>
            </a:ext>
          </a:extLst>
        </xdr:cNvPr>
        <xdr:cNvSpPr>
          <a:spLocks noChangeArrowheads="1"/>
        </xdr:cNvSpPr>
      </xdr:nvSpPr>
      <xdr:spPr bwMode="auto">
        <a:xfrm>
          <a:off x="7128933" y="2334866"/>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13</xdr:row>
      <xdr:rowOff>60960</xdr:rowOff>
    </xdr:from>
    <xdr:ext cx="38472" cy="176972"/>
    <xdr:sp macro="" textlink="">
      <xdr:nvSpPr>
        <xdr:cNvPr id="7" name="Rectangle 357">
          <a:extLst>
            <a:ext uri="{FF2B5EF4-FFF2-40B4-BE49-F238E27FC236}">
              <a16:creationId xmlns:a16="http://schemas.microsoft.com/office/drawing/2014/main" id="{7CC51FEA-EBD4-4108-87EC-3B35A483ADF7}"/>
            </a:ext>
          </a:extLst>
        </xdr:cNvPr>
        <xdr:cNvSpPr>
          <a:spLocks noChangeArrowheads="1"/>
        </xdr:cNvSpPr>
      </xdr:nvSpPr>
      <xdr:spPr bwMode="auto">
        <a:xfrm>
          <a:off x="6096000" y="21907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8" name="Rectangle 608">
          <a:extLst>
            <a:ext uri="{FF2B5EF4-FFF2-40B4-BE49-F238E27FC236}">
              <a16:creationId xmlns:a16="http://schemas.microsoft.com/office/drawing/2014/main" id="{17B95DCA-A35A-4850-86F7-5469534ECD9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9" name="Rectangle 609">
          <a:extLst>
            <a:ext uri="{FF2B5EF4-FFF2-40B4-BE49-F238E27FC236}">
              <a16:creationId xmlns:a16="http://schemas.microsoft.com/office/drawing/2014/main" id="{131D96AB-835C-426C-944A-99C48EB4B024}"/>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0" name="Rectangle 610">
          <a:extLst>
            <a:ext uri="{FF2B5EF4-FFF2-40B4-BE49-F238E27FC236}">
              <a16:creationId xmlns:a16="http://schemas.microsoft.com/office/drawing/2014/main" id="{43DD2F04-4D96-469B-82BE-B477E6CDEEAC}"/>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1" name="Rectangle 611">
          <a:extLst>
            <a:ext uri="{FF2B5EF4-FFF2-40B4-BE49-F238E27FC236}">
              <a16:creationId xmlns:a16="http://schemas.microsoft.com/office/drawing/2014/main" id="{395FC41F-3D74-459E-835B-BFF1F31EEDE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2" name="Rectangle 612">
          <a:extLst>
            <a:ext uri="{FF2B5EF4-FFF2-40B4-BE49-F238E27FC236}">
              <a16:creationId xmlns:a16="http://schemas.microsoft.com/office/drawing/2014/main" id="{1DA9F176-DFF8-4AB2-9A3D-3B9B36C7FF2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3" name="Rectangle 613">
          <a:extLst>
            <a:ext uri="{FF2B5EF4-FFF2-40B4-BE49-F238E27FC236}">
              <a16:creationId xmlns:a16="http://schemas.microsoft.com/office/drawing/2014/main" id="{8837324F-489F-4252-B1A3-AC33E9D6661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4" name="Rectangle 654">
          <a:extLst>
            <a:ext uri="{FF2B5EF4-FFF2-40B4-BE49-F238E27FC236}">
              <a16:creationId xmlns:a16="http://schemas.microsoft.com/office/drawing/2014/main" id="{C1D5C82F-5118-401E-B5D9-A327E703278A}"/>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5" name="Rectangle 655">
          <a:extLst>
            <a:ext uri="{FF2B5EF4-FFF2-40B4-BE49-F238E27FC236}">
              <a16:creationId xmlns:a16="http://schemas.microsoft.com/office/drawing/2014/main" id="{77B6C1BE-AC8F-4344-90F9-503B4BC609C1}"/>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6" name="Rectangle 656">
          <a:extLst>
            <a:ext uri="{FF2B5EF4-FFF2-40B4-BE49-F238E27FC236}">
              <a16:creationId xmlns:a16="http://schemas.microsoft.com/office/drawing/2014/main" id="{5FE13AC6-7C31-4766-9B4B-B9E9CC074D8A}"/>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7" name="Rectangle 657">
          <a:extLst>
            <a:ext uri="{FF2B5EF4-FFF2-40B4-BE49-F238E27FC236}">
              <a16:creationId xmlns:a16="http://schemas.microsoft.com/office/drawing/2014/main" id="{BAC73C15-4171-467F-AABF-42A6C6BFF6D3}"/>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8" name="Rectangle 658">
          <a:extLst>
            <a:ext uri="{FF2B5EF4-FFF2-40B4-BE49-F238E27FC236}">
              <a16:creationId xmlns:a16="http://schemas.microsoft.com/office/drawing/2014/main" id="{553DBCA9-9CA8-4A2C-9300-6BF63978AD42}"/>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9" name="Rectangle 659">
          <a:extLst>
            <a:ext uri="{FF2B5EF4-FFF2-40B4-BE49-F238E27FC236}">
              <a16:creationId xmlns:a16="http://schemas.microsoft.com/office/drawing/2014/main" id="{D2F189E7-8205-4ABE-80C3-403EC2A10CB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24</xdr:row>
      <xdr:rowOff>91440</xdr:rowOff>
    </xdr:from>
    <xdr:ext cx="38472" cy="176972"/>
    <xdr:sp macro="" textlink="">
      <xdr:nvSpPr>
        <xdr:cNvPr id="20" name="Rectangle 739">
          <a:extLst>
            <a:ext uri="{FF2B5EF4-FFF2-40B4-BE49-F238E27FC236}">
              <a16:creationId xmlns:a16="http://schemas.microsoft.com/office/drawing/2014/main" id="{57334F88-5229-49AF-82AD-0B4F280BC5F0}"/>
            </a:ext>
          </a:extLst>
        </xdr:cNvPr>
        <xdr:cNvSpPr>
          <a:spLocks noChangeArrowheads="1"/>
        </xdr:cNvSpPr>
      </xdr:nvSpPr>
      <xdr:spPr bwMode="auto">
        <a:xfrm>
          <a:off x="6096000" y="40576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26</xdr:row>
      <xdr:rowOff>121920</xdr:rowOff>
    </xdr:from>
    <xdr:ext cx="38472" cy="176972"/>
    <xdr:sp macro="" textlink="">
      <xdr:nvSpPr>
        <xdr:cNvPr id="21" name="Rectangle 744">
          <a:extLst>
            <a:ext uri="{FF2B5EF4-FFF2-40B4-BE49-F238E27FC236}">
              <a16:creationId xmlns:a16="http://schemas.microsoft.com/office/drawing/2014/main" id="{10094554-85EF-42A3-BCE8-0EC8244D13CC}"/>
            </a:ext>
          </a:extLst>
        </xdr:cNvPr>
        <xdr:cNvSpPr>
          <a:spLocks noChangeArrowheads="1"/>
        </xdr:cNvSpPr>
      </xdr:nvSpPr>
      <xdr:spPr bwMode="auto">
        <a:xfrm>
          <a:off x="6096000" y="440245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27</xdr:row>
      <xdr:rowOff>129540</xdr:rowOff>
    </xdr:from>
    <xdr:ext cx="38472" cy="176972"/>
    <xdr:sp macro="" textlink="">
      <xdr:nvSpPr>
        <xdr:cNvPr id="22" name="Rectangle 745">
          <a:extLst>
            <a:ext uri="{FF2B5EF4-FFF2-40B4-BE49-F238E27FC236}">
              <a16:creationId xmlns:a16="http://schemas.microsoft.com/office/drawing/2014/main" id="{726A6465-ACE1-409F-A7B1-0095E5AE0CC0}"/>
            </a:ext>
          </a:extLst>
        </xdr:cNvPr>
        <xdr:cNvSpPr>
          <a:spLocks noChangeArrowheads="1"/>
        </xdr:cNvSpPr>
      </xdr:nvSpPr>
      <xdr:spPr bwMode="auto">
        <a:xfrm>
          <a:off x="6096000" y="45758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32</xdr:row>
      <xdr:rowOff>22860</xdr:rowOff>
    </xdr:from>
    <xdr:ext cx="38472" cy="176972"/>
    <xdr:sp macro="" textlink="">
      <xdr:nvSpPr>
        <xdr:cNvPr id="23" name="Rectangle 751">
          <a:extLst>
            <a:ext uri="{FF2B5EF4-FFF2-40B4-BE49-F238E27FC236}">
              <a16:creationId xmlns:a16="http://schemas.microsoft.com/office/drawing/2014/main" id="{36ADE37F-968B-4C4A-91F6-9CD5624AFD9C}"/>
            </a:ext>
          </a:extLst>
        </xdr:cNvPr>
        <xdr:cNvSpPr>
          <a:spLocks noChangeArrowheads="1"/>
        </xdr:cNvSpPr>
      </xdr:nvSpPr>
      <xdr:spPr bwMode="auto">
        <a:xfrm>
          <a:off x="6096000" y="52692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34</xdr:row>
      <xdr:rowOff>45720</xdr:rowOff>
    </xdr:from>
    <xdr:ext cx="38472" cy="176972"/>
    <xdr:sp macro="" textlink="">
      <xdr:nvSpPr>
        <xdr:cNvPr id="24" name="Rectangle 756">
          <a:extLst>
            <a:ext uri="{FF2B5EF4-FFF2-40B4-BE49-F238E27FC236}">
              <a16:creationId xmlns:a16="http://schemas.microsoft.com/office/drawing/2014/main" id="{2AC0E6E0-3F47-4D74-A3F7-59926E651580}"/>
            </a:ext>
          </a:extLst>
        </xdr:cNvPr>
        <xdr:cNvSpPr>
          <a:spLocks noChangeArrowheads="1"/>
        </xdr:cNvSpPr>
      </xdr:nvSpPr>
      <xdr:spPr bwMode="auto">
        <a:xfrm>
          <a:off x="6096000" y="5606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37</xdr:row>
      <xdr:rowOff>91440</xdr:rowOff>
    </xdr:from>
    <xdr:ext cx="38472" cy="176972"/>
    <xdr:sp macro="" textlink="">
      <xdr:nvSpPr>
        <xdr:cNvPr id="25" name="Rectangle 761">
          <a:extLst>
            <a:ext uri="{FF2B5EF4-FFF2-40B4-BE49-F238E27FC236}">
              <a16:creationId xmlns:a16="http://schemas.microsoft.com/office/drawing/2014/main" id="{769E5051-CFE1-425B-86EA-57E54C30BC85}"/>
            </a:ext>
          </a:extLst>
        </xdr:cNvPr>
        <xdr:cNvSpPr>
          <a:spLocks noChangeArrowheads="1"/>
        </xdr:cNvSpPr>
      </xdr:nvSpPr>
      <xdr:spPr bwMode="auto">
        <a:xfrm>
          <a:off x="6096000" y="61379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40</xdr:row>
      <xdr:rowOff>129540</xdr:rowOff>
    </xdr:from>
    <xdr:ext cx="38472" cy="176972"/>
    <xdr:sp macro="" textlink="">
      <xdr:nvSpPr>
        <xdr:cNvPr id="26" name="Rectangle 765">
          <a:extLst>
            <a:ext uri="{FF2B5EF4-FFF2-40B4-BE49-F238E27FC236}">
              <a16:creationId xmlns:a16="http://schemas.microsoft.com/office/drawing/2014/main" id="{0629D6EE-B608-4279-9AF3-12E880DBCEF6}"/>
            </a:ext>
          </a:extLst>
        </xdr:cNvPr>
        <xdr:cNvSpPr>
          <a:spLocks noChangeArrowheads="1"/>
        </xdr:cNvSpPr>
      </xdr:nvSpPr>
      <xdr:spPr bwMode="auto">
        <a:xfrm>
          <a:off x="6096000" y="665607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41</xdr:row>
      <xdr:rowOff>144780</xdr:rowOff>
    </xdr:from>
    <xdr:ext cx="38472" cy="176972"/>
    <xdr:sp macro="" textlink="">
      <xdr:nvSpPr>
        <xdr:cNvPr id="27" name="Rectangle 766">
          <a:extLst>
            <a:ext uri="{FF2B5EF4-FFF2-40B4-BE49-F238E27FC236}">
              <a16:creationId xmlns:a16="http://schemas.microsoft.com/office/drawing/2014/main" id="{A0642FDD-6011-476E-AF59-7A474EF8C340}"/>
            </a:ext>
          </a:extLst>
        </xdr:cNvPr>
        <xdr:cNvSpPr>
          <a:spLocks noChangeArrowheads="1"/>
        </xdr:cNvSpPr>
      </xdr:nvSpPr>
      <xdr:spPr bwMode="auto">
        <a:xfrm>
          <a:off x="6096000" y="682942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28</xdr:row>
          <xdr:rowOff>47625</xdr:rowOff>
        </xdr:from>
        <xdr:to>
          <xdr:col>9</xdr:col>
          <xdr:colOff>47625</xdr:colOff>
          <xdr:row>31</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44</xdr:row>
          <xdr:rowOff>28575</xdr:rowOff>
        </xdr:from>
        <xdr:to>
          <xdr:col>8</xdr:col>
          <xdr:colOff>2828925</xdr:colOff>
          <xdr:row>46</xdr:row>
          <xdr:rowOff>123825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Test Button</a:t>
              </a:r>
            </a:p>
          </xdr:txBody>
        </xdr:sp>
        <xdr:clientData fPrintsWithSheet="0"/>
      </xdr:twoCellAnchor>
    </mc:Choice>
    <mc:Fallback/>
  </mc:AlternateContent>
  <xdr:twoCellAnchor editAs="oneCell">
    <xdr:from>
      <xdr:col>0</xdr:col>
      <xdr:colOff>38100</xdr:colOff>
      <xdr:row>92</xdr:row>
      <xdr:rowOff>60960</xdr:rowOff>
    </xdr:from>
    <xdr:to>
      <xdr:col>0</xdr:col>
      <xdr:colOff>3915315</xdr:colOff>
      <xdr:row>110</xdr:row>
      <xdr:rowOff>141382</xdr:rowOff>
    </xdr:to>
    <xdr:pic>
      <xdr:nvPicPr>
        <xdr:cNvPr id="2" name="Picture 1">
          <a:extLst>
            <a:ext uri="{FF2B5EF4-FFF2-40B4-BE49-F238E27FC236}">
              <a16:creationId xmlns:a16="http://schemas.microsoft.com/office/drawing/2014/main" id="{79858284-AFD2-D001-06BB-BF7EC1865213}"/>
            </a:ext>
          </a:extLst>
        </xdr:cNvPr>
        <xdr:cNvPicPr>
          <a:picLocks noChangeAspect="1"/>
        </xdr:cNvPicPr>
      </xdr:nvPicPr>
      <xdr:blipFill>
        <a:blip xmlns:r="http://schemas.openxmlformats.org/officeDocument/2006/relationships" r:embed="rId1"/>
        <a:stretch>
          <a:fillRect/>
        </a:stretch>
      </xdr:blipFill>
      <xdr:spPr>
        <a:xfrm>
          <a:off x="38100" y="16062960"/>
          <a:ext cx="3871500" cy="29531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93346</xdr:colOff>
      <xdr:row>0</xdr:row>
      <xdr:rowOff>49530</xdr:rowOff>
    </xdr:from>
    <xdr:to>
      <xdr:col>0</xdr:col>
      <xdr:colOff>982981</xdr:colOff>
      <xdr:row>1</xdr:row>
      <xdr:rowOff>231343</xdr:rowOff>
    </xdr:to>
    <xdr:pic>
      <xdr:nvPicPr>
        <xdr:cNvPr id="2" name="Picture 1">
          <a:extLst>
            <a:ext uri="{FF2B5EF4-FFF2-40B4-BE49-F238E27FC236}">
              <a16:creationId xmlns:a16="http://schemas.microsoft.com/office/drawing/2014/main" id="{196073FB-3ED2-4E17-97CB-8BC94E9CD5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56" y="47625"/>
          <a:ext cx="889635" cy="429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nked%20Pictur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est%20Data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Tex%20Onsite\Tex_reff\TOAST.xlsm" TargetMode="External"/><Relationship Id="rId1" Type="http://schemas.openxmlformats.org/officeDocument/2006/relationships/externalLinkPath" Target="TOAST.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Tex%20Onsite\Tex_reff\Tex%20At%20Site%20Pressure%20Worksheet%20-%20Copy.xlsm" TargetMode="External"/><Relationship Id="rId1" Type="http://schemas.openxmlformats.org/officeDocument/2006/relationships/externalLinkPath" Target="Tex%20At%20Site%20Pressure%20Worksheet%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nked Pictur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Data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sheet"/>
      <sheetName val="Staff1"/>
      <sheetName val="Staff"/>
      <sheetName val="Sites"/>
      <sheetName val="Torque"/>
      <sheetName val="Pressure"/>
      <sheetName val="Powered_Torque"/>
      <sheetName val="Temperature_Referance"/>
      <sheetName val="Temperature_Source"/>
      <sheetName val="Temperature"/>
      <sheetName val="Humidity"/>
      <sheetName val="Dimensional"/>
      <sheetName val="DataTaker"/>
      <sheetName val="Mods"/>
      <sheetName val="Sheet1"/>
    </sheetNames>
    <sheetDataSet>
      <sheetData sheetId="0"/>
      <sheetData sheetId="1"/>
      <sheetData sheetId="2">
        <row r="3">
          <cell r="A3" t="str">
            <v>Sherwin Nofuente</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up Data"/>
      <sheetName val="Test Data"/>
      <sheetName val="Worksheet"/>
      <sheetName val="Report"/>
      <sheetName val="Report (2)"/>
      <sheetName val="Uncert"/>
      <sheetName val="Scope"/>
      <sheetName val="Notes"/>
      <sheetName val="shernof"/>
      <sheetName val="Mods"/>
      <sheetName val="ConnectionSetup"/>
      <sheetName val="Tex At Site Pressure Worksheet "/>
    </sheetNames>
    <definedNames>
      <definedName name="Button2_Click"/>
      <definedName name="Fail_Click"/>
      <definedName name="hideSign"/>
      <definedName name="Indicated_Click"/>
      <definedName name="Pass_Click"/>
      <definedName name="shernof_Button3_Click"/>
      <definedName name="show"/>
      <definedName name="TestData_Click"/>
      <definedName name="Trainee_Click"/>
      <definedName name="Zero_Click"/>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Sherwin Nofuente" id="{1CBEC42E-6C1C-4D5F-92F4-13CFF8B69EC8}" userId="S::snofuente@texatsite.com.au::c2e3e1f8-46cc-4d09-a296-0583f06878e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K29" dT="2025-07-01T07:08:04.93" personId="{1CBEC42E-6C1C-4D5F-92F4-13CFF8B69EC8}" id="{26663907-7D37-4D43-BBDD-5AC475CF625C}">
    <text>Do not delete</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nata_approvals@texonsite.com.a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mailto:nata_approvals@texonsite.com.au" TargetMode="Externa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vmlDrawing" Target="../drawings/vmlDrawing3.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drawing" Target="../drawings/drawing3.xm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omments" Target="../comments3.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mailto:nata_approvals@texonsite.com.au" TargetMode="External"/><Relationship Id="rId5" Type="http://schemas.openxmlformats.org/officeDocument/2006/relationships/ctrlProp" Target="../ctrlProps/ctrlProp26.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microsoft.com/office/2017/10/relationships/threadedComment" Target="../threadedComments/threadedComment1.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omments" Target="../comments4.xml"/><Relationship Id="rId2" Type="http://schemas.openxmlformats.org/officeDocument/2006/relationships/drawing" Target="../drawings/drawing6.xml"/><Relationship Id="rId16" Type="http://schemas.openxmlformats.org/officeDocument/2006/relationships/ctrlProp" Target="../ctrlProps/ctrlProp39.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TEX@Site%20NATA%20Scope"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s://en.ittrip.xyz/ms-office/excel/execute-python-from-excel-vba" TargetMode="Externa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93BA-39AC-4737-9262-117939E25099}">
  <sheetPr codeName="Sheet8"/>
  <dimension ref="A1:CF203"/>
  <sheetViews>
    <sheetView showGridLines="0" zoomScale="90" zoomScaleNormal="90" workbookViewId="0">
      <selection activeCell="F22" sqref="F22"/>
    </sheetView>
  </sheetViews>
  <sheetFormatPr defaultColWidth="9.140625" defaultRowHeight="15"/>
  <cols>
    <col min="1" max="1" width="2.5703125" style="14" customWidth="1"/>
    <col min="2" max="2" width="34.5703125" style="14" customWidth="1"/>
    <col min="3" max="3" width="4.5703125" style="14" customWidth="1"/>
    <col min="4" max="4" width="20.42578125" style="14" customWidth="1"/>
    <col min="5" max="5" width="29" style="14" customWidth="1"/>
    <col min="6" max="6" width="22.5703125" style="14" customWidth="1"/>
    <col min="7" max="7" width="4.42578125" style="14" customWidth="1"/>
    <col min="8" max="8" width="16.7109375" style="14" customWidth="1"/>
    <col min="9" max="9" width="17.5703125" style="14" customWidth="1"/>
    <col min="10" max="10" width="21" style="14" customWidth="1"/>
    <col min="11" max="11" width="6.28515625" style="14" customWidth="1"/>
    <col min="12" max="12" width="9.140625" style="14"/>
    <col min="13" max="21" width="9.140625" style="14" customWidth="1"/>
    <col min="22" max="22" width="11.85546875" style="14" customWidth="1"/>
    <col min="23" max="23" width="26" style="14" customWidth="1"/>
    <col min="24" max="24" width="8.85546875" style="14" customWidth="1"/>
    <col min="25" max="27" width="9.140625" style="14" customWidth="1"/>
    <col min="28" max="33" width="15.7109375" style="14" customWidth="1"/>
    <col min="34" max="34" width="15.140625" style="14" customWidth="1"/>
    <col min="35" max="77" width="9.140625" style="14" customWidth="1"/>
    <col min="78" max="78" width="16.5703125" style="14" bestFit="1" customWidth="1"/>
    <col min="79" max="79" width="38.5703125" style="14" bestFit="1" customWidth="1"/>
    <col min="80" max="94" width="9.140625" style="14" customWidth="1"/>
    <col min="95" max="16384" width="9.140625" style="14"/>
  </cols>
  <sheetData>
    <row r="1" spans="1:84" ht="20.100000000000001" customHeight="1" thickBot="1">
      <c r="A1" s="1"/>
      <c r="B1" s="2" t="s">
        <v>0</v>
      </c>
      <c r="C1" s="3"/>
      <c r="D1" s="3"/>
      <c r="E1" s="3"/>
      <c r="F1" s="3"/>
      <c r="G1" s="3"/>
      <c r="H1" s="3"/>
      <c r="I1" s="3"/>
      <c r="J1" s="3"/>
      <c r="K1" s="4"/>
      <c r="L1" s="5"/>
      <c r="M1" s="5"/>
      <c r="N1" s="5"/>
      <c r="O1" s="5"/>
      <c r="P1" s="5"/>
      <c r="Q1" s="5"/>
      <c r="R1" s="5"/>
      <c r="S1" s="5"/>
      <c r="T1" s="5"/>
      <c r="U1" s="6"/>
      <c r="V1" s="6"/>
      <c r="W1" s="7"/>
      <c r="X1" s="7"/>
      <c r="Y1" s="7"/>
      <c r="Z1" s="7"/>
      <c r="AA1" s="8"/>
      <c r="AB1" s="9" t="s">
        <v>1</v>
      </c>
      <c r="AC1" s="10" t="s">
        <v>2</v>
      </c>
      <c r="AD1" s="10" t="s">
        <v>3</v>
      </c>
      <c r="AE1" s="10" t="s">
        <v>4</v>
      </c>
      <c r="AF1" s="11" t="s">
        <v>5</v>
      </c>
      <c r="AG1" s="12" t="s">
        <v>6</v>
      </c>
      <c r="AH1" s="13"/>
      <c r="AI1" s="5"/>
      <c r="BZ1" s="5"/>
      <c r="CA1" s="15" t="s">
        <v>7</v>
      </c>
      <c r="CB1" s="5"/>
      <c r="CC1" s="5"/>
      <c r="CD1" s="5"/>
      <c r="CE1" s="16"/>
      <c r="CF1" s="5"/>
    </row>
    <row r="2" spans="1:84" ht="20.100000000000001" customHeight="1" thickBot="1">
      <c r="A2" s="17"/>
      <c r="B2" s="18" t="s">
        <v>8</v>
      </c>
      <c r="C2" s="19"/>
      <c r="D2" s="802"/>
      <c r="E2" s="803"/>
      <c r="F2" s="804"/>
      <c r="G2" s="19"/>
      <c r="H2" s="808" t="s">
        <v>9</v>
      </c>
      <c r="I2" s="809"/>
      <c r="J2" s="706" t="s">
        <v>10</v>
      </c>
      <c r="K2" s="20"/>
      <c r="L2" s="16"/>
      <c r="M2" s="16"/>
      <c r="N2" s="16"/>
      <c r="O2" s="16"/>
      <c r="P2" s="16"/>
      <c r="Q2" s="16"/>
      <c r="R2" s="16"/>
      <c r="S2" s="16"/>
      <c r="T2" s="16"/>
      <c r="U2" s="6"/>
      <c r="V2" s="6"/>
      <c r="W2" s="21"/>
      <c r="X2" s="21"/>
      <c r="Y2" s="21"/>
      <c r="Z2" s="21"/>
      <c r="AA2" s="22">
        <v>2</v>
      </c>
      <c r="AB2" s="23" t="str">
        <f t="shared" ref="AB2:AH16" ca="1" si="0">IF(INDIRECT("["&amp;$K$3&amp;"]Sites!"&amp;AB$22&amp;$AA2)="","",(INDIRECT("["&amp;$K$3&amp;"]Sites!"&amp;AB$22&amp;$AA2)))</f>
        <v>Melbourne</v>
      </c>
      <c r="AC2" s="23" t="str">
        <f t="shared" ca="1" si="0"/>
        <v>17 Ceylon Street</v>
      </c>
      <c r="AD2" s="23" t="str">
        <f t="shared" ca="1" si="0"/>
        <v/>
      </c>
      <c r="AE2" s="23" t="str">
        <f t="shared" ca="1" si="0"/>
        <v>Nunawading</v>
      </c>
      <c r="AF2" s="23" t="str">
        <f t="shared" ca="1" si="0"/>
        <v>3131</v>
      </c>
      <c r="AG2" s="24" t="str">
        <f t="shared" ca="1" si="0"/>
        <v>VIC</v>
      </c>
      <c r="AH2" s="25">
        <f t="shared" ca="1" si="0"/>
        <v>9.7962500000000006</v>
      </c>
      <c r="AI2" s="16"/>
      <c r="BZ2" s="16"/>
      <c r="CA2" s="15" t="s">
        <v>11</v>
      </c>
      <c r="CB2" s="16"/>
      <c r="CC2" s="16"/>
      <c r="CD2" s="16"/>
      <c r="CE2" s="16" t="s">
        <v>12</v>
      </c>
      <c r="CF2" s="16"/>
    </row>
    <row r="3" spans="1:84" ht="20.100000000000001" customHeight="1" thickBot="1">
      <c r="A3" s="26" t="s">
        <v>908</v>
      </c>
      <c r="B3" s="720" t="s">
        <v>10</v>
      </c>
      <c r="C3" s="19"/>
      <c r="D3" s="805"/>
      <c r="E3" s="806"/>
      <c r="F3" s="807"/>
      <c r="G3" s="19"/>
      <c r="H3" s="19"/>
      <c r="I3" s="19"/>
      <c r="J3" s="19"/>
      <c r="K3" s="27" t="s">
        <v>13</v>
      </c>
      <c r="L3" s="28"/>
      <c r="M3" s="16"/>
      <c r="N3" s="16"/>
      <c r="O3" s="16"/>
      <c r="P3" s="16"/>
      <c r="Q3" s="16"/>
      <c r="R3" s="16"/>
      <c r="S3" s="16"/>
      <c r="T3" s="16"/>
      <c r="U3" s="6"/>
      <c r="V3" s="29"/>
      <c r="W3" s="21"/>
      <c r="X3" s="21"/>
      <c r="Y3" s="21"/>
      <c r="Z3" s="21"/>
      <c r="AA3" s="22">
        <f t="shared" ref="AA3:AA15" si="1">AA2+1</f>
        <v>3</v>
      </c>
      <c r="AB3" s="23" t="str">
        <f t="shared" ca="1" si="0"/>
        <v>Brisbane</v>
      </c>
      <c r="AC3" s="23" t="str">
        <f t="shared" ca="1" si="0"/>
        <v>12/3 Rigby Street</v>
      </c>
      <c r="AD3" s="23" t="str">
        <f t="shared" ca="1" si="0"/>
        <v/>
      </c>
      <c r="AE3" s="23" t="str">
        <f t="shared" ca="1" si="0"/>
        <v>Nambour</v>
      </c>
      <c r="AF3" s="23" t="str">
        <f t="shared" ca="1" si="0"/>
        <v>4560</v>
      </c>
      <c r="AG3" s="24" t="str">
        <f t="shared" ca="1" si="0"/>
        <v>QLD</v>
      </c>
      <c r="AH3" s="25">
        <f t="shared" ca="1" si="0"/>
        <v>9.7919999999999998</v>
      </c>
      <c r="AI3" s="16"/>
      <c r="BZ3" s="16">
        <v>1</v>
      </c>
      <c r="CA3" s="810" t="str">
        <f ca="1">IF(BZ3=1,"",MID(CELL("filename"),SEARCH("[",CELL("filename"))+1,SEARCH("]",CELL("filename"))-SEARCH("[",CELL("filename"))-1))</f>
        <v/>
      </c>
      <c r="CB3" s="810"/>
      <c r="CC3" s="810"/>
      <c r="CD3" s="810"/>
      <c r="CE3" s="810"/>
      <c r="CF3" s="16"/>
    </row>
    <row r="4" spans="1:84" ht="20.100000000000001" customHeight="1" thickBot="1">
      <c r="A4" s="26"/>
      <c r="B4" s="30"/>
      <c r="C4" s="19"/>
      <c r="D4" s="19"/>
      <c r="E4" s="19"/>
      <c r="F4" s="19"/>
      <c r="G4" s="19"/>
      <c r="H4" s="31" t="s">
        <v>14</v>
      </c>
      <c r="I4" s="707" t="s">
        <v>10</v>
      </c>
      <c r="J4" s="710"/>
      <c r="K4" s="32"/>
      <c r="L4" s="16"/>
      <c r="M4" s="16"/>
      <c r="N4" s="16"/>
      <c r="O4" s="16"/>
      <c r="P4" s="16"/>
      <c r="Q4" s="16"/>
      <c r="R4" s="16"/>
      <c r="S4" s="16"/>
      <c r="T4" s="16"/>
      <c r="U4" s="6"/>
      <c r="V4" s="6"/>
      <c r="W4" s="21"/>
      <c r="X4" s="21"/>
      <c r="Y4" s="21"/>
      <c r="Z4" s="21"/>
      <c r="AA4" s="22">
        <f t="shared" si="1"/>
        <v>4</v>
      </c>
      <c r="AB4" s="23" t="str">
        <f t="shared" ca="1" si="0"/>
        <v>Darwin</v>
      </c>
      <c r="AC4" s="23" t="str">
        <f t="shared" ca="1" si="0"/>
        <v>3/17 Willes Rd</v>
      </c>
      <c r="AD4" s="23" t="str">
        <f t="shared" ca="1" si="0"/>
        <v/>
      </c>
      <c r="AE4" s="23" t="str">
        <f t="shared" ca="1" si="0"/>
        <v>Berrimah</v>
      </c>
      <c r="AF4" s="23" t="str">
        <f t="shared" ca="1" si="0"/>
        <v>0828</v>
      </c>
      <c r="AG4" s="24" t="str">
        <f t="shared" ca="1" si="0"/>
        <v>NT</v>
      </c>
      <c r="AH4" s="25">
        <f t="shared" ca="1" si="0"/>
        <v>9.8066499999999994</v>
      </c>
      <c r="AI4" s="16"/>
      <c r="BZ4" s="16"/>
      <c r="CA4" s="16" t="s">
        <v>15</v>
      </c>
      <c r="CB4" s="16"/>
      <c r="CC4" s="16"/>
      <c r="CD4" s="16"/>
      <c r="CE4" s="16"/>
      <c r="CF4" s="16"/>
    </row>
    <row r="5" spans="1:84" ht="20.100000000000001" customHeight="1" thickBot="1">
      <c r="A5" s="17" t="s">
        <v>16</v>
      </c>
      <c r="B5" s="18" t="s">
        <v>17</v>
      </c>
      <c r="C5" s="30"/>
      <c r="D5" s="31" t="s">
        <v>18</v>
      </c>
      <c r="E5" s="698" t="s">
        <v>10</v>
      </c>
      <c r="F5" s="702"/>
      <c r="G5" s="30"/>
      <c r="H5" s="33" t="s">
        <v>19</v>
      </c>
      <c r="I5" s="708" t="s">
        <v>10</v>
      </c>
      <c r="J5" s="711"/>
      <c r="K5" s="32"/>
      <c r="L5" s="16"/>
      <c r="M5" s="16"/>
      <c r="N5" s="16"/>
      <c r="O5" s="16"/>
      <c r="P5" s="16"/>
      <c r="Q5" s="16"/>
      <c r="R5" s="16"/>
      <c r="S5" s="16"/>
      <c r="T5" s="16"/>
      <c r="U5" s="16"/>
      <c r="V5" s="16"/>
      <c r="W5" s="21"/>
      <c r="X5" s="21"/>
      <c r="Y5" s="21"/>
      <c r="Z5" s="21"/>
      <c r="AA5" s="22">
        <f t="shared" si="1"/>
        <v>5</v>
      </c>
      <c r="AB5" s="23" t="str">
        <f t="shared" ca="1" si="0"/>
        <v>Perth</v>
      </c>
      <c r="AC5" s="23" t="str">
        <f t="shared" ca="1" si="0"/>
        <v>Unit 5/35 Colin Jamieson Dr</v>
      </c>
      <c r="AD5" s="23" t="str">
        <f t="shared" ca="1" si="0"/>
        <v/>
      </c>
      <c r="AE5" s="23" t="str">
        <f t="shared" ca="1" si="0"/>
        <v>Welshpool</v>
      </c>
      <c r="AF5" s="23" t="str">
        <f t="shared" ca="1" si="0"/>
        <v>6106</v>
      </c>
      <c r="AG5" s="24" t="str">
        <f t="shared" ca="1" si="0"/>
        <v>WA</v>
      </c>
      <c r="AH5" s="25">
        <f t="shared" ca="1" si="0"/>
        <v>9.8066499999999994</v>
      </c>
      <c r="AI5" s="16"/>
      <c r="BZ5" s="16"/>
      <c r="CA5" s="16" t="str">
        <f>SUBSTITUTE(CA4,CHAR(11),CHAR(10))</f>
        <v>17 Ceylon Street, Nunawading, 3131</v>
      </c>
      <c r="CB5" s="16"/>
      <c r="CC5" s="16"/>
      <c r="CD5" s="16"/>
      <c r="CE5" s="16"/>
      <c r="CF5" s="16"/>
    </row>
    <row r="6" spans="1:84" ht="20.100000000000001" customHeight="1">
      <c r="A6" s="34" t="s">
        <v>20</v>
      </c>
      <c r="B6" s="35" t="str">
        <f ca="1">VLOOKUP(B3,AB2:AG21,2,FALSE)</f>
        <v/>
      </c>
      <c r="C6" s="36"/>
      <c r="D6" s="811" t="s">
        <v>21</v>
      </c>
      <c r="E6" s="699" t="s">
        <v>10</v>
      </c>
      <c r="F6" s="703"/>
      <c r="G6" s="30"/>
      <c r="H6" s="33" t="s">
        <v>22</v>
      </c>
      <c r="I6" s="708" t="s">
        <v>10</v>
      </c>
      <c r="J6" s="711"/>
      <c r="K6" s="32"/>
      <c r="L6" s="16"/>
      <c r="M6" s="16"/>
      <c r="N6" s="16"/>
      <c r="O6" s="16"/>
      <c r="P6" s="16"/>
      <c r="Q6" s="16"/>
      <c r="R6" s="16"/>
      <c r="S6" s="16"/>
      <c r="T6" s="16"/>
      <c r="U6" s="16"/>
      <c r="V6" s="16"/>
      <c r="W6" s="21"/>
      <c r="X6" s="21"/>
      <c r="Y6" s="21"/>
      <c r="Z6" s="21"/>
      <c r="AA6" s="22">
        <f t="shared" si="1"/>
        <v>6</v>
      </c>
      <c r="AB6" s="23" t="str">
        <f t="shared" ca="1" si="0"/>
        <v>Adelaide</v>
      </c>
      <c r="AC6" s="23" t="str">
        <f t="shared" ca="1" si="0"/>
        <v xml:space="preserve">9A Susan Street </v>
      </c>
      <c r="AD6" s="23" t="str">
        <f t="shared" ca="1" si="0"/>
        <v/>
      </c>
      <c r="AE6" s="23" t="str">
        <f t="shared" ca="1" si="0"/>
        <v>Hindmarsh</v>
      </c>
      <c r="AF6" s="23" t="str">
        <f t="shared" ca="1" si="0"/>
        <v>5007</v>
      </c>
      <c r="AG6" s="24" t="str">
        <f t="shared" ca="1" si="0"/>
        <v>SA</v>
      </c>
      <c r="AH6" s="25">
        <f t="shared" ca="1" si="0"/>
        <v>9.7970100000000002</v>
      </c>
      <c r="AI6" s="16"/>
      <c r="BZ6" s="16"/>
      <c r="CA6" s="16"/>
      <c r="CB6" s="16"/>
      <c r="CC6" s="16"/>
      <c r="CD6" s="16"/>
      <c r="CE6" s="16"/>
      <c r="CF6" s="16"/>
    </row>
    <row r="7" spans="1:84" ht="20.100000000000001" customHeight="1">
      <c r="A7" s="26"/>
      <c r="B7" s="35" t="str">
        <f ca="1">VLOOKUP(B3,AB2:AG21,3,FALSE)</f>
        <v/>
      </c>
      <c r="C7" s="30"/>
      <c r="D7" s="812"/>
      <c r="E7" s="700"/>
      <c r="F7" s="704"/>
      <c r="G7" s="30"/>
      <c r="H7" s="33" t="s">
        <v>23</v>
      </c>
      <c r="I7" s="708" t="s">
        <v>10</v>
      </c>
      <c r="J7" s="711"/>
      <c r="K7" s="32"/>
      <c r="L7" s="16"/>
      <c r="M7" s="16"/>
      <c r="N7" s="16"/>
      <c r="O7" s="16"/>
      <c r="P7" s="16"/>
      <c r="Q7" s="16"/>
      <c r="R7" s="16"/>
      <c r="S7" s="16"/>
      <c r="T7" s="16"/>
      <c r="U7" s="16"/>
      <c r="V7" s="16"/>
      <c r="W7" s="21"/>
      <c r="X7" s="21"/>
      <c r="Y7" s="21"/>
      <c r="Z7" s="21"/>
      <c r="AA7" s="22">
        <f t="shared" si="1"/>
        <v>7</v>
      </c>
      <c r="AB7" s="23" t="str">
        <f t="shared" ca="1" si="0"/>
        <v>Auckland</v>
      </c>
      <c r="AC7" s="23" t="str">
        <f t="shared" ca="1" si="0"/>
        <v>90 Lady Ruby Drive</v>
      </c>
      <c r="AD7" s="23" t="str">
        <f t="shared" ca="1" si="0"/>
        <v/>
      </c>
      <c r="AE7" s="23" t="str">
        <f t="shared" ca="1" si="0"/>
        <v>East Tamaki</v>
      </c>
      <c r="AF7" s="23" t="str">
        <f t="shared" ca="1" si="0"/>
        <v>2013</v>
      </c>
      <c r="AG7" s="24" t="str">
        <f t="shared" ca="1" si="0"/>
        <v>NZ</v>
      </c>
      <c r="AH7" s="25">
        <f t="shared" ca="1" si="0"/>
        <v>9.79847</v>
      </c>
      <c r="AI7" s="16"/>
      <c r="BZ7" s="16"/>
      <c r="CA7" s="16"/>
      <c r="CB7" s="16"/>
      <c r="CC7" s="16"/>
      <c r="CD7" s="16"/>
      <c r="CE7" s="16"/>
      <c r="CF7" s="16"/>
    </row>
    <row r="8" spans="1:84" ht="20.100000000000001" customHeight="1" thickBot="1">
      <c r="A8" s="26"/>
      <c r="B8" s="37" t="str">
        <f ca="1">VLOOKUP(B3,AB2:AG21,4,FALSE) &amp; ", " &amp; VLOOKUP(B3,AB2:AG21,5,FALSE) &amp; ", " &amp; VLOOKUP(B3,AB2:AG21,6,FALSE)</f>
        <v xml:space="preserve">, , </v>
      </c>
      <c r="C8" s="30"/>
      <c r="D8" s="813"/>
      <c r="E8" s="701"/>
      <c r="F8" s="705"/>
      <c r="G8" s="30"/>
      <c r="H8" s="38" t="s">
        <v>24</v>
      </c>
      <c r="I8" s="709" t="s">
        <v>10</v>
      </c>
      <c r="J8" s="712"/>
      <c r="K8" s="32"/>
      <c r="L8" s="16"/>
      <c r="M8" s="16"/>
      <c r="N8" s="16"/>
      <c r="O8" s="16"/>
      <c r="P8" s="16"/>
      <c r="Q8" s="16"/>
      <c r="R8" s="16"/>
      <c r="S8" s="16"/>
      <c r="T8" s="16"/>
      <c r="U8" s="16"/>
      <c r="V8" s="16"/>
      <c r="W8" s="21"/>
      <c r="X8" s="21"/>
      <c r="Y8" s="21"/>
      <c r="Z8" s="21"/>
      <c r="AA8" s="22">
        <f t="shared" si="1"/>
        <v>8</v>
      </c>
      <c r="AB8" s="23" t="str">
        <f t="shared" ca="1" si="0"/>
        <v>Christchurch</v>
      </c>
      <c r="AC8" s="23" t="str">
        <f t="shared" ca="1" si="0"/>
        <v>Unit 8/22C Dakota Cresent</v>
      </c>
      <c r="AD8" s="23" t="str">
        <f t="shared" ca="1" si="0"/>
        <v/>
      </c>
      <c r="AE8" s="23" t="str">
        <f t="shared" ca="1" si="0"/>
        <v>Wigram</v>
      </c>
      <c r="AF8" s="23" t="str">
        <f t="shared" ca="1" si="0"/>
        <v>8042</v>
      </c>
      <c r="AG8" s="24" t="str">
        <f t="shared" ca="1" si="0"/>
        <v>NZ</v>
      </c>
      <c r="AH8" s="25">
        <f t="shared" ca="1" si="0"/>
        <v>9.8228200000000001</v>
      </c>
      <c r="AI8" s="16"/>
      <c r="BZ8" s="16"/>
      <c r="CA8" s="16"/>
      <c r="CB8" s="16"/>
      <c r="CC8" s="16"/>
      <c r="CD8" s="16"/>
      <c r="CE8" s="16"/>
      <c r="CF8" s="16"/>
    </row>
    <row r="9" spans="1:84" ht="20.100000000000001" customHeight="1" thickBot="1">
      <c r="A9" s="26"/>
      <c r="B9" s="30"/>
      <c r="C9" s="39"/>
      <c r="D9" s="40"/>
      <c r="E9" s="40"/>
      <c r="F9" s="19"/>
      <c r="G9" s="19"/>
      <c r="H9" s="39"/>
      <c r="I9" s="39"/>
      <c r="J9" s="39"/>
      <c r="K9" s="32"/>
      <c r="L9" s="16"/>
      <c r="M9" s="16"/>
      <c r="N9" s="16"/>
      <c r="O9" s="16"/>
      <c r="P9" s="16"/>
      <c r="Q9" s="16"/>
      <c r="R9" s="16"/>
      <c r="S9" s="16"/>
      <c r="T9" s="16"/>
      <c r="U9" s="16"/>
      <c r="V9" s="16"/>
      <c r="W9" s="21"/>
      <c r="X9" s="21"/>
      <c r="Y9" s="21"/>
      <c r="Z9" s="21"/>
      <c r="AA9" s="22">
        <f t="shared" si="1"/>
        <v>9</v>
      </c>
      <c r="AB9" s="41" t="s">
        <v>25</v>
      </c>
      <c r="AC9" s="42" t="s">
        <v>26</v>
      </c>
      <c r="AD9" s="23" t="str">
        <f t="shared" ca="1" si="0"/>
        <v/>
      </c>
      <c r="AE9" s="43" t="s">
        <v>27</v>
      </c>
      <c r="AF9" s="44" t="s">
        <v>28</v>
      </c>
      <c r="AG9" s="45" t="s">
        <v>29</v>
      </c>
      <c r="AH9" s="46">
        <v>9.7903199999999995</v>
      </c>
      <c r="AI9" s="16"/>
      <c r="BZ9" s="16"/>
      <c r="CA9" s="16"/>
      <c r="CB9" s="16"/>
      <c r="CC9" s="16"/>
      <c r="CD9" s="16"/>
      <c r="CE9" s="16"/>
      <c r="CF9" s="16"/>
    </row>
    <row r="10" spans="1:84" ht="20.100000000000001" customHeight="1" thickBot="1">
      <c r="A10" s="17" t="s">
        <v>16</v>
      </c>
      <c r="B10" s="47" t="s">
        <v>30</v>
      </c>
      <c r="C10" s="48"/>
      <c r="D10" s="49" t="s">
        <v>31</v>
      </c>
      <c r="E10" s="713">
        <v>45820</v>
      </c>
      <c r="F10" s="714" t="s">
        <v>32</v>
      </c>
      <c r="G10" s="50"/>
      <c r="H10" s="39"/>
      <c r="I10" s="51" t="s">
        <v>33</v>
      </c>
      <c r="J10" s="52" t="str">
        <f>B3</f>
        <v>?</v>
      </c>
      <c r="K10" s="53"/>
      <c r="L10" s="16"/>
      <c r="M10" s="16"/>
      <c r="N10" s="16"/>
      <c r="O10" s="16"/>
      <c r="P10" s="16"/>
      <c r="Q10" s="16"/>
      <c r="R10" s="16"/>
      <c r="S10" s="16"/>
      <c r="T10" s="16"/>
      <c r="U10" s="16"/>
      <c r="V10" s="54">
        <f>VLOOKUP(F17,W10:X15,2,0)</f>
        <v>4</v>
      </c>
      <c r="W10" s="55" t="s">
        <v>34</v>
      </c>
      <c r="X10" s="56">
        <v>1</v>
      </c>
      <c r="Y10" s="21"/>
      <c r="Z10" s="21"/>
      <c r="AA10" s="22">
        <f t="shared" si="1"/>
        <v>10</v>
      </c>
      <c r="AB10" s="23" t="str">
        <f t="shared" ca="1" si="0"/>
        <v/>
      </c>
      <c r="AC10" s="23" t="str">
        <f t="shared" ca="1" si="0"/>
        <v/>
      </c>
      <c r="AD10" s="23" t="str">
        <f t="shared" ca="1" si="0"/>
        <v/>
      </c>
      <c r="AE10" s="23" t="str">
        <f t="shared" ca="1" si="0"/>
        <v/>
      </c>
      <c r="AF10" s="23" t="str">
        <f t="shared" ca="1" si="0"/>
        <v/>
      </c>
      <c r="AG10" s="24" t="str">
        <f t="shared" ca="1" si="0"/>
        <v/>
      </c>
      <c r="AH10" s="25">
        <f t="shared" ca="1" si="0"/>
        <v>9.8066499999999994</v>
      </c>
      <c r="AI10" s="16"/>
      <c r="BZ10" s="16"/>
      <c r="CA10" s="16" t="s">
        <v>35</v>
      </c>
      <c r="CB10" s="16"/>
      <c r="CC10" s="16"/>
      <c r="CD10" s="16"/>
      <c r="CE10" s="16"/>
      <c r="CF10" s="16"/>
    </row>
    <row r="11" spans="1:84" ht="20.100000000000001" customHeight="1" thickBot="1">
      <c r="A11" s="26"/>
      <c r="B11" s="719" t="s">
        <v>10</v>
      </c>
      <c r="C11" s="57"/>
      <c r="D11" s="58" t="str">
        <f>IF($F$10="No Recal Date:","No Recal Date:",IF($F$10="Provide Recal Date:","Recal Date:","Recal Date 1:"))</f>
        <v>Recal Date:</v>
      </c>
      <c r="E11" s="59">
        <f>IF($F$10="No Recal Date:","No Recal Date:",IF(ISBLANK($E$10),"",IF($G$11="","Cal Interval?",EDATE($E$10,$G$11))))</f>
        <v>46185</v>
      </c>
      <c r="F11" s="60">
        <f>IF($D$11="No Recal Date : ","",G11)</f>
        <v>12</v>
      </c>
      <c r="G11" s="716">
        <v>12</v>
      </c>
      <c r="H11" s="39"/>
      <c r="I11" s="62" t="str">
        <f ca="1">VLOOKUP(J10,AB2:AH21,7,0)</f>
        <v/>
      </c>
      <c r="J11" s="63" t="s">
        <v>36</v>
      </c>
      <c r="K11" s="53"/>
      <c r="L11" s="16"/>
      <c r="M11" s="16"/>
      <c r="N11" s="16"/>
      <c r="O11" s="16"/>
      <c r="P11" s="16"/>
      <c r="Q11" s="16"/>
      <c r="R11" s="16"/>
      <c r="S11" s="16"/>
      <c r="T11" s="16"/>
      <c r="U11" s="16"/>
      <c r="V11" s="16"/>
      <c r="W11" s="64" t="s">
        <v>37</v>
      </c>
      <c r="X11" s="65">
        <v>2</v>
      </c>
      <c r="Y11" s="21"/>
      <c r="Z11" s="21"/>
      <c r="AA11" s="22">
        <f t="shared" si="1"/>
        <v>11</v>
      </c>
      <c r="AB11" s="23" t="str">
        <f t="shared" ca="1" si="0"/>
        <v/>
      </c>
      <c r="AC11" s="23" t="str">
        <f t="shared" ca="1" si="0"/>
        <v/>
      </c>
      <c r="AD11" s="23" t="str">
        <f t="shared" ca="1" si="0"/>
        <v/>
      </c>
      <c r="AE11" s="23" t="str">
        <f t="shared" ca="1" si="0"/>
        <v/>
      </c>
      <c r="AF11" s="23" t="str">
        <f t="shared" ca="1" si="0"/>
        <v/>
      </c>
      <c r="AG11" s="24" t="str">
        <f t="shared" ca="1" si="0"/>
        <v/>
      </c>
      <c r="AH11" s="25">
        <f t="shared" ca="1" si="0"/>
        <v>9.8066499999999994</v>
      </c>
      <c r="AI11" s="16"/>
      <c r="BZ11" s="16"/>
      <c r="CA11" s="16"/>
      <c r="CB11" s="16" t="s">
        <v>38</v>
      </c>
      <c r="CC11" s="16"/>
      <c r="CD11" s="16"/>
      <c r="CE11" s="16"/>
      <c r="CF11" s="16"/>
    </row>
    <row r="12" spans="1:84" ht="20.100000000000001" customHeight="1" thickBot="1">
      <c r="A12" s="26"/>
      <c r="B12" s="66"/>
      <c r="C12" s="57"/>
      <c r="D12" s="58" t="s">
        <v>39</v>
      </c>
      <c r="E12" s="715">
        <v>45820</v>
      </c>
      <c r="F12" s="67"/>
      <c r="G12" s="68"/>
      <c r="H12" s="39"/>
      <c r="I12" s="39"/>
      <c r="J12" s="39"/>
      <c r="K12" s="53"/>
      <c r="L12" s="16"/>
      <c r="M12" s="16"/>
      <c r="N12" s="16"/>
      <c r="O12" s="16"/>
      <c r="P12" s="16"/>
      <c r="Q12" s="16"/>
      <c r="R12" s="16"/>
      <c r="S12" s="16"/>
      <c r="T12" s="16"/>
      <c r="U12" s="16"/>
      <c r="V12" s="16"/>
      <c r="W12" s="64" t="s">
        <v>40</v>
      </c>
      <c r="X12" s="65">
        <v>3</v>
      </c>
      <c r="Y12" s="21"/>
      <c r="Z12" s="21"/>
      <c r="AA12" s="22">
        <f t="shared" si="1"/>
        <v>12</v>
      </c>
      <c r="AB12" s="23" t="s">
        <v>41</v>
      </c>
      <c r="AC12" s="23" t="str">
        <f t="shared" ca="1" si="0"/>
        <v/>
      </c>
      <c r="AD12" s="23" t="str">
        <f t="shared" ca="1" si="0"/>
        <v/>
      </c>
      <c r="AE12" s="23" t="str">
        <f t="shared" ca="1" si="0"/>
        <v/>
      </c>
      <c r="AF12" s="23" t="str">
        <f t="shared" ca="1" si="0"/>
        <v/>
      </c>
      <c r="AG12" s="24" t="str">
        <f t="shared" ca="1" si="0"/>
        <v/>
      </c>
      <c r="AH12" s="25">
        <f t="shared" ca="1" si="0"/>
        <v>9.8066499999999994</v>
      </c>
      <c r="AI12" s="16"/>
      <c r="BZ12" s="16"/>
      <c r="CA12" s="16"/>
      <c r="CB12" s="16" t="s">
        <v>35</v>
      </c>
      <c r="CC12" s="16"/>
      <c r="CD12" s="16"/>
      <c r="CE12" s="16"/>
      <c r="CF12" s="16"/>
    </row>
    <row r="13" spans="1:84" ht="20.100000000000001" customHeight="1">
      <c r="A13" s="26"/>
      <c r="B13" s="69" t="s">
        <v>42</v>
      </c>
      <c r="C13" s="70"/>
      <c r="D13" s="71"/>
      <c r="E13" s="72"/>
      <c r="F13" s="73"/>
      <c r="G13" s="74"/>
      <c r="H13" s="39"/>
      <c r="I13" s="814" t="s">
        <v>43</v>
      </c>
      <c r="J13" s="815"/>
      <c r="K13" s="53"/>
      <c r="L13" s="16"/>
      <c r="M13" s="16"/>
      <c r="N13" s="16"/>
      <c r="O13" s="16"/>
      <c r="P13" s="16"/>
      <c r="Q13" s="16"/>
      <c r="R13" s="16"/>
      <c r="S13" s="16"/>
      <c r="T13" s="16"/>
      <c r="U13" s="16"/>
      <c r="V13" s="16"/>
      <c r="W13" s="64" t="s">
        <v>44</v>
      </c>
      <c r="X13" s="65">
        <v>4</v>
      </c>
      <c r="Y13" s="21"/>
      <c r="Z13" s="21"/>
      <c r="AA13" s="22">
        <f t="shared" si="1"/>
        <v>13</v>
      </c>
      <c r="AB13" s="23" t="str">
        <f ca="1">IF(INDIRECT("["&amp;$K$3&amp;"]Sites!"&amp;AB$22&amp;$AA13)="","",(INDIRECT("["&amp;$K$3&amp;"]Sites!"&amp;AB$22&amp;$AA13)))</f>
        <v/>
      </c>
      <c r="AC13" s="23" t="str">
        <f t="shared" ca="1" si="0"/>
        <v/>
      </c>
      <c r="AD13" s="23" t="str">
        <f t="shared" ca="1" si="0"/>
        <v/>
      </c>
      <c r="AE13" s="23" t="str">
        <f t="shared" ca="1" si="0"/>
        <v/>
      </c>
      <c r="AF13" s="23" t="str">
        <f t="shared" ca="1" si="0"/>
        <v/>
      </c>
      <c r="AG13" s="24" t="str">
        <f t="shared" ca="1" si="0"/>
        <v/>
      </c>
      <c r="AH13" s="25">
        <f t="shared" ca="1" si="0"/>
        <v>9.8066499999999994</v>
      </c>
      <c r="AI13" s="16"/>
      <c r="BZ13" s="16"/>
      <c r="CA13" s="16"/>
      <c r="CB13" s="16" t="s">
        <v>45</v>
      </c>
      <c r="CC13" s="16"/>
      <c r="CD13" s="16"/>
      <c r="CE13" s="16"/>
      <c r="CF13" s="16"/>
    </row>
    <row r="14" spans="1:84" ht="20.100000000000001" customHeight="1">
      <c r="A14" s="26"/>
      <c r="B14" s="69" t="s">
        <v>46</v>
      </c>
      <c r="C14" s="75"/>
      <c r="D14" s="71" t="str">
        <f>IF($F$10="Provide 2 Recal Date:","Recal Date 2:","")</f>
        <v/>
      </c>
      <c r="E14" s="76" t="str">
        <f>IF($F$10="No Recal Date:","No Recal Date:",IF(ISBLANK($E$10),"",IF($G$14="","Cal Interval?",EDATE($E$10,$G$14))))</f>
        <v>Cal Interval?</v>
      </c>
      <c r="F14" s="77">
        <f>IF($D$11="No Recal Date : ","",G14)</f>
        <v>0</v>
      </c>
      <c r="G14" s="61"/>
      <c r="H14" s="39"/>
      <c r="I14" s="800" t="str">
        <f ca="1">Mods!$A$1</f>
        <v>TAS-SST001v1</v>
      </c>
      <c r="J14" s="801"/>
      <c r="K14" s="53"/>
      <c r="L14" s="16"/>
      <c r="M14" s="16"/>
      <c r="N14" s="16"/>
      <c r="O14" s="16"/>
      <c r="P14" s="16"/>
      <c r="Q14" s="16"/>
      <c r="R14" s="16"/>
      <c r="S14" s="16"/>
      <c r="T14" s="16"/>
      <c r="U14" s="16"/>
      <c r="V14" s="16"/>
      <c r="W14" s="64" t="s">
        <v>47</v>
      </c>
      <c r="X14" s="65">
        <v>5</v>
      </c>
      <c r="Y14" s="21"/>
      <c r="Z14" s="21"/>
      <c r="AA14" s="22">
        <f t="shared" si="1"/>
        <v>14</v>
      </c>
      <c r="AB14" s="23" t="str">
        <f ca="1">IF(INDIRECT("["&amp;$K$3&amp;"]Sites!"&amp;AB$22&amp;$AA14)="","",(INDIRECT("["&amp;$K$3&amp;"]Sites!"&amp;AB$22&amp;$AA14)))</f>
        <v/>
      </c>
      <c r="AC14" s="23" t="str">
        <f t="shared" ca="1" si="0"/>
        <v/>
      </c>
      <c r="AD14" s="23" t="str">
        <f t="shared" ca="1" si="0"/>
        <v/>
      </c>
      <c r="AE14" s="23" t="str">
        <f t="shared" ca="1" si="0"/>
        <v/>
      </c>
      <c r="AF14" s="23" t="str">
        <f t="shared" ca="1" si="0"/>
        <v/>
      </c>
      <c r="AG14" s="24" t="str">
        <f t="shared" ca="1" si="0"/>
        <v/>
      </c>
      <c r="AH14" s="25">
        <f t="shared" ca="1" si="0"/>
        <v>9.8066499999999994</v>
      </c>
      <c r="AI14" s="16"/>
      <c r="BZ14" s="16"/>
      <c r="CA14" s="16"/>
      <c r="CB14" s="16"/>
      <c r="CC14" s="16"/>
      <c r="CD14" s="16"/>
      <c r="CE14" s="16"/>
      <c r="CF14" s="16"/>
    </row>
    <row r="15" spans="1:84" ht="20.100000000000001" customHeight="1" thickBot="1">
      <c r="A15" s="26"/>
      <c r="B15" s="39"/>
      <c r="C15" s="75"/>
      <c r="D15" s="78"/>
      <c r="E15" s="79"/>
      <c r="F15" s="79"/>
      <c r="G15" s="80"/>
      <c r="H15" s="39"/>
      <c r="I15" s="817" t="s">
        <v>48</v>
      </c>
      <c r="J15" s="818"/>
      <c r="K15" s="53"/>
      <c r="L15" s="16"/>
      <c r="M15" s="16"/>
      <c r="N15" s="16"/>
      <c r="O15" s="16"/>
      <c r="P15" s="16"/>
      <c r="Q15" s="16"/>
      <c r="R15" s="16"/>
      <c r="S15" s="16"/>
      <c r="T15" s="16"/>
      <c r="U15" s="16"/>
      <c r="V15" s="16"/>
      <c r="W15" s="81" t="s">
        <v>49</v>
      </c>
      <c r="X15" s="82">
        <v>6</v>
      </c>
      <c r="Y15" s="21"/>
      <c r="Z15" s="21"/>
      <c r="AA15" s="22">
        <f t="shared" si="1"/>
        <v>15</v>
      </c>
      <c r="AB15" s="23" t="str">
        <f ca="1">IF(INDIRECT("["&amp;$K$3&amp;"]Sites!"&amp;AB$22&amp;$AA15)="","",(INDIRECT("["&amp;$K$3&amp;"]Sites!"&amp;AB$22&amp;$AA15)))</f>
        <v/>
      </c>
      <c r="AC15" s="23" t="str">
        <f t="shared" ca="1" si="0"/>
        <v/>
      </c>
      <c r="AD15" s="23" t="str">
        <f t="shared" ca="1" si="0"/>
        <v/>
      </c>
      <c r="AE15" s="23" t="str">
        <f t="shared" ca="1" si="0"/>
        <v/>
      </c>
      <c r="AF15" s="23" t="str">
        <f t="shared" ca="1" si="0"/>
        <v/>
      </c>
      <c r="AG15" s="24" t="str">
        <f t="shared" ca="1" si="0"/>
        <v/>
      </c>
      <c r="AH15" s="25">
        <f t="shared" ca="1" si="0"/>
        <v>9.8066499999999994</v>
      </c>
      <c r="AI15" s="16"/>
      <c r="BZ15" s="16"/>
      <c r="CA15" s="16" t="s">
        <v>50</v>
      </c>
      <c r="CB15" s="819"/>
      <c r="CC15" s="819"/>
      <c r="CD15" s="16"/>
      <c r="CE15" s="16"/>
      <c r="CF15" s="16"/>
    </row>
    <row r="16" spans="1:84" ht="20.100000000000001" customHeight="1" thickBot="1">
      <c r="A16" s="26"/>
      <c r="B16" s="84" t="s">
        <v>51</v>
      </c>
      <c r="C16" s="75"/>
      <c r="D16" s="85"/>
      <c r="E16" s="86"/>
      <c r="F16" s="86"/>
      <c r="G16" s="86"/>
      <c r="H16" s="39"/>
      <c r="I16" s="820" t="s">
        <v>52</v>
      </c>
      <c r="J16" s="821"/>
      <c r="K16" s="53"/>
      <c r="L16" s="16"/>
      <c r="M16" s="16"/>
      <c r="N16" s="16"/>
      <c r="O16" s="16"/>
      <c r="P16" s="16"/>
      <c r="Q16" s="16"/>
      <c r="R16" s="16"/>
      <c r="S16" s="16"/>
      <c r="T16" s="16"/>
      <c r="U16" s="16"/>
      <c r="V16" s="16"/>
      <c r="W16" s="21"/>
      <c r="X16" s="21"/>
      <c r="Y16" s="21"/>
      <c r="Z16" s="21"/>
      <c r="AA16" s="22">
        <f>AA15+1</f>
        <v>16</v>
      </c>
      <c r="AB16" s="23" t="str">
        <f ca="1">IF(INDIRECT("["&amp;$K$3&amp;"]Sites!"&amp;AB$22&amp;$AA16)="","",(INDIRECT("["&amp;$K$3&amp;"]Sites!"&amp;AB$22&amp;$AA16)))</f>
        <v/>
      </c>
      <c r="AC16" s="23" t="str">
        <f t="shared" ca="1" si="0"/>
        <v/>
      </c>
      <c r="AD16" s="23" t="str">
        <f t="shared" ca="1" si="0"/>
        <v/>
      </c>
      <c r="AE16" s="23" t="str">
        <f t="shared" ca="1" si="0"/>
        <v/>
      </c>
      <c r="AF16" s="23" t="str">
        <f t="shared" ca="1" si="0"/>
        <v/>
      </c>
      <c r="AG16" s="24" t="str">
        <f t="shared" ca="1" si="0"/>
        <v/>
      </c>
      <c r="AH16" s="25">
        <f t="shared" ca="1" si="0"/>
        <v>9.8066499999999994</v>
      </c>
      <c r="AI16" s="16"/>
      <c r="BZ16" s="16"/>
      <c r="CA16" s="16"/>
      <c r="CB16" s="819"/>
      <c r="CC16" s="819"/>
      <c r="CD16" s="16"/>
      <c r="CE16" s="16"/>
      <c r="CF16" s="16"/>
    </row>
    <row r="17" spans="1:84" ht="20.100000000000001" customHeight="1" thickBot="1">
      <c r="A17" s="26"/>
      <c r="B17" s="718"/>
      <c r="C17" s="75"/>
      <c r="D17" s="822" t="s">
        <v>53</v>
      </c>
      <c r="E17" s="823"/>
      <c r="F17" s="717" t="s">
        <v>44</v>
      </c>
      <c r="G17" s="87"/>
      <c r="H17" s="39"/>
      <c r="I17" s="88"/>
      <c r="J17" s="87"/>
      <c r="K17" s="53"/>
      <c r="L17" s="16"/>
      <c r="M17" s="16"/>
      <c r="N17" s="16"/>
      <c r="O17" s="16"/>
      <c r="P17" s="16"/>
      <c r="Q17" s="16"/>
      <c r="R17" s="16"/>
      <c r="S17" s="16"/>
      <c r="T17" s="16"/>
      <c r="U17" s="16"/>
      <c r="V17" s="16"/>
      <c r="W17" s="21"/>
      <c r="X17" s="21"/>
      <c r="Y17" s="21"/>
      <c r="Z17" s="21"/>
      <c r="AA17" s="22"/>
      <c r="AB17" s="23"/>
      <c r="AC17" s="23"/>
      <c r="AD17" s="23"/>
      <c r="AE17" s="23"/>
      <c r="AF17" s="23"/>
      <c r="AG17" s="24"/>
      <c r="AH17" s="25"/>
      <c r="AI17" s="16"/>
      <c r="BZ17" s="16"/>
      <c r="CA17" s="16"/>
      <c r="CB17" s="819"/>
      <c r="CC17" s="819"/>
      <c r="CD17" s="16"/>
      <c r="CE17" s="16"/>
      <c r="CF17" s="16"/>
    </row>
    <row r="18" spans="1:84" ht="20.100000000000001" customHeight="1" thickBot="1">
      <c r="A18" s="89"/>
      <c r="B18" s="90"/>
      <c r="C18" s="824"/>
      <c r="D18" s="824"/>
      <c r="E18" s="825"/>
      <c r="F18" s="825"/>
      <c r="G18" s="824"/>
      <c r="H18" s="824"/>
      <c r="I18" s="90"/>
      <c r="J18" s="90"/>
      <c r="K18" s="91"/>
      <c r="L18" s="16"/>
      <c r="M18" s="16"/>
      <c r="N18" s="16"/>
      <c r="O18" s="16"/>
      <c r="P18" s="16"/>
      <c r="Q18" s="16"/>
      <c r="R18" s="16"/>
      <c r="S18" s="16"/>
      <c r="T18" s="16"/>
      <c r="U18" s="16"/>
      <c r="V18" s="16"/>
      <c r="W18" s="21"/>
      <c r="X18" s="21"/>
      <c r="Y18" s="21"/>
      <c r="Z18" s="21"/>
      <c r="AA18" s="22">
        <f>AA16+1</f>
        <v>17</v>
      </c>
      <c r="AB18" s="23" t="str">
        <f t="shared" ref="AB18:AH21" ca="1" si="2">IF(INDIRECT("["&amp;$K$3&amp;"]Sites!"&amp;AB$22&amp;$AA18)="","",(INDIRECT("["&amp;$K$3&amp;"]Sites!"&amp;AB$22&amp;$AA18)))</f>
        <v/>
      </c>
      <c r="AC18" s="23" t="str">
        <f t="shared" ca="1" si="2"/>
        <v/>
      </c>
      <c r="AD18" s="23" t="str">
        <f t="shared" ca="1" si="2"/>
        <v/>
      </c>
      <c r="AE18" s="23" t="str">
        <f t="shared" ca="1" si="2"/>
        <v/>
      </c>
      <c r="AF18" s="23" t="str">
        <f t="shared" ca="1" si="2"/>
        <v/>
      </c>
      <c r="AG18" s="24" t="str">
        <f t="shared" ca="1" si="2"/>
        <v/>
      </c>
      <c r="AH18" s="25">
        <f t="shared" ca="1" si="2"/>
        <v>9.8066499999999994</v>
      </c>
      <c r="AI18" s="16"/>
      <c r="BZ18" s="16"/>
      <c r="CA18" s="16"/>
      <c r="CB18" s="819"/>
      <c r="CC18" s="819"/>
      <c r="CD18" s="16"/>
      <c r="CE18" s="16"/>
      <c r="CF18" s="16"/>
    </row>
    <row r="19" spans="1:84" ht="20.100000000000001" customHeight="1">
      <c r="B19" s="92"/>
      <c r="C19" s="92"/>
      <c r="D19" s="92"/>
      <c r="E19" s="92"/>
      <c r="F19" s="92"/>
      <c r="G19" s="92"/>
      <c r="H19" s="92"/>
      <c r="I19" s="93"/>
      <c r="J19" s="93"/>
      <c r="K19" s="16"/>
      <c r="L19" s="16"/>
      <c r="M19" s="16"/>
      <c r="N19" s="16"/>
      <c r="O19" s="16"/>
      <c r="P19" s="16"/>
      <c r="Q19" s="16"/>
      <c r="R19" s="16"/>
      <c r="S19" s="16"/>
      <c r="T19" s="16"/>
      <c r="U19" s="16"/>
      <c r="V19" s="16"/>
      <c r="W19" s="21"/>
      <c r="X19" s="21"/>
      <c r="Y19" s="21"/>
      <c r="Z19" s="21"/>
      <c r="AA19" s="22">
        <f>AA18+1</f>
        <v>18</v>
      </c>
      <c r="AB19" s="23" t="str">
        <f t="shared" ca="1" si="2"/>
        <v/>
      </c>
      <c r="AC19" s="23" t="str">
        <f t="shared" ca="1" si="2"/>
        <v/>
      </c>
      <c r="AD19" s="23" t="str">
        <f t="shared" ca="1" si="2"/>
        <v/>
      </c>
      <c r="AE19" s="23" t="str">
        <f t="shared" ca="1" si="2"/>
        <v/>
      </c>
      <c r="AF19" s="23" t="str">
        <f t="shared" ca="1" si="2"/>
        <v/>
      </c>
      <c r="AG19" s="24" t="str">
        <f t="shared" ca="1" si="2"/>
        <v/>
      </c>
      <c r="AH19" s="25">
        <f t="shared" ca="1" si="2"/>
        <v>9.8066499999999994</v>
      </c>
      <c r="AI19" s="16"/>
      <c r="BZ19" s="16"/>
      <c r="CA19" s="16"/>
      <c r="CB19" s="16"/>
      <c r="CC19" s="16"/>
      <c r="CD19" s="16"/>
      <c r="CE19" s="16"/>
      <c r="CF19" s="16"/>
    </row>
    <row r="20" spans="1:84" ht="20.100000000000001" customHeight="1">
      <c r="B20" s="94"/>
      <c r="C20" s="92"/>
      <c r="D20" s="92"/>
      <c r="E20" s="92"/>
      <c r="F20" s="92"/>
      <c r="G20" s="92"/>
      <c r="H20" s="92"/>
      <c r="I20" s="93"/>
      <c r="J20" s="93"/>
      <c r="K20" s="16"/>
      <c r="L20" s="16"/>
      <c r="M20" s="16"/>
      <c r="N20" s="16"/>
      <c r="O20" s="16"/>
      <c r="P20" s="16"/>
      <c r="Q20" s="16"/>
      <c r="R20" s="16"/>
      <c r="S20" s="16"/>
      <c r="T20" s="16"/>
      <c r="U20" s="16"/>
      <c r="V20" s="16"/>
      <c r="W20" s="21"/>
      <c r="X20" s="21"/>
      <c r="Y20" s="21"/>
      <c r="Z20" s="21"/>
      <c r="AA20" s="22">
        <f>AA19+1</f>
        <v>19</v>
      </c>
      <c r="AB20" s="23" t="str">
        <f t="shared" ca="1" si="2"/>
        <v>Test</v>
      </c>
      <c r="AC20" s="23" t="str">
        <f t="shared" ca="1" si="2"/>
        <v xml:space="preserve">Distrobution </v>
      </c>
      <c r="AD20" s="23" t="str">
        <f t="shared" ca="1" si="2"/>
        <v>Of TOAST</v>
      </c>
      <c r="AE20" s="23" t="str">
        <f t="shared" ca="1" si="2"/>
        <v>Site Data</v>
      </c>
      <c r="AF20" s="23" t="str">
        <f t="shared" ca="1" si="2"/>
        <v>299</v>
      </c>
      <c r="AG20" s="24" t="str">
        <f t="shared" ca="1" si="2"/>
        <v>end</v>
      </c>
      <c r="AH20" s="25">
        <f t="shared" ca="1" si="2"/>
        <v>9.8066499999999994</v>
      </c>
      <c r="AI20" s="16"/>
      <c r="BZ20" s="16"/>
      <c r="CA20" s="16"/>
      <c r="CB20" s="16"/>
      <c r="CC20" s="16"/>
      <c r="CD20" s="16"/>
      <c r="CE20" s="16"/>
      <c r="CF20" s="16"/>
    </row>
    <row r="21" spans="1:84" ht="20.100000000000001" customHeight="1">
      <c r="B21" s="94"/>
      <c r="C21" s="92"/>
      <c r="D21" s="92"/>
      <c r="E21" s="92"/>
      <c r="F21" s="92"/>
      <c r="G21" s="92"/>
      <c r="H21" s="92"/>
      <c r="I21" s="93"/>
      <c r="J21" s="93"/>
      <c r="K21" s="16"/>
      <c r="L21" s="16"/>
      <c r="M21" s="16"/>
      <c r="N21" s="16"/>
      <c r="O21" s="16"/>
      <c r="P21" s="16"/>
      <c r="Q21" s="16"/>
      <c r="R21" s="16"/>
      <c r="S21" s="16"/>
      <c r="T21" s="16"/>
      <c r="U21" s="16"/>
      <c r="V21" s="16"/>
      <c r="W21" s="21"/>
      <c r="X21" s="21"/>
      <c r="Y21" s="21"/>
      <c r="Z21" s="21"/>
      <c r="AA21" s="22">
        <f>AA20+1</f>
        <v>20</v>
      </c>
      <c r="AB21" s="23" t="s">
        <v>10</v>
      </c>
      <c r="AC21" s="23" t="str">
        <f t="shared" ca="1" si="2"/>
        <v/>
      </c>
      <c r="AD21" s="23" t="str">
        <f t="shared" ca="1" si="2"/>
        <v/>
      </c>
      <c r="AE21" s="23" t="str">
        <f t="shared" ca="1" si="2"/>
        <v/>
      </c>
      <c r="AF21" s="23" t="str">
        <f t="shared" ca="1" si="2"/>
        <v/>
      </c>
      <c r="AG21" s="24" t="str">
        <f t="shared" ca="1" si="2"/>
        <v/>
      </c>
      <c r="AH21" s="25" t="str">
        <f t="shared" ca="1" si="2"/>
        <v/>
      </c>
      <c r="AI21" s="16"/>
      <c r="BZ21" s="16"/>
      <c r="CA21" s="16"/>
      <c r="CB21" s="16"/>
      <c r="CC21" s="16"/>
      <c r="CD21" s="16"/>
      <c r="CE21" s="16"/>
      <c r="CF21" s="16"/>
    </row>
    <row r="22" spans="1:84" ht="20.100000000000001" customHeight="1" thickBot="1">
      <c r="B22" s="92"/>
      <c r="C22" s="92"/>
      <c r="D22" s="92"/>
      <c r="E22" s="92"/>
      <c r="F22" s="92"/>
      <c r="G22" s="92"/>
      <c r="H22" s="92"/>
      <c r="I22" s="93"/>
      <c r="J22" s="93"/>
      <c r="K22" s="16"/>
      <c r="L22" s="16"/>
      <c r="M22" s="16"/>
      <c r="N22" s="16"/>
      <c r="O22" s="16"/>
      <c r="P22" s="16"/>
      <c r="Q22" s="16"/>
      <c r="R22" s="16"/>
      <c r="S22" s="16"/>
      <c r="T22" s="16"/>
      <c r="U22" s="16"/>
      <c r="V22" s="16"/>
      <c r="W22" s="21"/>
      <c r="X22" s="21"/>
      <c r="Y22" s="21"/>
      <c r="Z22" s="21"/>
      <c r="AA22" s="95"/>
      <c r="AB22" s="96" t="s">
        <v>54</v>
      </c>
      <c r="AC22" s="97" t="s">
        <v>55</v>
      </c>
      <c r="AD22" s="97" t="s">
        <v>56</v>
      </c>
      <c r="AE22" s="97" t="s">
        <v>57</v>
      </c>
      <c r="AF22" s="97" t="s">
        <v>58</v>
      </c>
      <c r="AG22" s="98" t="s">
        <v>59</v>
      </c>
      <c r="AH22" s="99" t="s">
        <v>60</v>
      </c>
      <c r="AI22" s="16"/>
      <c r="BZ22" s="16"/>
      <c r="CA22" s="16" t="s">
        <v>13</v>
      </c>
      <c r="CB22" s="16"/>
      <c r="CC22" s="16"/>
      <c r="CD22" s="16"/>
      <c r="CE22" s="16"/>
      <c r="CF22" s="16"/>
    </row>
    <row r="23" spans="1:84" ht="20.100000000000001" customHeight="1">
      <c r="B23" s="92"/>
      <c r="C23" s="92"/>
      <c r="D23" s="92"/>
      <c r="F23" s="92"/>
      <c r="G23" s="92"/>
      <c r="H23" s="92"/>
      <c r="K23" s="16"/>
      <c r="L23" s="16"/>
      <c r="M23" s="16"/>
      <c r="N23" s="16"/>
      <c r="O23" s="16"/>
      <c r="P23" s="16"/>
      <c r="Q23" s="16"/>
      <c r="R23" s="16"/>
      <c r="S23" s="16"/>
      <c r="T23" s="16"/>
      <c r="U23" s="16"/>
      <c r="V23" s="16"/>
      <c r="W23" s="21"/>
      <c r="X23" s="21"/>
      <c r="Y23" s="21"/>
      <c r="Z23" s="21"/>
      <c r="AI23" s="16"/>
      <c r="BZ23" s="16"/>
      <c r="CA23" s="16"/>
      <c r="CB23" s="16"/>
      <c r="CC23" s="16"/>
      <c r="CD23" s="16"/>
      <c r="CE23" s="16"/>
      <c r="CF23" s="16"/>
    </row>
    <row r="24" spans="1:84" ht="20.100000000000001" customHeight="1">
      <c r="B24" s="92"/>
      <c r="C24" s="92"/>
      <c r="D24" s="92"/>
      <c r="F24" s="92"/>
      <c r="G24" s="92"/>
      <c r="H24" s="92"/>
      <c r="K24" s="16"/>
      <c r="L24" s="16"/>
      <c r="M24" s="16"/>
      <c r="N24" s="16"/>
      <c r="O24" s="16"/>
      <c r="P24" s="16"/>
      <c r="Q24" s="16"/>
      <c r="R24" s="16"/>
      <c r="S24" s="16"/>
      <c r="T24" s="16"/>
      <c r="U24" s="16"/>
      <c r="V24" s="16"/>
      <c r="W24" s="21"/>
      <c r="X24" s="21"/>
      <c r="Y24" s="21"/>
      <c r="Z24" s="21"/>
      <c r="AA24" s="16"/>
      <c r="AB24" s="16"/>
      <c r="AC24" s="16"/>
      <c r="AD24" s="16"/>
      <c r="AE24" s="16"/>
      <c r="AF24" s="16"/>
      <c r="AG24" s="16"/>
      <c r="AH24" s="16"/>
      <c r="AI24" s="16"/>
      <c r="BZ24" s="16"/>
      <c r="CA24" s="16"/>
      <c r="CB24" s="16"/>
      <c r="CC24" s="16"/>
      <c r="CD24" s="16"/>
      <c r="CE24" s="16"/>
      <c r="CF24" s="16"/>
    </row>
    <row r="25" spans="1:84" ht="20.100000000000001" customHeight="1">
      <c r="F25" s="92"/>
      <c r="G25" s="92"/>
      <c r="H25" s="92"/>
      <c r="K25" s="16"/>
      <c r="BZ25" s="16"/>
      <c r="CA25" s="16"/>
      <c r="CB25" s="16"/>
      <c r="CC25" s="16"/>
      <c r="CD25" s="16"/>
      <c r="CE25" s="16"/>
      <c r="CF25" s="16"/>
    </row>
    <row r="26" spans="1:84" ht="20.100000000000001" customHeight="1">
      <c r="F26" s="92"/>
      <c r="G26" s="92"/>
      <c r="H26" s="92"/>
      <c r="K26" s="16"/>
      <c r="BZ26" s="16"/>
      <c r="CA26" s="16"/>
      <c r="CB26" s="16"/>
      <c r="CC26" s="16"/>
      <c r="CD26" s="16"/>
      <c r="CE26" s="16"/>
      <c r="CF26" s="16"/>
    </row>
    <row r="27" spans="1:84" ht="20.100000000000001" customHeight="1">
      <c r="F27" s="92"/>
      <c r="G27" s="92"/>
      <c r="H27" s="92"/>
      <c r="K27" s="16"/>
      <c r="BZ27" s="16"/>
      <c r="CA27" s="16"/>
      <c r="CB27" s="16"/>
      <c r="CC27" s="16"/>
      <c r="CD27" s="16"/>
      <c r="CE27" s="16"/>
      <c r="CF27" s="16"/>
    </row>
    <row r="28" spans="1:84" ht="20.100000000000001" customHeight="1">
      <c r="K28" s="16"/>
      <c r="BZ28" s="16"/>
      <c r="CA28" s="16"/>
      <c r="CB28" s="16"/>
      <c r="CC28" s="16"/>
      <c r="CD28" s="16"/>
      <c r="CE28" s="16"/>
      <c r="CF28" s="16"/>
    </row>
    <row r="29" spans="1:84" ht="20.100000000000001" customHeight="1">
      <c r="K29" s="16"/>
      <c r="BZ29" s="16"/>
      <c r="CA29" s="16"/>
      <c r="CB29" s="16"/>
      <c r="CC29" s="16"/>
      <c r="CD29" s="16"/>
      <c r="CE29" s="16"/>
      <c r="CF29" s="16"/>
    </row>
    <row r="30" spans="1:84" ht="20.100000000000001" customHeight="1">
      <c r="K30" s="16"/>
      <c r="BZ30" s="16"/>
      <c r="CA30" s="16"/>
      <c r="CB30" s="16"/>
      <c r="CC30" s="16"/>
      <c r="CD30" s="16"/>
      <c r="CE30" s="16"/>
      <c r="CF30" s="16"/>
    </row>
    <row r="31" spans="1:84" ht="20.100000000000001" customHeight="1">
      <c r="K31" s="16"/>
      <c r="BZ31" s="16"/>
      <c r="CA31" s="16"/>
      <c r="CB31" s="16"/>
      <c r="CC31" s="16"/>
      <c r="CD31" s="16"/>
      <c r="CE31" s="16"/>
      <c r="CF31" s="16"/>
    </row>
    <row r="32" spans="1:84" ht="20.100000000000001" customHeight="1">
      <c r="K32" s="16"/>
      <c r="BZ32" s="16"/>
      <c r="CA32" s="16"/>
      <c r="CB32" s="16"/>
      <c r="CC32" s="16"/>
      <c r="CD32" s="16"/>
      <c r="CE32" s="16"/>
      <c r="CF32" s="16"/>
    </row>
    <row r="33" spans="11:84" ht="20.100000000000001" customHeight="1">
      <c r="K33" s="16"/>
      <c r="BZ33" s="16"/>
      <c r="CA33" s="16"/>
      <c r="CB33" s="16"/>
      <c r="CC33" s="16"/>
      <c r="CD33" s="16"/>
      <c r="CE33" s="16"/>
      <c r="CF33" s="16"/>
    </row>
    <row r="34" spans="11:84">
      <c r="K34" s="16"/>
      <c r="BZ34" s="16"/>
      <c r="CA34" s="16"/>
      <c r="CB34" s="16"/>
      <c r="CC34" s="16"/>
      <c r="CD34" s="16"/>
      <c r="CE34" s="16"/>
      <c r="CF34" s="16"/>
    </row>
    <row r="35" spans="11:84">
      <c r="K35" s="16"/>
      <c r="BZ35" s="16"/>
      <c r="CA35" s="16"/>
      <c r="CB35" s="16"/>
      <c r="CC35" s="16"/>
      <c r="CD35" s="16"/>
      <c r="CE35" s="16"/>
      <c r="CF35" s="16"/>
    </row>
    <row r="36" spans="11:84">
      <c r="K36" s="16"/>
      <c r="BZ36" s="16"/>
      <c r="CA36" s="16"/>
      <c r="CB36" s="16"/>
      <c r="CC36" s="16"/>
      <c r="CD36" s="16"/>
      <c r="CE36" s="16"/>
      <c r="CF36" s="16"/>
    </row>
    <row r="37" spans="11:84">
      <c r="K37" s="16"/>
      <c r="BZ37" s="16"/>
      <c r="CA37" s="16"/>
      <c r="CB37" s="16"/>
      <c r="CC37" s="16"/>
      <c r="CD37" s="16"/>
      <c r="CE37" s="16"/>
      <c r="CF37" s="16"/>
    </row>
    <row r="38" spans="11:84">
      <c r="K38" s="16"/>
      <c r="BZ38" s="16"/>
      <c r="CA38" s="16"/>
      <c r="CB38" s="16"/>
      <c r="CC38" s="16"/>
      <c r="CD38" s="16"/>
      <c r="CE38" s="16"/>
      <c r="CF38" s="16"/>
    </row>
    <row r="39" spans="11:84">
      <c r="K39" s="16"/>
      <c r="BZ39" s="16"/>
      <c r="CA39" s="16"/>
      <c r="CB39" s="16"/>
      <c r="CC39" s="16"/>
      <c r="CD39" s="16"/>
      <c r="CE39" s="16"/>
      <c r="CF39" s="16"/>
    </row>
    <row r="40" spans="11:84">
      <c r="K40" s="16"/>
      <c r="BZ40" s="16"/>
      <c r="CA40" s="16"/>
      <c r="CB40" s="16"/>
      <c r="CC40" s="16"/>
      <c r="CD40" s="16"/>
      <c r="CE40" s="16"/>
      <c r="CF40" s="16"/>
    </row>
    <row r="41" spans="11:84">
      <c r="K41" s="16"/>
      <c r="BZ41" s="16"/>
      <c r="CA41" s="16"/>
      <c r="CB41" s="16"/>
      <c r="CC41" s="16"/>
      <c r="CD41" s="16"/>
      <c r="CE41" s="16"/>
      <c r="CF41" s="16"/>
    </row>
    <row r="42" spans="11:84">
      <c r="K42" s="16"/>
      <c r="BZ42" s="16"/>
      <c r="CA42" s="16"/>
      <c r="CB42" s="16"/>
      <c r="CC42" s="16"/>
      <c r="CD42" s="16"/>
      <c r="CE42" s="16"/>
      <c r="CF42" s="16"/>
    </row>
    <row r="43" spans="11:84">
      <c r="K43" s="16"/>
      <c r="BZ43" s="16"/>
      <c r="CA43" s="16"/>
      <c r="CB43" s="16"/>
      <c r="CC43" s="16"/>
      <c r="CD43" s="16"/>
      <c r="CE43" s="16"/>
      <c r="CF43" s="16"/>
    </row>
    <row r="44" spans="11:84">
      <c r="K44" s="16"/>
      <c r="BZ44" s="16"/>
      <c r="CA44" s="16"/>
      <c r="CB44" s="16"/>
      <c r="CC44" s="16"/>
      <c r="CD44" s="16"/>
      <c r="CE44" s="16"/>
      <c r="CF44" s="16"/>
    </row>
    <row r="45" spans="11:84">
      <c r="K45" s="16"/>
      <c r="BZ45" s="16"/>
      <c r="CA45" s="16"/>
      <c r="CB45" s="16"/>
      <c r="CC45" s="16"/>
      <c r="CD45" s="16"/>
      <c r="CE45" s="16"/>
      <c r="CF45" s="16"/>
    </row>
    <row r="46" spans="11:84">
      <c r="K46" s="16"/>
      <c r="BZ46" s="16"/>
      <c r="CA46" s="16"/>
      <c r="CB46" s="16"/>
      <c r="CC46" s="16"/>
      <c r="CD46" s="16"/>
      <c r="CE46" s="16"/>
      <c r="CF46" s="16"/>
    </row>
    <row r="47" spans="11:84">
      <c r="K47" s="16"/>
      <c r="BZ47" s="16"/>
      <c r="CA47" s="16"/>
      <c r="CB47" s="16"/>
      <c r="CC47" s="16"/>
      <c r="CD47" s="16"/>
      <c r="CE47" s="16"/>
      <c r="CF47" s="16"/>
    </row>
    <row r="48" spans="11:84">
      <c r="K48" s="16"/>
      <c r="BZ48" s="16"/>
      <c r="CA48" s="16"/>
      <c r="CB48" s="16"/>
      <c r="CC48" s="16"/>
      <c r="CD48" s="16"/>
      <c r="CE48" s="16"/>
      <c r="CF48" s="16"/>
    </row>
    <row r="49" spans="11:84">
      <c r="K49" s="16"/>
      <c r="BZ49" s="16"/>
      <c r="CA49" s="16"/>
      <c r="CB49" s="16"/>
      <c r="CC49" s="16"/>
      <c r="CD49" s="16"/>
      <c r="CE49" s="16"/>
      <c r="CF49" s="16"/>
    </row>
    <row r="50" spans="11:84">
      <c r="K50" s="16"/>
      <c r="BZ50" s="16"/>
      <c r="CA50" s="16"/>
      <c r="CB50" s="16"/>
      <c r="CC50" s="16"/>
      <c r="CD50" s="16"/>
      <c r="CE50" s="16"/>
      <c r="CF50" s="16"/>
    </row>
    <row r="51" spans="11:84">
      <c r="BZ51" s="16"/>
      <c r="CA51" s="816"/>
      <c r="CB51" s="816"/>
      <c r="CC51" s="816"/>
      <c r="CD51" s="816"/>
      <c r="CE51" s="816"/>
      <c r="CF51" s="816"/>
    </row>
    <row r="52" spans="11:84">
      <c r="BZ52" s="16"/>
      <c r="CA52" s="16"/>
      <c r="CB52" s="16"/>
      <c r="CC52" s="16"/>
      <c r="CD52" s="16"/>
      <c r="CE52" s="16"/>
      <c r="CF52" s="16"/>
    </row>
    <row r="53" spans="11:84">
      <c r="BZ53" s="16"/>
      <c r="CA53" s="16"/>
      <c r="CB53" s="16"/>
      <c r="CC53" s="16"/>
      <c r="CD53" s="16"/>
      <c r="CE53" s="16"/>
      <c r="CF53" s="16"/>
    </row>
    <row r="54" spans="11:84">
      <c r="BZ54" s="16"/>
      <c r="CA54" s="16"/>
      <c r="CB54" s="16"/>
      <c r="CC54" s="16"/>
      <c r="CD54" s="16"/>
      <c r="CE54" s="16"/>
      <c r="CF54" s="16"/>
    </row>
    <row r="55" spans="11:84">
      <c r="BZ55" s="16"/>
      <c r="CA55" s="16"/>
      <c r="CB55" s="16"/>
      <c r="CC55" s="16"/>
      <c r="CD55" s="16"/>
      <c r="CE55" s="16"/>
      <c r="CF55" s="16"/>
    </row>
    <row r="56" spans="11:84">
      <c r="BZ56" s="16"/>
      <c r="CA56" s="16"/>
      <c r="CB56" s="16"/>
      <c r="CC56" s="16"/>
      <c r="CD56" s="16"/>
      <c r="CE56" s="16"/>
      <c r="CF56" s="16"/>
    </row>
    <row r="57" spans="11:84">
      <c r="BZ57" s="16"/>
      <c r="CA57" s="16"/>
      <c r="CB57" s="16"/>
      <c r="CC57" s="16"/>
      <c r="CD57" s="16"/>
      <c r="CE57" s="16"/>
      <c r="CF57" s="16"/>
    </row>
    <row r="58" spans="11:84">
      <c r="BZ58" s="16"/>
      <c r="CA58" s="16"/>
      <c r="CB58" s="16"/>
      <c r="CC58" s="16"/>
      <c r="CD58" s="16"/>
      <c r="CE58" s="16"/>
      <c r="CF58" s="16"/>
    </row>
    <row r="59" spans="11:84">
      <c r="BZ59" s="16"/>
      <c r="CA59" s="16"/>
      <c r="CB59" s="16"/>
      <c r="CC59" s="16"/>
      <c r="CD59" s="16"/>
      <c r="CE59" s="16"/>
      <c r="CF59" s="16"/>
    </row>
    <row r="60" spans="11:84">
      <c r="BZ60" s="16"/>
      <c r="CA60" s="16"/>
      <c r="CB60" s="16"/>
      <c r="CC60" s="16"/>
      <c r="CD60" s="16"/>
      <c r="CE60" s="16"/>
      <c r="CF60" s="16"/>
    </row>
    <row r="61" spans="11:84">
      <c r="BZ61" s="16"/>
      <c r="CA61" s="16"/>
      <c r="CB61" s="16"/>
      <c r="CC61" s="16"/>
      <c r="CD61" s="16"/>
      <c r="CE61" s="16"/>
      <c r="CF61" s="16"/>
    </row>
    <row r="62" spans="11:84">
      <c r="BZ62" s="16"/>
      <c r="CA62" s="16"/>
      <c r="CB62" s="16"/>
      <c r="CC62" s="16"/>
      <c r="CD62" s="16"/>
      <c r="CE62" s="16"/>
      <c r="CF62" s="16"/>
    </row>
    <row r="63" spans="11:84">
      <c r="BZ63" s="16"/>
      <c r="CA63" s="16"/>
      <c r="CB63" s="16"/>
      <c r="CC63" s="16"/>
      <c r="CD63" s="16"/>
      <c r="CE63" s="16"/>
      <c r="CF63" s="16"/>
    </row>
    <row r="64" spans="11:84">
      <c r="BZ64" s="16"/>
      <c r="CA64" s="16"/>
      <c r="CB64" s="16"/>
      <c r="CC64" s="16"/>
      <c r="CD64" s="16"/>
      <c r="CE64" s="16"/>
      <c r="CF64" s="16"/>
    </row>
    <row r="65" spans="78:84">
      <c r="BZ65" s="16"/>
      <c r="CA65" s="16"/>
      <c r="CB65" s="16"/>
      <c r="CC65" s="16"/>
      <c r="CD65" s="16"/>
      <c r="CE65" s="16"/>
      <c r="CF65" s="16"/>
    </row>
    <row r="66" spans="78:84">
      <c r="BZ66" s="16"/>
      <c r="CA66" s="16"/>
      <c r="CB66" s="16"/>
      <c r="CC66" s="16"/>
      <c r="CD66" s="16"/>
      <c r="CE66" s="16"/>
      <c r="CF66" s="16"/>
    </row>
    <row r="67" spans="78:84">
      <c r="BZ67" s="16"/>
      <c r="CA67" s="16"/>
      <c r="CB67" s="16"/>
      <c r="CC67" s="16"/>
      <c r="CD67" s="16"/>
      <c r="CE67" s="16"/>
      <c r="CF67" s="16"/>
    </row>
    <row r="68" spans="78:84">
      <c r="BZ68" s="16"/>
      <c r="CA68" s="16"/>
      <c r="CB68" s="16"/>
      <c r="CC68" s="16"/>
      <c r="CD68" s="16"/>
      <c r="CE68" s="16"/>
      <c r="CF68" s="16"/>
    </row>
    <row r="69" spans="78:84">
      <c r="BZ69" s="16"/>
      <c r="CA69" s="16"/>
      <c r="CB69" s="16"/>
      <c r="CC69" s="16"/>
      <c r="CD69" s="16"/>
      <c r="CE69" s="16"/>
      <c r="CF69" s="16"/>
    </row>
    <row r="70" spans="78:84">
      <c r="BZ70" s="16"/>
      <c r="CA70" s="16"/>
      <c r="CB70" s="16"/>
      <c r="CC70" s="16"/>
      <c r="CD70" s="16"/>
      <c r="CE70" s="16"/>
      <c r="CF70" s="16"/>
    </row>
    <row r="71" spans="78:84">
      <c r="BZ71" s="16"/>
      <c r="CA71" s="16"/>
      <c r="CB71" s="16"/>
      <c r="CC71" s="16"/>
      <c r="CD71" s="16"/>
      <c r="CE71" s="16"/>
      <c r="CF71" s="16"/>
    </row>
    <row r="72" spans="78:84">
      <c r="BZ72" s="16"/>
      <c r="CA72" s="16"/>
      <c r="CB72" s="16"/>
      <c r="CC72" s="16"/>
      <c r="CD72" s="16"/>
      <c r="CE72" s="16"/>
      <c r="CF72" s="16"/>
    </row>
    <row r="73" spans="78:84">
      <c r="BZ73" s="16"/>
      <c r="CA73" s="16"/>
      <c r="CB73" s="16"/>
      <c r="CC73" s="16"/>
      <c r="CD73" s="16"/>
      <c r="CE73" s="16"/>
      <c r="CF73" s="16"/>
    </row>
    <row r="74" spans="78:84">
      <c r="BZ74" s="16"/>
      <c r="CA74" s="16"/>
      <c r="CB74" s="16"/>
      <c r="CC74" s="16"/>
      <c r="CD74" s="16"/>
      <c r="CE74" s="16"/>
      <c r="CF74" s="16"/>
    </row>
    <row r="75" spans="78:84">
      <c r="BZ75" s="16"/>
      <c r="CA75" s="16"/>
      <c r="CB75" s="16"/>
      <c r="CC75" s="16"/>
      <c r="CD75" s="16"/>
      <c r="CE75" s="16"/>
      <c r="CF75" s="16"/>
    </row>
    <row r="76" spans="78:84">
      <c r="BZ76" s="16"/>
      <c r="CA76" s="16"/>
      <c r="CB76" s="16"/>
      <c r="CC76" s="16"/>
      <c r="CD76" s="16"/>
      <c r="CE76" s="16"/>
      <c r="CF76" s="16"/>
    </row>
    <row r="77" spans="78:84">
      <c r="BZ77" s="16"/>
      <c r="CA77" s="16"/>
      <c r="CB77" s="16"/>
      <c r="CC77" s="16"/>
      <c r="CD77" s="16"/>
      <c r="CE77" s="16"/>
      <c r="CF77" s="16"/>
    </row>
    <row r="78" spans="78:84">
      <c r="BZ78" s="16"/>
      <c r="CA78" s="16"/>
      <c r="CB78" s="16"/>
      <c r="CC78" s="16"/>
      <c r="CD78" s="16"/>
      <c r="CE78" s="16"/>
      <c r="CF78" s="16"/>
    </row>
    <row r="79" spans="78:84">
      <c r="BZ79" s="16"/>
      <c r="CA79" s="16"/>
      <c r="CB79" s="16"/>
      <c r="CC79" s="16"/>
      <c r="CD79" s="16"/>
      <c r="CE79" s="16"/>
      <c r="CF79" s="16"/>
    </row>
    <row r="80" spans="78:84">
      <c r="BZ80" s="16"/>
      <c r="CA80" s="16"/>
      <c r="CB80" s="16"/>
      <c r="CC80" s="16"/>
      <c r="CD80" s="16"/>
      <c r="CE80" s="16"/>
      <c r="CF80" s="16"/>
    </row>
    <row r="81" spans="78:84">
      <c r="BZ81" s="16"/>
      <c r="CA81" s="16"/>
      <c r="CB81" s="16"/>
      <c r="CC81" s="16"/>
      <c r="CD81" s="16"/>
      <c r="CE81" s="16"/>
      <c r="CF81" s="16"/>
    </row>
    <row r="82" spans="78:84">
      <c r="BZ82" s="16"/>
      <c r="CA82" s="16"/>
      <c r="CB82" s="16"/>
      <c r="CC82" s="16"/>
      <c r="CD82" s="16"/>
      <c r="CE82" s="16"/>
      <c r="CF82" s="16"/>
    </row>
    <row r="83" spans="78:84">
      <c r="BZ83" s="16"/>
      <c r="CA83" s="16"/>
      <c r="CB83" s="16"/>
      <c r="CC83" s="16"/>
      <c r="CD83" s="16"/>
      <c r="CE83" s="16"/>
      <c r="CF83" s="16"/>
    </row>
    <row r="84" spans="78:84">
      <c r="BZ84" s="16"/>
      <c r="CA84" s="16"/>
      <c r="CB84" s="16"/>
      <c r="CC84" s="16"/>
      <c r="CD84" s="16"/>
      <c r="CE84" s="16"/>
      <c r="CF84" s="16"/>
    </row>
    <row r="85" spans="78:84">
      <c r="BZ85" s="16"/>
      <c r="CA85" s="16"/>
      <c r="CB85" s="16"/>
      <c r="CC85" s="16"/>
      <c r="CD85" s="16"/>
      <c r="CE85" s="16"/>
      <c r="CF85" s="16"/>
    </row>
    <row r="86" spans="78:84">
      <c r="BZ86" s="16"/>
      <c r="CA86" s="16"/>
      <c r="CB86" s="16"/>
      <c r="CC86" s="16"/>
      <c r="CD86" s="16"/>
      <c r="CE86" s="16"/>
      <c r="CF86" s="16"/>
    </row>
    <row r="87" spans="78:84">
      <c r="BZ87" s="16"/>
      <c r="CA87" s="16"/>
      <c r="CB87" s="16"/>
      <c r="CC87" s="16"/>
      <c r="CD87" s="16"/>
      <c r="CE87" s="16"/>
      <c r="CF87" s="16"/>
    </row>
    <row r="88" spans="78:84">
      <c r="BZ88" s="16"/>
      <c r="CA88" s="16"/>
      <c r="CB88" s="16"/>
      <c r="CC88" s="16"/>
      <c r="CD88" s="16"/>
      <c r="CE88" s="16"/>
      <c r="CF88" s="16"/>
    </row>
    <row r="89" spans="78:84">
      <c r="BZ89" s="16"/>
      <c r="CA89" s="16"/>
      <c r="CB89" s="16"/>
      <c r="CC89" s="16"/>
      <c r="CD89" s="16"/>
      <c r="CE89" s="16"/>
      <c r="CF89" s="16"/>
    </row>
    <row r="90" spans="78:84">
      <c r="BZ90" s="16"/>
      <c r="CA90" s="16"/>
      <c r="CB90" s="16"/>
      <c r="CC90" s="16"/>
      <c r="CD90" s="16"/>
      <c r="CE90" s="16"/>
      <c r="CF90" s="16"/>
    </row>
    <row r="91" spans="78:84">
      <c r="BZ91" s="16"/>
      <c r="CA91" s="100" t="s">
        <v>61</v>
      </c>
      <c r="CB91" s="16"/>
      <c r="CC91" s="16"/>
      <c r="CD91" s="16"/>
      <c r="CE91" s="16"/>
      <c r="CF91" s="16"/>
    </row>
    <row r="92" spans="78:84">
      <c r="BZ92" s="16"/>
      <c r="CA92" s="100" t="s">
        <v>62</v>
      </c>
      <c r="CB92" s="16"/>
      <c r="CC92" s="16"/>
      <c r="CD92" s="16"/>
      <c r="CE92" s="16"/>
      <c r="CF92" s="16"/>
    </row>
    <row r="93" spans="78:84">
      <c r="BZ93" s="16"/>
      <c r="CA93" s="101" t="s">
        <v>63</v>
      </c>
      <c r="CB93" s="16"/>
      <c r="CC93" s="16"/>
      <c r="CD93" s="16"/>
      <c r="CE93" s="16"/>
      <c r="CF93" s="16"/>
    </row>
    <row r="94" spans="78:84">
      <c r="BZ94" s="16"/>
      <c r="CA94" s="16"/>
      <c r="CB94" s="16"/>
      <c r="CC94" s="16"/>
      <c r="CD94" s="16"/>
      <c r="CE94" s="16"/>
      <c r="CF94" s="16"/>
    </row>
    <row r="95" spans="78:84">
      <c r="BZ95" s="16"/>
      <c r="CA95" s="16"/>
      <c r="CB95" s="16"/>
      <c r="CC95" s="16"/>
      <c r="CD95" s="16"/>
      <c r="CE95" s="16"/>
      <c r="CF95" s="16"/>
    </row>
    <row r="96" spans="78:84">
      <c r="BZ96" s="16"/>
      <c r="CA96" s="16"/>
      <c r="CB96" s="16"/>
      <c r="CC96" s="16"/>
      <c r="CD96" s="16"/>
      <c r="CE96" s="16"/>
      <c r="CF96" s="16"/>
    </row>
    <row r="97" spans="78:84">
      <c r="BZ97" s="16"/>
      <c r="CA97" s="16"/>
      <c r="CB97" s="16"/>
      <c r="CC97" s="16"/>
      <c r="CD97" s="16"/>
      <c r="CE97" s="16"/>
      <c r="CF97" s="16"/>
    </row>
    <row r="98" spans="78:84">
      <c r="BZ98" s="16"/>
      <c r="CA98" s="16"/>
      <c r="CB98" s="16"/>
      <c r="CC98" s="16"/>
      <c r="CD98" s="16"/>
      <c r="CE98" s="16"/>
      <c r="CF98" s="16"/>
    </row>
    <row r="99" spans="78:84">
      <c r="BZ99" s="16"/>
      <c r="CA99" s="16"/>
      <c r="CB99" s="16"/>
      <c r="CC99" s="16"/>
      <c r="CD99" s="16"/>
      <c r="CE99" s="16"/>
      <c r="CF99" s="16"/>
    </row>
    <row r="100" spans="78:84">
      <c r="BZ100" s="16"/>
      <c r="CA100" s="16"/>
      <c r="CB100" s="16"/>
      <c r="CC100" s="16"/>
      <c r="CD100" s="16"/>
      <c r="CE100" s="16"/>
      <c r="CF100" s="16"/>
    </row>
    <row r="101" spans="78:84">
      <c r="BZ101" s="16"/>
      <c r="CA101" s="16"/>
      <c r="CB101" s="16"/>
      <c r="CC101" s="16"/>
      <c r="CD101" s="16"/>
      <c r="CE101" s="16"/>
      <c r="CF101" s="16"/>
    </row>
    <row r="102" spans="78:84">
      <c r="BZ102" s="16"/>
      <c r="CA102" s="102" t="s">
        <v>0</v>
      </c>
      <c r="CB102" s="16"/>
      <c r="CC102" s="16"/>
      <c r="CD102" s="16"/>
      <c r="CE102" s="16"/>
      <c r="CF102" s="16"/>
    </row>
    <row r="103" spans="78:84">
      <c r="BZ103" s="16"/>
      <c r="CA103" s="102"/>
      <c r="CB103" s="16"/>
      <c r="CC103" s="16"/>
      <c r="CD103" s="16"/>
      <c r="CE103" s="16"/>
      <c r="CF103" s="16"/>
    </row>
    <row r="104" spans="78:84">
      <c r="BZ104" s="16"/>
      <c r="CA104" s="102"/>
      <c r="CB104" s="16"/>
      <c r="CC104" s="16"/>
      <c r="CD104" s="16"/>
      <c r="CE104" s="16"/>
      <c r="CF104" s="16"/>
    </row>
    <row r="105" spans="78:84">
      <c r="BZ105" s="16"/>
      <c r="CA105" s="102"/>
      <c r="CB105" s="16"/>
      <c r="CC105" s="16"/>
      <c r="CD105" s="16"/>
      <c r="CE105" s="16"/>
      <c r="CF105" s="16"/>
    </row>
    <row r="106" spans="78:84">
      <c r="BZ106" s="16"/>
      <c r="CA106" s="102"/>
      <c r="CB106" s="16"/>
      <c r="CC106" s="16"/>
      <c r="CD106" s="16"/>
      <c r="CE106" s="16"/>
      <c r="CF106" s="16"/>
    </row>
    <row r="107" spans="78:84">
      <c r="BZ107" s="16"/>
      <c r="CA107" s="102"/>
      <c r="CB107" s="16"/>
      <c r="CC107" s="16"/>
      <c r="CD107" s="16"/>
      <c r="CE107" s="16"/>
      <c r="CF107" s="16"/>
    </row>
    <row r="108" spans="78:84">
      <c r="BZ108" s="16"/>
      <c r="CA108" s="102"/>
      <c r="CB108" s="16"/>
      <c r="CC108" s="16"/>
      <c r="CD108" s="16"/>
      <c r="CE108" s="16"/>
      <c r="CF108" s="16"/>
    </row>
    <row r="109" spans="78:84">
      <c r="BZ109" s="16"/>
      <c r="CA109" s="103">
        <f ca="1">NOW()</f>
        <v>45839.714934143522</v>
      </c>
      <c r="CB109" s="16"/>
      <c r="CC109" s="16"/>
      <c r="CD109" s="16"/>
      <c r="CE109" s="16"/>
      <c r="CF109" s="16"/>
    </row>
    <row r="110" spans="78:84">
      <c r="BZ110" s="16"/>
      <c r="CA110" s="103"/>
      <c r="CB110" s="16"/>
      <c r="CC110" s="16"/>
      <c r="CD110" s="16"/>
      <c r="CE110" s="16"/>
      <c r="CF110" s="16"/>
    </row>
    <row r="111" spans="78:84">
      <c r="BZ111" s="16"/>
      <c r="CA111" s="102" t="str">
        <f>[3]Staff!$A3</f>
        <v>Sherwin Nofuente</v>
      </c>
      <c r="CB111" s="16"/>
      <c r="CC111" s="16"/>
      <c r="CD111" s="16"/>
      <c r="CE111" s="16"/>
      <c r="CF111" s="16"/>
    </row>
    <row r="112" spans="78:84">
      <c r="BZ112" s="16"/>
      <c r="CA112" s="102"/>
      <c r="CB112" s="16"/>
      <c r="CC112" s="16"/>
      <c r="CD112" s="16"/>
      <c r="CE112" s="16"/>
      <c r="CF112" s="16"/>
    </row>
    <row r="113" spans="78:84">
      <c r="BZ113" s="16"/>
      <c r="CA113" s="102"/>
      <c r="CB113" s="16"/>
      <c r="CC113" s="16"/>
      <c r="CD113" s="16"/>
      <c r="CE113" s="16"/>
      <c r="CF113" s="16"/>
    </row>
    <row r="114" spans="78:84">
      <c r="BZ114" s="16"/>
      <c r="CA114" s="102"/>
      <c r="CB114" s="16"/>
      <c r="CC114" s="16"/>
      <c r="CD114" s="16"/>
      <c r="CE114" s="16"/>
      <c r="CF114" s="16"/>
    </row>
    <row r="115" spans="78:84">
      <c r="BZ115" s="16"/>
      <c r="CA115" s="102"/>
      <c r="CB115" s="16"/>
      <c r="CC115" s="16"/>
      <c r="CD115" s="16"/>
      <c r="CE115" s="16"/>
      <c r="CF115" s="16"/>
    </row>
    <row r="116" spans="78:84">
      <c r="BZ116" s="16"/>
      <c r="CA116" s="102"/>
      <c r="CB116" s="16"/>
      <c r="CC116" s="16"/>
      <c r="CD116" s="16"/>
      <c r="CE116" s="16"/>
      <c r="CF116" s="16"/>
    </row>
    <row r="117" spans="78:84">
      <c r="BZ117" s="16"/>
      <c r="CA117" s="102"/>
      <c r="CB117" s="16"/>
      <c r="CC117" s="16"/>
      <c r="CD117" s="16"/>
      <c r="CE117" s="16"/>
      <c r="CF117" s="16"/>
    </row>
    <row r="118" spans="78:84">
      <c r="BZ118" s="16"/>
      <c r="CA118" s="102"/>
      <c r="CB118" s="16"/>
      <c r="CC118" s="16"/>
      <c r="CD118" s="16"/>
      <c r="CE118" s="16"/>
      <c r="CF118" s="16"/>
    </row>
    <row r="119" spans="78:84">
      <c r="BZ119" s="16"/>
      <c r="CA119" s="102"/>
      <c r="CB119" s="16"/>
      <c r="CC119" s="16"/>
      <c r="CD119" s="16"/>
      <c r="CE119" s="16"/>
      <c r="CF119" s="16"/>
    </row>
    <row r="120" spans="78:84">
      <c r="BZ120" s="16"/>
      <c r="CA120" s="102"/>
      <c r="CB120" s="16"/>
      <c r="CC120" s="16"/>
      <c r="CD120" s="16"/>
      <c r="CE120" s="16"/>
      <c r="CF120" s="16"/>
    </row>
    <row r="121" spans="78:84">
      <c r="BZ121" s="16"/>
      <c r="CA121" s="102"/>
      <c r="CB121" s="16"/>
      <c r="CC121" s="16"/>
      <c r="CD121" s="16"/>
      <c r="CE121" s="16"/>
      <c r="CF121" s="16"/>
    </row>
    <row r="122" spans="78:84">
      <c r="BZ122" s="16"/>
      <c r="CA122" s="102"/>
      <c r="CB122" s="16"/>
      <c r="CC122" s="16"/>
      <c r="CD122" s="16"/>
      <c r="CE122" s="16"/>
      <c r="CF122" s="16"/>
    </row>
    <row r="123" spans="78:84">
      <c r="BZ123" s="16"/>
      <c r="CA123" s="102"/>
      <c r="CB123" s="16"/>
      <c r="CC123" s="16"/>
      <c r="CD123" s="16"/>
      <c r="CE123" s="16"/>
      <c r="CF123" s="16"/>
    </row>
    <row r="124" spans="78:84">
      <c r="BZ124" s="16"/>
      <c r="CA124" s="102"/>
      <c r="CB124" s="16"/>
      <c r="CC124" s="16"/>
      <c r="CD124" s="16"/>
      <c r="CE124" s="16"/>
      <c r="CF124" s="16"/>
    </row>
    <row r="125" spans="78:84">
      <c r="BZ125" s="16"/>
      <c r="CA125" s="102"/>
      <c r="CB125" s="16"/>
      <c r="CC125" s="16"/>
      <c r="CD125" s="16"/>
      <c r="CE125" s="16"/>
      <c r="CF125" s="16"/>
    </row>
    <row r="126" spans="78:84">
      <c r="BZ126" s="16"/>
      <c r="CA126" s="102"/>
      <c r="CB126" s="16"/>
      <c r="CC126" s="16"/>
      <c r="CD126" s="16"/>
      <c r="CE126" s="16"/>
      <c r="CF126" s="16"/>
    </row>
    <row r="127" spans="78:84">
      <c r="BZ127" s="16"/>
      <c r="CA127" s="102"/>
      <c r="CB127" s="16"/>
      <c r="CC127" s="16"/>
      <c r="CD127" s="16"/>
      <c r="CE127" s="16"/>
      <c r="CF127" s="16"/>
    </row>
    <row r="128" spans="78:84">
      <c r="BZ128" s="16"/>
      <c r="CA128" s="102"/>
      <c r="CB128" s="16"/>
      <c r="CC128" s="16"/>
      <c r="CD128" s="16"/>
      <c r="CE128" s="16"/>
      <c r="CF128" s="16"/>
    </row>
    <row r="129" spans="78:84">
      <c r="BZ129" s="16"/>
      <c r="CA129" s="102"/>
      <c r="CB129" s="16"/>
      <c r="CC129" s="16"/>
      <c r="CD129" s="16"/>
      <c r="CE129" s="16"/>
      <c r="CF129" s="16"/>
    </row>
    <row r="130" spans="78:84">
      <c r="BZ130" s="16"/>
      <c r="CA130" s="102"/>
      <c r="CB130" s="16"/>
      <c r="CC130" s="16"/>
      <c r="CD130" s="16"/>
      <c r="CE130" s="16"/>
      <c r="CF130" s="16"/>
    </row>
    <row r="131" spans="78:84">
      <c r="BZ131" s="16"/>
      <c r="CA131" s="102"/>
      <c r="CB131" s="16"/>
      <c r="CC131" s="16"/>
      <c r="CD131" s="16"/>
      <c r="CE131" s="16"/>
      <c r="CF131" s="16"/>
    </row>
    <row r="132" spans="78:84">
      <c r="BZ132" s="16"/>
      <c r="CA132" s="102"/>
      <c r="CB132" s="16"/>
      <c r="CC132" s="16"/>
      <c r="CD132" s="16"/>
      <c r="CE132" s="16"/>
      <c r="CF132" s="16"/>
    </row>
    <row r="133" spans="78:84">
      <c r="BZ133" s="16"/>
      <c r="CA133" s="102"/>
      <c r="CB133" s="16"/>
      <c r="CC133" s="16"/>
      <c r="CD133" s="16"/>
      <c r="CE133" s="16"/>
      <c r="CF133" s="16"/>
    </row>
    <row r="134" spans="78:84">
      <c r="BZ134" s="16"/>
      <c r="CA134" s="102"/>
      <c r="CB134" s="16"/>
      <c r="CC134" s="16"/>
      <c r="CD134" s="16"/>
      <c r="CE134" s="16"/>
      <c r="CF134" s="16"/>
    </row>
    <row r="135" spans="78:84">
      <c r="BZ135" s="16"/>
      <c r="CA135" s="102"/>
      <c r="CB135" s="16"/>
      <c r="CC135" s="16"/>
      <c r="CD135" s="16"/>
      <c r="CE135" s="16"/>
      <c r="CF135" s="16"/>
    </row>
    <row r="136" spans="78:84">
      <c r="BZ136" s="16"/>
      <c r="CA136" s="102"/>
      <c r="CB136" s="16"/>
      <c r="CC136" s="16"/>
      <c r="CD136" s="16"/>
      <c r="CE136" s="16"/>
      <c r="CF136" s="16"/>
    </row>
    <row r="137" spans="78:84">
      <c r="BZ137" s="16"/>
      <c r="CA137" s="102"/>
      <c r="CB137" s="16"/>
      <c r="CC137" s="16"/>
      <c r="CD137" s="16"/>
      <c r="CE137" s="16"/>
      <c r="CF137" s="16"/>
    </row>
    <row r="138" spans="78:84">
      <c r="BZ138" s="16"/>
      <c r="CA138" s="102"/>
      <c r="CB138" s="16"/>
      <c r="CC138" s="16"/>
      <c r="CD138" s="16"/>
      <c r="CE138" s="16"/>
      <c r="CF138" s="16"/>
    </row>
    <row r="139" spans="78:84">
      <c r="BZ139" s="16"/>
      <c r="CA139" s="102"/>
      <c r="CB139" s="16"/>
      <c r="CC139" s="16"/>
      <c r="CD139" s="16"/>
      <c r="CE139" s="16"/>
      <c r="CF139" s="16"/>
    </row>
    <row r="140" spans="78:84">
      <c r="BZ140" s="16"/>
      <c r="CA140" s="102"/>
      <c r="CB140" s="16"/>
      <c r="CC140" s="16"/>
      <c r="CD140" s="16"/>
      <c r="CE140" s="16"/>
      <c r="CF140" s="16"/>
    </row>
    <row r="141" spans="78:84">
      <c r="BZ141" s="16"/>
      <c r="CA141" s="104">
        <f ca="1">Mods!D4</f>
        <v>1</v>
      </c>
      <c r="CB141" s="16"/>
      <c r="CC141" s="16"/>
      <c r="CD141" s="16"/>
      <c r="CE141" s="16"/>
      <c r="CF141" s="16"/>
    </row>
    <row r="142" spans="78:84">
      <c r="BZ142" s="105" t="str">
        <f ca="1">I14</f>
        <v>TAS-SST001v1</v>
      </c>
      <c r="CA142" s="104">
        <f ca="1">Mods!D4 + 0.01</f>
        <v>1.01</v>
      </c>
      <c r="CB142" s="16"/>
      <c r="CC142" s="16"/>
      <c r="CD142" s="16"/>
      <c r="CE142" s="16"/>
      <c r="CF142" s="16"/>
    </row>
    <row r="143" spans="78:84">
      <c r="BZ143" s="16"/>
      <c r="CA143" s="104">
        <v>0.01</v>
      </c>
      <c r="CB143" s="16"/>
      <c r="CC143" s="16"/>
      <c r="CD143" s="16"/>
      <c r="CE143" s="16"/>
      <c r="CF143" s="16"/>
    </row>
    <row r="144" spans="78:84">
      <c r="BZ144" s="16"/>
      <c r="CA144" s="16"/>
      <c r="CB144" s="16"/>
      <c r="CC144" s="16"/>
      <c r="CD144" s="16"/>
      <c r="CE144" s="16"/>
      <c r="CF144" s="16"/>
    </row>
    <row r="145" spans="78:84">
      <c r="BZ145" s="16"/>
      <c r="CA145" s="16"/>
      <c r="CB145" s="16"/>
      <c r="CC145" s="16"/>
      <c r="CD145" s="16"/>
      <c r="CE145" s="16"/>
      <c r="CF145" s="16"/>
    </row>
    <row r="146" spans="78:84">
      <c r="BZ146" s="16"/>
      <c r="CA146" s="16"/>
      <c r="CB146" s="16"/>
      <c r="CC146" s="16"/>
      <c r="CD146" s="16"/>
      <c r="CE146" s="16"/>
      <c r="CF146" s="16"/>
    </row>
    <row r="147" spans="78:84">
      <c r="BZ147" s="16"/>
      <c r="CA147" s="16"/>
      <c r="CB147" s="16"/>
      <c r="CC147" s="16"/>
      <c r="CD147" s="16"/>
      <c r="CE147" s="16"/>
      <c r="CF147" s="16"/>
    </row>
    <row r="148" spans="78:84">
      <c r="BZ148" s="16"/>
      <c r="CA148" s="16"/>
      <c r="CB148" s="16"/>
      <c r="CC148" s="16"/>
      <c r="CD148" s="16"/>
      <c r="CE148" s="16"/>
      <c r="CF148" s="16"/>
    </row>
    <row r="149" spans="78:84">
      <c r="BZ149" s="16"/>
      <c r="CA149" s="16"/>
      <c r="CB149" s="16"/>
      <c r="CC149" s="16"/>
      <c r="CD149" s="16"/>
      <c r="CE149" s="16"/>
      <c r="CF149" s="16"/>
    </row>
    <row r="150" spans="78:84">
      <c r="BZ150" s="16"/>
      <c r="CA150" s="16"/>
      <c r="CB150" s="16"/>
      <c r="CC150" s="16"/>
      <c r="CD150" s="16"/>
      <c r="CE150" s="16"/>
      <c r="CF150" s="16"/>
    </row>
    <row r="151" spans="78:84">
      <c r="BZ151" s="16"/>
      <c r="CA151" s="16"/>
      <c r="CB151" s="16"/>
      <c r="CC151" s="16"/>
      <c r="CD151" s="16"/>
      <c r="CE151" s="16"/>
      <c r="CF151" s="16"/>
    </row>
    <row r="152" spans="78:84">
      <c r="BZ152" s="16"/>
      <c r="CA152" s="106">
        <v>1.0416666666666666E-2</v>
      </c>
      <c r="CB152" s="16"/>
      <c r="CC152" s="16"/>
      <c r="CD152" s="16"/>
      <c r="CE152" s="16"/>
      <c r="CF152" s="16"/>
    </row>
    <row r="153" spans="78:84">
      <c r="BZ153" s="16"/>
      <c r="CA153" s="106">
        <f>CA152+CA152</f>
        <v>2.0833333333333332E-2</v>
      </c>
      <c r="CB153" s="16"/>
      <c r="CC153" s="16"/>
      <c r="CD153" s="16"/>
      <c r="CE153" s="16"/>
      <c r="CF153" s="16"/>
    </row>
    <row r="154" spans="78:84">
      <c r="BZ154" s="16"/>
      <c r="CA154" s="106">
        <f>CA153+$CA$152</f>
        <v>3.125E-2</v>
      </c>
      <c r="CB154" s="16"/>
      <c r="CC154" s="16"/>
      <c r="CD154" s="16"/>
      <c r="CE154" s="16"/>
      <c r="CF154" s="16"/>
    </row>
    <row r="155" spans="78:84">
      <c r="BZ155" s="16"/>
      <c r="CA155" s="106">
        <f t="shared" ref="CA155:CA202" si="3">CA154+$CA$152</f>
        <v>4.1666666666666664E-2</v>
      </c>
      <c r="CB155" s="16"/>
      <c r="CC155" s="16"/>
      <c r="CD155" s="16"/>
      <c r="CE155" s="16"/>
      <c r="CF155" s="16"/>
    </row>
    <row r="156" spans="78:84">
      <c r="BZ156" s="16"/>
      <c r="CA156" s="106">
        <f t="shared" si="3"/>
        <v>5.2083333333333329E-2</v>
      </c>
      <c r="CB156" s="16"/>
      <c r="CC156" s="16"/>
      <c r="CD156" s="16"/>
      <c r="CE156" s="16"/>
      <c r="CF156" s="16"/>
    </row>
    <row r="157" spans="78:84">
      <c r="BZ157" s="16"/>
      <c r="CA157" s="106">
        <f t="shared" si="3"/>
        <v>6.2499999999999993E-2</v>
      </c>
      <c r="CB157" s="16"/>
      <c r="CC157" s="16"/>
      <c r="CD157" s="16"/>
      <c r="CE157" s="16"/>
      <c r="CF157" s="16"/>
    </row>
    <row r="158" spans="78:84">
      <c r="BZ158" s="16"/>
      <c r="CA158" s="106">
        <f t="shared" si="3"/>
        <v>7.2916666666666657E-2</v>
      </c>
      <c r="CB158" s="16"/>
      <c r="CC158" s="16"/>
      <c r="CD158" s="16"/>
      <c r="CE158" s="16"/>
      <c r="CF158" s="16"/>
    </row>
    <row r="159" spans="78:84">
      <c r="BZ159" s="16"/>
      <c r="CA159" s="106">
        <f t="shared" si="3"/>
        <v>8.3333333333333329E-2</v>
      </c>
      <c r="CB159" s="16"/>
      <c r="CC159" s="16"/>
      <c r="CD159" s="16"/>
      <c r="CE159" s="16"/>
      <c r="CF159" s="16"/>
    </row>
    <row r="160" spans="78:84">
      <c r="BZ160" s="16"/>
      <c r="CA160" s="106">
        <f t="shared" si="3"/>
        <v>9.375E-2</v>
      </c>
      <c r="CB160" s="16"/>
      <c r="CC160" s="16"/>
      <c r="CD160" s="16"/>
      <c r="CE160" s="16"/>
      <c r="CF160" s="16"/>
    </row>
    <row r="161" spans="78:84">
      <c r="BZ161" s="16"/>
      <c r="CA161" s="106">
        <f t="shared" si="3"/>
        <v>0.10416666666666667</v>
      </c>
      <c r="CB161" s="16"/>
      <c r="CC161" s="16"/>
      <c r="CD161" s="16"/>
      <c r="CE161" s="16"/>
      <c r="CF161" s="16"/>
    </row>
    <row r="162" spans="78:84">
      <c r="BZ162" s="16"/>
      <c r="CA162" s="106">
        <f t="shared" si="3"/>
        <v>0.11458333333333334</v>
      </c>
      <c r="CB162" s="16"/>
      <c r="CC162" s="16"/>
      <c r="CD162" s="16"/>
      <c r="CE162" s="16"/>
      <c r="CF162" s="16"/>
    </row>
    <row r="163" spans="78:84">
      <c r="BZ163" s="16"/>
      <c r="CA163" s="106">
        <f t="shared" si="3"/>
        <v>0.125</v>
      </c>
      <c r="CB163" s="16"/>
      <c r="CC163" s="16"/>
      <c r="CD163" s="16"/>
      <c r="CE163" s="16"/>
      <c r="CF163" s="16"/>
    </row>
    <row r="164" spans="78:84">
      <c r="BZ164" s="16"/>
      <c r="CA164" s="106">
        <f t="shared" si="3"/>
        <v>0.13541666666666666</v>
      </c>
      <c r="CB164" s="16"/>
      <c r="CC164" s="16"/>
      <c r="CD164" s="16"/>
      <c r="CE164" s="16"/>
      <c r="CF164" s="16"/>
    </row>
    <row r="165" spans="78:84">
      <c r="BZ165" s="16"/>
      <c r="CA165" s="106">
        <f t="shared" si="3"/>
        <v>0.14583333333333331</v>
      </c>
      <c r="CB165" s="16"/>
      <c r="CC165" s="16"/>
      <c r="CD165" s="16"/>
      <c r="CE165" s="16"/>
      <c r="CF165" s="16"/>
    </row>
    <row r="166" spans="78:84">
      <c r="BZ166" s="16"/>
      <c r="CA166" s="106">
        <f t="shared" si="3"/>
        <v>0.15624999999999997</v>
      </c>
      <c r="CB166" s="16"/>
      <c r="CC166" s="16"/>
      <c r="CD166" s="16"/>
      <c r="CE166" s="16"/>
      <c r="CF166" s="16"/>
    </row>
    <row r="167" spans="78:84">
      <c r="BZ167" s="16"/>
      <c r="CA167" s="106">
        <f t="shared" si="3"/>
        <v>0.16666666666666663</v>
      </c>
      <c r="CB167" s="16"/>
      <c r="CC167" s="16"/>
      <c r="CD167" s="16"/>
      <c r="CE167" s="16"/>
      <c r="CF167" s="16"/>
    </row>
    <row r="168" spans="78:84">
      <c r="BZ168" s="16"/>
      <c r="CA168" s="106">
        <f t="shared" si="3"/>
        <v>0.17708333333333329</v>
      </c>
      <c r="CB168" s="16"/>
      <c r="CC168" s="16"/>
      <c r="CD168" s="16"/>
      <c r="CE168" s="16"/>
      <c r="CF168" s="16"/>
    </row>
    <row r="169" spans="78:84">
      <c r="BZ169" s="16"/>
      <c r="CA169" s="106">
        <f t="shared" si="3"/>
        <v>0.18749999999999994</v>
      </c>
      <c r="CB169" s="16"/>
      <c r="CC169" s="16"/>
      <c r="CD169" s="16"/>
      <c r="CE169" s="16"/>
      <c r="CF169" s="16"/>
    </row>
    <row r="170" spans="78:84">
      <c r="BZ170" s="16"/>
      <c r="CA170" s="106">
        <f t="shared" si="3"/>
        <v>0.1979166666666666</v>
      </c>
      <c r="CB170" s="16"/>
      <c r="CC170" s="16"/>
      <c r="CD170" s="16"/>
      <c r="CE170" s="16"/>
      <c r="CF170" s="16"/>
    </row>
    <row r="171" spans="78:84">
      <c r="BZ171" s="16"/>
      <c r="CA171" s="106">
        <f t="shared" si="3"/>
        <v>0.20833333333333326</v>
      </c>
      <c r="CB171" s="16"/>
      <c r="CC171" s="16"/>
      <c r="CD171" s="16"/>
      <c r="CE171" s="16"/>
      <c r="CF171" s="16"/>
    </row>
    <row r="172" spans="78:84">
      <c r="BZ172" s="16"/>
      <c r="CA172" s="106">
        <f t="shared" si="3"/>
        <v>0.21874999999999992</v>
      </c>
      <c r="CB172" s="16"/>
      <c r="CC172" s="16"/>
      <c r="CD172" s="16"/>
      <c r="CE172" s="16"/>
      <c r="CF172" s="16"/>
    </row>
    <row r="173" spans="78:84">
      <c r="BZ173" s="16"/>
      <c r="CA173" s="106">
        <f t="shared" si="3"/>
        <v>0.22916666666666657</v>
      </c>
      <c r="CB173" s="16"/>
      <c r="CC173" s="16"/>
      <c r="CD173" s="16"/>
      <c r="CE173" s="16"/>
      <c r="CF173" s="16"/>
    </row>
    <row r="174" spans="78:84">
      <c r="BZ174" s="16"/>
      <c r="CA174" s="106">
        <f t="shared" si="3"/>
        <v>0.23958333333333323</v>
      </c>
      <c r="CB174" s="16"/>
      <c r="CC174" s="16"/>
      <c r="CD174" s="16"/>
      <c r="CE174" s="16"/>
      <c r="CF174" s="16"/>
    </row>
    <row r="175" spans="78:84">
      <c r="BZ175" s="16"/>
      <c r="CA175" s="106">
        <f t="shared" si="3"/>
        <v>0.24999999999999989</v>
      </c>
      <c r="CB175" s="16"/>
      <c r="CC175" s="16"/>
      <c r="CD175" s="16"/>
      <c r="CE175" s="16"/>
      <c r="CF175" s="16"/>
    </row>
    <row r="176" spans="78:84">
      <c r="BZ176" s="16"/>
      <c r="CA176" s="106">
        <f t="shared" si="3"/>
        <v>0.26041666666666657</v>
      </c>
      <c r="CB176" s="16"/>
      <c r="CC176" s="16"/>
      <c r="CD176" s="16"/>
      <c r="CE176" s="16"/>
      <c r="CF176" s="16"/>
    </row>
    <row r="177" spans="78:84">
      <c r="BZ177" s="16"/>
      <c r="CA177" s="106">
        <f t="shared" si="3"/>
        <v>0.27083333333333326</v>
      </c>
      <c r="CB177" s="16"/>
      <c r="CC177" s="16"/>
      <c r="CD177" s="16"/>
      <c r="CE177" s="16"/>
      <c r="CF177" s="16"/>
    </row>
    <row r="178" spans="78:84">
      <c r="BZ178" s="16"/>
      <c r="CA178" s="106">
        <f t="shared" si="3"/>
        <v>0.28124999999999994</v>
      </c>
      <c r="CB178" s="16"/>
      <c r="CC178" s="16"/>
      <c r="CD178" s="16"/>
      <c r="CE178" s="16"/>
      <c r="CF178" s="16"/>
    </row>
    <row r="179" spans="78:84">
      <c r="BZ179" s="16"/>
      <c r="CA179" s="106">
        <f t="shared" si="3"/>
        <v>0.29166666666666663</v>
      </c>
      <c r="CB179" s="16"/>
      <c r="CC179" s="16"/>
      <c r="CD179" s="16"/>
      <c r="CE179" s="16"/>
      <c r="CF179" s="16"/>
    </row>
    <row r="180" spans="78:84">
      <c r="BZ180" s="16"/>
      <c r="CA180" s="106">
        <f t="shared" si="3"/>
        <v>0.30208333333333331</v>
      </c>
      <c r="CB180" s="16"/>
      <c r="CC180" s="16"/>
      <c r="CD180" s="16"/>
      <c r="CE180" s="16"/>
      <c r="CF180" s="16"/>
    </row>
    <row r="181" spans="78:84">
      <c r="BZ181" s="16"/>
      <c r="CA181" s="106">
        <f t="shared" si="3"/>
        <v>0.3125</v>
      </c>
      <c r="CB181" s="16"/>
      <c r="CC181" s="16"/>
      <c r="CD181" s="16"/>
      <c r="CE181" s="16"/>
      <c r="CF181" s="16"/>
    </row>
    <row r="182" spans="78:84">
      <c r="BZ182" s="16"/>
      <c r="CA182" s="106">
        <f t="shared" si="3"/>
        <v>0.32291666666666669</v>
      </c>
      <c r="CB182" s="16"/>
      <c r="CC182" s="16"/>
      <c r="CD182" s="16"/>
      <c r="CE182" s="16"/>
      <c r="CF182" s="16"/>
    </row>
    <row r="183" spans="78:84">
      <c r="BZ183" s="16"/>
      <c r="CA183" s="106">
        <f t="shared" si="3"/>
        <v>0.33333333333333337</v>
      </c>
      <c r="CB183" s="16"/>
      <c r="CC183" s="16"/>
      <c r="CD183" s="16"/>
      <c r="CE183" s="16"/>
      <c r="CF183" s="16"/>
    </row>
    <row r="184" spans="78:84">
      <c r="BZ184" s="16"/>
      <c r="CA184" s="106">
        <f t="shared" si="3"/>
        <v>0.34375000000000006</v>
      </c>
      <c r="CB184" s="16"/>
      <c r="CC184" s="16"/>
      <c r="CD184" s="16"/>
      <c r="CE184" s="16"/>
      <c r="CF184" s="16"/>
    </row>
    <row r="185" spans="78:84">
      <c r="BZ185" s="16"/>
      <c r="CA185" s="106">
        <f t="shared" si="3"/>
        <v>0.35416666666666674</v>
      </c>
      <c r="CB185" s="16"/>
      <c r="CC185" s="16"/>
      <c r="CD185" s="16"/>
      <c r="CE185" s="16"/>
      <c r="CF185" s="16"/>
    </row>
    <row r="186" spans="78:84">
      <c r="BZ186" s="16"/>
      <c r="CA186" s="106">
        <f t="shared" si="3"/>
        <v>0.36458333333333343</v>
      </c>
      <c r="CB186" s="16"/>
      <c r="CC186" s="16"/>
      <c r="CD186" s="16"/>
      <c r="CE186" s="16"/>
      <c r="CF186" s="16"/>
    </row>
    <row r="187" spans="78:84">
      <c r="BZ187" s="16"/>
      <c r="CA187" s="106">
        <f t="shared" si="3"/>
        <v>0.37500000000000011</v>
      </c>
      <c r="CB187" s="16"/>
      <c r="CC187" s="16"/>
      <c r="CD187" s="16"/>
      <c r="CE187" s="16"/>
      <c r="CF187" s="16"/>
    </row>
    <row r="188" spans="78:84">
      <c r="BZ188" s="16"/>
      <c r="CA188" s="106">
        <f t="shared" si="3"/>
        <v>0.3854166666666668</v>
      </c>
      <c r="CB188" s="16"/>
      <c r="CC188" s="16"/>
      <c r="CD188" s="16"/>
      <c r="CE188" s="16"/>
      <c r="CF188" s="16"/>
    </row>
    <row r="189" spans="78:84">
      <c r="BZ189" s="16"/>
      <c r="CA189" s="106">
        <f t="shared" si="3"/>
        <v>0.39583333333333348</v>
      </c>
      <c r="CB189" s="16"/>
      <c r="CC189" s="16"/>
      <c r="CD189" s="16"/>
      <c r="CE189" s="16"/>
      <c r="CF189" s="16"/>
    </row>
    <row r="190" spans="78:84">
      <c r="BZ190" s="16"/>
      <c r="CA190" s="106">
        <f t="shared" si="3"/>
        <v>0.40625000000000017</v>
      </c>
      <c r="CB190" s="16"/>
      <c r="CC190" s="16"/>
      <c r="CD190" s="16"/>
      <c r="CE190" s="16"/>
      <c r="CF190" s="16"/>
    </row>
    <row r="191" spans="78:84">
      <c r="BZ191" s="16"/>
      <c r="CA191" s="106">
        <f t="shared" si="3"/>
        <v>0.41666666666666685</v>
      </c>
      <c r="CB191" s="16"/>
      <c r="CC191" s="16"/>
      <c r="CD191" s="16"/>
      <c r="CE191" s="16"/>
      <c r="CF191" s="16"/>
    </row>
    <row r="192" spans="78:84">
      <c r="BZ192" s="16"/>
      <c r="CA192" s="106">
        <f t="shared" si="3"/>
        <v>0.42708333333333354</v>
      </c>
      <c r="CB192" s="16"/>
      <c r="CC192" s="16"/>
      <c r="CD192" s="16"/>
      <c r="CE192" s="16"/>
      <c r="CF192" s="16"/>
    </row>
    <row r="193" spans="78:84">
      <c r="BZ193" s="16"/>
      <c r="CA193" s="106">
        <f t="shared" si="3"/>
        <v>0.43750000000000022</v>
      </c>
      <c r="CB193" s="16"/>
      <c r="CC193" s="16"/>
      <c r="CD193" s="16"/>
      <c r="CE193" s="16"/>
      <c r="CF193" s="16"/>
    </row>
    <row r="194" spans="78:84">
      <c r="BZ194" s="16"/>
      <c r="CA194" s="106">
        <f t="shared" si="3"/>
        <v>0.44791666666666691</v>
      </c>
      <c r="CB194" s="16"/>
      <c r="CC194" s="16"/>
      <c r="CD194" s="16"/>
      <c r="CE194" s="16"/>
      <c r="CF194" s="16"/>
    </row>
    <row r="195" spans="78:84">
      <c r="BZ195" s="16"/>
      <c r="CA195" s="106">
        <f t="shared" si="3"/>
        <v>0.45833333333333359</v>
      </c>
      <c r="CB195" s="16"/>
      <c r="CC195" s="16"/>
      <c r="CD195" s="16"/>
      <c r="CE195" s="16"/>
      <c r="CF195" s="16"/>
    </row>
    <row r="196" spans="78:84">
      <c r="BZ196" s="16"/>
      <c r="CA196" s="106">
        <f t="shared" si="3"/>
        <v>0.46875000000000028</v>
      </c>
      <c r="CB196" s="16"/>
      <c r="CC196" s="16"/>
      <c r="CD196" s="16"/>
      <c r="CE196" s="16"/>
      <c r="CF196" s="16"/>
    </row>
    <row r="197" spans="78:84">
      <c r="BZ197" s="16"/>
      <c r="CA197" s="106">
        <f t="shared" si="3"/>
        <v>0.47916666666666696</v>
      </c>
      <c r="CB197" s="16"/>
      <c r="CC197" s="16"/>
      <c r="CD197" s="16"/>
      <c r="CE197" s="16"/>
      <c r="CF197" s="16"/>
    </row>
    <row r="198" spans="78:84">
      <c r="BZ198" s="16"/>
      <c r="CA198" s="106">
        <f t="shared" si="3"/>
        <v>0.48958333333333365</v>
      </c>
      <c r="CB198" s="16"/>
      <c r="CC198" s="16"/>
      <c r="CD198" s="16"/>
      <c r="CE198" s="16"/>
      <c r="CF198" s="16"/>
    </row>
    <row r="199" spans="78:84">
      <c r="BZ199" s="16"/>
      <c r="CA199" s="106">
        <f t="shared" si="3"/>
        <v>0.50000000000000033</v>
      </c>
      <c r="CB199" s="16"/>
      <c r="CC199" s="16"/>
      <c r="CD199" s="16"/>
      <c r="CE199" s="16"/>
      <c r="CF199" s="16"/>
    </row>
    <row r="200" spans="78:84">
      <c r="BZ200" s="16"/>
      <c r="CA200" s="106">
        <f t="shared" si="3"/>
        <v>0.51041666666666696</v>
      </c>
      <c r="CB200" s="16"/>
      <c r="CC200" s="16"/>
      <c r="CD200" s="16"/>
      <c r="CE200" s="16"/>
      <c r="CF200" s="16"/>
    </row>
    <row r="201" spans="78:84">
      <c r="BZ201" s="16"/>
      <c r="CA201" s="106">
        <f t="shared" si="3"/>
        <v>0.52083333333333359</v>
      </c>
      <c r="CB201" s="16"/>
      <c r="CC201" s="16"/>
      <c r="CD201" s="16"/>
      <c r="CE201" s="16"/>
      <c r="CF201" s="16"/>
    </row>
    <row r="202" spans="78:84">
      <c r="BZ202" s="16"/>
      <c r="CA202" s="106">
        <f t="shared" si="3"/>
        <v>0.53125000000000022</v>
      </c>
      <c r="CB202" s="16"/>
      <c r="CC202" s="16"/>
      <c r="CD202" s="16"/>
      <c r="CE202" s="16"/>
      <c r="CF202" s="16"/>
    </row>
    <row r="203" spans="78:84">
      <c r="BZ203" s="16"/>
      <c r="CA203" s="16"/>
      <c r="CB203" s="16"/>
      <c r="CC203" s="16"/>
      <c r="CD203" s="16"/>
      <c r="CE203" s="16"/>
      <c r="CF203" s="16"/>
    </row>
  </sheetData>
  <mergeCells count="14">
    <mergeCell ref="CA51:CF51"/>
    <mergeCell ref="I15:J15"/>
    <mergeCell ref="CB15:CC18"/>
    <mergeCell ref="I16:J16"/>
    <mergeCell ref="D17:E17"/>
    <mergeCell ref="C18:D18"/>
    <mergeCell ref="E18:F18"/>
    <mergeCell ref="G18:H18"/>
    <mergeCell ref="I14:J14"/>
    <mergeCell ref="D2:F3"/>
    <mergeCell ref="H2:I2"/>
    <mergeCell ref="CA3:CE3"/>
    <mergeCell ref="D6:D8"/>
    <mergeCell ref="I13:J13"/>
  </mergeCells>
  <conditionalFormatting sqref="D14:G14">
    <cfRule type="expression" dxfId="82" priority="3">
      <formula>$F$10&lt;&gt;"Provide 2 Recal Date:"</formula>
    </cfRule>
  </conditionalFormatting>
  <conditionalFormatting sqref="B13:B14">
    <cfRule type="expression" dxfId="81" priority="2">
      <formula>$B$11="Custom"</formula>
    </cfRule>
  </conditionalFormatting>
  <conditionalFormatting sqref="B17">
    <cfRule type="expression" dxfId="80" priority="1">
      <formula>$B$17="?"</formula>
    </cfRule>
  </conditionalFormatting>
  <dataValidations count="8">
    <dataValidation type="list" allowBlank="1" showInputMessage="1" showErrorMessage="1" sqref="B17" xr:uid="{0A37E21F-584C-4930-BE09-84CE13330053}">
      <formula1>INDIRECT($B$11)</formula1>
    </dataValidation>
    <dataValidation type="list" allowBlank="1" showInputMessage="1" showErrorMessage="1" sqref="F17" xr:uid="{71E1BA7F-29FE-4E2C-8C68-7EF087F6BA98}">
      <formula1>$W$10:$W$15</formula1>
    </dataValidation>
    <dataValidation type="list" allowBlank="1" showInputMessage="1" showErrorMessage="1" sqref="G11 G14" xr:uid="{87DA0C5C-D0C3-47A8-BA30-A31D20394014}">
      <formula1>" ,1,,3,6,12,18,24"</formula1>
    </dataValidation>
    <dataValidation allowBlank="1" showErrorMessage="1" sqref="J10" xr:uid="{F7C33099-2CFB-4B42-987D-D7E9975E8AB1}"/>
    <dataValidation type="list" allowBlank="1" showInputMessage="1" showErrorMessage="1" sqref="F10" xr:uid="{719FE41D-0458-41BD-BF40-61070AF63E41}">
      <formula1>"Provide Recal Date:,No Recal Date:,Provide 2 Recal Date:"</formula1>
    </dataValidation>
    <dataValidation type="list" allowBlank="1" showInputMessage="1" showErrorMessage="1" sqref="CA10" xr:uid="{3D11630B-8919-46CA-B89E-FED41AC75527}">
      <formula1>$CB$11:$CB$13</formula1>
    </dataValidation>
    <dataValidation type="list" allowBlank="1" showInputMessage="1" showErrorMessage="1" sqref="B11" xr:uid="{8228C168-4DE1-47BB-ACEC-0A072AFD4AD0}">
      <formula1>myLoc</formula1>
    </dataValidation>
    <dataValidation type="list" allowBlank="1" showInputMessage="1" showErrorMessage="1" sqref="B3" xr:uid="{7E783A78-1E01-477A-929A-C6D43DBC5464}">
      <formula1>$AB$2:$AB$21</formula1>
    </dataValidation>
  </dataValidations>
  <hyperlinks>
    <hyperlink ref="CA93" r:id="rId1" display="mailto:nata_approvals@texonsite.com.au" xr:uid="{5C808DDD-7FBE-4CBF-9BE1-F6EFAD8F6268}"/>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Button3_Click">
                <anchor moveWithCells="1" sizeWithCells="1">
                  <from>
                    <xdr:col>3</xdr:col>
                    <xdr:colOff>57150</xdr:colOff>
                    <xdr:row>1</xdr:row>
                    <xdr:rowOff>19050</xdr:rowOff>
                  </from>
                  <to>
                    <xdr:col>5</xdr:col>
                    <xdr:colOff>1504950</xdr:colOff>
                    <xdr:row>2</xdr:row>
                    <xdr:rowOff>219075</xdr:rowOff>
                  </to>
                </anchor>
              </controlPr>
            </control>
          </mc:Choice>
        </mc:AlternateContent>
        <mc:AlternateContent xmlns:mc="http://schemas.openxmlformats.org/markup-compatibility/2006">
          <mc:Choice Requires="x14">
            <control shapeId="2050" r:id="rId6" name="Button 2">
              <controlPr defaultSize="0" print="0" autoFill="0" autoPict="0" macro="[0]!DateFill_Click">
                <anchor moveWithCells="1" sizeWithCells="1">
                  <from>
                    <xdr:col>3</xdr:col>
                    <xdr:colOff>28575</xdr:colOff>
                    <xdr:row>9</xdr:row>
                    <xdr:rowOff>47625</xdr:rowOff>
                  </from>
                  <to>
                    <xdr:col>3</xdr:col>
                    <xdr:colOff>447675</xdr:colOff>
                    <xdr:row>11</xdr:row>
                    <xdr:rowOff>200025</xdr:rowOff>
                  </to>
                </anchor>
              </controlPr>
            </control>
          </mc:Choice>
        </mc:AlternateContent>
        <mc:AlternateContent xmlns:mc="http://schemas.openxmlformats.org/markup-compatibility/2006">
          <mc:Choice Requires="x14">
            <control shapeId="2051" r:id="rId7" name="forTrainee">
              <controlPr defaultSize="0" print="0" autoFill="0" autoPict="0" macro="[0]!forTrainee_Click">
                <anchor moveWithCells="1" sizeWithCells="1">
                  <from>
                    <xdr:col>8</xdr:col>
                    <xdr:colOff>9525</xdr:colOff>
                    <xdr:row>16</xdr:row>
                    <xdr:rowOff>95250</xdr:rowOff>
                  </from>
                  <to>
                    <xdr:col>10</xdr:col>
                    <xdr:colOff>9525</xdr:colOff>
                    <xdr:row>17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DFDA-2B33-4196-B21A-ABB683D56737}">
  <sheetPr codeName="Sheet9"/>
  <dimension ref="A1:EE203"/>
  <sheetViews>
    <sheetView zoomScale="94" zoomScaleNormal="94" workbookViewId="0">
      <selection activeCell="H18" sqref="H18:J18"/>
    </sheetView>
  </sheetViews>
  <sheetFormatPr defaultColWidth="9.140625" defaultRowHeight="15"/>
  <cols>
    <col min="1" max="1" width="11.85546875" style="102" bestFit="1" customWidth="1"/>
    <col min="2" max="2" width="22.7109375" style="102" customWidth="1"/>
    <col min="3" max="3" width="14.5703125" style="102" customWidth="1"/>
    <col min="4" max="4" width="6.28515625" style="102" bestFit="1" customWidth="1"/>
    <col min="5" max="5" width="15" style="102" customWidth="1"/>
    <col min="6" max="6" width="2.7109375" style="102" customWidth="1"/>
    <col min="7" max="7" width="25" style="102" customWidth="1"/>
    <col min="8" max="8" width="9.140625" style="102"/>
    <col min="9" max="9" width="8.7109375" style="102" customWidth="1"/>
    <col min="10" max="10" width="10.42578125" style="102" customWidth="1"/>
    <col min="11" max="11" width="2.5703125" style="102" customWidth="1"/>
    <col min="12" max="12" width="13.28515625" style="102" customWidth="1"/>
    <col min="13" max="13" width="24.140625" style="102" customWidth="1"/>
    <col min="14" max="14" width="9.140625" style="102"/>
    <col min="15" max="15" width="17.28515625" style="102" customWidth="1"/>
    <col min="16" max="16" width="9.140625" style="102"/>
    <col min="17" max="17" width="21.7109375" style="102" customWidth="1"/>
    <col min="18" max="18" width="9.140625" style="102"/>
    <col min="19" max="19" width="7.28515625" style="102" customWidth="1"/>
    <col min="20" max="20" width="8.28515625" style="102" customWidth="1"/>
    <col min="21" max="26" width="9.140625" style="102" customWidth="1"/>
    <col min="27" max="27" width="12" style="102" customWidth="1"/>
    <col min="28" max="28" width="9.140625" style="102" customWidth="1"/>
    <col min="29" max="29" width="14" style="102" customWidth="1"/>
    <col min="30" max="84" width="9.140625" style="102" customWidth="1"/>
    <col min="85" max="129" width="9.140625" style="102"/>
    <col min="130" max="130" width="16.5703125" style="14" bestFit="1" customWidth="1"/>
    <col min="131" max="135" width="9.140625" style="14"/>
    <col min="136" max="16384" width="9.140625" style="102"/>
  </cols>
  <sheetData>
    <row r="1" spans="1:135" ht="15" customHeight="1" thickBot="1">
      <c r="A1" s="1" t="s">
        <v>16</v>
      </c>
      <c r="B1" s="3"/>
      <c r="C1" s="3"/>
      <c r="D1" s="3"/>
      <c r="E1" s="3"/>
      <c r="F1" s="3"/>
      <c r="G1" s="3"/>
      <c r="H1" s="3"/>
      <c r="I1" s="3"/>
      <c r="J1" s="3"/>
      <c r="K1" s="3"/>
      <c r="L1" s="3"/>
      <c r="M1" s="3"/>
      <c r="N1" s="3"/>
      <c r="O1" s="602"/>
      <c r="P1" s="602"/>
      <c r="Q1" s="602"/>
      <c r="R1" s="602"/>
      <c r="S1" s="602"/>
      <c r="T1" s="602"/>
      <c r="U1" s="874" t="s">
        <v>64</v>
      </c>
      <c r="V1" s="14"/>
      <c r="W1" s="14"/>
      <c r="X1" s="855" t="s">
        <v>65</v>
      </c>
      <c r="Y1" s="856"/>
      <c r="Z1" s="859" t="s">
        <v>66</v>
      </c>
      <c r="AA1" s="859" t="s">
        <v>67</v>
      </c>
      <c r="AB1" s="861" t="s">
        <v>68</v>
      </c>
      <c r="AC1" s="14"/>
      <c r="AD1" s="108" t="e">
        <f>IF(Elect=1,ReadoutType,$C$13)</f>
        <v>#NAME?</v>
      </c>
      <c r="AE1" s="14"/>
      <c r="AF1" s="14"/>
      <c r="AG1" s="14"/>
      <c r="AH1" s="14"/>
      <c r="AI1" s="14"/>
      <c r="AJ1" s="14"/>
      <c r="AK1" s="14"/>
      <c r="AL1" s="14"/>
      <c r="AM1" s="14"/>
      <c r="AN1" s="14"/>
      <c r="AO1" s="14"/>
      <c r="AP1" s="14"/>
      <c r="AQ1" s="14"/>
      <c r="AR1" s="14"/>
      <c r="AS1" s="14"/>
      <c r="AT1" s="14"/>
      <c r="AU1" s="14"/>
      <c r="AV1" s="14"/>
      <c r="AW1" s="14"/>
      <c r="AX1" s="14"/>
      <c r="AY1" s="14"/>
      <c r="AZ1" s="14"/>
      <c r="BA1" s="109" t="s">
        <v>69</v>
      </c>
      <c r="BB1" s="110">
        <v>0.01</v>
      </c>
      <c r="BC1" s="111" t="e">
        <f>((Capacity/100)*I13)</f>
        <v>#NAME?</v>
      </c>
      <c r="DZ1" s="5"/>
      <c r="EA1" s="15" t="s">
        <v>7</v>
      </c>
      <c r="EB1" s="5"/>
      <c r="EC1" s="5"/>
      <c r="ED1" s="5"/>
      <c r="EE1" s="16"/>
    </row>
    <row r="2" spans="1:135" ht="16.5">
      <c r="A2" s="17" t="s">
        <v>16</v>
      </c>
      <c r="B2" s="863" t="s">
        <v>70</v>
      </c>
      <c r="C2" s="864"/>
      <c r="D2" s="864"/>
      <c r="E2" s="865"/>
      <c r="F2" s="112"/>
      <c r="G2" s="866" t="s">
        <v>71</v>
      </c>
      <c r="H2" s="867"/>
      <c r="I2" s="867"/>
      <c r="J2" s="868"/>
      <c r="K2" s="112"/>
      <c r="L2" s="866" t="s">
        <v>72</v>
      </c>
      <c r="M2" s="868"/>
      <c r="N2" s="113"/>
      <c r="O2" s="603" t="s">
        <v>73</v>
      </c>
      <c r="P2" s="604" t="s">
        <v>74</v>
      </c>
      <c r="Q2" s="604" t="s">
        <v>75</v>
      </c>
      <c r="R2" s="604" t="s">
        <v>76</v>
      </c>
      <c r="S2" s="604" t="s">
        <v>77</v>
      </c>
      <c r="T2" s="604" t="e">
        <f>"Uncert " &amp; ReadoutType</f>
        <v>#NAME?</v>
      </c>
      <c r="U2" s="874"/>
      <c r="V2" s="14" t="e">
        <f ca="1">IUTPIC</f>
        <v>#NAME?</v>
      </c>
      <c r="W2" s="14"/>
      <c r="X2" s="857"/>
      <c r="Y2" s="858"/>
      <c r="Z2" s="860"/>
      <c r="AA2" s="860"/>
      <c r="AB2" s="862"/>
      <c r="AC2" s="14"/>
      <c r="AD2" s="108" t="s">
        <v>78</v>
      </c>
      <c r="AE2" s="14"/>
      <c r="AF2" s="14"/>
      <c r="AG2" s="14"/>
      <c r="AH2" s="14"/>
      <c r="AI2" s="14"/>
      <c r="AJ2" s="14"/>
      <c r="AK2" s="14"/>
      <c r="AL2" s="14"/>
      <c r="AM2" s="14"/>
      <c r="AN2" s="14"/>
      <c r="AO2" s="14"/>
      <c r="AP2" s="14"/>
      <c r="AQ2" s="14"/>
      <c r="AR2" s="14"/>
      <c r="AS2" s="14"/>
      <c r="AT2" s="14"/>
      <c r="AU2" s="14"/>
      <c r="AV2" s="14"/>
      <c r="AW2" s="14"/>
      <c r="AX2" s="14"/>
      <c r="AY2" s="14"/>
      <c r="AZ2" s="14"/>
      <c r="BA2" s="109" t="s">
        <v>79</v>
      </c>
      <c r="BB2" s="110">
        <v>1.2E-2</v>
      </c>
      <c r="BC2" s="111">
        <f>(($A50/100)*J13)</f>
        <v>0</v>
      </c>
      <c r="DZ2" s="16"/>
      <c r="EA2" s="15" t="s">
        <v>80</v>
      </c>
      <c r="EB2" s="16"/>
      <c r="EC2" s="16"/>
      <c r="ED2" s="16"/>
      <c r="EE2" s="16" t="s">
        <v>81</v>
      </c>
    </row>
    <row r="3" spans="1:135" ht="17.25" thickBot="1">
      <c r="A3" s="26"/>
      <c r="B3" s="114" t="s">
        <v>82</v>
      </c>
      <c r="C3" s="875" t="s">
        <v>10</v>
      </c>
      <c r="D3" s="876"/>
      <c r="E3" s="877"/>
      <c r="F3" s="112"/>
      <c r="G3" s="114" t="s">
        <v>83</v>
      </c>
      <c r="H3" s="878" t="s">
        <v>10</v>
      </c>
      <c r="I3" s="879"/>
      <c r="J3" s="115" t="s">
        <v>84</v>
      </c>
      <c r="K3" s="112"/>
      <c r="L3" s="116" t="s">
        <v>85</v>
      </c>
      <c r="M3" s="117">
        <v>20</v>
      </c>
      <c r="N3" s="118"/>
      <c r="O3" s="605" t="s">
        <v>86</v>
      </c>
      <c r="P3" s="606" t="s">
        <v>87</v>
      </c>
      <c r="Q3" s="606" t="s">
        <v>88</v>
      </c>
      <c r="R3" s="606" t="s">
        <v>89</v>
      </c>
      <c r="S3" s="606" t="s">
        <v>90</v>
      </c>
      <c r="T3" s="606">
        <v>2E-3</v>
      </c>
      <c r="U3" s="607">
        <v>0</v>
      </c>
      <c r="V3" s="14"/>
      <c r="W3" s="14"/>
      <c r="X3" s="119">
        <v>1</v>
      </c>
      <c r="Y3" s="120" t="s">
        <v>91</v>
      </c>
      <c r="Z3" s="121">
        <v>1E-3</v>
      </c>
      <c r="AA3" s="121">
        <f>Kpa2PSI/1000</f>
        <v>1.4503773773020899E-4</v>
      </c>
      <c r="AB3" s="122">
        <v>1000</v>
      </c>
      <c r="AC3" s="14"/>
      <c r="AD3" s="108" t="s">
        <v>10</v>
      </c>
      <c r="AE3" s="14"/>
      <c r="AF3" s="14"/>
      <c r="AG3" s="14"/>
      <c r="AH3" s="14"/>
      <c r="AI3" s="14"/>
      <c r="AJ3" s="14"/>
      <c r="AK3" s="14"/>
      <c r="AL3" s="14"/>
      <c r="AM3" s="14"/>
      <c r="AN3" s="14"/>
      <c r="AO3" s="14"/>
      <c r="AP3" s="14"/>
      <c r="AQ3" s="14"/>
      <c r="AR3" s="14"/>
      <c r="AS3" s="14"/>
      <c r="AT3" s="14"/>
      <c r="AU3" s="14"/>
      <c r="AV3" s="14"/>
      <c r="AW3" s="14"/>
      <c r="AX3" s="14"/>
      <c r="AY3" s="14"/>
      <c r="AZ3" s="14"/>
      <c r="BA3" s="109" t="s">
        <v>92</v>
      </c>
      <c r="BB3" s="110">
        <v>1.4999999999999999E-2</v>
      </c>
      <c r="BC3" s="123" t="e">
        <f>(((Capacity/100)*$E$29)+(($A50/100)*$D$29))</f>
        <v>#NAME?</v>
      </c>
      <c r="DZ3" s="16">
        <v>1</v>
      </c>
      <c r="EA3" s="810" t="str">
        <f ca="1">IF(DZ3=1,"",MID(CELL("filename"),SEARCH("[",CELL("filename"))+1,SEARCH("]",CELL("filename"))-SEARCH("[",CELL("filename"))-1))</f>
        <v/>
      </c>
      <c r="EB3" s="810"/>
      <c r="EC3" s="810"/>
      <c r="ED3" s="810"/>
      <c r="EE3" s="810"/>
    </row>
    <row r="4" spans="1:135" ht="17.25" thickBot="1">
      <c r="A4" s="26"/>
      <c r="B4" s="114" t="s">
        <v>93</v>
      </c>
      <c r="C4" s="124" t="s">
        <v>10</v>
      </c>
      <c r="D4" s="125"/>
      <c r="E4" s="126"/>
      <c r="F4" s="112"/>
      <c r="G4" s="127" t="s">
        <v>94</v>
      </c>
      <c r="H4" s="880" t="s">
        <v>10</v>
      </c>
      <c r="I4" s="881"/>
      <c r="J4" s="129" t="s">
        <v>95</v>
      </c>
      <c r="K4" s="112"/>
      <c r="L4" s="112"/>
      <c r="M4" s="112"/>
      <c r="N4" s="112"/>
      <c r="O4" s="112"/>
      <c r="P4" s="112"/>
      <c r="Q4" s="112"/>
      <c r="R4" s="112"/>
      <c r="S4" s="112"/>
      <c r="T4" s="39"/>
      <c r="U4" s="53"/>
      <c r="V4" s="107"/>
      <c r="W4" s="14"/>
      <c r="X4" s="130">
        <v>2</v>
      </c>
      <c r="Y4" s="131" t="s">
        <v>96</v>
      </c>
      <c r="Z4" s="132">
        <v>1</v>
      </c>
      <c r="AA4" s="132">
        <v>0.145038</v>
      </c>
      <c r="AB4" s="133">
        <v>1</v>
      </c>
      <c r="AC4" s="14"/>
      <c r="AD4" s="14"/>
      <c r="AE4" s="14"/>
      <c r="AF4" s="14"/>
      <c r="AG4" s="43" t="e">
        <f>IF(Readability=INT(Readability),0,LEN(MID(Readability-INT(Readability),FIND(".",Readability,1),LEN(Readability)-FIND(".",Readability,1))))</f>
        <v>#NAME?</v>
      </c>
      <c r="AH4" s="882" t="s">
        <v>97</v>
      </c>
      <c r="AI4" s="883"/>
      <c r="AJ4" s="14"/>
      <c r="AK4" s="14"/>
      <c r="AL4" s="14"/>
      <c r="AM4" s="14"/>
      <c r="AN4" s="14"/>
      <c r="AO4" s="14"/>
      <c r="AP4" s="14"/>
      <c r="AQ4" s="14"/>
      <c r="AR4" s="14"/>
      <c r="AS4" s="14"/>
      <c r="AT4" s="14"/>
      <c r="AU4" s="14"/>
      <c r="AV4" s="14"/>
      <c r="AW4" s="14"/>
      <c r="AX4" s="14"/>
      <c r="AY4" s="14"/>
      <c r="AZ4" s="14"/>
      <c r="BA4" s="109" t="s">
        <v>98</v>
      </c>
      <c r="BB4" s="110">
        <v>0.02</v>
      </c>
      <c r="BC4" s="123" t="e">
        <f>(Counts*N27)+(IF($A50&lt;=0,((Capacity/100)*$M$33),IF($A50&lt;=((Capacity/100)*$M$31),((Capacity/100)*$E$29),(($A50/100)*$D$29))))</f>
        <v>#NAME?</v>
      </c>
      <c r="DZ4" s="16"/>
      <c r="EA4" s="16" t="s">
        <v>15</v>
      </c>
      <c r="EB4" s="16"/>
      <c r="EC4" s="16"/>
      <c r="ED4" s="16"/>
      <c r="EE4" s="16"/>
    </row>
    <row r="5" spans="1:135" ht="16.5">
      <c r="A5" s="17" t="str">
        <f>'Setup Data'!$A$5</f>
        <v>N</v>
      </c>
      <c r="B5" s="114" t="s">
        <v>99</v>
      </c>
      <c r="C5" s="124" t="s">
        <v>10</v>
      </c>
      <c r="D5" s="125"/>
      <c r="E5" s="126"/>
      <c r="F5" s="112"/>
      <c r="G5" s="134" t="str">
        <f>IF(OR(GaugeType="T",GaugeType="MT",GaugeType="MIT"),"Transducer","Gauge")&amp;" Orientation:"</f>
        <v>Gauge Orientation:</v>
      </c>
      <c r="H5" s="128" t="s">
        <v>100</v>
      </c>
      <c r="I5" s="135" t="s">
        <v>101</v>
      </c>
      <c r="J5" s="136" t="s">
        <v>102</v>
      </c>
      <c r="K5" s="112"/>
      <c r="L5" s="869" t="s">
        <v>103</v>
      </c>
      <c r="M5" s="870"/>
      <c r="N5" s="871" t="s">
        <v>104</v>
      </c>
      <c r="O5" s="870"/>
      <c r="P5" s="871" t="s">
        <v>105</v>
      </c>
      <c r="Q5" s="870"/>
      <c r="R5" s="872" t="s">
        <v>106</v>
      </c>
      <c r="S5" s="873"/>
      <c r="T5" s="39"/>
      <c r="U5" s="53"/>
      <c r="V5" s="107"/>
      <c r="W5" s="14"/>
      <c r="X5" s="130">
        <v>3</v>
      </c>
      <c r="Y5" s="131" t="s">
        <v>107</v>
      </c>
      <c r="Z5" s="132">
        <v>1000</v>
      </c>
      <c r="AA5" s="132">
        <f>Kpa2PSI*1000</f>
        <v>145.03773773020902</v>
      </c>
      <c r="AB5" s="133">
        <v>1E-3</v>
      </c>
      <c r="AC5" s="14"/>
      <c r="AD5" s="14"/>
      <c r="AE5" s="14"/>
      <c r="AF5" s="14"/>
      <c r="AG5" s="137" t="e">
        <f>IF(Readability&gt;=AH5,AI5,"")</f>
        <v>#NAME?</v>
      </c>
      <c r="AH5" s="138">
        <v>1</v>
      </c>
      <c r="AI5" s="138">
        <v>0</v>
      </c>
      <c r="AJ5" s="14"/>
      <c r="AK5" s="14"/>
      <c r="AL5" s="14"/>
      <c r="AM5" s="14"/>
      <c r="AN5" s="14"/>
      <c r="AO5" s="14"/>
      <c r="AP5" s="14"/>
      <c r="AQ5" s="14"/>
      <c r="AR5" s="14"/>
      <c r="AS5" s="14"/>
      <c r="AT5" s="14"/>
      <c r="AU5" s="14"/>
      <c r="AV5" s="14"/>
      <c r="AW5" s="14"/>
      <c r="AX5" s="14"/>
      <c r="AY5" s="14"/>
      <c r="AZ5" s="14"/>
      <c r="BA5" s="109" t="s">
        <v>108</v>
      </c>
      <c r="BB5" s="110">
        <v>2.5000000000000001E-2</v>
      </c>
      <c r="BC5" s="139"/>
      <c r="DZ5" s="16"/>
      <c r="EA5" s="16" t="str">
        <f>SUBSTITUTE(EA4,CHAR(11),CHAR(10))</f>
        <v>17 Ceylon Street, Nunawading, 3131</v>
      </c>
      <c r="EB5" s="16"/>
      <c r="EC5" s="16"/>
      <c r="ED5" s="16"/>
      <c r="EE5" s="16"/>
    </row>
    <row r="6" spans="1:135" ht="16.5">
      <c r="A6" s="26"/>
      <c r="B6" s="114" t="s">
        <v>109</v>
      </c>
      <c r="C6" s="140" t="s">
        <v>10</v>
      </c>
      <c r="D6" s="141"/>
      <c r="E6" s="142"/>
      <c r="F6" s="112"/>
      <c r="G6" s="127" t="s">
        <v>110</v>
      </c>
      <c r="H6" s="884" t="s">
        <v>10</v>
      </c>
      <c r="I6" s="885"/>
      <c r="J6" s="886"/>
      <c r="K6" s="112"/>
      <c r="L6" s="144" t="s">
        <v>665</v>
      </c>
      <c r="M6" s="145">
        <f ca="1">IF($M$3&lt;=20,VLOOKUP(L6,$N$30:$S$49,2,FALSE),VLOOKUP(L6,$N$40:$S$49,2,FALSE))</f>
        <v>3189984</v>
      </c>
      <c r="N6" s="887" t="str">
        <f ca="1">IF($M$3&lt;=20,VLOOKUP(L6,$N$30:$S$49,4,FALSE),VLOOKUP(L6,$N$40:$S$49,4,FALSE))</f>
        <v>APL256499</v>
      </c>
      <c r="O6" s="888"/>
      <c r="P6" s="889">
        <f ca="1">IF($M$3&lt;=20,VLOOKUP(L6,$N$30:$S$49,5,FALSE),VLOOKUP(L6,$N$40:$S$49,5,FALSE))</f>
        <v>45734</v>
      </c>
      <c r="Q6" s="890"/>
      <c r="R6" s="889">
        <f ca="1">IF($M$3&lt;=20,VLOOKUP(L6,$N$30:$S$49,6,FALSE),VLOOKUP(L6,$N$40:$S$49,6,FALSE))</f>
        <v>46098</v>
      </c>
      <c r="S6" s="891"/>
      <c r="T6" s="39"/>
      <c r="U6" s="53"/>
      <c r="V6" s="107"/>
      <c r="W6" s="14"/>
      <c r="X6" s="130">
        <v>4</v>
      </c>
      <c r="Y6" s="131" t="s">
        <v>111</v>
      </c>
      <c r="Z6" s="132">
        <v>1000</v>
      </c>
      <c r="AA6" s="132">
        <f>Kpa2PSI*1000</f>
        <v>145.03773773020902</v>
      </c>
      <c r="AB6" s="133">
        <v>1E-3</v>
      </c>
      <c r="AC6" s="14"/>
      <c r="AD6" s="14" t="b">
        <f>IF($C$12&lt;&gt;"n/a",IF($C$12&lt;=IF($D$12="mm",63,2.5),"Y","N"))</f>
        <v>0</v>
      </c>
      <c r="AE6" s="14"/>
      <c r="AF6" s="14"/>
      <c r="AG6" s="146" t="e">
        <f>IF(AND(Readability&gt;=AH6,Readability&lt;AH5),AI6,"")</f>
        <v>#NAME?</v>
      </c>
      <c r="AH6" s="138">
        <v>0.1</v>
      </c>
      <c r="AI6" s="138">
        <v>1</v>
      </c>
      <c r="AJ6" s="14"/>
      <c r="AK6" s="14"/>
      <c r="AL6" s="14"/>
      <c r="AM6" s="14"/>
      <c r="AN6" s="14"/>
      <c r="AO6" s="14"/>
      <c r="AP6" s="14"/>
      <c r="AQ6" s="14"/>
      <c r="AR6" s="14"/>
      <c r="AS6" s="14"/>
      <c r="AT6" s="14"/>
      <c r="AU6" s="14"/>
      <c r="AV6" s="14"/>
      <c r="AW6" s="14"/>
      <c r="AX6" s="14"/>
      <c r="AY6" s="14"/>
      <c r="AZ6" s="14"/>
      <c r="BA6" s="147" t="s">
        <v>10</v>
      </c>
      <c r="BB6" s="110">
        <v>0.03</v>
      </c>
      <c r="BC6" s="139"/>
      <c r="DZ6" s="16"/>
      <c r="EA6" s="16"/>
      <c r="EB6" s="16"/>
      <c r="EC6" s="16"/>
      <c r="ED6" s="16"/>
      <c r="EE6" s="16"/>
    </row>
    <row r="7" spans="1:135" ht="17.25" thickBot="1">
      <c r="A7" s="26"/>
      <c r="B7" s="114" t="s">
        <v>112</v>
      </c>
      <c r="C7" s="140" t="s">
        <v>10</v>
      </c>
      <c r="D7" s="148"/>
      <c r="E7" s="149"/>
      <c r="F7" s="112"/>
      <c r="G7" s="127" t="s">
        <v>113</v>
      </c>
      <c r="H7" s="884" t="e">
        <f>IF(EquipType="?","?",IF(EquipType=D36,"Applied","Indicated"))</f>
        <v>#NAME?</v>
      </c>
      <c r="I7" s="885"/>
      <c r="J7" s="886"/>
      <c r="K7" s="112"/>
      <c r="L7" s="144"/>
      <c r="M7" s="145" t="e">
        <f t="shared" ref="M7:M10" ca="1" si="0">IF($M$3&lt;=20,VLOOKUP(L7,$N$30:$S$49,2,FALSE),VLOOKUP(L7,$N$40:$S$49,2,FALSE))</f>
        <v>#N/A</v>
      </c>
      <c r="N7" s="887" t="e">
        <f t="shared" ref="N7:N10" ca="1" si="1">IF($M$3&lt;=20,VLOOKUP(L7,$N$30:$S$49,4,FALSE),VLOOKUP(L7,$N$40:$S$49,4,FALSE))</f>
        <v>#N/A</v>
      </c>
      <c r="O7" s="888"/>
      <c r="P7" s="889" t="e">
        <f t="shared" ref="P7:P10" ca="1" si="2">IF($M$3&lt;=20,VLOOKUP(L7,$N$30:$S$49,5,FALSE),VLOOKUP(L7,$N$40:$S$49,5,FALSE))</f>
        <v>#N/A</v>
      </c>
      <c r="Q7" s="890"/>
      <c r="R7" s="889" t="e">
        <f t="shared" ref="R7:R10" ca="1" si="3">IF($M$3&lt;=20,VLOOKUP(L7,$N$30:$S$49,6,FALSE),VLOOKUP(L7,$N$40:$S$49,6,FALSE))</f>
        <v>#N/A</v>
      </c>
      <c r="S7" s="891"/>
      <c r="T7" s="39"/>
      <c r="U7" s="53"/>
      <c r="V7" s="107"/>
      <c r="W7" s="14"/>
      <c r="X7" s="130">
        <v>5</v>
      </c>
      <c r="Y7" s="131" t="s">
        <v>114</v>
      </c>
      <c r="Z7" s="132">
        <v>98.066500000000005</v>
      </c>
      <c r="AA7" s="132">
        <f>14.5038*0.980665</f>
        <v>14.223369027</v>
      </c>
      <c r="AB7" s="133">
        <v>1.0197162129779282E-2</v>
      </c>
      <c r="AC7" s="14"/>
      <c r="AD7" s="14"/>
      <c r="AE7" s="14"/>
      <c r="AF7" s="14"/>
      <c r="AG7" s="146" t="e">
        <f>IF(AND(Readability&gt;=AH7,Readability&lt;AH6),AI7,"")</f>
        <v>#NAME?</v>
      </c>
      <c r="AH7" s="138">
        <v>0.01</v>
      </c>
      <c r="AI7" s="138">
        <v>2</v>
      </c>
      <c r="AJ7" s="14"/>
      <c r="AK7" s="14"/>
      <c r="AL7" s="14"/>
      <c r="AM7" s="14"/>
      <c r="AN7" s="14"/>
      <c r="AO7" s="14"/>
      <c r="AP7" s="14"/>
      <c r="AQ7" s="14"/>
      <c r="AR7" s="14"/>
      <c r="AS7" s="14"/>
      <c r="AT7" s="14"/>
      <c r="AU7" s="14"/>
      <c r="AV7" s="14"/>
      <c r="AW7" s="14"/>
      <c r="AX7" s="14"/>
      <c r="AY7" s="14"/>
      <c r="AZ7" s="14"/>
      <c r="BA7" s="16"/>
      <c r="BB7" s="110">
        <v>3.5000000000000003E-2</v>
      </c>
      <c r="BC7" s="139"/>
      <c r="DZ7" s="16"/>
      <c r="EA7" s="16"/>
      <c r="EB7" s="16"/>
      <c r="EC7" s="16"/>
      <c r="ED7" s="16"/>
      <c r="EE7" s="16"/>
    </row>
    <row r="8" spans="1:135" ht="17.25" thickBot="1">
      <c r="A8" s="26"/>
      <c r="B8" s="114" t="s">
        <v>115</v>
      </c>
      <c r="C8" s="150" t="e">
        <f>IF(EquipType="?","?",IF(EquipType=D36,"Digital","Analogue"))</f>
        <v>#NAME?</v>
      </c>
      <c r="D8" s="151">
        <v>4</v>
      </c>
      <c r="E8" s="152" t="e">
        <f>"Lower " &amp; ReadoutType</f>
        <v>#NAME?</v>
      </c>
      <c r="F8" s="112"/>
      <c r="G8" s="153" t="s">
        <v>116</v>
      </c>
      <c r="H8" s="154" t="s">
        <v>16</v>
      </c>
      <c r="I8" s="155"/>
      <c r="J8" s="156"/>
      <c r="K8" s="112"/>
      <c r="L8" s="144"/>
      <c r="M8" s="145" t="e">
        <f t="shared" ca="1" si="0"/>
        <v>#N/A</v>
      </c>
      <c r="N8" s="887" t="e">
        <f t="shared" ca="1" si="1"/>
        <v>#N/A</v>
      </c>
      <c r="O8" s="888"/>
      <c r="P8" s="889" t="e">
        <f t="shared" ca="1" si="2"/>
        <v>#N/A</v>
      </c>
      <c r="Q8" s="890"/>
      <c r="R8" s="889" t="e">
        <f t="shared" ca="1" si="3"/>
        <v>#N/A</v>
      </c>
      <c r="S8" s="891"/>
      <c r="T8" s="39"/>
      <c r="U8" s="53"/>
      <c r="V8" s="107"/>
      <c r="W8" s="14"/>
      <c r="X8" s="130">
        <v>6</v>
      </c>
      <c r="Y8" s="131" t="s">
        <v>117</v>
      </c>
      <c r="Z8" s="132">
        <f>1/0.145038</f>
        <v>6.8947448254940085</v>
      </c>
      <c r="AA8" s="132">
        <v>1</v>
      </c>
      <c r="AB8" s="133">
        <v>0.145038</v>
      </c>
      <c r="AC8" s="14"/>
      <c r="AD8" s="14"/>
      <c r="AE8" s="14"/>
      <c r="AF8" s="14"/>
      <c r="AG8" s="146" t="e">
        <f>IF(AND(Readability&gt;=AH8,Readability&lt;AH7),AI8,"")</f>
        <v>#NAME?</v>
      </c>
      <c r="AH8" s="138">
        <v>1E-3</v>
      </c>
      <c r="AI8" s="138">
        <v>3</v>
      </c>
      <c r="AJ8" s="14"/>
      <c r="AK8" s="14"/>
      <c r="AL8" s="14"/>
      <c r="AM8" s="14"/>
      <c r="AN8" s="14"/>
      <c r="AO8" s="14"/>
      <c r="AP8" s="14"/>
      <c r="AQ8" s="14"/>
      <c r="AR8" s="14"/>
      <c r="AS8" s="14"/>
      <c r="AT8" s="14"/>
      <c r="AU8" s="14"/>
      <c r="AV8" s="14"/>
      <c r="AW8" s="14"/>
      <c r="AX8" s="14"/>
      <c r="AY8" s="14"/>
      <c r="AZ8" s="14"/>
      <c r="BA8" s="16"/>
      <c r="BB8" s="110">
        <v>0.04</v>
      </c>
      <c r="BC8" s="139"/>
      <c r="DZ8" s="16"/>
      <c r="EA8" s="16"/>
      <c r="EB8" s="16"/>
      <c r="EC8" s="16"/>
      <c r="ED8" s="16"/>
      <c r="EE8" s="16"/>
    </row>
    <row r="9" spans="1:135" ht="17.25" thickBot="1">
      <c r="A9" s="26"/>
      <c r="B9" s="114" t="s">
        <v>118</v>
      </c>
      <c r="C9" s="143" t="s">
        <v>102</v>
      </c>
      <c r="D9" s="157">
        <v>20</v>
      </c>
      <c r="E9" s="158" t="e">
        <f>"Upper " &amp; ReadoutType</f>
        <v>#NAME?</v>
      </c>
      <c r="F9" s="112"/>
      <c r="G9" s="127" t="s">
        <v>119</v>
      </c>
      <c r="H9" s="892" t="str">
        <f>_xlfn.SINGLE(Units)</f>
        <v>mm</v>
      </c>
      <c r="I9" s="893"/>
      <c r="J9" s="894"/>
      <c r="K9" s="112"/>
      <c r="L9" s="144"/>
      <c r="M9" s="145" t="e">
        <f t="shared" ca="1" si="0"/>
        <v>#N/A</v>
      </c>
      <c r="N9" s="887" t="e">
        <f t="shared" ca="1" si="1"/>
        <v>#N/A</v>
      </c>
      <c r="O9" s="888"/>
      <c r="P9" s="889" t="e">
        <f t="shared" ca="1" si="2"/>
        <v>#N/A</v>
      </c>
      <c r="Q9" s="890"/>
      <c r="R9" s="889" t="e">
        <f t="shared" ca="1" si="3"/>
        <v>#N/A</v>
      </c>
      <c r="S9" s="891"/>
      <c r="T9" s="39"/>
      <c r="U9" s="53"/>
      <c r="V9" s="107"/>
      <c r="W9" s="14"/>
      <c r="X9" s="130">
        <v>7</v>
      </c>
      <c r="Y9" s="131" t="s">
        <v>120</v>
      </c>
      <c r="Z9" s="132">
        <v>100</v>
      </c>
      <c r="AA9" s="132">
        <f>Kpa2PSI*100</f>
        <v>14.5037737730209</v>
      </c>
      <c r="AB9" s="133">
        <v>0.01</v>
      </c>
      <c r="AC9" s="14"/>
      <c r="AD9" s="14"/>
      <c r="AE9" s="14"/>
      <c r="AF9" s="14"/>
      <c r="AG9" s="146" t="e">
        <f>IF(AND(Readability&gt;=AH9,Readability&lt;AH8),AI9,"")</f>
        <v>#NAME?</v>
      </c>
      <c r="AH9" s="138">
        <v>1E-4</v>
      </c>
      <c r="AI9" s="138">
        <v>4</v>
      </c>
      <c r="AJ9" s="14"/>
      <c r="AK9" s="14"/>
      <c r="AL9" s="14"/>
      <c r="AM9" s="14"/>
      <c r="AN9" s="14"/>
      <c r="AO9" s="14"/>
      <c r="AP9" s="14"/>
      <c r="AQ9" s="14"/>
      <c r="AR9" s="14"/>
      <c r="AS9" s="14"/>
      <c r="AT9" s="14"/>
      <c r="AU9" s="14"/>
      <c r="AV9" s="14"/>
      <c r="AW9" s="14"/>
      <c r="AX9" s="14"/>
      <c r="AY9" s="14"/>
      <c r="AZ9" s="14"/>
      <c r="BA9" s="16"/>
      <c r="BB9" s="110">
        <v>4.4999999999999998E-2</v>
      </c>
      <c r="BC9" s="139"/>
      <c r="DZ9" s="16"/>
      <c r="EA9" s="16"/>
      <c r="EB9" s="16"/>
      <c r="EC9" s="16"/>
      <c r="ED9" s="16"/>
      <c r="EE9" s="16"/>
    </row>
    <row r="10" spans="1:135" ht="17.25" thickBot="1">
      <c r="A10" s="17" t="s">
        <v>16</v>
      </c>
      <c r="B10" s="114" t="s">
        <v>121</v>
      </c>
      <c r="C10" s="143" t="s">
        <v>102</v>
      </c>
      <c r="D10" s="159"/>
      <c r="E10" s="160"/>
      <c r="F10" s="112"/>
      <c r="G10" s="161" t="s">
        <v>122</v>
      </c>
      <c r="H10" s="162" t="s">
        <v>102</v>
      </c>
      <c r="I10" s="895" t="str">
        <f>IF(H10="Y","NATA Report","Non-NATA Report")</f>
        <v>NATA Report</v>
      </c>
      <c r="J10" s="896"/>
      <c r="K10" s="112"/>
      <c r="L10" s="144"/>
      <c r="M10" s="145" t="e">
        <f t="shared" ca="1" si="0"/>
        <v>#N/A</v>
      </c>
      <c r="N10" s="887" t="e">
        <f t="shared" ca="1" si="1"/>
        <v>#N/A</v>
      </c>
      <c r="O10" s="888"/>
      <c r="P10" s="889" t="e">
        <f t="shared" ca="1" si="2"/>
        <v>#N/A</v>
      </c>
      <c r="Q10" s="890"/>
      <c r="R10" s="889" t="e">
        <f t="shared" ca="1" si="3"/>
        <v>#N/A</v>
      </c>
      <c r="S10" s="891"/>
      <c r="T10" s="39"/>
      <c r="U10" s="53"/>
      <c r="V10" s="107"/>
      <c r="W10" s="14"/>
      <c r="X10" s="130">
        <v>8</v>
      </c>
      <c r="Y10" s="131" t="s">
        <v>95</v>
      </c>
      <c r="Z10" s="132">
        <v>0.1</v>
      </c>
      <c r="AA10" s="132">
        <f>Kpa2PSI/10</f>
        <v>1.45037737730209E-2</v>
      </c>
      <c r="AB10" s="133">
        <v>10</v>
      </c>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6"/>
      <c r="BB10" s="110">
        <v>0.05</v>
      </c>
      <c r="DZ10" s="16"/>
      <c r="EA10" s="16" t="s">
        <v>35</v>
      </c>
      <c r="EB10" s="16"/>
      <c r="EC10" s="16"/>
      <c r="ED10" s="16"/>
      <c r="EE10" s="16"/>
    </row>
    <row r="11" spans="1:135" ht="17.25" thickBot="1">
      <c r="A11" s="26"/>
      <c r="B11" s="127" t="s">
        <v>123</v>
      </c>
      <c r="C11" s="143" t="s">
        <v>16</v>
      </c>
      <c r="D11" s="163"/>
      <c r="E11" s="897" t="str">
        <f>IF(C12&lt;&gt;"n/a",IF($C$12&lt;= IF($D$12="mm",70,2.5),"Less than or equal to "&amp; IF($D$12="mm","70mm", "2.5 inches"), "Greater than "&amp; IF($D$12="mm","70mm","2.5 inches")) &amp; " diameter.","n/a")</f>
        <v>n/a</v>
      </c>
      <c r="F11" s="112"/>
      <c r="G11" s="164" t="s">
        <v>124</v>
      </c>
      <c r="H11" s="899" t="s">
        <v>125</v>
      </c>
      <c r="I11" s="899"/>
      <c r="J11" s="900"/>
      <c r="K11" s="112"/>
      <c r="L11" s="112"/>
      <c r="M11" s="112"/>
      <c r="N11" s="112"/>
      <c r="O11" s="112"/>
      <c r="P11" s="112"/>
      <c r="Q11" s="112"/>
      <c r="R11" s="112"/>
      <c r="S11" s="112"/>
      <c r="T11" s="39"/>
      <c r="U11" s="53"/>
      <c r="V11" s="107"/>
      <c r="W11" s="14"/>
      <c r="X11" s="130">
        <v>9</v>
      </c>
      <c r="Y11" s="131" t="s">
        <v>126</v>
      </c>
      <c r="Z11" s="132">
        <f>0.145038/1.76</f>
        <v>8.2407954545454548E-2</v>
      </c>
      <c r="AA11" s="132">
        <f>1/1.76</f>
        <v>0.56818181818181823</v>
      </c>
      <c r="AB11" s="133">
        <v>3.9174686508488685</v>
      </c>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6"/>
      <c r="BB11" s="110">
        <v>7.0000000000000007E-2</v>
      </c>
      <c r="DZ11" s="16"/>
      <c r="EA11" s="16"/>
      <c r="EB11" s="16" t="s">
        <v>38</v>
      </c>
      <c r="EC11" s="16"/>
      <c r="ED11" s="16"/>
      <c r="EE11" s="16"/>
    </row>
    <row r="12" spans="1:135" ht="15" customHeight="1" thickBot="1">
      <c r="A12" s="26"/>
      <c r="B12" s="127" t="s">
        <v>127</v>
      </c>
      <c r="C12" s="165" t="s">
        <v>108</v>
      </c>
      <c r="D12" s="166" t="s">
        <v>128</v>
      </c>
      <c r="E12" s="898"/>
      <c r="F12" s="112"/>
      <c r="G12" s="167" t="s">
        <v>129</v>
      </c>
      <c r="H12" s="168" t="e">
        <f>IF(EquipType="?","?",(IF(IFERROR(LEFT(EquipType,FIND(" ",EquipType)-1),EquipType)="Industrial","M2","M1")))</f>
        <v>#NAME?</v>
      </c>
      <c r="I12" s="901" t="e">
        <f>IF(H$12="A","AS 1349:1986",IF(H$12="M1","MSA Test Method 1",IF(H$12="M2","MSA Test Method 2","Enter A or M1 or M2")))</f>
        <v>#NAME?</v>
      </c>
      <c r="J12" s="902"/>
      <c r="K12" s="112"/>
      <c r="L12" s="903" t="s">
        <v>130</v>
      </c>
      <c r="M12" s="904"/>
      <c r="N12" s="905" t="str">
        <f>'Setup Data'!J2 &amp; "-" &amp; C7</f>
        <v>?-?</v>
      </c>
      <c r="O12" s="905"/>
      <c r="P12" s="905"/>
      <c r="Q12" s="905"/>
      <c r="R12" s="905"/>
      <c r="S12" s="906"/>
      <c r="T12" s="39"/>
      <c r="U12" s="53"/>
      <c r="V12" s="107"/>
      <c r="W12" s="14"/>
      <c r="X12" s="130">
        <v>10</v>
      </c>
      <c r="Y12" s="131" t="s">
        <v>131</v>
      </c>
      <c r="Z12" s="132">
        <v>9.8066500000000001E-3</v>
      </c>
      <c r="AA12" s="132">
        <f>AA13/1000</f>
        <v>1.4223689999999999E-3</v>
      </c>
      <c r="AB12" s="133">
        <v>101.97162129779282</v>
      </c>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6"/>
      <c r="BB12" s="110">
        <v>7.4999999999999997E-2</v>
      </c>
      <c r="DZ12" s="16"/>
      <c r="EA12" s="16"/>
      <c r="EB12" s="16" t="s">
        <v>35</v>
      </c>
      <c r="EC12" s="16"/>
      <c r="ED12" s="16"/>
      <c r="EE12" s="16"/>
    </row>
    <row r="13" spans="1:135" ht="17.25" thickBot="1">
      <c r="A13" s="26"/>
      <c r="B13" s="127" t="s">
        <v>132</v>
      </c>
      <c r="C13" s="907" t="s">
        <v>10</v>
      </c>
      <c r="D13" s="908"/>
      <c r="E13" s="909"/>
      <c r="F13" s="112"/>
      <c r="G13" s="134" t="s">
        <v>133</v>
      </c>
      <c r="H13" s="169" t="s">
        <v>10</v>
      </c>
      <c r="I13" s="170" t="s">
        <v>10</v>
      </c>
      <c r="J13" s="171"/>
      <c r="K13" s="112"/>
      <c r="L13" s="172"/>
      <c r="M13" s="172"/>
      <c r="N13" s="172"/>
      <c r="O13" s="172"/>
      <c r="P13" s="172"/>
      <c r="Q13" s="172"/>
      <c r="R13" s="172"/>
      <c r="S13" s="172"/>
      <c r="T13" s="39"/>
      <c r="U13" s="53"/>
      <c r="V13" s="107"/>
      <c r="W13" s="14"/>
      <c r="X13" s="130">
        <v>11</v>
      </c>
      <c r="Y13" s="131" t="s">
        <v>134</v>
      </c>
      <c r="Z13" s="132">
        <f>9.80665</f>
        <v>9.8066499999999994</v>
      </c>
      <c r="AA13" s="132">
        <v>1.422369</v>
      </c>
      <c r="AB13" s="133">
        <v>0.10197162129779283</v>
      </c>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6"/>
      <c r="BB13" s="110">
        <v>0.08</v>
      </c>
      <c r="DZ13" s="16"/>
      <c r="EA13" s="16"/>
      <c r="EB13" s="16" t="s">
        <v>45</v>
      </c>
      <c r="EC13" s="16"/>
      <c r="ED13" s="16"/>
      <c r="EE13" s="16"/>
    </row>
    <row r="14" spans="1:135" ht="17.25" customHeight="1" thickBot="1">
      <c r="A14" s="26"/>
      <c r="B14" s="127" t="s">
        <v>135</v>
      </c>
      <c r="C14" s="910" t="s">
        <v>10</v>
      </c>
      <c r="D14" s="911"/>
      <c r="E14" s="115" t="str">
        <f t="shared" ref="E14:E18" si="4">_xlfn.SINGLE(IF(_xlfn.SINGLE(Units)="","",Units))</f>
        <v>mm</v>
      </c>
      <c r="F14" s="112"/>
      <c r="G14" s="173"/>
      <c r="H14" s="174"/>
      <c r="I14" s="173"/>
      <c r="J14" s="173"/>
      <c r="K14" s="112"/>
      <c r="L14" s="175"/>
      <c r="M14" s="912" t="s">
        <v>136</v>
      </c>
      <c r="N14" s="912"/>
      <c r="O14" s="912"/>
      <c r="P14" s="912"/>
      <c r="Q14" s="912"/>
      <c r="R14" s="912"/>
      <c r="S14" s="176"/>
      <c r="T14" s="39"/>
      <c r="U14" s="53"/>
      <c r="V14" s="107"/>
      <c r="W14" s="14"/>
      <c r="X14" s="130">
        <v>12</v>
      </c>
      <c r="Y14" s="177" t="s">
        <v>137</v>
      </c>
      <c r="Z14" s="178">
        <v>3.3863880000000002</v>
      </c>
      <c r="AA14" s="178">
        <v>0.49115409999999998</v>
      </c>
      <c r="AB14" s="133">
        <f t="shared" ref="AB14:AB22" si="5">IF(Z14="","",1/Z14)</f>
        <v>0.29529988884912184</v>
      </c>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6"/>
      <c r="BB14" s="110">
        <v>0.1</v>
      </c>
      <c r="DZ14" s="16"/>
      <c r="EA14" s="16"/>
      <c r="EB14" s="16"/>
      <c r="EC14" s="16"/>
      <c r="ED14" s="16"/>
      <c r="EE14" s="16"/>
    </row>
    <row r="15" spans="1:135" ht="16.5">
      <c r="A15" s="26"/>
      <c r="B15" s="127" t="s">
        <v>138</v>
      </c>
      <c r="C15" s="878" t="s">
        <v>10</v>
      </c>
      <c r="D15" s="879"/>
      <c r="E15" s="115" t="e">
        <f>_xlfn.SINGLE(IF(_xlfn.SINGLE(Units)="","",IF(_xlfn.SINGLE( Elect)=1,ReadoutType,Units)))</f>
        <v>#NAME?</v>
      </c>
      <c r="F15" s="112"/>
      <c r="G15" s="869" t="s">
        <v>139</v>
      </c>
      <c r="H15" s="913"/>
      <c r="I15" s="913"/>
      <c r="J15" s="914"/>
      <c r="K15" s="112"/>
      <c r="L15" s="179"/>
      <c r="M15" s="172"/>
      <c r="N15" s="172"/>
      <c r="O15" s="915"/>
      <c r="P15" s="915"/>
      <c r="Q15" s="915"/>
      <c r="R15" s="915"/>
      <c r="S15" s="180"/>
      <c r="T15" s="39"/>
      <c r="U15" s="53"/>
      <c r="V15" s="107"/>
      <c r="W15" s="14"/>
      <c r="X15" s="130">
        <v>13</v>
      </c>
      <c r="Y15" s="181" t="s">
        <v>140</v>
      </c>
      <c r="Z15" s="182">
        <v>1.3332200000000001</v>
      </c>
      <c r="AA15" s="182">
        <v>0.19336721270000001</v>
      </c>
      <c r="AB15" s="133">
        <f t="shared" si="5"/>
        <v>0.75006375541921055</v>
      </c>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6"/>
      <c r="BB15" s="110">
        <v>0.12</v>
      </c>
      <c r="DZ15" s="16"/>
      <c r="EA15" s="16" t="s">
        <v>50</v>
      </c>
      <c r="EB15" s="819"/>
      <c r="EC15" s="819"/>
      <c r="ED15" s="16"/>
      <c r="EE15" s="16"/>
    </row>
    <row r="16" spans="1:135" ht="16.5">
      <c r="A16" s="26"/>
      <c r="B16" s="127" t="s">
        <v>141</v>
      </c>
      <c r="C16" s="878" t="e">
        <f>IF(ReadoutType="Digital","1","?")</f>
        <v>#NAME?</v>
      </c>
      <c r="D16" s="879"/>
      <c r="E16" s="115"/>
      <c r="F16" s="112"/>
      <c r="G16" s="127" t="s">
        <v>142</v>
      </c>
      <c r="H16" s="921">
        <v>0</v>
      </c>
      <c r="I16" s="922"/>
      <c r="J16" s="923"/>
      <c r="K16" s="112"/>
      <c r="L16" s="924" t="s">
        <v>143</v>
      </c>
      <c r="M16" s="925"/>
      <c r="N16" s="183" t="s">
        <v>144</v>
      </c>
      <c r="O16" s="916"/>
      <c r="P16" s="916"/>
      <c r="Q16" s="916"/>
      <c r="R16" s="916"/>
      <c r="S16" s="180"/>
      <c r="T16" s="39"/>
      <c r="U16" s="53"/>
      <c r="V16" s="107" t="e">
        <f>REPLACE(Cardinal,2,1,0)</f>
        <v>#NAME?</v>
      </c>
      <c r="W16" s="14"/>
      <c r="X16" s="130">
        <v>14</v>
      </c>
      <c r="Y16" s="181" t="s">
        <v>145</v>
      </c>
      <c r="Z16" s="182">
        <v>0.24884000000000001</v>
      </c>
      <c r="AA16" s="182">
        <v>3.6091199999999997E-2</v>
      </c>
      <c r="AB16" s="133">
        <f t="shared" si="5"/>
        <v>4.0186465198521137</v>
      </c>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6"/>
      <c r="BB16" s="110">
        <v>0.125</v>
      </c>
      <c r="DZ16" s="16"/>
      <c r="EA16" s="16"/>
      <c r="EB16" s="819"/>
      <c r="EC16" s="819"/>
      <c r="ED16" s="16"/>
      <c r="EE16" s="16"/>
    </row>
    <row r="17" spans="1:135" ht="16.5">
      <c r="A17" s="26"/>
      <c r="B17" s="127" t="s">
        <v>146</v>
      </c>
      <c r="C17" s="926" t="s">
        <v>10</v>
      </c>
      <c r="D17" s="927"/>
      <c r="E17" s="115" t="str">
        <f t="shared" si="4"/>
        <v>mm</v>
      </c>
      <c r="F17" s="112"/>
      <c r="G17" s="127" t="s">
        <v>147</v>
      </c>
      <c r="H17" s="921">
        <v>20</v>
      </c>
      <c r="I17" s="922"/>
      <c r="J17" s="923"/>
      <c r="K17" s="112"/>
      <c r="L17" s="184"/>
      <c r="M17" s="185"/>
      <c r="N17" s="185"/>
      <c r="O17" s="928"/>
      <c r="P17" s="928"/>
      <c r="Q17" s="928"/>
      <c r="R17" s="928"/>
      <c r="S17" s="180"/>
      <c r="T17" s="39"/>
      <c r="U17" s="53"/>
      <c r="V17" s="107"/>
      <c r="W17" s="14"/>
      <c r="X17" s="130">
        <v>15</v>
      </c>
      <c r="Y17" s="181" t="s">
        <v>10</v>
      </c>
      <c r="Z17" s="182"/>
      <c r="AA17" s="182"/>
      <c r="AB17" s="133" t="str">
        <f t="shared" si="5"/>
        <v/>
      </c>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6"/>
      <c r="BB17" s="110">
        <v>0.15</v>
      </c>
      <c r="DZ17" s="16"/>
      <c r="EA17" s="16"/>
      <c r="EB17" s="819"/>
      <c r="EC17" s="819"/>
      <c r="ED17" s="16"/>
      <c r="EE17" s="16"/>
    </row>
    <row r="18" spans="1:135" ht="16.5">
      <c r="A18" s="26"/>
      <c r="B18" s="127" t="s">
        <v>148</v>
      </c>
      <c r="C18" s="929" t="e">
        <f>IF( OR(Division="?",DivideBy="?"),"",Division/DivideBy)</f>
        <v>#NAME?</v>
      </c>
      <c r="D18" s="930"/>
      <c r="E18" s="115" t="str">
        <f t="shared" si="4"/>
        <v>mm</v>
      </c>
      <c r="F18" s="112"/>
      <c r="G18" s="127" t="s">
        <v>149</v>
      </c>
      <c r="H18" s="921">
        <v>20</v>
      </c>
      <c r="I18" s="922"/>
      <c r="J18" s="923"/>
      <c r="K18" s="112"/>
      <c r="L18" s="924"/>
      <c r="M18" s="925"/>
      <c r="N18" s="183" t="s">
        <v>150</v>
      </c>
      <c r="O18" s="916"/>
      <c r="P18" s="916"/>
      <c r="Q18" s="916"/>
      <c r="R18" s="916"/>
      <c r="S18" s="180"/>
      <c r="T18" s="39"/>
      <c r="U18" s="53"/>
      <c r="V18" s="107"/>
      <c r="W18" s="14"/>
      <c r="X18" s="130">
        <v>16</v>
      </c>
      <c r="Y18" s="181"/>
      <c r="Z18" s="182"/>
      <c r="AA18" s="182"/>
      <c r="AB18" s="133" t="str">
        <f t="shared" si="5"/>
        <v/>
      </c>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6"/>
      <c r="BB18" s="110">
        <v>0.17</v>
      </c>
      <c r="DZ18" s="16"/>
      <c r="EA18" s="16"/>
      <c r="EB18" s="819"/>
      <c r="EC18" s="819"/>
      <c r="ED18" s="16"/>
      <c r="EE18" s="16"/>
    </row>
    <row r="19" spans="1:135" ht="17.25" thickBot="1">
      <c r="A19" s="26"/>
      <c r="B19" s="186" t="s">
        <v>151</v>
      </c>
      <c r="C19" s="931" t="str" cm="1">
        <f t="array" aca="1" ref="C19" ca="1">IFERROR(IF(OR(shernof!$A$60="Industrial"),Division,IF(Capacity="?","",INDIRECT("'shernof'!A"&amp;ROW()*3+"1"))),"?")</f>
        <v>?</v>
      </c>
      <c r="D19" s="932"/>
      <c r="E19" s="187" t="str">
        <f t="shared" ref="E19" si="6">_xlfn.SINGLE(IF(_xlfn.SINGLE(Units)="","",Units))</f>
        <v>mm</v>
      </c>
      <c r="F19" s="112"/>
      <c r="G19" s="188" t="s">
        <v>152</v>
      </c>
      <c r="H19" s="189">
        <v>0.25</v>
      </c>
      <c r="I19" s="933" t="s">
        <v>153</v>
      </c>
      <c r="J19" s="934"/>
      <c r="K19" s="112"/>
      <c r="L19" s="190"/>
      <c r="M19" s="174"/>
      <c r="N19" s="174"/>
      <c r="O19" s="191"/>
      <c r="P19" s="191"/>
      <c r="Q19" s="191"/>
      <c r="R19" s="191"/>
      <c r="S19" s="192"/>
      <c r="T19" s="39"/>
      <c r="U19" s="53"/>
      <c r="V19" s="107"/>
      <c r="W19" s="14"/>
      <c r="X19" s="130">
        <v>17</v>
      </c>
      <c r="Y19" s="181"/>
      <c r="Z19" s="182"/>
      <c r="AA19" s="182"/>
      <c r="AB19" s="133" t="str">
        <f t="shared" si="5"/>
        <v/>
      </c>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6"/>
      <c r="BB19" s="110">
        <v>0.18</v>
      </c>
      <c r="DZ19" s="16"/>
      <c r="EA19" s="16"/>
      <c r="EB19" s="16"/>
      <c r="EC19" s="16"/>
      <c r="ED19" s="16"/>
      <c r="EE19" s="16"/>
    </row>
    <row r="20" spans="1:135" ht="17.25" customHeight="1" thickBot="1">
      <c r="A20" s="26"/>
      <c r="B20" s="112"/>
      <c r="C20" s="112"/>
      <c r="D20" s="112"/>
      <c r="E20" s="112"/>
      <c r="F20" s="112"/>
      <c r="G20" s="112"/>
      <c r="H20" s="112"/>
      <c r="I20" s="112"/>
      <c r="J20" s="112"/>
      <c r="K20" s="112"/>
      <c r="L20" s="935" t="str">
        <f>IF($A$5="Y","Oxygen Pressure Calibration Procedure Selected!" &amp; CHAR(10) &amp;  "----------OIL FREE ISOLATION PROCEDUERS---------- " &amp; CHAR(10) &amp;  "Must be in place before  you commence testing!","")</f>
        <v/>
      </c>
      <c r="M20" s="935"/>
      <c r="N20" s="935"/>
      <c r="O20" s="935"/>
      <c r="P20" s="935"/>
      <c r="Q20" s="935"/>
      <c r="R20" s="935"/>
      <c r="S20" s="935"/>
      <c r="T20" s="935"/>
      <c r="U20" s="936"/>
      <c r="V20" s="14"/>
      <c r="W20" s="14"/>
      <c r="X20" s="130">
        <v>18</v>
      </c>
      <c r="Y20" s="181"/>
      <c r="Z20" s="182"/>
      <c r="AA20" s="182"/>
      <c r="AB20" s="133" t="str">
        <f t="shared" si="5"/>
        <v/>
      </c>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6"/>
      <c r="BB20" s="110">
        <v>0.2</v>
      </c>
      <c r="DZ20" s="16"/>
      <c r="EA20" s="16"/>
      <c r="EB20" s="16"/>
      <c r="EC20" s="16"/>
      <c r="ED20" s="16"/>
      <c r="EE20" s="16"/>
    </row>
    <row r="21" spans="1:135" ht="16.5" customHeight="1">
      <c r="A21" s="26"/>
      <c r="B21" s="939" t="s">
        <v>154</v>
      </c>
      <c r="C21" s="940"/>
      <c r="D21" s="940"/>
      <c r="E21" s="941"/>
      <c r="F21" s="39"/>
      <c r="G21" s="39"/>
      <c r="H21" s="39"/>
      <c r="I21" s="39"/>
      <c r="J21" s="39"/>
      <c r="K21" s="39"/>
      <c r="L21" s="935"/>
      <c r="M21" s="935"/>
      <c r="N21" s="935"/>
      <c r="O21" s="935"/>
      <c r="P21" s="935"/>
      <c r="Q21" s="935"/>
      <c r="R21" s="935"/>
      <c r="S21" s="935"/>
      <c r="T21" s="935"/>
      <c r="U21" s="936"/>
      <c r="V21" s="14"/>
      <c r="W21" s="14"/>
      <c r="X21" s="130">
        <v>19</v>
      </c>
      <c r="Y21" s="181"/>
      <c r="Z21" s="182"/>
      <c r="AA21" s="182"/>
      <c r="AB21" s="133" t="str">
        <f t="shared" si="5"/>
        <v/>
      </c>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6"/>
      <c r="BB21" s="110">
        <v>0.25</v>
      </c>
      <c r="DZ21" s="16"/>
      <c r="EA21" s="16"/>
      <c r="EB21" s="16"/>
      <c r="EC21" s="16"/>
      <c r="ED21" s="16"/>
      <c r="EE21" s="16"/>
    </row>
    <row r="22" spans="1:135" ht="17.25" customHeight="1" thickBot="1">
      <c r="A22" s="26"/>
      <c r="B22" s="942" t="str">
        <f>IF($A$5="Y","Oxygen - ","") &amp; IF(NATA="N",VLOOKUP(GaugeType,A29:B41,2,0),VLOOKUP(GaugeType,A29:C41,3,0))</f>
        <v xml:space="preserve">Mechanical Industrial Pressure Gauge - 0.5% to 3% (NATA)
</v>
      </c>
      <c r="C22" s="943"/>
      <c r="D22" s="943"/>
      <c r="E22" s="944"/>
      <c r="F22" s="39"/>
      <c r="G22" s="39"/>
      <c r="H22" s="39"/>
      <c r="I22" s="39"/>
      <c r="J22" s="39"/>
      <c r="K22" s="39"/>
      <c r="L22" s="935"/>
      <c r="M22" s="935"/>
      <c r="N22" s="935"/>
      <c r="O22" s="935"/>
      <c r="P22" s="935"/>
      <c r="Q22" s="935"/>
      <c r="R22" s="935"/>
      <c r="S22" s="935"/>
      <c r="T22" s="935"/>
      <c r="U22" s="936"/>
      <c r="V22" s="14"/>
      <c r="W22" s="14"/>
      <c r="X22" s="193">
        <v>20</v>
      </c>
      <c r="Y22" s="194"/>
      <c r="Z22" s="195"/>
      <c r="AA22" s="195"/>
      <c r="AB22" s="196" t="str">
        <f t="shared" si="5"/>
        <v/>
      </c>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6"/>
      <c r="BB22" s="110">
        <v>0.28000000000000003</v>
      </c>
      <c r="DZ22" s="16"/>
      <c r="EA22" s="16" t="s">
        <v>13</v>
      </c>
      <c r="EB22" s="16"/>
      <c r="EC22" s="16"/>
      <c r="ED22" s="16"/>
      <c r="EE22" s="16"/>
    </row>
    <row r="23" spans="1:135" ht="16.5" customHeight="1">
      <c r="A23" s="26"/>
      <c r="B23" s="39"/>
      <c r="C23" s="39"/>
      <c r="D23" s="39"/>
      <c r="E23" s="39"/>
      <c r="F23" s="39"/>
      <c r="G23" s="39"/>
      <c r="H23" s="197"/>
      <c r="I23" s="39"/>
      <c r="J23" s="39"/>
      <c r="K23" s="39"/>
      <c r="L23" s="935"/>
      <c r="M23" s="935"/>
      <c r="N23" s="935"/>
      <c r="O23" s="935"/>
      <c r="P23" s="935"/>
      <c r="Q23" s="935"/>
      <c r="R23" s="935"/>
      <c r="S23" s="935"/>
      <c r="T23" s="935"/>
      <c r="U23" s="936"/>
      <c r="V23" s="14"/>
      <c r="W23" s="14"/>
      <c r="X23" s="14"/>
      <c r="Y23" s="14"/>
      <c r="Z23" s="14" t="e">
        <f>VLOOKUP(_xlfn.SINGLE(Units),Y3:AB22,2,FALSE)</f>
        <v>#N/A</v>
      </c>
      <c r="AA23" s="14"/>
      <c r="AB23" s="14" t="e">
        <f>VLOOKUP(_xlfn.SINGLE(Units),Y3:AB22,4,FALSE)</f>
        <v>#N/A</v>
      </c>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6"/>
      <c r="BB23" s="110">
        <v>0.3</v>
      </c>
      <c r="DZ23" s="16"/>
      <c r="EA23" s="16"/>
      <c r="EB23" s="16"/>
      <c r="EC23" s="16"/>
      <c r="ED23" s="16"/>
      <c r="EE23" s="16"/>
    </row>
    <row r="24" spans="1:135" ht="17.25" customHeight="1" thickBot="1">
      <c r="A24" s="89"/>
      <c r="B24" s="198"/>
      <c r="C24" s="198"/>
      <c r="D24" s="198"/>
      <c r="E24" s="198"/>
      <c r="F24" s="198"/>
      <c r="G24" s="198"/>
      <c r="H24" s="198"/>
      <c r="I24" s="198"/>
      <c r="J24" s="198"/>
      <c r="K24" s="198"/>
      <c r="L24" s="937"/>
      <c r="M24" s="937"/>
      <c r="N24" s="937"/>
      <c r="O24" s="937"/>
      <c r="P24" s="937"/>
      <c r="Q24" s="937"/>
      <c r="R24" s="937"/>
      <c r="S24" s="937"/>
      <c r="T24" s="937"/>
      <c r="U24" s="938"/>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6"/>
      <c r="BB24" s="110">
        <v>0.4</v>
      </c>
      <c r="DZ24" s="16"/>
      <c r="EA24" s="16"/>
      <c r="EB24" s="16"/>
      <c r="EC24" s="16"/>
      <c r="ED24" s="16"/>
      <c r="EE24" s="16"/>
    </row>
    <row r="25" spans="1:135" ht="15.75" thickBot="1">
      <c r="A25" s="14"/>
      <c r="B25" s="14"/>
      <c r="C25" s="14" t="s">
        <v>155</v>
      </c>
      <c r="D25" s="14"/>
      <c r="E25" s="14"/>
      <c r="F25" s="14"/>
      <c r="G25" s="14"/>
      <c r="H25" s="14" cm="1">
        <f t="array" aca="1" ref="H25" ca="1">INDIRECT("'shernof'!C"&amp;ROW()*3-"1")</f>
        <v>0</v>
      </c>
      <c r="I25" s="14"/>
      <c r="J25" s="14"/>
      <c r="K25" s="14"/>
      <c r="L25" s="14"/>
      <c r="M25" s="16"/>
      <c r="N25" s="16"/>
      <c r="O25" s="16"/>
      <c r="P25" s="16"/>
      <c r="Q25" s="16"/>
      <c r="R25" s="16"/>
      <c r="S25" s="16"/>
      <c r="T25" s="16"/>
      <c r="U25" s="16"/>
      <c r="V25" s="16"/>
      <c r="W25" s="16"/>
      <c r="X25" s="21"/>
      <c r="Y25" s="21"/>
      <c r="Z25" s="21"/>
      <c r="AA25" s="21"/>
      <c r="AB25" s="16"/>
      <c r="AC25" s="16"/>
      <c r="AD25" s="16"/>
      <c r="AE25" s="16"/>
      <c r="AF25" s="16"/>
      <c r="AG25" s="16"/>
      <c r="AH25" s="16"/>
      <c r="AI25" s="16"/>
      <c r="AJ25" s="16"/>
      <c r="AK25" s="14"/>
      <c r="AL25" s="14"/>
      <c r="AM25" s="14"/>
      <c r="AN25" s="14"/>
      <c r="AO25" s="14"/>
      <c r="AP25" s="14"/>
      <c r="AQ25" s="14"/>
      <c r="AR25" s="14"/>
      <c r="AS25" s="14"/>
      <c r="AT25" s="14"/>
      <c r="AU25" s="14"/>
      <c r="AV25" s="14"/>
      <c r="AW25" s="14"/>
      <c r="AX25" s="14"/>
      <c r="AY25" s="14"/>
      <c r="AZ25" s="14"/>
      <c r="BA25" s="16"/>
      <c r="BB25" s="110">
        <v>0.5</v>
      </c>
      <c r="DZ25" s="16"/>
      <c r="EA25" s="16"/>
      <c r="EB25" s="16"/>
      <c r="EC25" s="16"/>
      <c r="ED25" s="16"/>
      <c r="EE25" s="16"/>
    </row>
    <row r="26" spans="1:135" ht="15.75" thickBot="1">
      <c r="A26" s="199" t="s">
        <v>156</v>
      </c>
      <c r="B26" s="200"/>
      <c r="C26" s="917" t="b">
        <f>IF(H13="","",IF(H13=BA4,IF(I13&gt;0,I13&amp;"% of "&amp;"Range, ","")&amp;IF(J13&gt;0,J13&amp;"% of Reading, ","")&amp;Counts&amp; IF(Counts&gt;1," Counts."," Count."),IF(H13=BA3,I13&amp;"% of "&amp;"Range, "&amp;J13&amp;"% of "&amp;"Reading.",IF(H13=BA2,J13&amp;"% of "&amp;"Reading.",IF(H13=BA1,I13&amp;"% of "&amp;"Range.",IF($H$13=$BA$5,IF(GaugeType="Test","0.25% of Range.",IF(GaugeType="B","2% of Range.",IF(Diameter&lt;=DiameterLimit,"3% of Range.","1% of Range.")))))))))</f>
        <v>0</v>
      </c>
      <c r="D26" s="918"/>
      <c r="E26" s="918"/>
      <c r="F26" s="918"/>
      <c r="G26" s="918"/>
      <c r="H26" s="201"/>
      <c r="I26" s="201"/>
      <c r="J26" s="202"/>
      <c r="K26" s="202"/>
      <c r="L26" s="203"/>
      <c r="N26" s="204" t="s">
        <v>157</v>
      </c>
      <c r="O26" s="204" t="s">
        <v>56</v>
      </c>
      <c r="P26" s="204" t="s">
        <v>54</v>
      </c>
      <c r="Q26" s="204" t="s">
        <v>55</v>
      </c>
      <c r="R26" s="204" t="s">
        <v>57</v>
      </c>
      <c r="S26" s="204" t="s">
        <v>58</v>
      </c>
      <c r="T26" s="204" t="s">
        <v>157</v>
      </c>
      <c r="U26" s="204" t="s">
        <v>60</v>
      </c>
      <c r="V26" s="204" t="s">
        <v>158</v>
      </c>
      <c r="W26" s="204" t="s">
        <v>159</v>
      </c>
      <c r="X26" s="204" t="s">
        <v>160</v>
      </c>
      <c r="Y26" s="205" t="s">
        <v>161</v>
      </c>
      <c r="Z26" s="205" t="s">
        <v>162</v>
      </c>
      <c r="AA26" s="205" t="s">
        <v>16</v>
      </c>
      <c r="AB26" s="205" t="s">
        <v>163</v>
      </c>
      <c r="AC26" s="206" t="s">
        <v>164</v>
      </c>
      <c r="AD26" s="206" t="s">
        <v>165</v>
      </c>
      <c r="AE26" s="206" t="s">
        <v>166</v>
      </c>
      <c r="AF26" s="206" t="s">
        <v>167</v>
      </c>
      <c r="AG26" s="206" t="s">
        <v>20</v>
      </c>
      <c r="AH26" s="206" t="s">
        <v>168</v>
      </c>
      <c r="AI26" s="206" t="s">
        <v>169</v>
      </c>
      <c r="AJ26" s="206" t="s">
        <v>170</v>
      </c>
      <c r="AK26" s="206" t="s">
        <v>171</v>
      </c>
      <c r="AL26" s="206" t="s">
        <v>102</v>
      </c>
      <c r="AM26" s="206" t="s">
        <v>172</v>
      </c>
      <c r="AN26" s="206" t="s">
        <v>173</v>
      </c>
      <c r="AO26" s="206" t="s">
        <v>174</v>
      </c>
      <c r="AP26" s="206" t="s">
        <v>175</v>
      </c>
      <c r="AQ26" s="14"/>
      <c r="AR26" s="14"/>
      <c r="AS26" s="14"/>
      <c r="AT26" s="14"/>
      <c r="AU26" s="14"/>
      <c r="AV26" s="14"/>
      <c r="AW26" s="14"/>
      <c r="AX26" s="14"/>
      <c r="AY26" s="14"/>
      <c r="AZ26" s="14"/>
      <c r="BA26" s="16"/>
      <c r="BB26" s="110">
        <v>1</v>
      </c>
      <c r="DZ26" s="16"/>
      <c r="EA26" s="16"/>
      <c r="EB26" s="16"/>
      <c r="EC26" s="16"/>
      <c r="ED26" s="16"/>
      <c r="EE26" s="16"/>
    </row>
    <row r="27" spans="1:135" ht="15.75" thickBot="1">
      <c r="A27" s="207" t="s">
        <v>176</v>
      </c>
      <c r="B27" s="208"/>
      <c r="C27" s="919"/>
      <c r="D27" s="920"/>
      <c r="E27" s="920"/>
      <c r="F27" s="920"/>
      <c r="G27" s="920"/>
      <c r="H27" s="209"/>
      <c r="I27" s="209"/>
      <c r="J27" s="83"/>
      <c r="K27" s="83"/>
      <c r="L27" s="210"/>
      <c r="N27" s="211" t="s">
        <v>177</v>
      </c>
      <c r="O27" s="212"/>
      <c r="P27" s="212"/>
      <c r="Q27" s="212"/>
      <c r="R27" s="212"/>
      <c r="S27" s="212"/>
      <c r="T27" s="212"/>
      <c r="U27" s="212"/>
      <c r="V27" s="212"/>
      <c r="W27" s="212"/>
      <c r="X27" s="212"/>
      <c r="Y27" s="212"/>
      <c r="Z27" s="212"/>
      <c r="AA27" s="212"/>
      <c r="AB27" s="212"/>
      <c r="AC27" s="212"/>
      <c r="AD27" s="212"/>
      <c r="AE27" s="212"/>
      <c r="AF27" s="212"/>
      <c r="AG27" s="212"/>
      <c r="AH27" s="212"/>
      <c r="AI27" s="212"/>
      <c r="AJ27" s="213"/>
      <c r="AK27" s="212"/>
      <c r="AL27" s="212"/>
      <c r="AM27" s="212"/>
      <c r="AN27" s="212"/>
      <c r="AO27" s="212"/>
      <c r="AP27" s="213"/>
      <c r="AQ27" s="14"/>
      <c r="AR27" s="14"/>
      <c r="AS27" s="14"/>
      <c r="AT27" s="14"/>
      <c r="AU27" s="14"/>
      <c r="AV27" s="14"/>
      <c r="AW27" s="14"/>
      <c r="AX27" s="14"/>
      <c r="AY27" s="14"/>
      <c r="AZ27" s="14"/>
      <c r="BA27" s="16"/>
      <c r="BB27" s="110">
        <v>1.2</v>
      </c>
      <c r="DZ27" s="16"/>
      <c r="EA27" s="16"/>
      <c r="EB27" s="16"/>
      <c r="EC27" s="16"/>
      <c r="ED27" s="16"/>
      <c r="EE27" s="16"/>
    </row>
    <row r="28" spans="1:135" ht="15.75" thickBot="1">
      <c r="A28" s="214" t="s">
        <v>178</v>
      </c>
      <c r="B28" s="215" t="s">
        <v>179</v>
      </c>
      <c r="C28" s="54" t="s">
        <v>180</v>
      </c>
      <c r="D28" s="945" t="s">
        <v>181</v>
      </c>
      <c r="E28" s="946"/>
      <c r="F28" s="946"/>
      <c r="G28" s="947"/>
      <c r="H28" s="54" t="s">
        <v>182</v>
      </c>
      <c r="I28" s="54" t="s">
        <v>183</v>
      </c>
      <c r="J28" s="54"/>
      <c r="K28" s="216" t="s">
        <v>184</v>
      </c>
      <c r="L28" s="54" t="s">
        <v>185</v>
      </c>
      <c r="N28" s="217" t="s">
        <v>85</v>
      </c>
      <c r="O28" s="218">
        <f>M3</f>
        <v>20</v>
      </c>
      <c r="P28" s="219">
        <f>O28*10</f>
        <v>200</v>
      </c>
      <c r="Q28" s="220"/>
      <c r="R28" s="220"/>
      <c r="S28" s="220"/>
      <c r="T28" s="220"/>
      <c r="U28" s="220"/>
      <c r="V28" s="220"/>
      <c r="W28" s="220"/>
      <c r="X28" s="220"/>
      <c r="Y28" s="948" t="s">
        <v>186</v>
      </c>
      <c r="Z28" s="949"/>
      <c r="AA28" s="949"/>
      <c r="AB28" s="949"/>
      <c r="AC28" s="949"/>
      <c r="AD28" s="950"/>
      <c r="AE28" s="948" t="s">
        <v>187</v>
      </c>
      <c r="AF28" s="949"/>
      <c r="AG28" s="949"/>
      <c r="AH28" s="949"/>
      <c r="AI28" s="949"/>
      <c r="AJ28" s="950"/>
      <c r="AK28" s="948" t="s">
        <v>188</v>
      </c>
      <c r="AL28" s="949"/>
      <c r="AM28" s="949"/>
      <c r="AN28" s="949"/>
      <c r="AO28" s="949"/>
      <c r="AP28" s="950"/>
      <c r="AQ28" s="14"/>
      <c r="AR28" s="14"/>
      <c r="AS28" s="14"/>
      <c r="AT28" s="14"/>
      <c r="AU28" s="14"/>
      <c r="AV28" s="14"/>
      <c r="AW28" s="14"/>
      <c r="AX28" s="14"/>
      <c r="AY28" s="14"/>
      <c r="AZ28" s="14"/>
      <c r="BA28" s="16"/>
      <c r="BB28" s="110">
        <v>1.5</v>
      </c>
      <c r="DZ28" s="16"/>
      <c r="EA28" s="16"/>
      <c r="EB28" s="16"/>
      <c r="EC28" s="16"/>
      <c r="ED28" s="16"/>
      <c r="EE28" s="16"/>
    </row>
    <row r="29" spans="1:135" ht="15.75" thickBot="1">
      <c r="A29" s="221" t="str">
        <f>+G29</f>
        <v>G</v>
      </c>
      <c r="B29" s="222" t="s">
        <v>189</v>
      </c>
      <c r="C29" s="223" t="s">
        <v>190</v>
      </c>
      <c r="D29" s="224" t="str">
        <f>IF($A$5="Y","Oxygen ","") &amp; "Industrial Pressure Gauge"</f>
        <v>Industrial Pressure Gauge</v>
      </c>
      <c r="E29" s="225"/>
      <c r="F29" s="226"/>
      <c r="G29" s="227" t="s">
        <v>60</v>
      </c>
      <c r="H29" s="228">
        <v>5</v>
      </c>
      <c r="I29" s="228" t="e">
        <f>IF(Oxy="Y","IUTP3","IUTP1")</f>
        <v>#NAME?</v>
      </c>
      <c r="J29" s="229"/>
      <c r="K29" s="229" t="s">
        <v>191</v>
      </c>
      <c r="L29" s="228" t="s">
        <v>192</v>
      </c>
      <c r="N29" s="230" t="s">
        <v>193</v>
      </c>
      <c r="O29" s="231" t="s">
        <v>194</v>
      </c>
      <c r="P29" s="231" t="s">
        <v>85</v>
      </c>
      <c r="Q29" s="231" t="s">
        <v>75</v>
      </c>
      <c r="R29" s="231" t="s">
        <v>105</v>
      </c>
      <c r="S29" s="231" t="s">
        <v>106</v>
      </c>
      <c r="T29" s="231" t="s">
        <v>193</v>
      </c>
      <c r="U29" s="231" t="s">
        <v>195</v>
      </c>
      <c r="V29" s="231" t="s">
        <v>196</v>
      </c>
      <c r="W29" s="232" t="s">
        <v>197</v>
      </c>
      <c r="X29" s="233" t="s">
        <v>198</v>
      </c>
      <c r="Y29" s="234" t="s">
        <v>199</v>
      </c>
      <c r="Z29" s="234" t="s">
        <v>200</v>
      </c>
      <c r="AA29" s="234" t="s">
        <v>201</v>
      </c>
      <c r="AB29" s="234" t="s">
        <v>88</v>
      </c>
      <c r="AC29" s="235" t="s">
        <v>202</v>
      </c>
      <c r="AD29" s="235" t="s">
        <v>203</v>
      </c>
      <c r="AE29" s="236" t="s">
        <v>199</v>
      </c>
      <c r="AF29" s="236" t="s">
        <v>200</v>
      </c>
      <c r="AG29" s="236" t="s">
        <v>201</v>
      </c>
      <c r="AH29" s="236" t="s">
        <v>88</v>
      </c>
      <c r="AI29" s="206" t="s">
        <v>202</v>
      </c>
      <c r="AJ29" s="206" t="s">
        <v>203</v>
      </c>
      <c r="AK29" s="236" t="s">
        <v>199</v>
      </c>
      <c r="AL29" s="236" t="s">
        <v>200</v>
      </c>
      <c r="AM29" s="236" t="s">
        <v>201</v>
      </c>
      <c r="AN29" s="236" t="s">
        <v>88</v>
      </c>
      <c r="AO29" s="206" t="s">
        <v>202</v>
      </c>
      <c r="AP29" s="206" t="s">
        <v>203</v>
      </c>
      <c r="AQ29" s="14"/>
      <c r="AR29" s="14"/>
      <c r="AS29" s="14"/>
      <c r="AT29" s="14"/>
      <c r="AU29" s="14"/>
      <c r="AV29" s="14"/>
      <c r="AW29" s="14"/>
      <c r="AX29" s="14"/>
      <c r="AY29" s="14"/>
      <c r="AZ29" s="14"/>
      <c r="BA29" s="16"/>
      <c r="BB29" s="110">
        <v>1.6</v>
      </c>
      <c r="DZ29" s="16"/>
      <c r="EA29" s="16"/>
      <c r="EB29" s="16"/>
      <c r="EC29" s="16"/>
      <c r="ED29" s="16"/>
      <c r="EE29" s="16"/>
    </row>
    <row r="30" spans="1:135">
      <c r="A30" s="237" t="str">
        <f t="shared" ref="A30:A41" si="7">+G30</f>
        <v>V</v>
      </c>
      <c r="B30" s="222" t="s">
        <v>189</v>
      </c>
      <c r="C30" s="223" t="s">
        <v>190</v>
      </c>
      <c r="D30" s="238" t="str">
        <f>IF($A$5="Y","Oxygen ","") &amp; "Industrial Vacuum Gauge"</f>
        <v>Industrial Vacuum Gauge</v>
      </c>
      <c r="E30" s="239"/>
      <c r="F30" s="240"/>
      <c r="G30" s="241" t="s">
        <v>169</v>
      </c>
      <c r="H30" s="228">
        <v>5</v>
      </c>
      <c r="I30" s="242" t="s">
        <v>204</v>
      </c>
      <c r="J30" s="243"/>
      <c r="K30" s="243" t="s">
        <v>191</v>
      </c>
      <c r="L30" s="242" t="s">
        <v>205</v>
      </c>
      <c r="M30" s="102">
        <v>0</v>
      </c>
      <c r="N30" s="244" t="str">
        <f ca="1">IF($O$28=20,"A / ","") &amp; IF(INDIRECT("[" &amp; 'Setup Data'!$K$3&amp; "]Pressure!" &amp;N$26 &amp; $P$28+$M30)="","",INDIRECT("[" &amp; 'Setup Data'!$K$3&amp; "]Pressure!" &amp;N$26 &amp; $P$28+$M30))</f>
        <v>A / 7</v>
      </c>
      <c r="O30" s="245">
        <f ca="1">IF(INDIRECT("[" &amp; 'Setup Data'!$K$3&amp; "]Pressure!" &amp;O$26 &amp; $P$28+$M30)="","",INDIRECT("[" &amp; 'Setup Data'!$K$3&amp; "]Pressure!" &amp;O$26 &amp; $P$28+$M30))</f>
        <v>2206492</v>
      </c>
      <c r="P30" s="244">
        <f ca="1">IF(INDIRECT("[" &amp; 'Setup Data'!$K$3&amp; "]Pressure!" &amp;P$26 &amp; $P$28+$M30)="","",INDIRECT("[" &amp; 'Setup Data'!$K$3&amp; "]Pressure!" &amp;P$26 &amp; $P$28+$M30))</f>
        <v>20</v>
      </c>
      <c r="Q30" s="244" t="str">
        <f ca="1">IF(INDIRECT("[" &amp; 'Setup Data'!$K$3&amp; "]Pressure!" &amp;Q$26 &amp; $P$28+$M30)="","",INDIRECT("[" &amp; 'Setup Data'!$K$3&amp; "]Pressure!" &amp;Q$26 &amp; $P$28+$M30))</f>
        <v>APL256494</v>
      </c>
      <c r="R30" s="244">
        <f ca="1">IF(INDIRECT("[" &amp; 'Setup Data'!$K$3&amp; "]Pressure!" &amp;R$26 &amp; $P$28+$M30)="","",INDIRECT("[" &amp; 'Setup Data'!$K$3&amp; "]Pressure!" &amp;R$26 &amp; $P$28+$M30))</f>
        <v>45729</v>
      </c>
      <c r="S30" s="244">
        <f ca="1">IF(INDIRECT("[" &amp; 'Setup Data'!$K$3&amp; "]Pressure!" &amp;S$26 &amp; $P$28+$M30)="","",INDIRECT("[" &amp; 'Setup Data'!$K$3&amp; "]Pressure!" &amp;S$26 &amp; $P$28+$M30))</f>
        <v>46093</v>
      </c>
      <c r="T30" s="244">
        <f ca="1">IF(INDIRECT("[" &amp; 'Setup Data'!$K$3&amp; "]Pressure!" &amp;T$26 &amp; $P$28+$M30)="","",INDIRECT("[" &amp; 'Setup Data'!$K$3&amp; "]Pressure!" &amp;T$26 &amp; $P$28+$M30))</f>
        <v>7</v>
      </c>
      <c r="U30" s="244">
        <f ca="1">IF(INDIRECT("[" &amp; 'Setup Data'!$K$3&amp; "]Pressure!" &amp;U$26 &amp; $P$28+$M30)="","",INDIRECT("[" &amp; 'Setup Data'!$K$3&amp; "]Pressure!" &amp;U$26 &amp; $P$28+$M30))</f>
        <v>-7</v>
      </c>
      <c r="V30" s="244">
        <f ca="1">IF(INDIRECT("[" &amp; 'Setup Data'!$K$3&amp; "]Pressure!" &amp;V$26 &amp; $P$28+$M30)="","",INDIRECT("[" &amp; 'Setup Data'!$K$3&amp; "]Pressure!" &amp;V$26 &amp; $P$28+$M30))</f>
        <v>5.7000000000000002E-3</v>
      </c>
      <c r="W30" s="244">
        <f ca="1">IF(INDIRECT("[" &amp; 'Setup Data'!$K$3&amp; "]Pressure!" &amp;W$26 &amp; $P$28+$M30)="","",INDIRECT("[" &amp; 'Setup Data'!$K$3&amp; "]Pressure!" &amp;W$26 &amp; $P$28+$M30))</f>
        <v>1.4290000000000001E-2</v>
      </c>
      <c r="X30" s="244">
        <f ca="1">IF(INDIRECT("[" &amp; 'Setup Data'!$K$3&amp; "]Pressure!" &amp;X$26 &amp; $P$28+$M30)="","",INDIRECT("[" &amp; 'Setup Data'!$K$3&amp; "]Pressure!" &amp;X$26 &amp; $P$28+$M30))</f>
        <v>8.6E-3</v>
      </c>
      <c r="Y30" s="244">
        <f ca="1">IF(INDIRECT("[" &amp; 'Setup Data'!$K$3&amp; "]Pressure!" &amp;Y$26 &amp; $P$28+$M30)="","",INDIRECT("[" &amp; 'Setup Data'!$K$3&amp; "]Pressure!" &amp;Y$26 &amp; $P$28+$M30))</f>
        <v>1.08139056767952E-6</v>
      </c>
      <c r="Z30" s="244">
        <f ca="1">IF(INDIRECT("[" &amp; 'Setup Data'!$K$3&amp; "]Pressure!" &amp;Z$26 &amp; $P$28+$M30)="","",INDIRECT("[" &amp; 'Setup Data'!$K$3&amp; "]Pressure!" &amp;Z$26 &amp; $P$28+$M30))</f>
        <v>1.17039675606467E-5</v>
      </c>
      <c r="AA30" s="244">
        <f ca="1">IF(INDIRECT("[" &amp; 'Setup Data'!$K$3&amp; "]Pressure!" &amp;AA$26 &amp; $P$28+$M30)="","",INDIRECT("[" &amp; 'Setup Data'!$K$3&amp; "]Pressure!" &amp;AA$26 &amp; $P$28+$M30))</f>
        <v>-5.3689570932839302E-5</v>
      </c>
      <c r="AB30" s="244">
        <f ca="1">IF(INDIRECT("[" &amp; 'Setup Data'!$K$3&amp; "]Pressure!" &amp;AB$26 &amp; $P$28+$M30)="","",INDIRECT("[" &amp; 'Setup Data'!$K$3&amp; "]Pressure!" &amp;AB$26 &amp; $P$28+$M30))</f>
        <v>4.5516014051000801E-4</v>
      </c>
      <c r="AC30" s="244">
        <f ca="1">IF(INDIRECT("[" &amp; 'Setup Data'!$K$3&amp; "]Pressure!" &amp;AC$26 &amp; $P$28+$M30)="","",INDIRECT("[" &amp; 'Setup Data'!$K$3&amp; "]Pressure!" &amp;AC$26 &amp; $P$28+$M30))</f>
        <v>0.83645273336028503</v>
      </c>
      <c r="AD30" s="244">
        <f ca="1">IF(INDIRECT("[" &amp; 'Setup Data'!$K$3&amp; "]Pressure!" &amp;AD$26 &amp; $P$28+$M30)="","",INDIRECT("[" &amp; 'Setup Data'!$K$3&amp; "]Pressure!" &amp;AD$26 &amp; $P$28+$M30))</f>
        <v>1.23727665631764E-4</v>
      </c>
      <c r="AE30" s="244">
        <f ca="1">IF(INDIRECT("[" &amp; 'Setup Data'!$K$3&amp; "]Pressure!" &amp;AE$26 &amp; $P$28+$M30)="","",INDIRECT("[" &amp; 'Setup Data'!$K$3&amp; "]Pressure!" &amp;AE$26 &amp; $P$28+$M30))</f>
        <v>-2.78190124869496E-7</v>
      </c>
      <c r="AF30" s="244">
        <f ca="1">IF(INDIRECT("[" &amp; 'Setup Data'!$K$3&amp; "]Pressure!" &amp;AF$26 &amp; $P$28+$M30)="","",INDIRECT("[" &amp; 'Setup Data'!$K$3&amp; "]Pressure!" &amp;AF$26 &amp; $P$28+$M30))</f>
        <v>-4.0893618138738098E-6</v>
      </c>
      <c r="AG30" s="244">
        <f ca="1">IF(INDIRECT("[" &amp; 'Setup Data'!$K$3&amp; "]Pressure!" &amp;AG$26 &amp; $P$28+$M30)="","",INDIRECT("[" &amp; 'Setup Data'!$K$3&amp; "]Pressure!" &amp;AG$26 &amp; $P$28+$M30))</f>
        <v>-4.0537311500550203E-5</v>
      </c>
      <c r="AH30" s="244">
        <f ca="1">IF(INDIRECT("[" &amp; 'Setup Data'!$K$3&amp; "]Pressure!" &amp;AH$26 &amp; $P$28+$M30)="","",INDIRECT("[" &amp; 'Setup Data'!$K$3&amp; "]Pressure!" &amp;AH$26 &amp; $P$28+$M30))</f>
        <v>4.5662582334265296E-6</v>
      </c>
      <c r="AI30" s="244">
        <f ca="1">IF(INDIRECT("[" &amp; 'Setup Data'!$K$3&amp; "]Pressure!" &amp;AI$26 &amp; $P$28+$M30)="","",INDIRECT("[" &amp; 'Setup Data'!$K$3&amp; "]Pressure!" &amp;AI$26 &amp; $P$28+$M30))</f>
        <v>0.97710810640512202</v>
      </c>
      <c r="AJ30" s="244">
        <f ca="1">IF(INDIRECT("[" &amp; 'Setup Data'!$K$3&amp; "]Pressure!" &amp;AJ$26 &amp; $P$28+$M30)="","",INDIRECT("[" &amp; 'Setup Data'!$K$3&amp; "]Pressure!" &amp;AJ$26 &amp; $P$28+$M30))</f>
        <v>4.2205159285938301E-5</v>
      </c>
      <c r="AK30" s="244">
        <f ca="1">IF(INDIRECT("[" &amp; 'Setup Data'!$K$3&amp; "]Pressure!" &amp;AK$26 &amp; $P$28+$M30)="","",INDIRECT("[" &amp; 'Setup Data'!$K$3&amp; "]Pressure!" &amp;AK$26 &amp; $P$28+$M30))</f>
        <v>6.8193309579369102E-7</v>
      </c>
      <c r="AL30" s="244">
        <f ca="1">IF(INDIRECT("[" &amp; 'Setup Data'!$K$3&amp; "]Pressure!" &amp;AL$26 &amp; $P$28+$M30)="","",INDIRECT("[" &amp; 'Setup Data'!$K$3&amp; "]Pressure!" &amp;AL$26 &amp; $P$28+$M30))</f>
        <v>1.8838278202320999E-6</v>
      </c>
      <c r="AM30" s="244">
        <f ca="1">IF(INDIRECT("[" &amp; 'Setup Data'!$K$3&amp; "]Pressure!" &amp;AM$26 &amp; $P$28+$M30)="","",INDIRECT("[" &amp; 'Setup Data'!$K$3&amp; "]Pressure!" &amp;AM$26 &amp; $P$28+$M30))</f>
        <v>6.5741655254343897E-6</v>
      </c>
      <c r="AN30" s="244">
        <f ca="1">IF(INDIRECT("[" &amp; 'Setup Data'!$K$3&amp; "]Pressure!" &amp;AN$26 &amp; $P$28+$M30)="","",INDIRECT("[" &amp; 'Setup Data'!$K$3&amp; "]Pressure!" &amp;AN$26 &amp; $P$28+$M30))</f>
        <v>1.5384304974094702E-5</v>
      </c>
      <c r="AO30" s="244">
        <f ca="1">IF(INDIRECT("[" &amp; 'Setup Data'!$K$3&amp; "]Pressure!" &amp;AO$26 &amp; $P$28+$M30)="","",INDIRECT("[" &amp; 'Setup Data'!$K$3&amp; "]Pressure!" &amp;AO$26 &amp; $P$28+$M30))</f>
        <v>0.92281772669628404</v>
      </c>
      <c r="AP30" s="244">
        <f ca="1">IF(INDIRECT("[" &amp; 'Setup Data'!$K$3&amp; "]Pressure!" &amp;AP$26 &amp; $P$28+$M30)="","",INDIRECT("[" &amp; 'Setup Data'!$K$3&amp; "]Pressure!" &amp;AP$26 &amp; $P$28+$M30))</f>
        <v>5.0324381196177503E-5</v>
      </c>
      <c r="AQ30" s="14"/>
      <c r="AR30" s="14"/>
      <c r="AS30" s="14"/>
      <c r="AT30" s="14"/>
      <c r="AU30" s="14"/>
      <c r="AV30" s="14"/>
      <c r="AW30" s="14"/>
      <c r="AX30" s="14"/>
      <c r="AY30" s="14"/>
      <c r="AZ30" s="14"/>
      <c r="BA30" s="16"/>
      <c r="BB30" s="110">
        <v>2</v>
      </c>
      <c r="DZ30" s="16"/>
      <c r="EA30" s="16"/>
      <c r="EB30" s="16"/>
      <c r="EC30" s="16"/>
      <c r="ED30" s="16"/>
      <c r="EE30" s="16"/>
    </row>
    <row r="31" spans="1:135">
      <c r="A31" s="237" t="str">
        <f t="shared" si="7"/>
        <v>T</v>
      </c>
      <c r="B31" s="246" t="e">
        <f>IF(Capacity*UnitConvert&lt;100,"Digital Pressure Indicator / Calibrator below 1 bar - 0.05% to 3.0%","Digital Pressure Indicator / Calibrator above 1 bar - 0.05% to 3.0%")</f>
        <v>#NAME?</v>
      </c>
      <c r="C31" s="223" t="s">
        <v>206</v>
      </c>
      <c r="D31" s="238" t="str">
        <f>IF($A$5="Y","Oxygen ","") &amp; "Industrial Pressure Transducer"</f>
        <v>Industrial Pressure Transducer</v>
      </c>
      <c r="E31" s="239"/>
      <c r="F31" s="240"/>
      <c r="G31" s="241" t="s">
        <v>20</v>
      </c>
      <c r="H31" s="242">
        <v>8</v>
      </c>
      <c r="I31" s="242" t="s">
        <v>207</v>
      </c>
      <c r="J31" s="243"/>
      <c r="K31" s="243" t="s">
        <v>208</v>
      </c>
      <c r="L31" s="242" t="s">
        <v>209</v>
      </c>
      <c r="M31" s="102">
        <f t="shared" ref="M31:M49" si="8">M30+1</f>
        <v>1</v>
      </c>
      <c r="N31" s="244" t="str">
        <f ca="1">IF($O$28=20,"A / ","") &amp; IF(INDIRECT("[" &amp; 'Setup Data'!$K$3&amp; "]Pressure!" &amp;N$26 &amp; $P$28+$M31)="","",INDIRECT("[" &amp; 'Setup Data'!$K$3&amp; "]Pressure!" &amp;N$26 &amp; $P$28+$M31))</f>
        <v>A / 20</v>
      </c>
      <c r="O31" s="245">
        <f ca="1">IF(INDIRECT("[" &amp; 'Setup Data'!$K$3&amp; "]Pressure!" &amp;O$26 &amp; $P$28+$M31)="","",INDIRECT("[" &amp; 'Setup Data'!$K$3&amp; "]Pressure!" &amp;O$26 &amp; $P$28+$M31))</f>
        <v>2339527</v>
      </c>
      <c r="P31" s="244">
        <f ca="1">IF(INDIRECT("[" &amp; 'Setup Data'!$K$3&amp; "]Pressure!" &amp;P$26 &amp; $P$28+$M31)="","",INDIRECT("[" &amp; 'Setup Data'!$K$3&amp; "]Pressure!" &amp;P$26 &amp; $P$28+$M31))</f>
        <v>20</v>
      </c>
      <c r="Q31" s="244" t="str">
        <f ca="1">IF(INDIRECT("[" &amp; 'Setup Data'!$K$3&amp; "]Pressure!" &amp;Q$26 &amp; $P$28+$M31)="","",INDIRECT("[" &amp; 'Setup Data'!$K$3&amp; "]Pressure!" &amp;Q$26 &amp; $P$28+$M31))</f>
        <v>APL256495</v>
      </c>
      <c r="R31" s="244">
        <f ca="1">IF(INDIRECT("[" &amp; 'Setup Data'!$K$3&amp; "]Pressure!" &amp;R$26 &amp; $P$28+$M31)="","",INDIRECT("[" &amp; 'Setup Data'!$K$3&amp; "]Pressure!" &amp;R$26 &amp; $P$28+$M31))</f>
        <v>45734</v>
      </c>
      <c r="S31" s="244">
        <f ca="1">IF(INDIRECT("[" &amp; 'Setup Data'!$K$3&amp; "]Pressure!" &amp;S$26 &amp; $P$28+$M31)="","",INDIRECT("[" &amp; 'Setup Data'!$K$3&amp; "]Pressure!" &amp;S$26 &amp; $P$28+$M31))</f>
        <v>46098</v>
      </c>
      <c r="T31" s="244">
        <f ca="1">IF(INDIRECT("[" &amp; 'Setup Data'!$K$3&amp; "]Pressure!" &amp;T$26 &amp; $P$28+$M31)="","",INDIRECT("[" &amp; 'Setup Data'!$K$3&amp; "]Pressure!" &amp;T$26 &amp; $P$28+$M31))</f>
        <v>20</v>
      </c>
      <c r="U31" s="244">
        <f ca="1">IF(INDIRECT("[" &amp; 'Setup Data'!$K$3&amp; "]Pressure!" &amp;U$26 &amp; $P$28+$M31)="","",INDIRECT("[" &amp; 'Setup Data'!$K$3&amp; "]Pressure!" &amp;U$26 &amp; $P$28+$M31))</f>
        <v>-20</v>
      </c>
      <c r="V31" s="244">
        <f ca="1">IF(INDIRECT("[" &amp; 'Setup Data'!$K$3&amp; "]Pressure!" &amp;V$26 &amp; $P$28+$M31)="","",INDIRECT("[" &amp; 'Setup Data'!$K$3&amp; "]Pressure!" &amp;V$26 &amp; $P$28+$M31))</f>
        <v>3.5000000000000001E-3</v>
      </c>
      <c r="W31" s="244">
        <f ca="1">IF(INDIRECT("[" &amp; 'Setup Data'!$K$3&amp; "]Pressure!" &amp;W$26 &amp; $P$28+$M31)="","",INDIRECT("[" &amp; 'Setup Data'!$K$3&amp; "]Pressure!" &amp;W$26 &amp; $P$28+$M31))</f>
        <v>0.01</v>
      </c>
      <c r="X31" s="244">
        <f ca="1">IF(INDIRECT("[" &amp; 'Setup Data'!$K$3&amp; "]Pressure!" &amp;X$26 &amp; $P$28+$M31)="","",INDIRECT("[" &amp; 'Setup Data'!$K$3&amp; "]Pressure!" &amp;X$26 &amp; $P$28+$M31))</f>
        <v>4.4999999999999997E-3</v>
      </c>
      <c r="Y31" s="244">
        <f ca="1">IF(INDIRECT("[" &amp; 'Setup Data'!$K$3&amp; "]Pressure!" &amp;Y$26 &amp; $P$28+$M31)="","",INDIRECT("[" &amp; 'Setup Data'!$K$3&amp; "]Pressure!" &amp;Y$26 &amp; $P$28+$M31))</f>
        <v>2.3140876724850299E-10</v>
      </c>
      <c r="Z31" s="244">
        <f ca="1">IF(INDIRECT("[" &amp; 'Setup Data'!$K$3&amp; "]Pressure!" &amp;Z$26 &amp; $P$28+$M31)="","",INDIRECT("[" &amp; 'Setup Data'!$K$3&amp; "]Pressure!" &amp;Z$26 &amp; $P$28+$M31))</f>
        <v>3.2552940835619498E-6</v>
      </c>
      <c r="AA31" s="244">
        <f ca="1">IF(INDIRECT("[" &amp; 'Setup Data'!$K$3&amp; "]Pressure!" &amp;AA$26 &amp; $P$28+$M31)="","",INDIRECT("[" &amp; 'Setup Data'!$K$3&amp; "]Pressure!" &amp;AA$26 &amp; $P$28+$M31))</f>
        <v>-8.0166608653954606E-8</v>
      </c>
      <c r="AB31" s="244">
        <f ca="1">IF(INDIRECT("[" &amp; 'Setup Data'!$K$3&amp; "]Pressure!" &amp;AB$26 &amp; $P$28+$M31)="","",INDIRECT("[" &amp; 'Setup Data'!$K$3&amp; "]Pressure!" &amp;AB$26 &amp; $P$28+$M31))</f>
        <v>7.7699182612676898E-4</v>
      </c>
      <c r="AC31" s="244">
        <f ca="1">IF(INDIRECT("[" &amp; 'Setup Data'!$K$3&amp; "]Pressure!" &amp;AC$26 &amp; $P$28+$M31)="","",INDIRECT("[" &amp; 'Setup Data'!$K$3&amp; "]Pressure!" &amp;AC$26 &amp; $P$28+$M31))</f>
        <v>0.95742707010714301</v>
      </c>
      <c r="AD31" s="244">
        <f ca="1">IF(INDIRECT("[" &amp; 'Setup Data'!$K$3&amp; "]Pressure!" &amp;AD$26 &amp; $P$28+$M31)="","",INDIRECT("[" &amp; 'Setup Data'!$K$3&amp; "]Pressure!" &amp;AD$26 &amp; $P$28+$M31))</f>
        <v>1.26121265282408E-4</v>
      </c>
      <c r="AE31" s="244">
        <f ca="1">IF(INDIRECT("[" &amp; 'Setup Data'!$K$3&amp; "]Pressure!" &amp;AE$26 &amp; $P$28+$M31)="","",INDIRECT("[" &amp; 'Setup Data'!$K$3&amp; "]Pressure!" &amp;AE$26 &amp; $P$28+$M31))</f>
        <v>1.35508408168351E-8</v>
      </c>
      <c r="AF31" s="244">
        <f ca="1">IF(INDIRECT("[" &amp; 'Setup Data'!$K$3&amp; "]Pressure!" &amp;AF$26 &amp; $P$28+$M31)="","",INDIRECT("[" &amp; 'Setup Data'!$K$3&amp; "]Pressure!" &amp;AF$26 &amp; $P$28+$M31))</f>
        <v>-2.1796811654879802E-6</v>
      </c>
      <c r="AG31" s="244">
        <f ca="1">IF(INDIRECT("[" &amp; 'Setup Data'!$K$3&amp; "]Pressure!" &amp;AG$26 &amp; $P$28+$M31)="","",INDIRECT("[" &amp; 'Setup Data'!$K$3&amp; "]Pressure!" &amp;AG$26 &amp; $P$28+$M31))</f>
        <v>-8.6322959466334003E-7</v>
      </c>
      <c r="AH31" s="244">
        <f ca="1">IF(INDIRECT("[" &amp; 'Setup Data'!$K$3&amp; "]Pressure!" &amp;AH$26 &amp; $P$28+$M31)="","",INDIRECT("[" &amp; 'Setup Data'!$K$3&amp; "]Pressure!" &amp;AH$26 &amp; $P$28+$M31))</f>
        <v>3.5008281601379003E-5</v>
      </c>
      <c r="AI31" s="244">
        <f ca="1">IF(INDIRECT("[" &amp; 'Setup Data'!$K$3&amp; "]Pressure!" &amp;AI$26 &amp; $P$28+$M31)="","",INDIRECT("[" &amp; 'Setup Data'!$K$3&amp; "]Pressure!" &amp;AI$26 &amp; $P$28+$M31))</f>
        <v>0.96192230436401704</v>
      </c>
      <c r="AJ31" s="244">
        <f ca="1">IF(INDIRECT("[" &amp; 'Setup Data'!$K$3&amp; "]Pressure!" &amp;AJ$26 &amp; $P$28+$M31)="","",INDIRECT("[" &amp; 'Setup Data'!$K$3&amp; "]Pressure!" &amp;AJ$26 &amp; $P$28+$M31))</f>
        <v>8.0302443809202094E-5</v>
      </c>
      <c r="AK31" s="244">
        <f ca="1">IF(INDIRECT("[" &amp; 'Setup Data'!$K$3&amp; "]Pressure!" &amp;AK$26 &amp; $P$28+$M31)="","",INDIRECT("[" &amp; 'Setup Data'!$K$3&amp; "]Pressure!" &amp;AK$26 &amp; $P$28+$M31))</f>
        <v>6.5677608010730301E-8</v>
      </c>
      <c r="AL31" s="244">
        <f ca="1">IF(INDIRECT("[" &amp; 'Setup Data'!$K$3&amp; "]Pressure!" &amp;AL$26 &amp; $P$28+$M31)="","",INDIRECT("[" &amp; 'Setup Data'!$K$3&amp; "]Pressure!" &amp;AL$26 &amp; $P$28+$M31))</f>
        <v>1.34003206544648E-6</v>
      </c>
      <c r="AM31" s="244">
        <f ca="1">IF(INDIRECT("[" &amp; 'Setup Data'!$K$3&amp; "]Pressure!" &amp;AM$26 &amp; $P$28+$M31)="","",INDIRECT("[" &amp; 'Setup Data'!$K$3&amp; "]Pressure!" &amp;AM$26 &amp; $P$28+$M31))</f>
        <v>-3.90729462383493E-5</v>
      </c>
      <c r="AN31" s="244">
        <f ca="1">IF(INDIRECT("[" &amp; 'Setup Data'!$K$3&amp; "]Pressure!" &amp;AN$26 &amp; $P$28+$M31)="","",INDIRECT("[" &amp; 'Setup Data'!$K$3&amp; "]Pressure!" &amp;AN$26 &amp; $P$28+$M31))</f>
        <v>-9.28879223280054E-5</v>
      </c>
      <c r="AO31" s="244">
        <f ca="1">IF(INDIRECT("[" &amp; 'Setup Data'!$K$3&amp; "]Pressure!" &amp;AO$26 &amp; $P$28+$M31)="","",INDIRECT("[" &amp; 'Setup Data'!$K$3&amp; "]Pressure!" &amp;AO$26 &amp; $P$28+$M31))</f>
        <v>0.88304255672941201</v>
      </c>
      <c r="AP31" s="244">
        <f ca="1">IF(INDIRECT("[" &amp; 'Setup Data'!$K$3&amp; "]Pressure!" &amp;AP$26 &amp; $P$28+$M31)="","",INDIRECT("[" &amp; 'Setup Data'!$K$3&amp; "]Pressure!" &amp;AP$26 &amp; $P$28+$M31))</f>
        <v>1.47173064528055E-4</v>
      </c>
      <c r="AQ31" s="14"/>
      <c r="AR31" s="14"/>
      <c r="AS31" s="14"/>
      <c r="AT31" s="14"/>
      <c r="AU31" s="14"/>
      <c r="AV31" s="14"/>
      <c r="AW31" s="14"/>
      <c r="AX31" s="14"/>
      <c r="AY31" s="14"/>
      <c r="AZ31" s="14"/>
      <c r="BA31" s="16"/>
      <c r="BB31" s="247">
        <v>2.5</v>
      </c>
      <c r="BC31" s="16"/>
      <c r="DZ31" s="16"/>
      <c r="EA31" s="16"/>
      <c r="EB31" s="16"/>
      <c r="EC31" s="16"/>
      <c r="ED31" s="16"/>
      <c r="EE31" s="16"/>
    </row>
    <row r="32" spans="1:135">
      <c r="A32" s="237" t="str">
        <f t="shared" si="7"/>
        <v>MT</v>
      </c>
      <c r="B32" s="246" t="e">
        <f>IF(Capacity*UnitConvert&lt;100,"Digital Pressure Indicator / Calibrator below 1 bar - 0.05% to 3.0%","Digital Pressure Indicator / Calibrator above 1 bar - 0.05% to 3.0%")</f>
        <v>#NAME?</v>
      </c>
      <c r="C32" s="223" t="s">
        <v>210</v>
      </c>
      <c r="D32" s="238" t="str">
        <f>IF($A$5="Y","Oxygen ","") &amp; "Pressure System"</f>
        <v>Pressure System</v>
      </c>
      <c r="E32" s="239"/>
      <c r="F32" s="240"/>
      <c r="G32" s="241" t="s">
        <v>211</v>
      </c>
      <c r="H32" s="242">
        <v>8</v>
      </c>
      <c r="I32" s="242" t="s">
        <v>212</v>
      </c>
      <c r="J32" s="243"/>
      <c r="K32" s="243" t="s">
        <v>208</v>
      </c>
      <c r="L32" s="242" t="s">
        <v>209</v>
      </c>
      <c r="M32" s="102">
        <f t="shared" si="8"/>
        <v>2</v>
      </c>
      <c r="N32" s="244" t="str">
        <f ca="1">IF($O$28=20,"A / ","") &amp; IF(INDIRECT("[" &amp; 'Setup Data'!$K$3&amp; "]Pressure!" &amp;N$26 &amp; $P$28+$M32)="","",INDIRECT("[" &amp; 'Setup Data'!$K$3&amp; "]Pressure!" &amp;N$26 &amp; $P$28+$M32))</f>
        <v>A / 70</v>
      </c>
      <c r="O32" s="245">
        <f ca="1">IF(INDIRECT("[" &amp; 'Setup Data'!$K$3&amp; "]Pressure!" &amp;O$26 &amp; $P$28+$M32)="","",INDIRECT("[" &amp; 'Setup Data'!$K$3&amp; "]Pressure!" &amp;O$26 &amp; $P$28+$M32))</f>
        <v>3232100</v>
      </c>
      <c r="P32" s="244">
        <f ca="1">IF(INDIRECT("[" &amp; 'Setup Data'!$K$3&amp; "]Pressure!" &amp;P$26 &amp; $P$28+$M32)="","",INDIRECT("[" &amp; 'Setup Data'!$K$3&amp; "]Pressure!" &amp;P$26 &amp; $P$28+$M32))</f>
        <v>20</v>
      </c>
      <c r="Q32" s="244" t="str">
        <f ca="1">IF(INDIRECT("[" &amp; 'Setup Data'!$K$3&amp; "]Pressure!" &amp;Q$26 &amp; $P$28+$M32)="","",INDIRECT("[" &amp; 'Setup Data'!$K$3&amp; "]Pressure!" &amp;Q$26 &amp; $P$28+$M32))</f>
        <v>APL256496</v>
      </c>
      <c r="R32" s="244">
        <f ca="1">IF(INDIRECT("[" &amp; 'Setup Data'!$K$3&amp; "]Pressure!" &amp;R$26 &amp; $P$28+$M32)="","",INDIRECT("[" &amp; 'Setup Data'!$K$3&amp; "]Pressure!" &amp;R$26 &amp; $P$28+$M32))</f>
        <v>45734</v>
      </c>
      <c r="S32" s="244">
        <f ca="1">IF(INDIRECT("[" &amp; 'Setup Data'!$K$3&amp; "]Pressure!" &amp;S$26 &amp; $P$28+$M32)="","",INDIRECT("[" &amp; 'Setup Data'!$K$3&amp; "]Pressure!" &amp;S$26 &amp; $P$28+$M32))</f>
        <v>46098</v>
      </c>
      <c r="T32" s="244">
        <f ca="1">IF(INDIRECT("[" &amp; 'Setup Data'!$K$3&amp; "]Pressure!" &amp;T$26 &amp; $P$28+$M32)="","",INDIRECT("[" &amp; 'Setup Data'!$K$3&amp; "]Pressure!" &amp;T$26 &amp; $P$28+$M32))</f>
        <v>70</v>
      </c>
      <c r="U32" s="244">
        <f ca="1">IF(INDIRECT("[" &amp; 'Setup Data'!$K$3&amp; "]Pressure!" &amp;U$26 &amp; $P$28+$M32)="","",INDIRECT("[" &amp; 'Setup Data'!$K$3&amp; "]Pressure!" &amp;U$26 &amp; $P$28+$M32))</f>
        <v>-70</v>
      </c>
      <c r="V32" s="244">
        <f ca="1">IF(INDIRECT("[" &amp; 'Setup Data'!$K$3&amp; "]Pressure!" &amp;V$26 &amp; $P$28+$M32)="","",INDIRECT("[" &amp; 'Setup Data'!$K$3&amp; "]Pressure!" &amp;V$26 &amp; $P$28+$M32))</f>
        <v>2.8999999999999998E-3</v>
      </c>
      <c r="W32" s="244">
        <f ca="1">IF(INDIRECT("[" &amp; 'Setup Data'!$K$3&amp; "]Pressure!" &amp;W$26 &amp; $P$28+$M32)="","",INDIRECT("[" &amp; 'Setup Data'!$K$3&amp; "]Pressure!" &amp;W$26 &amp; $P$28+$M32))</f>
        <v>8.43E-3</v>
      </c>
      <c r="X32" s="244">
        <f ca="1">IF(INDIRECT("[" &amp; 'Setup Data'!$K$3&amp; "]Pressure!" &amp;X$26 &amp; $P$28+$M32)="","",INDIRECT("[" &amp; 'Setup Data'!$K$3&amp; "]Pressure!" &amp;X$26 &amp; $P$28+$M32))</f>
        <v>2.8999999999999998E-3</v>
      </c>
      <c r="Y32" s="244">
        <f ca="1">IF(INDIRECT("[" &amp; 'Setup Data'!$K$3&amp; "]Pressure!" &amp;Y$26 &amp; $P$28+$M32)="","",INDIRECT("[" &amp; 'Setup Data'!$K$3&amp; "]Pressure!" &amp;Y$26 &amp; $P$28+$M32))</f>
        <v>9.3386084286595995E-11</v>
      </c>
      <c r="Z32" s="244">
        <f ca="1">IF(INDIRECT("[" &amp; 'Setup Data'!$K$3&amp; "]Pressure!" &amp;Z$26 &amp; $P$28+$M32)="","",INDIRECT("[" &amp; 'Setup Data'!$K$3&amp; "]Pressure!" &amp;Z$26 &amp; $P$28+$M32))</f>
        <v>8.9756472159566599E-7</v>
      </c>
      <c r="AA32" s="244">
        <f ca="1">IF(INDIRECT("[" &amp; 'Setup Data'!$K$3&amp; "]Pressure!" &amp;AA$26 &amp; $P$28+$M32)="","",INDIRECT("[" &amp; 'Setup Data'!$K$3&amp; "]Pressure!" &amp;AA$26 &amp; $P$28+$M32))</f>
        <v>-4.0303038066893901E-7</v>
      </c>
      <c r="AB32" s="244">
        <f ca="1">IF(INDIRECT("[" &amp; 'Setup Data'!$K$3&amp; "]Pressure!" &amp;AB$26 &amp; $P$28+$M32)="","",INDIRECT("[" &amp; 'Setup Data'!$K$3&amp; "]Pressure!" &amp;AB$26 &amp; $P$28+$M32))</f>
        <v>1.7727706397996099E-3</v>
      </c>
      <c r="AC32" s="244">
        <f ca="1">IF(INDIRECT("[" &amp; 'Setup Data'!$K$3&amp; "]Pressure!" &amp;AC$26 &amp; $P$28+$M32)="","",INDIRECT("[" &amp; 'Setup Data'!$K$3&amp; "]Pressure!" &amp;AC$26 &amp; $P$28+$M32))</f>
        <v>0.96337545615817</v>
      </c>
      <c r="AD32" s="244">
        <f ca="1">IF(INDIRECT("[" &amp; 'Setup Data'!$K$3&amp; "]Pressure!" &amp;AD$26 &amp; $P$28+$M32)="","",INDIRECT("[" &amp; 'Setup Data'!$K$3&amp; "]Pressure!" &amp;AD$26 &amp; $P$28+$M32))</f>
        <v>3.9925823468401998E-4</v>
      </c>
      <c r="AE32" s="244">
        <f ca="1">IF(INDIRECT("[" &amp; 'Setup Data'!$K$3&amp; "]Pressure!" &amp;AE$26 &amp; $P$28+$M32)="","",INDIRECT("[" &amp; 'Setup Data'!$K$3&amp; "]Pressure!" &amp;AE$26 &amp; $P$28+$M32))</f>
        <v>6.3003995648219302E-9</v>
      </c>
      <c r="AF32" s="244">
        <f ca="1">IF(INDIRECT("[" &amp; 'Setup Data'!$K$3&amp; "]Pressure!" &amp;AF$26 &amp; $P$28+$M32)="","",INDIRECT("[" &amp; 'Setup Data'!$K$3&amp; "]Pressure!" &amp;AF$26 &amp; $P$28+$M32))</f>
        <v>-9.55797335807337E-8</v>
      </c>
      <c r="AG32" s="244">
        <f ca="1">IF(INDIRECT("[" &amp; 'Setup Data'!$K$3&amp; "]Pressure!" &amp;AG$26 &amp; $P$28+$M32)="","",INDIRECT("[" &amp; 'Setup Data'!$K$3&amp; "]Pressure!" &amp;AG$26 &amp; $P$28+$M32))</f>
        <v>-3.7589353185051201E-5</v>
      </c>
      <c r="AH32" s="244">
        <f ca="1">IF(INDIRECT("[" &amp; 'Setup Data'!$K$3&amp; "]Pressure!" &amp;AH$26 &amp; $P$28+$M32)="","",INDIRECT("[" &amp; 'Setup Data'!$K$3&amp; "]Pressure!" &amp;AH$26 &amp; $P$28+$M32))</f>
        <v>1.63208021225045E-4</v>
      </c>
      <c r="AI32" s="244">
        <f ca="1">IF(INDIRECT("[" &amp; 'Setup Data'!$K$3&amp; "]Pressure!" &amp;AI$26 &amp; $P$28+$M32)="","",INDIRECT("[" &amp; 'Setup Data'!$K$3&amp; "]Pressure!" &amp;AI$26 &amp; $P$28+$M32))</f>
        <v>0.65558012423325396</v>
      </c>
      <c r="AJ32" s="244">
        <f ca="1">IF(INDIRECT("[" &amp; 'Setup Data'!$K$3&amp; "]Pressure!" &amp;AJ$26 &amp; $P$28+$M32)="","",INDIRECT("[" &amp; 'Setup Data'!$K$3&amp; "]Pressure!" &amp;AJ$26 &amp; $P$28+$M32))</f>
        <v>6.27393588716043E-4</v>
      </c>
      <c r="AK32" s="244">
        <f ca="1">IF(INDIRECT("[" &amp; 'Setup Data'!$K$3&amp; "]Pressure!" &amp;AK$26 &amp; $P$28+$M32)="","",INDIRECT("[" &amp; 'Setup Data'!$K$3&amp; "]Pressure!" &amp;AK$26 &amp; $P$28+$M32))</f>
        <v>-5.2776072406830304E-9</v>
      </c>
      <c r="AL32" s="244">
        <f ca="1">IF(INDIRECT("[" &amp; 'Setup Data'!$K$3&amp; "]Pressure!" &amp;AL$26 &amp; $P$28+$M32)="","",INDIRECT("[" &amp; 'Setup Data'!$K$3&amp; "]Pressure!" &amp;AL$26 &amp; $P$28+$M32))</f>
        <v>1.4328135809657099E-7</v>
      </c>
      <c r="AM32" s="244">
        <f ca="1">IF(INDIRECT("[" &amp; 'Setup Data'!$K$3&amp; "]Pressure!" &amp;AM$26 &amp; $P$28+$M32)="","",INDIRECT("[" &amp; 'Setup Data'!$K$3&amp; "]Pressure!" &amp;AM$26 &amp; $P$28+$M32))</f>
        <v>4.1907929982014303E-6</v>
      </c>
      <c r="AN32" s="244">
        <f ca="1">IF(INDIRECT("[" &amp; 'Setup Data'!$K$3&amp; "]Pressure!" &amp;AN$26 &amp; $P$28+$M32)="","",INDIRECT("[" &amp; 'Setup Data'!$K$3&amp; "]Pressure!" &amp;AN$26 &amp; $P$28+$M32))</f>
        <v>-4.9372755582370196E-4</v>
      </c>
      <c r="AO32" s="244">
        <f ca="1">IF(INDIRECT("[" &amp; 'Setup Data'!$K$3&amp; "]Pressure!" &amp;AO$26 &amp; $P$28+$M32)="","",INDIRECT("[" &amp; 'Setup Data'!$K$3&amp; "]Pressure!" &amp;AO$26 &amp; $P$28+$M32))</f>
        <v>0.70274382937770896</v>
      </c>
      <c r="AP32" s="244">
        <f ca="1">IF(INDIRECT("[" &amp; 'Setup Data'!$K$3&amp; "]Pressure!" &amp;AP$26 &amp; $P$28+$M32)="","",INDIRECT("[" &amp; 'Setup Data'!$K$3&amp; "]Pressure!" &amp;AP$26 &amp; $P$28+$M32))</f>
        <v>5.89442344382154E-4</v>
      </c>
      <c r="AQ32" s="14"/>
      <c r="AR32" s="14"/>
      <c r="AS32" s="14"/>
      <c r="AT32" s="14"/>
      <c r="AU32" s="14"/>
      <c r="AV32" s="14"/>
      <c r="AW32" s="14"/>
      <c r="AX32" s="14"/>
      <c r="AY32" s="14"/>
      <c r="AZ32" s="14"/>
      <c r="BA32" s="16"/>
      <c r="BB32" s="247">
        <v>3</v>
      </c>
      <c r="BC32" s="16"/>
      <c r="DZ32" s="16"/>
      <c r="EA32" s="16"/>
      <c r="EB32" s="16"/>
      <c r="EC32" s="16"/>
      <c r="ED32" s="16"/>
      <c r="EE32" s="16"/>
    </row>
    <row r="33" spans="1:135">
      <c r="A33" s="237" t="str">
        <f t="shared" si="7"/>
        <v>MIT</v>
      </c>
      <c r="B33" s="246" t="e">
        <f>IF(Capacity*UnitConvert&lt;100,"Digital Pressure Indicator / Calibrator below 1 bar - 0.05% to 3.0%","Digital Pressure Indicator / Calibrator above 1 bar - 0.05% to 3.0%")</f>
        <v>#NAME?</v>
      </c>
      <c r="C33" s="223" t="s">
        <v>210</v>
      </c>
      <c r="D33" s="238" t="str">
        <f>IF($A$5="Y","Oxygen ","") &amp; "Integrated Pressure System"</f>
        <v>Integrated Pressure System</v>
      </c>
      <c r="E33" s="239"/>
      <c r="F33" s="240"/>
      <c r="G33" s="241" t="s">
        <v>213</v>
      </c>
      <c r="H33" s="242">
        <v>8</v>
      </c>
      <c r="I33" s="242" t="s">
        <v>214</v>
      </c>
      <c r="J33" s="243"/>
      <c r="K33" s="243" t="s">
        <v>208</v>
      </c>
      <c r="L33" s="242" t="s">
        <v>209</v>
      </c>
      <c r="M33" s="102">
        <f t="shared" si="8"/>
        <v>3</v>
      </c>
      <c r="N33" s="244" t="str">
        <f ca="1">IF($O$28=20,"A / ","") &amp; IF(INDIRECT("[" &amp; 'Setup Data'!$K$3&amp; "]Pressure!" &amp;N$26 &amp; $P$28+$M33)="","",INDIRECT("[" &amp; 'Setup Data'!$K$3&amp; "]Pressure!" &amp;N$26 &amp; $P$28+$M33))</f>
        <v>A / 200</v>
      </c>
      <c r="O33" s="245">
        <f ca="1">IF(INDIRECT("[" &amp; 'Setup Data'!$K$3&amp; "]Pressure!" &amp;O$26 &amp; $P$28+$M33)="","",INDIRECT("[" &amp; 'Setup Data'!$K$3&amp; "]Pressure!" &amp;O$26 &amp; $P$28+$M33))</f>
        <v>3221109</v>
      </c>
      <c r="P33" s="244">
        <f ca="1">IF(INDIRECT("[" &amp; 'Setup Data'!$K$3&amp; "]Pressure!" &amp;P$26 &amp; $P$28+$M33)="","",INDIRECT("[" &amp; 'Setup Data'!$K$3&amp; "]Pressure!" &amp;P$26 &amp; $P$28+$M33))</f>
        <v>20</v>
      </c>
      <c r="Q33" s="244" t="str">
        <f ca="1">IF(INDIRECT("[" &amp; 'Setup Data'!$K$3&amp; "]Pressure!" &amp;Q$26 &amp; $P$28+$M33)="","",INDIRECT("[" &amp; 'Setup Data'!$K$3&amp; "]Pressure!" &amp;Q$26 &amp; $P$28+$M33))</f>
        <v>APL256668</v>
      </c>
      <c r="R33" s="244">
        <f ca="1">IF(INDIRECT("[" &amp; 'Setup Data'!$K$3&amp; "]Pressure!" &amp;R$26 &amp; $P$28+$M33)="","",INDIRECT("[" &amp; 'Setup Data'!$K$3&amp; "]Pressure!" &amp;R$26 &amp; $P$28+$M33))</f>
        <v>45729</v>
      </c>
      <c r="S33" s="244">
        <f ca="1">IF(INDIRECT("[" &amp; 'Setup Data'!$K$3&amp; "]Pressure!" &amp;S$26 &amp; $P$28+$M33)="","",INDIRECT("[" &amp; 'Setup Data'!$K$3&amp; "]Pressure!" &amp;S$26 &amp; $P$28+$M33))</f>
        <v>46093</v>
      </c>
      <c r="T33" s="244">
        <f ca="1">IF(INDIRECT("[" &amp; 'Setup Data'!$K$3&amp; "]Pressure!" &amp;T$26 &amp; $P$28+$M33)="","",INDIRECT("[" &amp; 'Setup Data'!$K$3&amp; "]Pressure!" &amp;T$26 &amp; $P$28+$M33))</f>
        <v>200</v>
      </c>
      <c r="U33" s="244">
        <f ca="1">IF(INDIRECT("[" &amp; 'Setup Data'!$K$3&amp; "]Pressure!" &amp;U$26 &amp; $P$28+$M33)="","",INDIRECT("[" &amp; 'Setup Data'!$K$3&amp; "]Pressure!" &amp;U$26 &amp; $P$28+$M33))</f>
        <v>-95</v>
      </c>
      <c r="V33" s="244">
        <f ca="1">IF(INDIRECT("[" &amp; 'Setup Data'!$K$3&amp; "]Pressure!" &amp;V$26 &amp; $P$28+$M33)="","",INDIRECT("[" &amp; 'Setup Data'!$K$3&amp; "]Pressure!" &amp;V$26 &amp; $P$28+$M33))</f>
        <v>3.0000000000000001E-3</v>
      </c>
      <c r="W33" s="244">
        <f ca="1">IF(INDIRECT("[" &amp; 'Setup Data'!$K$3&amp; "]Pressure!" &amp;W$26 &amp; $P$28+$M33)="","",INDIRECT("[" &amp; 'Setup Data'!$K$3&amp; "]Pressure!" &amp;W$26 &amp; $P$28+$M33))</f>
        <v>3.0000000000000001E-3</v>
      </c>
      <c r="X33" s="244">
        <f ca="1">IF(INDIRECT("[" &amp; 'Setup Data'!$K$3&amp; "]Pressure!" &amp;X$26 &amp; $P$28+$M33)="","",INDIRECT("[" &amp; 'Setup Data'!$K$3&amp; "]Pressure!" &amp;X$26 &amp; $P$28+$M33))</f>
        <v>5.4999999999999997E-3</v>
      </c>
      <c r="Y33" s="244">
        <f ca="1">IF(INDIRECT("[" &amp; 'Setup Data'!$K$3&amp; "]Pressure!" &amp;Y$26 &amp; $P$28+$M33)="","",INDIRECT("[" &amp; 'Setup Data'!$K$3&amp; "]Pressure!" &amp;Y$26 &amp; $P$28+$M33))</f>
        <v>-8.6838399913312998E-11</v>
      </c>
      <c r="Z33" s="244">
        <f ca="1">IF(INDIRECT("[" &amp; 'Setup Data'!$K$3&amp; "]Pressure!" &amp;Z$26 &amp; $P$28+$M33)="","",INDIRECT("[" &amp; 'Setup Data'!$K$3&amp; "]Pressure!" &amp;Z$26 &amp; $P$28+$M33))</f>
        <v>8.1323013822020899E-8</v>
      </c>
      <c r="AA33" s="244">
        <f ca="1">IF(INDIRECT("[" &amp; 'Setup Data'!$K$3&amp; "]Pressure!" &amp;AA$26 &amp; $P$28+$M33)="","",INDIRECT("[" &amp; 'Setup Data'!$K$3&amp; "]Pressure!" &amp;AA$26 &amp; $P$28+$M33))</f>
        <v>-1.60661367239207E-6</v>
      </c>
      <c r="AB33" s="244">
        <f ca="1">IF(INDIRECT("[" &amp; 'Setup Data'!$K$3&amp; "]Pressure!" &amp;AB$26 &amp; $P$28+$M33)="","",INDIRECT("[" &amp; 'Setup Data'!$K$3&amp; "]Pressure!" &amp;AB$26 &amp; $P$28+$M33))</f>
        <v>3.71152022656111E-3</v>
      </c>
      <c r="AC33" s="244">
        <f ca="1">IF(INDIRECT("[" &amp; 'Setup Data'!$K$3&amp; "]Pressure!" &amp;AC$26 &amp; $P$28+$M33)="","",INDIRECT("[" &amp; 'Setup Data'!$K$3&amp; "]Pressure!" &amp;AC$26 &amp; $P$28+$M33))</f>
        <v>0.99682443722896896</v>
      </c>
      <c r="AD33" s="244">
        <f ca="1">IF(INDIRECT("[" &amp; 'Setup Data'!$K$3&amp; "]Pressure!" &amp;AD$26 &amp; $P$28+$M33)="","",INDIRECT("[" &amp; 'Setup Data'!$K$3&amp; "]Pressure!" &amp;AD$26 &amp; $P$28+$M33))</f>
        <v>4.81884869685324E-5</v>
      </c>
      <c r="AE33" s="244">
        <f ca="1">IF(INDIRECT("[" &amp; 'Setup Data'!$K$3&amp; "]Pressure!" &amp;AE$26 &amp; $P$28+$M33)="","",INDIRECT("[" &amp; 'Setup Data'!$K$3&amp; "]Pressure!" &amp;AE$26 &amp; $P$28+$M33))</f>
        <v>2.1394026508660402E-9</v>
      </c>
      <c r="AF33" s="244">
        <f ca="1">IF(INDIRECT("[" &amp; 'Setup Data'!$K$3&amp; "]Pressure!" &amp;AF$26 &amp; $P$28+$M33)="","",INDIRECT("[" &amp; 'Setup Data'!$K$3&amp; "]Pressure!" &amp;AF$26 &amp; $P$28+$M33))</f>
        <v>-1.8404391985838801E-7</v>
      </c>
      <c r="AG33" s="244">
        <f ca="1">IF(INDIRECT("[" &amp; 'Setup Data'!$K$3&amp; "]Pressure!" &amp;AG$26 &amp; $P$28+$M33)="","",INDIRECT("[" &amp; 'Setup Data'!$K$3&amp; "]Pressure!" &amp;AG$26 &amp; $P$28+$M33))</f>
        <v>-1.00327208150312E-4</v>
      </c>
      <c r="AH33" s="244">
        <f ca="1">IF(INDIRECT("[" &amp; 'Setup Data'!$K$3&amp; "]Pressure!" &amp;AH$26 &amp; $P$28+$M33)="","",INDIRECT("[" &amp; 'Setup Data'!$K$3&amp; "]Pressure!" &amp;AH$26 &amp; $P$28+$M33))</f>
        <v>8.6424652139985606E-5</v>
      </c>
      <c r="AI33" s="244">
        <f ca="1">IF(INDIRECT("[" &amp; 'Setup Data'!$K$3&amp; "]Pressure!" &amp;AI$26 &amp; $P$28+$M33)="","",INDIRECT("[" &amp; 'Setup Data'!$K$3&amp; "]Pressure!" &amp;AI$26 &amp; $P$28+$M33))</f>
        <v>0.98135046573352003</v>
      </c>
      <c r="AJ33" s="244">
        <f ca="1">IF(INDIRECT("[" &amp; 'Setup Data'!$K$3&amp; "]Pressure!" &amp;AJ$26 &amp; $P$28+$M33)="","",INDIRECT("[" &amp; 'Setup Data'!$K$3&amp; "]Pressure!" &amp;AJ$26 &amp; $P$28+$M33))</f>
        <v>1.07122787273966E-3</v>
      </c>
      <c r="AK33" s="244">
        <f ca="1">IF(INDIRECT("[" &amp; 'Setup Data'!$K$3&amp; "]Pressure!" &amp;AK$26 &amp; $P$28+$M33)="","",INDIRECT("[" &amp; 'Setup Data'!$K$3&amp; "]Pressure!" &amp;AK$26 &amp; $P$28+$M33))</f>
        <v>-9.0750606329606496E-10</v>
      </c>
      <c r="AL33" s="244">
        <f ca="1">IF(INDIRECT("[" &amp; 'Setup Data'!$K$3&amp; "]Pressure!" &amp;AL$26 &amp; $P$28+$M33)="","",INDIRECT("[" &amp; 'Setup Data'!$K$3&amp; "]Pressure!" &amp;AL$26 &amp; $P$28+$M33))</f>
        <v>1.4550538335775E-8</v>
      </c>
      <c r="AM33" s="244">
        <f ca="1">IF(INDIRECT("[" &amp; 'Setup Data'!$K$3&amp; "]Pressure!" &amp;AM$26 &amp; $P$28+$M33)="","",INDIRECT("[" &amp; 'Setup Data'!$K$3&amp; "]Pressure!" &amp;AM$26 &amp; $P$28+$M33))</f>
        <v>2.0627600185125199E-5</v>
      </c>
      <c r="AN33" s="244">
        <f ca="1">IF(INDIRECT("[" &amp; 'Setup Data'!$K$3&amp; "]Pressure!" &amp;AN$26 &amp; $P$28+$M33)="","",INDIRECT("[" &amp; 'Setup Data'!$K$3&amp; "]Pressure!" &amp;AN$26 &amp; $P$28+$M33))</f>
        <v>-4.8829907272426604E-4</v>
      </c>
      <c r="AO33" s="244">
        <f ca="1">IF(INDIRECT("[" &amp; 'Setup Data'!$K$3&amp; "]Pressure!" &amp;AO$26 &amp; $P$28+$M33)="","",INDIRECT("[" &amp; 'Setup Data'!$K$3&amp; "]Pressure!" &amp;AO$26 &amp; $P$28+$M33))</f>
        <v>0.47794104425295397</v>
      </c>
      <c r="AP33" s="244">
        <f ca="1">IF(INDIRECT("[" &amp; 'Setup Data'!$K$3&amp; "]Pressure!" &amp;AP$26 &amp; $P$28+$M33)="","",INDIRECT("[" &amp; 'Setup Data'!$K$3&amp; "]Pressure!" &amp;AP$26 &amp; $P$28+$M33))</f>
        <v>1.3736905038838499E-3</v>
      </c>
      <c r="AQ33" s="14"/>
      <c r="AR33" s="14"/>
      <c r="AS33" s="14"/>
      <c r="AT33" s="14"/>
      <c r="AU33" s="14"/>
      <c r="AV33" s="14"/>
      <c r="AW33" s="14"/>
      <c r="AX33" s="14"/>
      <c r="AY33" s="14"/>
      <c r="AZ33" s="14"/>
      <c r="BA33" s="16"/>
      <c r="BB33" s="247">
        <v>3.5</v>
      </c>
      <c r="BC33" s="16"/>
      <c r="DZ33" s="16"/>
      <c r="EA33" s="16"/>
      <c r="EB33" s="16"/>
      <c r="EC33" s="16"/>
      <c r="ED33" s="16"/>
      <c r="EE33" s="16"/>
    </row>
    <row r="34" spans="1:135">
      <c r="A34" s="237" t="str">
        <f t="shared" si="7"/>
        <v>TEST</v>
      </c>
      <c r="B34" s="246" t="s">
        <v>215</v>
      </c>
      <c r="C34" s="223" t="s">
        <v>206</v>
      </c>
      <c r="D34" s="238" t="str">
        <f>IF($A$5="Y","Oxygen ","") &amp; "Test Pressure Gauge"</f>
        <v>Test Pressure Gauge</v>
      </c>
      <c r="E34" s="239"/>
      <c r="F34" s="240"/>
      <c r="G34" s="241" t="s">
        <v>216</v>
      </c>
      <c r="H34" s="242">
        <v>8</v>
      </c>
      <c r="I34" s="242" t="s">
        <v>217</v>
      </c>
      <c r="J34" s="243"/>
      <c r="K34" s="243" t="s">
        <v>191</v>
      </c>
      <c r="L34" s="242" t="s">
        <v>192</v>
      </c>
      <c r="M34" s="102">
        <f t="shared" si="8"/>
        <v>4</v>
      </c>
      <c r="N34" s="244" t="str">
        <f ca="1">IF($O$28=20,"A / ","") &amp; IF(INDIRECT("[" &amp; 'Setup Data'!$K$3&amp; "]Pressure!" &amp;N$26 &amp; $P$28+$M34)="","",INDIRECT("[" &amp; 'Setup Data'!$K$3&amp; "]Pressure!" &amp;N$26 &amp; $P$28+$M34))</f>
        <v>A / 700</v>
      </c>
      <c r="O34" s="245">
        <f ca="1">IF(INDIRECT("[" &amp; 'Setup Data'!$K$3&amp; "]Pressure!" &amp;O$26 &amp; $P$28+$M34)="","",INDIRECT("[" &amp; 'Setup Data'!$K$3&amp; "]Pressure!" &amp;O$26 &amp; $P$28+$M34))</f>
        <v>2895157</v>
      </c>
      <c r="P34" s="244">
        <f ca="1">IF(INDIRECT("[" &amp; 'Setup Data'!$K$3&amp; "]Pressure!" &amp;P$26 &amp; $P$28+$M34)="","",INDIRECT("[" &amp; 'Setup Data'!$K$3&amp; "]Pressure!" &amp;P$26 &amp; $P$28+$M34))</f>
        <v>20</v>
      </c>
      <c r="Q34" s="244" t="str">
        <f ca="1">IF(INDIRECT("[" &amp; 'Setup Data'!$K$3&amp; "]Pressure!" &amp;Q$26 &amp; $P$28+$M34)="","",INDIRECT("[" &amp; 'Setup Data'!$K$3&amp; "]Pressure!" &amp;Q$26 &amp; $P$28+$M34))</f>
        <v>APL256498</v>
      </c>
      <c r="R34" s="244">
        <f ca="1">IF(INDIRECT("[" &amp; 'Setup Data'!$K$3&amp; "]Pressure!" &amp;R$26 &amp; $P$28+$M34)="","",INDIRECT("[" &amp; 'Setup Data'!$K$3&amp; "]Pressure!" &amp;R$26 &amp; $P$28+$M34))</f>
        <v>45729</v>
      </c>
      <c r="S34" s="244">
        <f ca="1">IF(INDIRECT("[" &amp; 'Setup Data'!$K$3&amp; "]Pressure!" &amp;S$26 &amp; $P$28+$M34)="","",INDIRECT("[" &amp; 'Setup Data'!$K$3&amp; "]Pressure!" &amp;S$26 &amp; $P$28+$M34))</f>
        <v>46093</v>
      </c>
      <c r="T34" s="244">
        <f ca="1">IF(INDIRECT("[" &amp; 'Setup Data'!$K$3&amp; "]Pressure!" &amp;T$26 &amp; $P$28+$M34)="","",INDIRECT("[" &amp; 'Setup Data'!$K$3&amp; "]Pressure!" &amp;T$26 &amp; $P$28+$M34))</f>
        <v>700</v>
      </c>
      <c r="U34" s="244">
        <f ca="1">IF(INDIRECT("[" &amp; 'Setup Data'!$K$3&amp; "]Pressure!" &amp;U$26 &amp; $P$28+$M34)="","",INDIRECT("[" &amp; 'Setup Data'!$K$3&amp; "]Pressure!" &amp;U$26 &amp; $P$28+$M34))</f>
        <v>-95</v>
      </c>
      <c r="V34" s="244">
        <f ca="1">IF(INDIRECT("[" &amp; 'Setup Data'!$K$3&amp; "]Pressure!" &amp;V$26 &amp; $P$28+$M34)="","",INDIRECT("[" &amp; 'Setup Data'!$K$3&amp; "]Pressure!" &amp;V$26 &amp; $P$28+$M34))</f>
        <v>1.4E-3</v>
      </c>
      <c r="W34" s="244">
        <f ca="1">IF(INDIRECT("[" &amp; 'Setup Data'!$K$3&amp; "]Pressure!" &amp;W$26 &amp; $P$28+$M34)="","",INDIRECT("[" &amp; 'Setup Data'!$K$3&amp; "]Pressure!" &amp;W$26 &amp; $P$28+$M34))</f>
        <v>3.14E-3</v>
      </c>
      <c r="X34" s="244">
        <f ca="1">IF(INDIRECT("[" &amp; 'Setup Data'!$K$3&amp; "]Pressure!" &amp;X$26 &amp; $P$28+$M34)="","",INDIRECT("[" &amp; 'Setup Data'!$K$3&amp; "]Pressure!" &amp;X$26 &amp; $P$28+$M34))</f>
        <v>2.8999999999999998E-3</v>
      </c>
      <c r="Y34" s="244">
        <f ca="1">IF(INDIRECT("[" &amp; 'Setup Data'!$K$3&amp; "]Pressure!" &amp;Y$26 &amp; $P$28+$M34)="","",INDIRECT("[" &amp; 'Setup Data'!$K$3&amp; "]Pressure!" &amp;Y$26 &amp; $P$28+$M34))</f>
        <v>-8.1878815966410002E-12</v>
      </c>
      <c r="Z34" s="244">
        <f ca="1">IF(INDIRECT("[" &amp; 'Setup Data'!$K$3&amp; "]Pressure!" &amp;Z$26 &amp; $P$28+$M34)="","",INDIRECT("[" &amp; 'Setup Data'!$K$3&amp; "]Pressure!" &amp;Z$26 &amp; $P$28+$M34))</f>
        <v>2.0925538300120399E-8</v>
      </c>
      <c r="AA34" s="244">
        <f ca="1">IF(INDIRECT("[" &amp; 'Setup Data'!$K$3&amp; "]Pressure!" &amp;AA$26 &amp; $P$28+$M34)="","",INDIRECT("[" &amp; 'Setup Data'!$K$3&amp; "]Pressure!" &amp;AA$26 &amp; $P$28+$M34))</f>
        <v>5.8026149110746301E-7</v>
      </c>
      <c r="AB34" s="244">
        <f ca="1">IF(INDIRECT("[" &amp; 'Setup Data'!$K$3&amp; "]Pressure!" &amp;AB$26 &amp; $P$28+$M34)="","",INDIRECT("[" &amp; 'Setup Data'!$K$3&amp; "]Pressure!" &amp;AB$26 &amp; $P$28+$M34))</f>
        <v>1.41161601559003E-2</v>
      </c>
      <c r="AC34" s="244">
        <f ca="1">IF(INDIRECT("[" &amp; 'Setup Data'!$K$3&amp; "]Pressure!" &amp;AC$26 &amp; $P$28+$M34)="","",INDIRECT("[" &amp; 'Setup Data'!$K$3&amp; "]Pressure!" &amp;AC$26 &amp; $P$28+$M34))</f>
        <v>0.98377537503979695</v>
      </c>
      <c r="AD34" s="244">
        <f ca="1">IF(INDIRECT("[" &amp; 'Setup Data'!$K$3&amp; "]Pressure!" &amp;AD$26 &amp; $P$28+$M34)="","",INDIRECT("[" &amp; 'Setup Data'!$K$3&amp; "]Pressure!" &amp;AD$26 &amp; $P$28+$M34))</f>
        <v>4.2667661597325099E-4</v>
      </c>
      <c r="AE34" s="244">
        <f ca="1">IF(INDIRECT("[" &amp; 'Setup Data'!$K$3&amp; "]Pressure!" &amp;AE$26 &amp; $P$28+$M34)="","",INDIRECT("[" &amp; 'Setup Data'!$K$3&amp; "]Pressure!" &amp;AE$26 &amp; $P$28+$M34))</f>
        <v>-3.3762369624364999E-11</v>
      </c>
      <c r="AF34" s="244">
        <f ca="1">IF(INDIRECT("[" &amp; 'Setup Data'!$K$3&amp; "]Pressure!" &amp;AF$26 &amp; $P$28+$M34)="","",INDIRECT("[" &amp; 'Setup Data'!$K$3&amp; "]Pressure!" &amp;AF$26 &amp; $P$28+$M34))</f>
        <v>2.09526533302618E-8</v>
      </c>
      <c r="AG34" s="244">
        <f ca="1">IF(INDIRECT("[" &amp; 'Setup Data'!$K$3&amp; "]Pressure!" &amp;AG$26 &amp; $P$28+$M34)="","",INDIRECT("[" &amp; 'Setup Data'!$K$3&amp; "]Pressure!" &amp;AG$26 &amp; $P$28+$M34))</f>
        <v>2.6464179193508799E-5</v>
      </c>
      <c r="AH34" s="244">
        <f ca="1">IF(INDIRECT("[" &amp; 'Setup Data'!$K$3&amp; "]Pressure!" &amp;AH$26 &amp; $P$28+$M34)="","",INDIRECT("[" &amp; 'Setup Data'!$K$3&amp; "]Pressure!" &amp;AH$26 &amp; $P$28+$M34))</f>
        <v>-3.2762760545514201E-3</v>
      </c>
      <c r="AI34" s="244">
        <f ca="1">IF(INDIRECT("[" &amp; 'Setup Data'!$K$3&amp; "]Pressure!" &amp;AI$26 &amp; $P$28+$M34)="","",INDIRECT("[" &amp; 'Setup Data'!$K$3&amp; "]Pressure!" &amp;AI$26 &amp; $P$28+$M34))</f>
        <v>0.76605175427490801</v>
      </c>
      <c r="AJ34" s="244">
        <f ca="1">IF(INDIRECT("[" &amp; 'Setup Data'!$K$3&amp; "]Pressure!" &amp;AJ$26 &amp; $P$28+$M34)="","",INDIRECT("[" &amp; 'Setup Data'!$K$3&amp; "]Pressure!" &amp;AJ$26 &amp; $P$28+$M34))</f>
        <v>4.6771444407617902E-3</v>
      </c>
      <c r="AK34" s="244">
        <f ca="1">IF(INDIRECT("[" &amp; 'Setup Data'!$K$3&amp; "]Pressure!" &amp;AK$26 &amp; $P$28+$M34)="","",INDIRECT("[" &amp; 'Setup Data'!$K$3&amp; "]Pressure!" &amp;AK$26 &amp; $P$28+$M34))</f>
        <v>1.6512740073395999E-11</v>
      </c>
      <c r="AL34" s="244">
        <f ca="1">IF(INDIRECT("[" &amp; 'Setup Data'!$K$3&amp; "]Pressure!" &amp;AL$26 &amp; $P$28+$M34)="","",INDIRECT("[" &amp; 'Setup Data'!$K$3&amp; "]Pressure!" &amp;AL$26 &amp; $P$28+$M34))</f>
        <v>1.94743530641612E-8</v>
      </c>
      <c r="AM34" s="244">
        <f ca="1">IF(INDIRECT("[" &amp; 'Setup Data'!$K$3&amp; "]Pressure!" &amp;AM$26 &amp; $P$28+$M34)="","",INDIRECT("[" &amp; 'Setup Data'!$K$3&amp; "]Pressure!" &amp;AM$26 &amp; $P$28+$M34))</f>
        <v>-1.1563548763087999E-5</v>
      </c>
      <c r="AN34" s="244">
        <f ca="1">IF(INDIRECT("[" &amp; 'Setup Data'!$K$3&amp; "]Pressure!" &amp;AN$26 &amp; $P$28+$M34)="","",INDIRECT("[" &amp; 'Setup Data'!$K$3&amp; "]Pressure!" &amp;AN$26 &amp; $P$28+$M34))</f>
        <v>-2.5968049151012299E-3</v>
      </c>
      <c r="AO34" s="244">
        <f ca="1">IF(INDIRECT("[" &amp; 'Setup Data'!$K$3&amp; "]Pressure!" &amp;AO$26 &amp; $P$28+$M34)="","",INDIRECT("[" &amp; 'Setup Data'!$K$3&amp; "]Pressure!" &amp;AO$26 &amp; $P$28+$M34))</f>
        <v>0.17881053502869901</v>
      </c>
      <c r="AP34" s="244">
        <f ca="1">IF(INDIRECT("[" &amp; 'Setup Data'!$K$3&amp; "]Pressure!" &amp;AP$26 &amp; $P$28+$M34)="","",INDIRECT("[" &amp; 'Setup Data'!$K$3&amp; "]Pressure!" &amp;AP$26 &amp; $P$28+$M34))</f>
        <v>6.5314005378266397E-3</v>
      </c>
      <c r="AQ34" s="14"/>
      <c r="AR34" s="14"/>
      <c r="AS34" s="14"/>
      <c r="AT34" s="14"/>
      <c r="AU34" s="14"/>
      <c r="AV34" s="14"/>
      <c r="AW34" s="14"/>
      <c r="AX34" s="14"/>
      <c r="AY34" s="14"/>
      <c r="AZ34" s="14"/>
      <c r="BA34" s="16"/>
      <c r="BB34" s="247">
        <v>4</v>
      </c>
      <c r="BC34" s="16"/>
      <c r="DZ34" s="16"/>
      <c r="EA34" s="16"/>
      <c r="EB34" s="16"/>
      <c r="EC34" s="16"/>
      <c r="ED34" s="16"/>
      <c r="EE34" s="16"/>
    </row>
    <row r="35" spans="1:135">
      <c r="A35" s="237" t="str">
        <f t="shared" si="7"/>
        <v>B</v>
      </c>
      <c r="B35" s="222" t="s">
        <v>189</v>
      </c>
      <c r="C35" s="223" t="s">
        <v>190</v>
      </c>
      <c r="D35" s="238" t="str">
        <f>IF($A$5="Y","Oxygen ","") &amp; "Backflow Pressure Gauge"</f>
        <v>Backflow Pressure Gauge</v>
      </c>
      <c r="E35" s="239"/>
      <c r="F35" s="240"/>
      <c r="G35" s="241" t="s">
        <v>55</v>
      </c>
      <c r="H35" s="242">
        <v>5</v>
      </c>
      <c r="I35" s="242" t="s">
        <v>204</v>
      </c>
      <c r="J35" s="243"/>
      <c r="K35" s="243" t="s">
        <v>191</v>
      </c>
      <c r="L35" s="242" t="s">
        <v>192</v>
      </c>
      <c r="M35" s="102">
        <f t="shared" si="8"/>
        <v>5</v>
      </c>
      <c r="N35" s="244" t="str">
        <f ca="1">IF($O$28=20,"A / ","") &amp; IF(INDIRECT("[" &amp; 'Setup Data'!$K$3&amp; "]Pressure!" &amp;N$26 &amp; $P$28+$M35)="","",INDIRECT("[" &amp; 'Setup Data'!$K$3&amp; "]Pressure!" &amp;N$26 &amp; $P$28+$M35))</f>
        <v>A / 2000</v>
      </c>
      <c r="O35" s="245">
        <f ca="1">IF(INDIRECT("[" &amp; 'Setup Data'!$K$3&amp; "]Pressure!" &amp;O$26 &amp; $P$28+$M35)="","",INDIRECT("[" &amp; 'Setup Data'!$K$3&amp; "]Pressure!" &amp;O$26 &amp; $P$28+$M35))</f>
        <v>2814117</v>
      </c>
      <c r="P35" s="244">
        <f ca="1">IF(INDIRECT("[" &amp; 'Setup Data'!$K$3&amp; "]Pressure!" &amp;P$26 &amp; $P$28+$M35)="","",INDIRECT("[" &amp; 'Setup Data'!$K$3&amp; "]Pressure!" &amp;P$26 &amp; $P$28+$M35))</f>
        <v>20</v>
      </c>
      <c r="Q35" s="244" t="str">
        <f ca="1">IF(INDIRECT("[" &amp; 'Setup Data'!$K$3&amp; "]Pressure!" &amp;Q$26 &amp; $P$28+$M35)="","",INDIRECT("[" &amp; 'Setup Data'!$K$3&amp; "]Pressure!" &amp;Q$26 &amp; $P$28+$M35))</f>
        <v>APL256670</v>
      </c>
      <c r="R35" s="244">
        <f ca="1">IF(INDIRECT("[" &amp; 'Setup Data'!$K$3&amp; "]Pressure!" &amp;R$26 &amp; $P$28+$M35)="","",INDIRECT("[" &amp; 'Setup Data'!$K$3&amp; "]Pressure!" &amp;R$26 &amp; $P$28+$M35))</f>
        <v>45727</v>
      </c>
      <c r="S35" s="244">
        <f ca="1">IF(INDIRECT("[" &amp; 'Setup Data'!$K$3&amp; "]Pressure!" &amp;S$26 &amp; $P$28+$M35)="","",INDIRECT("[" &amp; 'Setup Data'!$K$3&amp; "]Pressure!" &amp;S$26 &amp; $P$28+$M35))</f>
        <v>46091</v>
      </c>
      <c r="T35" s="244">
        <f ca="1">IF(INDIRECT("[" &amp; 'Setup Data'!$K$3&amp; "]Pressure!" &amp;T$26 &amp; $P$28+$M35)="","",INDIRECT("[" &amp; 'Setup Data'!$K$3&amp; "]Pressure!" &amp;T$26 &amp; $P$28+$M35))</f>
        <v>2000</v>
      </c>
      <c r="U35" s="244">
        <f ca="1">IF(INDIRECT("[" &amp; 'Setup Data'!$K$3&amp; "]Pressure!" &amp;U$26 &amp; $P$28+$M35)="","",INDIRECT("[" &amp; 'Setup Data'!$K$3&amp; "]Pressure!" &amp;U$26 &amp; $P$28+$M35))</f>
        <v>-95</v>
      </c>
      <c r="V35" s="244">
        <f ca="1">IF(INDIRECT("[" &amp; 'Setup Data'!$K$3&amp; "]Pressure!" &amp;V$26 &amp; $P$28+$M35)="","",INDIRECT("[" &amp; 'Setup Data'!$K$3&amp; "]Pressure!" &amp;V$26 &amp; $P$28+$M35))</f>
        <v>2.5000000000000001E-3</v>
      </c>
      <c r="W35" s="244">
        <f ca="1">IF(INDIRECT("[" &amp; 'Setup Data'!$K$3&amp; "]Pressure!" &amp;W$26 &amp; $P$28+$M35)="","",INDIRECT("[" &amp; 'Setup Data'!$K$3&amp; "]Pressure!" &amp;W$26 &amp; $P$28+$M35))</f>
        <v>3.0000000000000001E-3</v>
      </c>
      <c r="X35" s="244">
        <f ca="1">IF(INDIRECT("[" &amp; 'Setup Data'!$K$3&amp; "]Pressure!" &amp;X$26 &amp; $P$28+$M35)="","",INDIRECT("[" &amp; 'Setup Data'!$K$3&amp; "]Pressure!" &amp;X$26 &amp; $P$28+$M35))</f>
        <v>5.0000000000000001E-4</v>
      </c>
      <c r="Y35" s="244">
        <f ca="1">IF(INDIRECT("[" &amp; 'Setup Data'!$K$3&amp; "]Pressure!" &amp;Y$26 &amp; $P$28+$M35)="","",INDIRECT("[" &amp; 'Setup Data'!$K$3&amp; "]Pressure!" &amp;Y$26 &amp; $P$28+$M35))</f>
        <v>9.6278212398700009E-13</v>
      </c>
      <c r="Z35" s="244">
        <f ca="1">IF(INDIRECT("[" &amp; 'Setup Data'!$K$3&amp; "]Pressure!" &amp;Z$26 &amp; $P$28+$M35)="","",INDIRECT("[" &amp; 'Setup Data'!$K$3&amp; "]Pressure!" &amp;Z$26 &amp; $P$28+$M35))</f>
        <v>5.8680332651184601E-9</v>
      </c>
      <c r="AA35" s="244">
        <f ca="1">IF(INDIRECT("[" &amp; 'Setup Data'!$K$3&amp; "]Pressure!" &amp;AA$26 &amp; $P$28+$M35)="","",INDIRECT("[" &amp; 'Setup Data'!$K$3&amp; "]Pressure!" &amp;AA$26 &amp; $P$28+$M35))</f>
        <v>2.0772348449187101E-6</v>
      </c>
      <c r="AB35" s="244">
        <f ca="1">IF(INDIRECT("[" &amp; 'Setup Data'!$K$3&amp; "]Pressure!" &amp;AB$26 &amp; $P$28+$M35)="","",INDIRECT("[" &amp; 'Setup Data'!$K$3&amp; "]Pressure!" &amp;AB$26 &amp; $P$28+$M35))</f>
        <v>2.51252754459977E-2</v>
      </c>
      <c r="AC35" s="244">
        <f ca="1">IF(INDIRECT("[" &amp; 'Setup Data'!$K$3&amp; "]Pressure!" &amp;AC$26 &amp; $P$28+$M35)="","",INDIRECT("[" &amp; 'Setup Data'!$K$3&amp; "]Pressure!" &amp;AC$26 &amp; $P$28+$M35))</f>
        <v>0.99908781347786602</v>
      </c>
      <c r="AD35" s="244">
        <f ca="1">IF(INDIRECT("[" &amp; 'Setup Data'!$K$3&amp; "]Pressure!" &amp;AD$26 &amp; $P$28+$M35)="","",INDIRECT("[" &amp; 'Setup Data'!$K$3&amp; "]Pressure!" &amp;AD$26 &amp; $P$28+$M35))</f>
        <v>4.15224095097217E-4</v>
      </c>
      <c r="AE35" s="244">
        <f ca="1">IF(INDIRECT("[" &amp; 'Setup Data'!$K$3&amp; "]Pressure!" &amp;AE$26 &amp; $P$28+$M35)="","",INDIRECT("[" &amp; 'Setup Data'!$K$3&amp; "]Pressure!" &amp;AE$26 &amp; $P$28+$M35))</f>
        <v>-1.3982909965033001E-11</v>
      </c>
      <c r="AF35" s="244">
        <f ca="1">IF(INDIRECT("[" &amp; 'Setup Data'!$K$3&amp; "]Pressure!" &amp;AF$26 &amp; $P$28+$M35)="","",INDIRECT("[" &amp; 'Setup Data'!$K$3&amp; "]Pressure!" &amp;AF$26 &amp; $P$28+$M35))</f>
        <v>2.9320711013594299E-8</v>
      </c>
      <c r="AG35" s="244">
        <f ca="1">IF(INDIRECT("[" &amp; 'Setup Data'!$K$3&amp; "]Pressure!" &amp;AG$26 &amp; $P$28+$M35)="","",INDIRECT("[" &amp; 'Setup Data'!$K$3&amp; "]Pressure!" &amp;AG$26 &amp; $P$28+$M35))</f>
        <v>-6.2562108960012003E-6</v>
      </c>
      <c r="AH35" s="244">
        <f ca="1">IF(INDIRECT("[" &amp; 'Setup Data'!$K$3&amp; "]Pressure!" &amp;AH$26 &amp; $P$28+$M35)="","",INDIRECT("[" &amp; 'Setup Data'!$K$3&amp; "]Pressure!" &amp;AH$26 &amp; $P$28+$M35))</f>
        <v>-4.0039666530645302E-4</v>
      </c>
      <c r="AI35" s="244">
        <f ca="1">IF(INDIRECT("[" &amp; 'Setup Data'!$K$3&amp; "]Pressure!" &amp;AI$26 &amp; $P$28+$M35)="","",INDIRECT("[" &amp; 'Setup Data'!$K$3&amp; "]Pressure!" &amp;AI$26 &amp; $P$28+$M35))</f>
        <v>0.66988777698938395</v>
      </c>
      <c r="AJ35" s="244">
        <f ca="1">IF(INDIRECT("[" &amp; 'Setup Data'!$K$3&amp; "]Pressure!" &amp;AJ$26 &amp; $P$28+$M35)="","",INDIRECT("[" &amp; 'Setup Data'!$K$3&amp; "]Pressure!" &amp;AJ$26 &amp; $P$28+$M35))</f>
        <v>4.1824784933781898E-3</v>
      </c>
      <c r="AK35" s="244">
        <f ca="1">IF(INDIRECT("[" &amp; 'Setup Data'!$K$3&amp; "]Pressure!" &amp;AK$26 &amp; $P$28+$M35)="","",INDIRECT("[" &amp; 'Setup Data'!$K$3&amp; "]Pressure!" &amp;AK$26 &amp; $P$28+$M35))</f>
        <v>-1.4455644587287E-11</v>
      </c>
      <c r="AL35" s="244">
        <f ca="1">IF(INDIRECT("[" &amp; 'Setup Data'!$K$3&amp; "]Pressure!" &amp;AL$26 &amp; $P$28+$M35)="","",INDIRECT("[" &amp; 'Setup Data'!$K$3&amp; "]Pressure!" &amp;AL$26 &amp; $P$28+$M35))</f>
        <v>6.6220352910276794E-8</v>
      </c>
      <c r="AM35" s="244">
        <f ca="1">IF(INDIRECT("[" &amp; 'Setup Data'!$K$3&amp; "]Pressure!" &amp;AM$26 &amp; $P$28+$M35)="","",INDIRECT("[" &amp; 'Setup Data'!$K$3&amp; "]Pressure!" &amp;AM$26 &amp; $P$28+$M35))</f>
        <v>-9.0917969089874994E-5</v>
      </c>
      <c r="AN35" s="244">
        <f ca="1">IF(INDIRECT("[" &amp; 'Setup Data'!$K$3&amp; "]Pressure!" &amp;AN$26 &amp; $P$28+$M35)="","",INDIRECT("[" &amp; 'Setup Data'!$K$3&amp; "]Pressure!" &amp;AN$26 &amp; $P$28+$M35))</f>
        <v>-4.5474165749327701E-3</v>
      </c>
      <c r="AO35" s="244">
        <f ca="1">IF(INDIRECT("[" &amp; 'Setup Data'!$K$3&amp; "]Pressure!" &amp;AO$26 &amp; $P$28+$M35)="","",INDIRECT("[" &amp; 'Setup Data'!$K$3&amp; "]Pressure!" &amp;AO$26 &amp; $P$28+$M35))</f>
        <v>0.90449962040996401</v>
      </c>
      <c r="AP35" s="244">
        <f ca="1">IF(INDIRECT("[" &amp; 'Setup Data'!$K$3&amp; "]Pressure!" &amp;AP$26 &amp; $P$28+$M35)="","",INDIRECT("[" &amp; 'Setup Data'!$K$3&amp; "]Pressure!" &amp;AP$26 &amp; $P$28+$M35))</f>
        <v>6.4266533721906299E-3</v>
      </c>
      <c r="AQ35" s="14"/>
      <c r="AR35" s="14"/>
      <c r="AS35" s="14"/>
      <c r="AT35" s="14"/>
      <c r="AU35" s="14"/>
      <c r="AV35" s="14"/>
      <c r="AW35" s="14"/>
      <c r="AX35" s="14"/>
      <c r="AY35" s="14"/>
      <c r="AZ35" s="14"/>
      <c r="BA35" s="16"/>
      <c r="BB35" s="247">
        <v>5</v>
      </c>
      <c r="BC35" s="16"/>
      <c r="DZ35" s="16"/>
      <c r="EA35" s="16"/>
      <c r="EB35" s="16"/>
      <c r="EC35" s="16"/>
      <c r="ED35" s="16"/>
      <c r="EE35" s="16"/>
    </row>
    <row r="36" spans="1:135">
      <c r="A36" s="237" t="str">
        <f t="shared" si="7"/>
        <v>DPG</v>
      </c>
      <c r="B36" s="246" t="e">
        <f>IF(Capacity*UnitConvert&lt;100,"Digital Pressure Indicator / Calibrator below 1 bar - 0.05% to 3.0%","Digital Pressure Indicator / Calibrator above 1 bar - 0.05% to 3.0%")</f>
        <v>#NAME?</v>
      </c>
      <c r="C36" s="223" t="s">
        <v>210</v>
      </c>
      <c r="D36" s="238" t="str">
        <f>IF($A$5="Y","Oxygen ","") &amp; "Digital Pressure Gauge"</f>
        <v>Digital Pressure Gauge</v>
      </c>
      <c r="E36" s="239"/>
      <c r="F36" s="240"/>
      <c r="G36" s="241" t="s">
        <v>218</v>
      </c>
      <c r="H36" s="242">
        <v>8</v>
      </c>
      <c r="I36" s="242" t="s">
        <v>214</v>
      </c>
      <c r="J36" s="243"/>
      <c r="K36" s="243" t="s">
        <v>208</v>
      </c>
      <c r="L36" s="242" t="s">
        <v>209</v>
      </c>
      <c r="M36" s="102">
        <f t="shared" si="8"/>
        <v>6</v>
      </c>
      <c r="N36" s="244" t="str">
        <f ca="1">IF($O$28=20,"A / ","") &amp; IF(INDIRECT("[" &amp; 'Setup Data'!$K$3&amp; "]Pressure!" &amp;N$26 &amp; $P$28+$M36)="","",INDIRECT("[" &amp; 'Setup Data'!$K$3&amp; "]Pressure!" &amp;N$26 &amp; $P$28+$M36))</f>
        <v>A / 7000</v>
      </c>
      <c r="O36" s="245">
        <f ca="1">IF(INDIRECT("[" &amp; 'Setup Data'!$K$3&amp; "]Pressure!" &amp;O$26 &amp; $P$28+$M36)="","",INDIRECT("[" &amp; 'Setup Data'!$K$3&amp; "]Pressure!" &amp;O$26 &amp; $P$28+$M36))</f>
        <v>3189984</v>
      </c>
      <c r="P36" s="244">
        <f ca="1">IF(INDIRECT("[" &amp; 'Setup Data'!$K$3&amp; "]Pressure!" &amp;P$26 &amp; $P$28+$M36)="","",INDIRECT("[" &amp; 'Setup Data'!$K$3&amp; "]Pressure!" &amp;P$26 &amp; $P$28+$M36))</f>
        <v>20</v>
      </c>
      <c r="Q36" s="244" t="str">
        <f ca="1">IF(INDIRECT("[" &amp; 'Setup Data'!$K$3&amp; "]Pressure!" &amp;Q$26 &amp; $P$28+$M36)="","",INDIRECT("[" &amp; 'Setup Data'!$K$3&amp; "]Pressure!" &amp;Q$26 &amp; $P$28+$M36))</f>
        <v>APL256499</v>
      </c>
      <c r="R36" s="244">
        <f ca="1">IF(INDIRECT("[" &amp; 'Setup Data'!$K$3&amp; "]Pressure!" &amp;R$26 &amp; $P$28+$M36)="","",INDIRECT("[" &amp; 'Setup Data'!$K$3&amp; "]Pressure!" &amp;R$26 &amp; $P$28+$M36))</f>
        <v>45734</v>
      </c>
      <c r="S36" s="244">
        <f ca="1">IF(INDIRECT("[" &amp; 'Setup Data'!$K$3&amp; "]Pressure!" &amp;S$26 &amp; $P$28+$M36)="","",INDIRECT("[" &amp; 'Setup Data'!$K$3&amp; "]Pressure!" &amp;S$26 &amp; $P$28+$M36))</f>
        <v>46098</v>
      </c>
      <c r="T36" s="244">
        <f ca="1">IF(INDIRECT("[" &amp; 'Setup Data'!$K$3&amp; "]Pressure!" &amp;T$26 &amp; $P$28+$M36)="","",INDIRECT("[" &amp; 'Setup Data'!$K$3&amp; "]Pressure!" &amp;T$26 &amp; $P$28+$M36))</f>
        <v>7000</v>
      </c>
      <c r="U36" s="244">
        <f ca="1">IF(INDIRECT("[" &amp; 'Setup Data'!$K$3&amp; "]Pressure!" &amp;U$26 &amp; $P$28+$M36)="","",INDIRECT("[" &amp; 'Setup Data'!$K$3&amp; "]Pressure!" &amp;U$26 &amp; $P$28+$M36))</f>
        <v>0</v>
      </c>
      <c r="V36" s="244">
        <f ca="1">IF(INDIRECT("[" &amp; 'Setup Data'!$K$3&amp; "]Pressure!" &amp;V$26 &amp; $P$28+$M36)="","",INDIRECT("[" &amp; 'Setup Data'!$K$3&amp; "]Pressure!" &amp;V$26 &amp; $P$28+$M36))</f>
        <v>7.1000000000000004E-3</v>
      </c>
      <c r="W36" s="244">
        <f ca="1">IF(INDIRECT("[" &amp; 'Setup Data'!$K$3&amp; "]Pressure!" &amp;W$26 &amp; $P$28+$M36)="","",INDIRECT("[" &amp; 'Setup Data'!$K$3&amp; "]Pressure!" &amp;W$26 &amp; $P$28+$M36))</f>
        <v>3.14E-3</v>
      </c>
      <c r="X36" s="244">
        <f ca="1">IF(INDIRECT("[" &amp; 'Setup Data'!$K$3&amp; "]Pressure!" &amp;X$26 &amp; $P$28+$M36)="","",INDIRECT("[" &amp; 'Setup Data'!$K$3&amp; "]Pressure!" &amp;X$26 &amp; $P$28+$M36))</f>
        <v>2.8999999999999998E-3</v>
      </c>
      <c r="Y36" s="244">
        <f ca="1">IF(INDIRECT("[" &amp; 'Setup Data'!$K$3&amp; "]Pressure!" &amp;Y$26 &amp; $P$28+$M36)="","",INDIRECT("[" &amp; 'Setup Data'!$K$3&amp; "]Pressure!" &amp;Y$26 &amp; $P$28+$M36))</f>
        <v>1.0190803916E-13</v>
      </c>
      <c r="Z36" s="244">
        <f ca="1">IF(INDIRECT("[" &amp; 'Setup Data'!$K$3&amp; "]Pressure!" &amp;Z$26 &amp; $P$28+$M36)="","",INDIRECT("[" &amp; 'Setup Data'!$K$3&amp; "]Pressure!" &amp;Z$26 &amp; $P$28+$M36))</f>
        <v>1.95108054689697E-10</v>
      </c>
      <c r="AA36" s="244">
        <f ca="1">IF(INDIRECT("[" &amp; 'Setup Data'!$K$3&amp; "]Pressure!" &amp;AA$26 &amp; $P$28+$M36)="","",INDIRECT("[" &amp; 'Setup Data'!$K$3&amp; "]Pressure!" &amp;AA$26 &amp; $P$28+$M36))</f>
        <v>5.3042775812159299E-6</v>
      </c>
      <c r="AB36" s="244">
        <f ca="1">IF(INDIRECT("[" &amp; 'Setup Data'!$K$3&amp; "]Pressure!" &amp;AB$26 &amp; $P$28+$M36)="","",INDIRECT("[" &amp; 'Setup Data'!$K$3&amp; "]Pressure!" &amp;AB$26 &amp; $P$28+$M36))</f>
        <v>0.138281619393156</v>
      </c>
      <c r="AC36" s="244">
        <f ca="1">IF(INDIRECT("[" &amp; 'Setup Data'!$K$3&amp; "]Pressure!" &amp;AC$26 &amp; $P$28+$M36)="","",INDIRECT("[" &amp; 'Setup Data'!$K$3&amp; "]Pressure!" &amp;AC$26 &amp; $P$28+$M36))</f>
        <v>0.99457763643671504</v>
      </c>
      <c r="AD36" s="244">
        <f ca="1">IF(INDIRECT("[" &amp; 'Setup Data'!$K$3&amp; "]Pressure!" &amp;AD$26 &amp; $P$28+$M36)="","",INDIRECT("[" &amp; 'Setup Data'!$K$3&amp; "]Pressure!" &amp;AD$26 &amp; $P$28+$M36))</f>
        <v>2.4880779197504802E-3</v>
      </c>
      <c r="AE36" s="244">
        <f ca="1">IF(INDIRECT("[" &amp; 'Setup Data'!$K$3&amp; "]Pressure!" &amp;AE$26 &amp; $P$28+$M36)="","",INDIRECT("[" &amp; 'Setup Data'!$K$3&amp; "]Pressure!" &amp;AE$26 &amp; $P$28+$M36))</f>
        <v>2.886748098339E-12</v>
      </c>
      <c r="AF36" s="244">
        <f ca="1">IF(INDIRECT("[" &amp; 'Setup Data'!$K$3&amp; "]Pressure!" &amp;AF$26 &amp; $P$28+$M36)="","",INDIRECT("[" &amp; 'Setup Data'!$K$3&amp; "]Pressure!" &amp;AF$26 &amp; $P$28+$M36))</f>
        <v>-1.91282096326632E-8</v>
      </c>
      <c r="AG36" s="244">
        <f ca="1">IF(INDIRECT("[" &amp; 'Setup Data'!$K$3&amp; "]Pressure!" &amp;AG$26 &amp; $P$28+$M36)="","",INDIRECT("[" &amp; 'Setup Data'!$K$3&amp; "]Pressure!" &amp;AG$26 &amp; $P$28+$M36))</f>
        <v>1.8911793490427701E-5</v>
      </c>
      <c r="AH36" s="244">
        <f ca="1">IF(INDIRECT("[" &amp; 'Setup Data'!$K$3&amp; "]Pressure!" &amp;AH$26 &amp; $P$28+$M36)="","",INDIRECT("[" &amp; 'Setup Data'!$K$3&amp; "]Pressure!" &amp;AH$26 &amp; $P$28+$M36))</f>
        <v>-1.48980595002987E-3</v>
      </c>
      <c r="AI36" s="244">
        <f ca="1">IF(INDIRECT("[" &amp; 'Setup Data'!$K$3&amp; "]Pressure!" &amp;AI$26 &amp; $P$28+$M36)="","",INDIRECT("[" &amp; 'Setup Data'!$K$3&amp; "]Pressure!" &amp;AI$26 &amp; $P$28+$M36))</f>
        <v>0.80917604478175598</v>
      </c>
      <c r="AJ36" s="244">
        <f ca="1">IF(INDIRECT("[" &amp; 'Setup Data'!$K$3&amp; "]Pressure!" &amp;AJ$26 &amp; $P$28+$M36)="","",INDIRECT("[" &amp; 'Setup Data'!$K$3&amp; "]Pressure!" &amp;AJ$26 &amp; $P$28+$M36))</f>
        <v>3.9476520037641703E-2</v>
      </c>
      <c r="AK36" s="244">
        <f ca="1">IF(INDIRECT("[" &amp; 'Setup Data'!$K$3&amp; "]Pressure!" &amp;AK$26 &amp; $P$28+$M36)="","",INDIRECT("[" &amp; 'Setup Data'!$K$3&amp; "]Pressure!" &amp;AK$26 &amp; $P$28+$M36))</f>
        <v>5.2856078261999998E-13</v>
      </c>
      <c r="AL36" s="244">
        <f ca="1">IF(INDIRECT("[" &amp; 'Setup Data'!$K$3&amp; "]Pressure!" &amp;AL$26 &amp; $P$28+$M36)="","",INDIRECT("[" &amp; 'Setup Data'!$K$3&amp; "]Pressure!" &amp;AL$26 &amp; $P$28+$M36))</f>
        <v>-8.2527720764027106E-9</v>
      </c>
      <c r="AM36" s="244">
        <f ca="1">IF(INDIRECT("[" &amp; 'Setup Data'!$K$3&amp; "]Pressure!" &amp;AM$26 &amp; $P$28+$M36)="","",INDIRECT("[" &amp; 'Setup Data'!$K$3&amp; "]Pressure!" &amp;AM$26 &amp; $P$28+$M36))</f>
        <v>-2.6753072325652499E-5</v>
      </c>
      <c r="AN36" s="244">
        <f ca="1">IF(INDIRECT("[" &amp; 'Setup Data'!$K$3&amp; "]Pressure!" &amp;AN$26 &amp; $P$28+$M36)="","",INDIRECT("[" &amp; 'Setup Data'!$K$3&amp; "]Pressure!" &amp;AN$26 &amp; $P$28+$M36))</f>
        <v>-1.3762942565609599E-2</v>
      </c>
      <c r="AO36" s="244">
        <f ca="1">IF(INDIRECT("[" &amp; 'Setup Data'!$K$3&amp; "]Pressure!" &amp;AO$26 &amp; $P$28+$M36)="","",INDIRECT("[" &amp; 'Setup Data'!$K$3&amp; "]Pressure!" &amp;AO$26 &amp; $P$28+$M36))</f>
        <v>0.94808710968362497</v>
      </c>
      <c r="AP36" s="244">
        <f ca="1">IF(INDIRECT("[" &amp; 'Setup Data'!$K$3&amp; "]Pressure!" &amp;AP$26 &amp; $P$28+$M36)="","",INDIRECT("[" &amp; 'Setup Data'!$K$3&amp; "]Pressure!" &amp;AP$26 &amp; $P$28+$M36))</f>
        <v>4.1702300003699601E-2</v>
      </c>
      <c r="AQ36" s="14"/>
      <c r="AR36" s="14"/>
      <c r="AS36" s="14"/>
      <c r="AT36" s="14"/>
      <c r="AU36" s="14"/>
      <c r="AV36" s="14"/>
      <c r="AW36" s="14"/>
      <c r="AX36" s="14"/>
      <c r="AY36" s="14"/>
      <c r="AZ36" s="14"/>
      <c r="BA36" s="16"/>
      <c r="BB36" s="147"/>
      <c r="BC36" s="16"/>
      <c r="DZ36" s="16"/>
      <c r="EA36" s="16"/>
      <c r="EB36" s="16"/>
      <c r="EC36" s="16"/>
      <c r="ED36" s="16"/>
      <c r="EE36" s="16"/>
    </row>
    <row r="37" spans="1:135">
      <c r="A37" s="237" t="str">
        <f t="shared" si="7"/>
        <v>PC</v>
      </c>
      <c r="B37" s="246" t="s">
        <v>219</v>
      </c>
      <c r="C37" s="223" t="s">
        <v>206</v>
      </c>
      <c r="D37" s="238" t="str">
        <f>IF($A$5="Y","Oxygen ","") &amp; "Pressure Calibrator"</f>
        <v>Pressure Calibrator</v>
      </c>
      <c r="E37" s="239"/>
      <c r="F37" s="240"/>
      <c r="G37" s="241" t="s">
        <v>220</v>
      </c>
      <c r="H37" s="242">
        <v>10</v>
      </c>
      <c r="I37" s="242" t="s">
        <v>221</v>
      </c>
      <c r="J37" s="243"/>
      <c r="K37" s="243" t="s">
        <v>208</v>
      </c>
      <c r="L37" s="242" t="s">
        <v>222</v>
      </c>
      <c r="M37" s="102">
        <f t="shared" si="8"/>
        <v>7</v>
      </c>
      <c r="N37" s="244" t="str">
        <f ca="1">IF($O$28=20,"A / ","") &amp; IF(INDIRECT("[" &amp; 'Setup Data'!$K$3&amp; "]Pressure!" &amp;N$26 &amp; $P$28+$M37)="","",INDIRECT("[" &amp; 'Setup Data'!$K$3&amp; "]Pressure!" &amp;N$26 &amp; $P$28+$M37))</f>
        <v>A / 20000</v>
      </c>
      <c r="O37" s="245">
        <f ca="1">IF(INDIRECT("[" &amp; 'Setup Data'!$K$3&amp; "]Pressure!" &amp;O$26 &amp; $P$28+$M37)="","",INDIRECT("[" &amp; 'Setup Data'!$K$3&amp; "]Pressure!" &amp;O$26 &amp; $P$28+$M37))</f>
        <v>3204684</v>
      </c>
      <c r="P37" s="244">
        <f ca="1">IF(INDIRECT("[" &amp; 'Setup Data'!$K$3&amp; "]Pressure!" &amp;P$26 &amp; $P$28+$M37)="","",INDIRECT("[" &amp; 'Setup Data'!$K$3&amp; "]Pressure!" &amp;P$26 &amp; $P$28+$M37))</f>
        <v>20</v>
      </c>
      <c r="Q37" s="244" t="str">
        <f ca="1">IF(INDIRECT("[" &amp; 'Setup Data'!$K$3&amp; "]Pressure!" &amp;Q$26 &amp; $P$28+$M37)="","",INDIRECT("[" &amp; 'Setup Data'!$K$3&amp; "]Pressure!" &amp;Q$26 &amp; $P$28+$M37))</f>
        <v>APL256500</v>
      </c>
      <c r="R37" s="244">
        <f ca="1">IF(INDIRECT("[" &amp; 'Setup Data'!$K$3&amp; "]Pressure!" &amp;R$26 &amp; $P$28+$M37)="","",INDIRECT("[" &amp; 'Setup Data'!$K$3&amp; "]Pressure!" &amp;R$26 &amp; $P$28+$M37))</f>
        <v>45734</v>
      </c>
      <c r="S37" s="244">
        <f ca="1">IF(INDIRECT("[" &amp; 'Setup Data'!$K$3&amp; "]Pressure!" &amp;S$26 &amp; $P$28+$M37)="","",INDIRECT("[" &amp; 'Setup Data'!$K$3&amp; "]Pressure!" &amp;S$26 &amp; $P$28+$M37))</f>
        <v>46098</v>
      </c>
      <c r="T37" s="244">
        <f ca="1">IF(INDIRECT("[" &amp; 'Setup Data'!$K$3&amp; "]Pressure!" &amp;T$26 &amp; $P$28+$M37)="","",INDIRECT("[" &amp; 'Setup Data'!$K$3&amp; "]Pressure!" &amp;T$26 &amp; $P$28+$M37))</f>
        <v>20000</v>
      </c>
      <c r="U37" s="244">
        <f ca="1">IF(INDIRECT("[" &amp; 'Setup Data'!$K$3&amp; "]Pressure!" &amp;U$26 &amp; $P$28+$M37)="","",INDIRECT("[" &amp; 'Setup Data'!$K$3&amp; "]Pressure!" &amp;U$26 &amp; $P$28+$M37))</f>
        <v>0</v>
      </c>
      <c r="V37" s="244">
        <f ca="1">IF(INDIRECT("[" &amp; 'Setup Data'!$K$3&amp; "]Pressure!" &amp;V$26 &amp; $P$28+$M37)="","",INDIRECT("[" &amp; 'Setup Data'!$K$3&amp; "]Pressure!" &amp;V$26 &amp; $P$28+$M37))</f>
        <v>2.5000000000000001E-3</v>
      </c>
      <c r="W37" s="244">
        <f ca="1">IF(INDIRECT("[" &amp; 'Setup Data'!$K$3&amp; "]Pressure!" &amp;W$26 &amp; $P$28+$M37)="","",INDIRECT("[" &amp; 'Setup Data'!$K$3&amp; "]Pressure!" &amp;W$26 &amp; $P$28+$M37))</f>
        <v>4.8999999999999998E-3</v>
      </c>
      <c r="X37" s="244">
        <f ca="1">IF(INDIRECT("[" &amp; 'Setup Data'!$K$3&amp; "]Pressure!" &amp;X$26 &amp; $P$28+$M37)="","",INDIRECT("[" &amp; 'Setup Data'!$K$3&amp; "]Pressure!" &amp;X$26 &amp; $P$28+$M37))</f>
        <v>1.5E-3</v>
      </c>
      <c r="Y37" s="244">
        <f ca="1">IF(INDIRECT("[" &amp; 'Setup Data'!$K$3&amp; "]Pressure!" &amp;Y$26 &amp; $P$28+$M37)="","",INDIRECT("[" &amp; 'Setup Data'!$K$3&amp; "]Pressure!" &amp;Y$26 &amp; $P$28+$M37))</f>
        <v>-1.2140637140000001E-15</v>
      </c>
      <c r="Z37" s="244">
        <f ca="1">IF(INDIRECT("[" &amp; 'Setup Data'!$K$3&amp; "]Pressure!" &amp;Z$26 &amp; $P$28+$M37)="","",INDIRECT("[" &amp; 'Setup Data'!$K$3&amp; "]Pressure!" &amp;Z$26 &amp; $P$28+$M37))</f>
        <v>6.9784382284382296E-10</v>
      </c>
      <c r="AA37" s="244">
        <f ca="1">IF(INDIRECT("[" &amp; 'Setup Data'!$K$3&amp; "]Pressure!" &amp;AA$26 &amp; $P$28+$M37)="","",INDIRECT("[" &amp; 'Setup Data'!$K$3&amp; "]Pressure!" &amp;AA$26 &amp; $P$28+$M37))</f>
        <v>4.9028749028749104E-6</v>
      </c>
      <c r="AB37" s="244">
        <f ca="1">IF(INDIRECT("[" &amp; 'Setup Data'!$K$3&amp; "]Pressure!" &amp;AB$26 &amp; $P$28+$M37)="","",INDIRECT("[" &amp; 'Setup Data'!$K$3&amp; "]Pressure!" &amp;AB$26 &amp; $P$28+$M37))</f>
        <v>0.608671328671329</v>
      </c>
      <c r="AC37" s="244">
        <f ca="1">IF(INDIRECT("[" &amp; 'Setup Data'!$K$3&amp; "]Pressure!" &amp;AC$26 &amp; $P$28+$M37)="","",INDIRECT("[" &amp; 'Setup Data'!$K$3&amp; "]Pressure!" &amp;AC$26 &amp; $P$28+$M37))</f>
        <v>0.99936700876726603</v>
      </c>
      <c r="AD37" s="244">
        <f ca="1">IF(INDIRECT("[" &amp; 'Setup Data'!$K$3&amp; "]Pressure!" &amp;AD$26 &amp; $P$28+$M37)="","",INDIRECT("[" &amp; 'Setup Data'!$K$3&amp; "]Pressure!" &amp;AD$26 &amp; $P$28+$M37))</f>
        <v>3.7464602007713701E-3</v>
      </c>
      <c r="AE37" s="244">
        <f ca="1">IF(INDIRECT("[" &amp; 'Setup Data'!$K$3&amp; "]Pressure!" &amp;AE$26 &amp; $P$28+$M37)="","",INDIRECT("[" &amp; 'Setup Data'!$K$3&amp; "]Pressure!" &amp;AE$26 &amp; $P$28+$M37))</f>
        <v>-4.4677544677499999E-13</v>
      </c>
      <c r="AF37" s="244">
        <f ca="1">IF(INDIRECT("[" &amp; 'Setup Data'!$K$3&amp; "]Pressure!" &amp;AF$26 &amp; $P$28+$M37)="","",INDIRECT("[" &amp; 'Setup Data'!$K$3&amp; "]Pressure!" &amp;AF$26 &amp; $P$28+$M37))</f>
        <v>1.47435897435897E-8</v>
      </c>
      <c r="AG37" s="244">
        <f ca="1">IF(INDIRECT("[" &amp; 'Setup Data'!$K$3&amp; "]Pressure!" &amp;AG$26 &amp; $P$28+$M37)="","",INDIRECT("[" &amp; 'Setup Data'!$K$3&amp; "]Pressure!" &amp;AG$26 &amp; $P$28+$M37))</f>
        <v>-1.2630147630147601E-4</v>
      </c>
      <c r="AH37" s="244">
        <f ca="1">IF(INDIRECT("[" &amp; 'Setup Data'!$K$3&amp; "]Pressure!" &amp;AH$26 &amp; $P$28+$M37)="","",INDIRECT("[" &amp; 'Setup Data'!$K$3&amp; "]Pressure!" &amp;AH$26 &amp; $P$28+$M37))</f>
        <v>8.1818181818181707E-2</v>
      </c>
      <c r="AI37" s="244">
        <f ca="1">IF(INDIRECT("[" &amp; 'Setup Data'!$K$3&amp; "]Pressure!" &amp;AI$26 &amp; $P$28+$M37)="","",INDIRECT("[" &amp; 'Setup Data'!$K$3&amp; "]Pressure!" &amp;AI$26 &amp; $P$28+$M37))</f>
        <v>0.66783216783216504</v>
      </c>
      <c r="AJ37" s="244">
        <f ca="1">IF(INDIRECT("[" &amp; 'Setup Data'!$K$3&amp; "]Pressure!" &amp;AJ$26 &amp; $P$28+$M37)="","",INDIRECT("[" &amp; 'Setup Data'!$K$3&amp; "]Pressure!" &amp;AJ$26 &amp; $P$28+$M37))</f>
        <v>8.7134422545901299E-2</v>
      </c>
      <c r="AK37" s="244">
        <f ca="1">IF(INDIRECT("[" &amp; 'Setup Data'!$K$3&amp; "]Pressure!" &amp;AK$26 &amp; $P$28+$M37)="","",INDIRECT("[" &amp; 'Setup Data'!$K$3&amp; "]Pressure!" &amp;AK$26 &amp; $P$28+$M37))</f>
        <v>6.1431623931600001E-13</v>
      </c>
      <c r="AL37" s="244">
        <f ca="1">IF(INDIRECT("[" &amp; 'Setup Data'!$K$3&amp; "]Pressure!" &amp;AL$26 &amp; $P$28+$M37)="","",INDIRECT("[" &amp; 'Setup Data'!$K$3&amp; "]Pressure!" &amp;AL$26 &amp; $P$28+$M37))</f>
        <v>-1.7759324009323902E-8</v>
      </c>
      <c r="AM37" s="244">
        <f ca="1">IF(INDIRECT("[" &amp; 'Setup Data'!$K$3&amp; "]Pressure!" &amp;AM$26 &amp; $P$28+$M37)="","",INDIRECT("[" &amp; 'Setup Data'!$K$3&amp; "]Pressure!" &amp;AM$26 &amp; $P$28+$M37))</f>
        <v>1.33061383061382E-4</v>
      </c>
      <c r="AN37" s="244">
        <f ca="1">IF(INDIRECT("[" &amp; 'Setup Data'!$K$3&amp; "]Pressure!" &amp;AN$26 &amp; $P$28+$M37)="","",INDIRECT("[" &amp; 'Setup Data'!$K$3&amp; "]Pressure!" &amp;AN$26 &amp; $P$28+$M37))</f>
        <v>-0.18671328671328599</v>
      </c>
      <c r="AO37" s="244">
        <f ca="1">IF(INDIRECT("[" &amp; 'Setup Data'!$K$3&amp; "]Pressure!" &amp;AO$26 &amp; $P$28+$M37)="","",INDIRECT("[" &amp; 'Setup Data'!$K$3&amp; "]Pressure!" &amp;AO$26 &amp; $P$28+$M37))</f>
        <v>0.349084929939946</v>
      </c>
      <c r="AP37" s="244">
        <f ca="1">IF(INDIRECT("[" &amp; 'Setup Data'!$K$3&amp; "]Pressure!" &amp;AP$26 &amp; $P$28+$M37)="","",INDIRECT("[" &amp; 'Setup Data'!$K$3&amp; "]Pressure!" &amp;AP$26 &amp; $P$28+$M37))</f>
        <v>0.21325927993763999</v>
      </c>
      <c r="AQ37" s="14"/>
      <c r="AR37" s="14"/>
      <c r="AS37" s="14"/>
      <c r="AT37" s="14"/>
      <c r="AU37" s="14"/>
      <c r="AV37" s="14"/>
      <c r="AW37" s="14"/>
      <c r="AX37" s="14"/>
      <c r="AY37" s="14"/>
      <c r="AZ37" s="14"/>
      <c r="BA37" s="14"/>
      <c r="BB37" s="14"/>
      <c r="BC37" s="14"/>
      <c r="DZ37" s="16"/>
      <c r="EA37" s="16"/>
      <c r="EB37" s="16"/>
      <c r="EC37" s="16"/>
      <c r="ED37" s="16"/>
      <c r="EE37" s="16"/>
    </row>
    <row r="38" spans="1:135">
      <c r="A38" s="237" t="str">
        <f t="shared" si="7"/>
        <v>PS</v>
      </c>
      <c r="B38" s="222" t="s">
        <v>189</v>
      </c>
      <c r="C38" s="223" t="s">
        <v>190</v>
      </c>
      <c r="D38" s="238" t="str">
        <f>IF($A$5="Y","Oxygen ","") &amp; "Pressure Switch"</f>
        <v>Pressure Switch</v>
      </c>
      <c r="E38" s="239"/>
      <c r="F38" s="240"/>
      <c r="G38" s="241" t="s">
        <v>223</v>
      </c>
      <c r="H38" s="242">
        <v>1</v>
      </c>
      <c r="I38" s="242" t="s">
        <v>204</v>
      </c>
      <c r="J38" s="243"/>
      <c r="K38" s="243" t="s">
        <v>208</v>
      </c>
      <c r="L38" s="242" t="s">
        <v>224</v>
      </c>
      <c r="M38" s="102">
        <f t="shared" si="8"/>
        <v>8</v>
      </c>
      <c r="N38" s="244" t="str">
        <f ca="1">IF($O$28=20,"A / ","") &amp; IF(INDIRECT("[" &amp; 'Setup Data'!$K$3&amp; "]Pressure!" &amp;N$26 &amp; $P$28+$M38)="","",INDIRECT("[" &amp; 'Setup Data'!$K$3&amp; "]Pressure!" &amp;N$26 &amp; $P$28+$M38))</f>
        <v>A / 70000</v>
      </c>
      <c r="O38" s="245">
        <f ca="1">IF(INDIRECT("[" &amp; 'Setup Data'!$K$3&amp; "]Pressure!" &amp;O$26 &amp; $P$28+$M38)="","",INDIRECT("[" &amp; 'Setup Data'!$K$3&amp; "]Pressure!" &amp;O$26 &amp; $P$28+$M38))</f>
        <v>3228343</v>
      </c>
      <c r="P38" s="244">
        <f ca="1">IF(INDIRECT("[" &amp; 'Setup Data'!$K$3&amp; "]Pressure!" &amp;P$26 &amp; $P$28+$M38)="","",INDIRECT("[" &amp; 'Setup Data'!$K$3&amp; "]Pressure!" &amp;P$26 &amp; $P$28+$M38))</f>
        <v>20</v>
      </c>
      <c r="Q38" s="244" t="str">
        <f ca="1">IF(INDIRECT("[" &amp; 'Setup Data'!$K$3&amp; "]Pressure!" &amp;Q$26 &amp; $P$28+$M38)="","",INDIRECT("[" &amp; 'Setup Data'!$K$3&amp; "]Pressure!" &amp;Q$26 &amp; $P$28+$M38))</f>
        <v>APL256501</v>
      </c>
      <c r="R38" s="244">
        <f ca="1">IF(INDIRECT("[" &amp; 'Setup Data'!$K$3&amp; "]Pressure!" &amp;R$26 &amp; $P$28+$M38)="","",INDIRECT("[" &amp; 'Setup Data'!$K$3&amp; "]Pressure!" &amp;R$26 &amp; $P$28+$M38))</f>
        <v>45733</v>
      </c>
      <c r="S38" s="244">
        <f ca="1">IF(INDIRECT("[" &amp; 'Setup Data'!$K$3&amp; "]Pressure!" &amp;S$26 &amp; $P$28+$M38)="","",INDIRECT("[" &amp; 'Setup Data'!$K$3&amp; "]Pressure!" &amp;S$26 &amp; $P$28+$M38))</f>
        <v>46097</v>
      </c>
      <c r="T38" s="244">
        <f ca="1">IF(INDIRECT("[" &amp; 'Setup Data'!$K$3&amp; "]Pressure!" &amp;T$26 &amp; $P$28+$M38)="","",INDIRECT("[" &amp; 'Setup Data'!$K$3&amp; "]Pressure!" &amp;T$26 &amp; $P$28+$M38))</f>
        <v>70000</v>
      </c>
      <c r="U38" s="244">
        <f ca="1">IF(INDIRECT("[" &amp; 'Setup Data'!$K$3&amp; "]Pressure!" &amp;U$26 &amp; $P$28+$M38)="","",INDIRECT("[" &amp; 'Setup Data'!$K$3&amp; "]Pressure!" &amp;U$26 &amp; $P$28+$M38))</f>
        <v>0</v>
      </c>
      <c r="V38" s="244">
        <f ca="1">IF(INDIRECT("[" &amp; 'Setup Data'!$K$3&amp; "]Pressure!" &amp;V$26 &amp; $P$28+$M38)="","",INDIRECT("[" &amp; 'Setup Data'!$K$3&amp; "]Pressure!" &amp;V$26 &amp; $P$28+$M38))</f>
        <v>1.4E-3</v>
      </c>
      <c r="W38" s="244">
        <f ca="1">IF(INDIRECT("[" &amp; 'Setup Data'!$K$3&amp; "]Pressure!" &amp;W$26 &amp; $P$28+$M38)="","",INDIRECT("[" &amp; 'Setup Data'!$K$3&amp; "]Pressure!" &amp;W$26 &amp; $P$28+$M38))</f>
        <v>5.2900000000000004E-3</v>
      </c>
      <c r="X38" s="244">
        <f ca="1">IF(INDIRECT("[" &amp; 'Setup Data'!$K$3&amp; "]Pressure!" &amp;X$26 &amp; $P$28+$M38)="","",INDIRECT("[" &amp; 'Setup Data'!$K$3&amp; "]Pressure!" &amp;X$26 &amp; $P$28+$M38))</f>
        <v>2.8999999999999998E-3</v>
      </c>
      <c r="Y38" s="244">
        <f ca="1">IF(INDIRECT("[" &amp; 'Setup Data'!$K$3&amp; "]Pressure!" &amp;Y$26 &amp; $P$28+$M38)="","",INDIRECT("[" &amp; 'Setup Data'!$K$3&amp; "]Pressure!" &amp;Y$26 &amp; $P$28+$M38))</f>
        <v>-3.5538401489999998E-15</v>
      </c>
      <c r="Z38" s="244">
        <f ca="1">IF(INDIRECT("[" &amp; 'Setup Data'!$K$3&amp; "]Pressure!" &amp;Z$26 &amp; $P$28+$M38)="","",INDIRECT("[" &amp; 'Setup Data'!$K$3&amp; "]Pressure!" &amp;Z$26 &amp; $P$28+$M38))</f>
        <v>7.1913558311964004E-10</v>
      </c>
      <c r="AA38" s="244">
        <f ca="1">IF(INDIRECT("[" &amp; 'Setup Data'!$K$3&amp; "]Pressure!" &amp;AA$26 &amp; $P$28+$M38)="","",INDIRECT("[" &amp; 'Setup Data'!$K$3&amp; "]Pressure!" &amp;AA$26 &amp; $P$28+$M38))</f>
        <v>-9.5020643398859403E-7</v>
      </c>
      <c r="AB38" s="244">
        <f ca="1">IF(INDIRECT("[" &amp; 'Setup Data'!$K$3&amp; "]Pressure!" &amp;AB$26 &amp; $P$28+$M38)="","",INDIRECT("[" &amp; 'Setup Data'!$K$3&amp; "]Pressure!" &amp;AB$26 &amp; $P$28+$M38))</f>
        <v>1.39360289877355</v>
      </c>
      <c r="AC38" s="244">
        <f ca="1">IF(INDIRECT("[" &amp; 'Setup Data'!$K$3&amp; "]Pressure!" &amp;AC$26 &amp; $P$28+$M38)="","",INDIRECT("[" &amp; 'Setup Data'!$K$3&amp; "]Pressure!" &amp;AC$26 &amp; $P$28+$M38))</f>
        <v>0.98374474284897195</v>
      </c>
      <c r="AD38" s="244">
        <f ca="1">IF(INDIRECT("[" &amp; 'Setup Data'!$K$3&amp; "]Pressure!" &amp;AD$26 &amp; $P$28+$M38)="","",INDIRECT("[" &amp; 'Setup Data'!$K$3&amp; "]Pressure!" &amp;AD$26 &amp; $P$28+$M38))</f>
        <v>0.12673950952540899</v>
      </c>
      <c r="AE38" s="244">
        <f ca="1">IF(INDIRECT("[" &amp; 'Setup Data'!$K$3&amp; "]Pressure!" &amp;AE$26 &amp; $P$28+$M38)="","",INDIRECT("[" &amp; 'Setup Data'!$K$3&amp; "]Pressure!" &amp;AE$26 &amp; $P$28+$M38))</f>
        <v>-3.988175077E-15</v>
      </c>
      <c r="AF38" s="244">
        <f ca="1">IF(INDIRECT("[" &amp; 'Setup Data'!$K$3&amp; "]Pressure!" &amp;AF$26 &amp; $P$28+$M38)="","",INDIRECT("[" &amp; 'Setup Data'!$K$3&amp; "]Pressure!" &amp;AF$26 &amp; $P$28+$M38))</f>
        <v>3.4269473819800498E-10</v>
      </c>
      <c r="AG38" s="244">
        <f ca="1">IF(INDIRECT("[" &amp; 'Setup Data'!$K$3&amp; "]Pressure!" &amp;AG$26 &amp; $P$28+$M38)="","",INDIRECT("[" &amp; 'Setup Data'!$K$3&amp; "]Pressure!" &amp;AG$26 &amp; $P$28+$M38))</f>
        <v>-3.3504625025081702E-5</v>
      </c>
      <c r="AH38" s="244">
        <f ca="1">IF(INDIRECT("[" &amp; 'Setup Data'!$K$3&amp; "]Pressure!" &amp;AH$26 &amp; $P$28+$M38)="","",INDIRECT("[" &amp; 'Setup Data'!$K$3&amp; "]Pressure!" &amp;AH$26 &amp; $P$28+$M38))</f>
        <v>-0.16913246389818201</v>
      </c>
      <c r="AI38" s="244">
        <f ca="1">IF(INDIRECT("[" &amp; 'Setup Data'!$K$3&amp; "]Pressure!" &amp;AI$26 &amp; $P$28+$M38)="","",INDIRECT("[" &amp; 'Setup Data'!$K$3&amp; "]Pressure!" &amp;AI$26 &amp; $P$28+$M38))</f>
        <v>0.67087560745458497</v>
      </c>
      <c r="AJ38" s="244">
        <f ca="1">IF(INDIRECT("[" &amp; 'Setup Data'!$K$3&amp; "]Pressure!" &amp;AJ$26 &amp; $P$28+$M38)="","",INDIRECT("[" &amp; 'Setup Data'!$K$3&amp; "]Pressure!" &amp;AJ$26 &amp; $P$28+$M38))</f>
        <v>0.57369363997295197</v>
      </c>
      <c r="AK38" s="244">
        <f ca="1">IF(INDIRECT("[" &amp; 'Setup Data'!$K$3&amp; "]Pressure!" &amp;AK$26 &amp; $P$28+$M38)="","",INDIRECT("[" &amp; 'Setup Data'!$K$3&amp; "]Pressure!" &amp;AK$26 &amp; $P$28+$M38))</f>
        <v>1.3232507025999999E-14</v>
      </c>
      <c r="AL38" s="244">
        <f ca="1">IF(INDIRECT("[" &amp; 'Setup Data'!$K$3&amp; "]Pressure!" &amp;AL$26 &amp; $P$28+$M38)="","",INDIRECT("[" &amp; 'Setup Data'!$K$3&amp; "]Pressure!" &amp;AL$26 &amp; $P$28+$M38))</f>
        <v>-2.6049691111087301E-9</v>
      </c>
      <c r="AM38" s="244">
        <f ca="1">IF(INDIRECT("[" &amp; 'Setup Data'!$K$3&amp; "]Pressure!" &amp;AM$26 &amp; $P$28+$M38)="","",INDIRECT("[" &amp; 'Setup Data'!$K$3&amp; "]Pressure!" &amp;AM$26 &amp; $P$28+$M38))</f>
        <v>1.05900316948155E-4</v>
      </c>
      <c r="AN38" s="244">
        <f ca="1">IF(INDIRECT("[" &amp; 'Setup Data'!$K$3&amp; "]Pressure!" &amp;AN$26 &amp; $P$28+$M38)="","",INDIRECT("[" &amp; 'Setup Data'!$K$3&amp; "]Pressure!" &amp;AN$26 &amp; $P$28+$M38))</f>
        <v>-0.10698845337735501</v>
      </c>
      <c r="AO38" s="244">
        <f ca="1">IF(INDIRECT("[" &amp; 'Setup Data'!$K$3&amp; "]Pressure!" &amp;AO$26 &amp; $P$28+$M38)="","",INDIRECT("[" &amp; 'Setup Data'!$K$3&amp; "]Pressure!" &amp;AO$26 &amp; $P$28+$M38))</f>
        <v>0.89319186687853103</v>
      </c>
      <c r="AP38" s="244">
        <f ca="1">IF(INDIRECT("[" &amp; 'Setup Data'!$K$3&amp; "]Pressure!" &amp;AP$26 &amp; $P$28+$M38)="","",INDIRECT("[" &amp; 'Setup Data'!$K$3&amp; "]Pressure!" &amp;AP$26 &amp; $P$28+$M38))</f>
        <v>0.27986776214683501</v>
      </c>
      <c r="AQ38" s="14"/>
      <c r="AR38" s="14"/>
      <c r="AS38" s="14"/>
      <c r="AT38" s="14"/>
      <c r="AU38" s="14"/>
      <c r="AV38" s="14"/>
      <c r="AW38" s="14"/>
      <c r="AX38" s="14"/>
      <c r="AY38" s="14"/>
      <c r="AZ38" s="14"/>
      <c r="BA38" s="14"/>
      <c r="BB38" s="14"/>
      <c r="BC38" s="14"/>
      <c r="DZ38" s="16"/>
      <c r="EA38" s="16"/>
      <c r="EB38" s="16"/>
      <c r="EC38" s="16"/>
      <c r="ED38" s="16"/>
      <c r="EE38" s="16"/>
    </row>
    <row r="39" spans="1:135">
      <c r="A39" s="237" t="str">
        <f t="shared" si="7"/>
        <v>PR</v>
      </c>
      <c r="B39" s="246" t="s">
        <v>219</v>
      </c>
      <c r="C39" s="223" t="s">
        <v>210</v>
      </c>
      <c r="D39" s="238" t="str">
        <f>IF($A$5="Y","Oxygen ","") &amp; "Pressure Recorder"</f>
        <v>Pressure Recorder</v>
      </c>
      <c r="E39" s="239"/>
      <c r="F39" s="240"/>
      <c r="G39" s="241" t="s">
        <v>225</v>
      </c>
      <c r="H39" s="242">
        <v>10</v>
      </c>
      <c r="I39" s="242" t="s">
        <v>204</v>
      </c>
      <c r="J39" s="243"/>
      <c r="K39" s="243" t="s">
        <v>208</v>
      </c>
      <c r="L39" s="242" t="s">
        <v>226</v>
      </c>
      <c r="M39" s="102">
        <f t="shared" si="8"/>
        <v>9</v>
      </c>
      <c r="N39" s="244" t="str">
        <f ca="1">IF($O$28=20,"A / ","") &amp; IF(INDIRECT("[" &amp; 'Setup Data'!$K$3&amp; "]Pressure!" &amp;N$26 &amp; $P$28+$M39)="","",INDIRECT("[" &amp; 'Setup Data'!$K$3&amp; "]Pressure!" &amp;N$26 &amp; $P$28+$M39))</f>
        <v>A / 200000</v>
      </c>
      <c r="O39" s="245">
        <f ca="1">IF(INDIRECT("[" &amp; 'Setup Data'!$K$3&amp; "]Pressure!" &amp;O$26 &amp; $P$28+$M39)="","",INDIRECT("[" &amp; 'Setup Data'!$K$3&amp; "]Pressure!" &amp;O$26 &amp; $P$28+$M39))</f>
        <v>21817130006</v>
      </c>
      <c r="P39" s="244">
        <f ca="1">IF(INDIRECT("[" &amp; 'Setup Data'!$K$3&amp; "]Pressure!" &amp;P$26 &amp; $P$28+$M39)="","",INDIRECT("[" &amp; 'Setup Data'!$K$3&amp; "]Pressure!" &amp;P$26 &amp; $P$28+$M39))</f>
        <v>20</v>
      </c>
      <c r="Q39" s="244" t="str">
        <f ca="1">IF(INDIRECT("[" &amp; 'Setup Data'!$K$3&amp; "]Pressure!" &amp;Q$26 &amp; $P$28+$M39)="","",INDIRECT("[" &amp; 'Setup Data'!$K$3&amp; "]Pressure!" &amp;Q$26 &amp; $P$28+$M39))</f>
        <v>APL256326</v>
      </c>
      <c r="R39" s="244">
        <f ca="1">IF(INDIRECT("[" &amp; 'Setup Data'!$K$3&amp; "]Pressure!" &amp;R$26 &amp; $P$28+$M39)="","",INDIRECT("[" &amp; 'Setup Data'!$K$3&amp; "]Pressure!" &amp;R$26 &amp; $P$28+$M39))</f>
        <v>45716</v>
      </c>
      <c r="S39" s="244">
        <f ca="1">IF(INDIRECT("[" &amp; 'Setup Data'!$K$3&amp; "]Pressure!" &amp;S$26 &amp; $P$28+$M39)="","",INDIRECT("[" &amp; 'Setup Data'!$K$3&amp; "]Pressure!" &amp;S$26 &amp; $P$28+$M39))</f>
        <v>46080</v>
      </c>
      <c r="T39" s="244">
        <f ca="1">IF(INDIRECT("[" &amp; 'Setup Data'!$K$3&amp; "]Pressure!" &amp;T$26 &amp; $P$28+$M39)="","",INDIRECT("[" &amp; 'Setup Data'!$K$3&amp; "]Pressure!" &amp;T$26 &amp; $P$28+$M39))</f>
        <v>200000</v>
      </c>
      <c r="U39" s="244">
        <f ca="1">IF(INDIRECT("[" &amp; 'Setup Data'!$K$3&amp; "]Pressure!" &amp;U$26 &amp; $P$28+$M39)="","",INDIRECT("[" &amp; 'Setup Data'!$K$3&amp; "]Pressure!" &amp;U$26 &amp; $P$28+$M39))</f>
        <v>0</v>
      </c>
      <c r="V39" s="244">
        <f ca="1">IF(INDIRECT("[" &amp; 'Setup Data'!$K$3&amp; "]Pressure!" &amp;V$26 &amp; $P$28+$M39)="","",INDIRECT("[" &amp; 'Setup Data'!$K$3&amp; "]Pressure!" &amp;V$26 &amp; $P$28+$M39))</f>
        <v>0.03</v>
      </c>
      <c r="W39" s="244">
        <f ca="1">IF(INDIRECT("[" &amp; 'Setup Data'!$K$3&amp; "]Pressure!" &amp;W$26 &amp; $P$28+$M39)="","",INDIRECT("[" &amp; 'Setup Data'!$K$3&amp; "]Pressure!" &amp;W$26 &amp; $P$28+$M39))</f>
        <v>1.9E-2</v>
      </c>
      <c r="X39" s="244">
        <f ca="1">IF(INDIRECT("[" &amp; 'Setup Data'!$K$3&amp; "]Pressure!" &amp;X$26 &amp; $P$28+$M39)="","",INDIRECT("[" &amp; 'Setup Data'!$K$3&amp; "]Pressure!" &amp;X$26 &amp; $P$28+$M39))</f>
        <v>1.4999999999999999E-2</v>
      </c>
      <c r="Y39" s="244">
        <f ca="1">IF(INDIRECT("[" &amp; 'Setup Data'!$K$3&amp; "]Pressure!" &amp;Y$26 &amp; $P$28+$M39)="","",INDIRECT("[" &amp; 'Setup Data'!$K$3&amp; "]Pressure!" &amp;Y$26 &amp; $P$28+$M39))</f>
        <v>1.893939394E-15</v>
      </c>
      <c r="Z39" s="244">
        <f ca="1">IF(INDIRECT("[" &amp; 'Setup Data'!$K$3&amp; "]Pressure!" &amp;Z$26 &amp; $P$28+$M39)="","",INDIRECT("[" &amp; 'Setup Data'!$K$3&amp; "]Pressure!" &amp;Z$26 &amp; $P$28+$M39))</f>
        <v>-1.68997668997668E-10</v>
      </c>
      <c r="AA39" s="244">
        <f ca="1">IF(INDIRECT("[" &amp; 'Setup Data'!$K$3&amp; "]Pressure!" &amp;AA$26 &amp; $P$28+$M39)="","",INDIRECT("[" &amp; 'Setup Data'!$K$3&amp; "]Pressure!" &amp;AA$26 &amp; $P$28+$M39))</f>
        <v>2.3951048951048799E-5</v>
      </c>
      <c r="AB39" s="244">
        <f ca="1">IF(INDIRECT("[" &amp; 'Setup Data'!$K$3&amp; "]Pressure!" &amp;AB$26 &amp; $P$28+$M39)="","",INDIRECT("[" &amp; 'Setup Data'!$K$3&amp; "]Pressure!" &amp;AB$26 &amp; $P$28+$M39))</f>
        <v>24.8951048951049</v>
      </c>
      <c r="AC39" s="244">
        <f ca="1">IF(INDIRECT("[" &amp; 'Setup Data'!$K$3&amp; "]Pressure!" &amp;AC$26 &amp; $P$28+$M39)="","",INDIRECT("[" &amp; 'Setup Data'!$K$3&amp; "]Pressure!" &amp;AC$26 &amp; $P$28+$M39))</f>
        <v>0.99563825227542002</v>
      </c>
      <c r="AD39" s="244">
        <f ca="1">IF(INDIRECT("[" &amp; 'Setup Data'!$K$3&amp; "]Pressure!" &amp;AD$26 &amp; $P$28+$M39)="","",INDIRECT("[" &amp; 'Setup Data'!$K$3&amp; "]Pressure!" &amp;AD$26 &amp; $P$28+$M39))</f>
        <v>0.33943794015713002</v>
      </c>
      <c r="AE39" s="244">
        <f ca="1">IF(INDIRECT("[" &amp; 'Setup Data'!$K$3&amp; "]Pressure!" &amp;AE$26 &amp; $P$28+$M39)="","",INDIRECT("[" &amp; 'Setup Data'!$K$3&amp; "]Pressure!" &amp;AE$26 &amp; $P$28+$M39))</f>
        <v>-7.7700077699999998E-15</v>
      </c>
      <c r="AF39" s="244">
        <f ca="1">IF(INDIRECT("[" &amp; 'Setup Data'!$K$3&amp; "]Pressure!" &amp;AF$26 &amp; $P$28+$M39)="","",INDIRECT("[" &amp; 'Setup Data'!$K$3&amp; "]Pressure!" &amp;AF$26 &amp; $P$28+$M39))</f>
        <v>3.8170163170163697E-9</v>
      </c>
      <c r="AG39" s="244">
        <f ca="1">IF(INDIRECT("[" &amp; 'Setup Data'!$K$3&amp; "]Pressure!" &amp;AG$26 &amp; $P$28+$M39)="","",INDIRECT("[" &amp; 'Setup Data'!$K$3&amp; "]Pressure!" &amp;AG$26 &amp; $P$28+$M39))</f>
        <v>-3.7043512043512499E-4</v>
      </c>
      <c r="AH39" s="244">
        <f ca="1">IF(INDIRECT("[" &amp; 'Setup Data'!$K$3&amp; "]Pressure!" &amp;AH$26 &amp; $P$28+$M39)="","",INDIRECT("[" &amp; 'Setup Data'!$K$3&amp; "]Pressure!" &amp;AH$26 &amp; $P$28+$M39))</f>
        <v>-9.3006993006992396</v>
      </c>
      <c r="AI39" s="244">
        <f ca="1">IF(INDIRECT("[" &amp; 'Setup Data'!$K$3&amp; "]Pressure!" &amp;AI$26 &amp; $P$28+$M39)="","",INDIRECT("[" &amp; 'Setup Data'!$K$3&amp; "]Pressure!" &amp;AI$26 &amp; $P$28+$M39))</f>
        <v>0.57708957708957798</v>
      </c>
      <c r="AJ39" s="244">
        <f ca="1">IF(INDIRECT("[" &amp; 'Setup Data'!$K$3&amp; "]Pressure!" &amp;AJ$26 &amp; $P$28+$M39)="","",INDIRECT("[" &amp; 'Setup Data'!$K$3&amp; "]Pressure!" &amp;AJ$26 &amp; $P$28+$M39))</f>
        <v>9.1968518843180398</v>
      </c>
      <c r="AK39" s="244">
        <f ca="1">IF(INDIRECT("[" &amp; 'Setup Data'!$K$3&amp; "]Pressure!" &amp;AK$26 &amp; $P$28+$M39)="","",INDIRECT("[" &amp; 'Setup Data'!$K$3&amp; "]Pressure!" &amp;AK$26 &amp; $P$28+$M39))</f>
        <v>-5.0990675991000003E-14</v>
      </c>
      <c r="AL39" s="244">
        <f ca="1">IF(INDIRECT("[" &amp; 'Setup Data'!$K$3&amp; "]Pressure!" &amp;AL$26 &amp; $P$28+$M39)="","",INDIRECT("[" &amp; 'Setup Data'!$K$3&amp; "]Pressure!" &amp;AL$26 &amp; $P$28+$M39))</f>
        <v>2.1037296037295999E-8</v>
      </c>
      <c r="AM39" s="244">
        <f ca="1">IF(INDIRECT("[" &amp; 'Setup Data'!$K$3&amp; "]Pressure!" &amp;AM$26 &amp; $P$28+$M39)="","",INDIRECT("[" &amp; 'Setup Data'!$K$3&amp; "]Pressure!" &amp;AM$26 &amp; $P$28+$M39))</f>
        <v>-1.8828671328671299E-3</v>
      </c>
      <c r="AN39" s="244">
        <f ca="1">IF(INDIRECT("[" &amp; 'Setup Data'!$K$3&amp; "]Pressure!" &amp;AN$26 &amp; $P$28+$M39)="","",INDIRECT("[" &amp; 'Setup Data'!$K$3&amp; "]Pressure!" &amp;AN$26 &amp; $P$28+$M39))</f>
        <v>8.6713286713285704</v>
      </c>
      <c r="AO39" s="244">
        <f ca="1">IF(INDIRECT("[" &amp; 'Setup Data'!$K$3&amp; "]Pressure!" &amp;AO$26 &amp; $P$28+$M39)="","",INDIRECT("[" &amp; 'Setup Data'!$K$3&amp; "]Pressure!" &amp;AO$26 &amp; $P$28+$M39))</f>
        <v>0.96747327693619201</v>
      </c>
      <c r="AP39" s="244">
        <f ca="1">IF(INDIRECT("[" &amp; 'Setup Data'!$K$3&amp; "]Pressure!" &amp;AP$26 &amp; $P$28+$M39)="","",INDIRECT("[" &amp; 'Setup Data'!$K$3&amp; "]Pressure!" &amp;AP$26 &amp; $P$28+$M39))</f>
        <v>8.1281772905902496</v>
      </c>
      <c r="AQ39" s="14"/>
      <c r="AR39" s="14"/>
      <c r="AS39" s="14"/>
      <c r="AT39" s="14"/>
      <c r="AU39" s="14"/>
      <c r="AV39" s="14"/>
      <c r="AW39" s="14"/>
      <c r="AX39" s="14"/>
      <c r="AY39" s="14"/>
      <c r="AZ39" s="14"/>
      <c r="BA39" s="14"/>
      <c r="BB39" s="14"/>
      <c r="BC39" s="14"/>
      <c r="DZ39" s="16"/>
      <c r="EA39" s="16"/>
      <c r="EB39" s="16"/>
      <c r="EC39" s="16"/>
      <c r="ED39" s="16"/>
      <c r="EE39" s="16"/>
    </row>
    <row r="40" spans="1:135">
      <c r="A40" s="237" t="str">
        <f t="shared" si="7"/>
        <v>DM</v>
      </c>
      <c r="B40" s="246" t="e">
        <f>IF(Capacity*UnitConvert&lt;100,"Digital Pressure Indicator / Calibrator below 1 bar - 0.05% to 3.0%","Digital Pressure Indicator / Calibrator above 1 bar - 0.05% to 3.0%")</f>
        <v>#NAME?</v>
      </c>
      <c r="C40" s="223" t="s">
        <v>210</v>
      </c>
      <c r="D40" s="238" t="str">
        <f>IF($A$5="Y","Oxygen ","") &amp; "Digital Manometer"</f>
        <v>Digital Manometer</v>
      </c>
      <c r="E40" s="239"/>
      <c r="F40" s="240"/>
      <c r="G40" s="241" t="s">
        <v>227</v>
      </c>
      <c r="H40" s="242">
        <v>8</v>
      </c>
      <c r="I40" s="242" t="s">
        <v>228</v>
      </c>
      <c r="J40" s="243"/>
      <c r="K40" s="243" t="s">
        <v>208</v>
      </c>
      <c r="L40" s="242" t="s">
        <v>229</v>
      </c>
      <c r="M40" s="102">
        <f t="shared" si="8"/>
        <v>10</v>
      </c>
      <c r="N40" s="244" t="str">
        <f ca="1">IF($O$28=20,"B / ","") &amp; IF(INDIRECT("[" &amp; 'Setup Data'!$K$3&amp; "]Pressure!" &amp;N$26 &amp; $P$28+$M40)="","",INDIRECT("[" &amp; 'Setup Data'!$K$3&amp; "]Pressure!" &amp;N$26 &amp; $P$28+$M40))</f>
        <v>B / 35000</v>
      </c>
      <c r="O40" s="245">
        <f ca="1">IF(INDIRECT("[" &amp; 'Setup Data'!$K$3&amp; "]Pressure!" &amp;O$26 &amp; $P$28+$M40)="","",INDIRECT("[" &amp; 'Setup Data'!$K$3&amp; "]Pressure!" &amp;O$26 &amp; $P$28+$M40))</f>
        <v>10294692</v>
      </c>
      <c r="P40" s="244">
        <f ca="1">IF(INDIRECT("[" &amp; 'Setup Data'!$K$3&amp; "]Pressure!" &amp;P$26 &amp; $P$28+$M40)="","",INDIRECT("[" &amp; 'Setup Data'!$K$3&amp; "]Pressure!" &amp;P$26 &amp; $P$28+$M40))</f>
        <v>20</v>
      </c>
      <c r="Q40" s="244" t="str">
        <f ca="1">IF(INDIRECT("[" &amp; 'Setup Data'!$K$3&amp; "]Pressure!" &amp;Q$26 &amp; $P$28+$M40)="","",INDIRECT("[" &amp; 'Setup Data'!$K$3&amp; "]Pressure!" &amp;Q$26 &amp; $P$28+$M40))</f>
        <v>APL256502</v>
      </c>
      <c r="R40" s="244">
        <f ca="1">IF(INDIRECT("[" &amp; 'Setup Data'!$K$3&amp; "]Pressure!" &amp;R$26 &amp; $P$28+$M40)="","",INDIRECT("[" &amp; 'Setup Data'!$K$3&amp; "]Pressure!" &amp;R$26 &amp; $P$28+$M40))</f>
        <v>45734</v>
      </c>
      <c r="S40" s="244">
        <f ca="1">IF(INDIRECT("[" &amp; 'Setup Data'!$K$3&amp; "]Pressure!" &amp;S$26 &amp; $P$28+$M40)="","",INDIRECT("[" &amp; 'Setup Data'!$K$3&amp; "]Pressure!" &amp;S$26 &amp; $P$28+$M40))</f>
        <v>46098</v>
      </c>
      <c r="T40" s="244">
        <f ca="1">IF(INDIRECT("[" &amp; 'Setup Data'!$K$3&amp; "]Pressure!" &amp;T$26 &amp; $P$28+$M40)="","",INDIRECT("[" &amp; 'Setup Data'!$K$3&amp; "]Pressure!" &amp;T$26 &amp; $P$28+$M40))</f>
        <v>35000</v>
      </c>
      <c r="U40" s="244">
        <f ca="1">IF(INDIRECT("[" &amp; 'Setup Data'!$K$3&amp; "]Pressure!" &amp;U$26 &amp; $P$28+$M40)="","",INDIRECT("[" &amp; 'Setup Data'!$K$3&amp; "]Pressure!" &amp;U$26 &amp; $P$28+$M40))</f>
        <v>0</v>
      </c>
      <c r="V40" s="244">
        <f ca="1">IF(INDIRECT("[" &amp; 'Setup Data'!$K$3&amp; "]Pressure!" &amp;V$26 &amp; $P$28+$M40)="","",INDIRECT("[" &amp; 'Setup Data'!$K$3&amp; "]Pressure!" &amp;V$26 &amp; $P$28+$M40))</f>
        <v>2.8999999999999998E-3</v>
      </c>
      <c r="W40" s="244">
        <f ca="1">IF(INDIRECT("[" &amp; 'Setup Data'!$K$3&amp; "]Pressure!" &amp;W$26 &amp; $P$28+$M40)="","",INDIRECT("[" &amp; 'Setup Data'!$K$3&amp; "]Pressure!" &amp;W$26 &amp; $P$28+$M40))</f>
        <v>1.486E-2</v>
      </c>
      <c r="X40" s="244">
        <f ca="1">IF(INDIRECT("[" &amp; 'Setup Data'!$K$3&amp; "]Pressure!" &amp;X$26 &amp; $P$28+$M40)="","",INDIRECT("[" &amp; 'Setup Data'!$K$3&amp; "]Pressure!" &amp;X$26 &amp; $P$28+$M40))</f>
        <v>2.8999999999999998E-3</v>
      </c>
      <c r="Y40" s="244">
        <f ca="1">IF(INDIRECT("[" &amp; 'Setup Data'!$K$3&amp; "]Pressure!" &amp;Y$26 &amp; $P$28+$M40)="","",INDIRECT("[" &amp; 'Setup Data'!$K$3&amp; "]Pressure!" &amp;Y$26 &amp; $P$28+$M40))</f>
        <v>4.0803528690000001E-15</v>
      </c>
      <c r="Z40" s="244">
        <f ca="1">IF(INDIRECT("[" &amp; 'Setup Data'!$K$3&amp; "]Pressure!" &amp;Z$26 &amp; $P$28+$M40)="","",INDIRECT("[" &amp; 'Setup Data'!$K$3&amp; "]Pressure!" &amp;Z$26 &amp; $P$28+$M40))</f>
        <v>4.6759408622128002E-11</v>
      </c>
      <c r="AA40" s="244">
        <f ca="1">IF(INDIRECT("[" &amp; 'Setup Data'!$K$3&amp; "]Pressure!" &amp;AA$26 &amp; $P$28+$M40)="","",INDIRECT("[" &amp; 'Setup Data'!$K$3&amp; "]Pressure!" &amp;AA$26 &amp; $P$28+$M40))</f>
        <v>8.0519161296060194E-6</v>
      </c>
      <c r="AB40" s="244">
        <f ca="1">IF(INDIRECT("[" &amp; 'Setup Data'!$K$3&amp; "]Pressure!" &amp;AB$26 &amp; $P$28+$M40)="","",INDIRECT("[" &amp; 'Setup Data'!$K$3&amp; "]Pressure!" &amp;AB$26 &amp; $P$28+$M40))</f>
        <v>1.3941543185140699</v>
      </c>
      <c r="AC40" s="244">
        <f ca="1">IF(INDIRECT("[" &amp; 'Setup Data'!$K$3&amp; "]Pressure!" &amp;AC$26 &amp; $P$28+$M40)="","",INDIRECT("[" &amp; 'Setup Data'!$K$3&amp; "]Pressure!" &amp;AC$26 &amp; $P$28+$M40))</f>
        <v>0.98152387099236404</v>
      </c>
      <c r="AD40" s="244">
        <f ca="1">IF(INDIRECT("[" &amp; 'Setup Data'!$K$3&amp; "]Pressure!" &amp;AD$26 &amp; $P$28+$M40)="","",INDIRECT("[" &amp; 'Setup Data'!$K$3&amp; "]Pressure!" &amp;AD$26 &amp; $P$28+$M40))</f>
        <v>2.9415960098631101E-2</v>
      </c>
      <c r="AE40" s="244">
        <f ca="1">IF(INDIRECT("[" &amp; 'Setup Data'!$K$3&amp; "]Pressure!" &amp;AE$26 &amp; $P$28+$M40)="","",INDIRECT("[" &amp; 'Setup Data'!$K$3&amp; "]Pressure!" &amp;AE$26 &amp; $P$28+$M40))</f>
        <v>2.9014636580599999E-13</v>
      </c>
      <c r="AF40" s="244">
        <f ca="1">IF(INDIRECT("[" &amp; 'Setup Data'!$K$3&amp; "]Pressure!" &amp;AF$26 &amp; $P$28+$M40)="","",INDIRECT("[" &amp; 'Setup Data'!$K$3&amp; "]Pressure!" &amp;AF$26 &amp; $P$28+$M40))</f>
        <v>-1.36116802995465E-8</v>
      </c>
      <c r="AG40" s="244">
        <f ca="1">IF(INDIRECT("[" &amp; 'Setup Data'!$K$3&amp; "]Pressure!" &amp;AG$26 &amp; $P$28+$M40)="","",INDIRECT("[" &amp; 'Setup Data'!$K$3&amp; "]Pressure!" &amp;AG$26 &amp; $P$28+$M40))</f>
        <v>1.2327845320346401E-4</v>
      </c>
      <c r="AH40" s="244">
        <f ca="1">IF(INDIRECT("[" &amp; 'Setup Data'!$K$3&amp; "]Pressure!" &amp;AH$26 &amp; $P$28+$M40)="","",INDIRECT("[" &amp; 'Setup Data'!$K$3&amp; "]Pressure!" &amp;AH$26 &amp; $P$28+$M40))</f>
        <v>-0.15239023876250399</v>
      </c>
      <c r="AI40" s="244">
        <f ca="1">IF(INDIRECT("[" &amp; 'Setup Data'!$K$3&amp; "]Pressure!" &amp;AI$26 &amp; $P$28+$M40)="","",INDIRECT("[" &amp; 'Setup Data'!$K$3&amp; "]Pressure!" &amp;AI$26 &amp; $P$28+$M40))</f>
        <v>0.86910073033750301</v>
      </c>
      <c r="AJ40" s="244">
        <f ca="1">IF(INDIRECT("[" &amp; 'Setup Data'!$K$3&amp; "]Pressure!" &amp;AJ$26 &amp; $P$28+$M40)="","",INDIRECT("[" &amp; 'Setup Data'!$K$3&amp; "]Pressure!" &amp;AJ$26 &amp; $P$28+$M40))</f>
        <v>0.214043790804298</v>
      </c>
      <c r="AK40" s="244">
        <f ca="1">IF(INDIRECT("[" &amp; 'Setup Data'!$K$3&amp; "]Pressure!" &amp;AK$26 &amp; $P$28+$M40)="","",INDIRECT("[" &amp; 'Setup Data'!$K$3&amp; "]Pressure!" &amp;AK$26 &amp; $P$28+$M40))</f>
        <v>-2.9014636580599999E-13</v>
      </c>
      <c r="AL40" s="244">
        <f ca="1">IF(INDIRECT("[" &amp; 'Setup Data'!$K$3&amp; "]Pressure!" &amp;AL$26 &amp; $P$28+$M40)="","",INDIRECT("[" &amp; 'Setup Data'!$K$3&amp; "]Pressure!" &amp;AL$26 &amp; $P$28+$M40))</f>
        <v>1.36116802995465E-8</v>
      </c>
      <c r="AM40" s="244">
        <f ca="1">IF(INDIRECT("[" &amp; 'Setup Data'!$K$3&amp; "]Pressure!" &amp;AM$26 &amp; $P$28+$M40)="","",INDIRECT("[" &amp; 'Setup Data'!$K$3&amp; "]Pressure!" &amp;AM$26 &amp; $P$28+$M40))</f>
        <v>-1.2327845320346401E-4</v>
      </c>
      <c r="AN40" s="244">
        <f ca="1">IF(INDIRECT("[" &amp; 'Setup Data'!$K$3&amp; "]Pressure!" &amp;AN$26 &amp; $P$28+$M40)="","",INDIRECT("[" &amp; 'Setup Data'!$K$3&amp; "]Pressure!" &amp;AN$26 &amp; $P$28+$M40))</f>
        <v>0.15239023876250399</v>
      </c>
      <c r="AO40" s="244">
        <f ca="1">IF(INDIRECT("[" &amp; 'Setup Data'!$K$3&amp; "]Pressure!" &amp;AO$26 &amp; $P$28+$M40)="","",INDIRECT("[" &amp; 'Setup Data'!$K$3&amp; "]Pressure!" &amp;AO$26 &amp; $P$28+$M40))</f>
        <v>0.86910073033750301</v>
      </c>
      <c r="AP40" s="244">
        <f ca="1">IF(INDIRECT("[" &amp; 'Setup Data'!$K$3&amp; "]Pressure!" &amp;AP$26 &amp; $P$28+$M40)="","",INDIRECT("[" &amp; 'Setup Data'!$K$3&amp; "]Pressure!" &amp;AP$26 &amp; $P$28+$M40))</f>
        <v>0.214043790804298</v>
      </c>
      <c r="AQ40" s="14"/>
      <c r="AR40" s="14"/>
      <c r="AS40" s="14"/>
      <c r="AT40" s="14"/>
      <c r="AU40" s="14"/>
      <c r="AV40" s="14"/>
      <c r="AW40" s="14"/>
      <c r="AX40" s="14"/>
      <c r="AY40" s="14"/>
      <c r="AZ40" s="14"/>
      <c r="BA40" s="14"/>
      <c r="BB40" s="14"/>
      <c r="BC40" s="14"/>
      <c r="DZ40" s="16"/>
      <c r="EA40" s="16"/>
      <c r="EB40" s="16"/>
      <c r="EC40" s="16"/>
      <c r="ED40" s="16"/>
      <c r="EE40" s="16"/>
    </row>
    <row r="41" spans="1:135" ht="15.75" thickBot="1">
      <c r="A41" s="248" t="str">
        <f t="shared" si="7"/>
        <v>?</v>
      </c>
      <c r="B41" s="249"/>
      <c r="C41" s="250" t="s">
        <v>230</v>
      </c>
      <c r="D41" s="251" t="s">
        <v>10</v>
      </c>
      <c r="E41" s="252"/>
      <c r="F41" s="253"/>
      <c r="G41" s="254" t="s">
        <v>10</v>
      </c>
      <c r="H41" s="255" t="s">
        <v>10</v>
      </c>
      <c r="I41" s="255" t="s">
        <v>204</v>
      </c>
      <c r="J41" s="256"/>
      <c r="K41" s="257" t="s">
        <v>10</v>
      </c>
      <c r="L41" s="255" t="s">
        <v>229</v>
      </c>
      <c r="M41" s="102">
        <f t="shared" si="8"/>
        <v>11</v>
      </c>
      <c r="N41" s="244" t="str">
        <f ca="1">IF($O$28=20,"B / ","") &amp; IF(INDIRECT("[" &amp; 'Setup Data'!$K$3&amp; "]Pressure!" &amp;N$26 &amp; $P$28+$M41)="","",INDIRECT("[" &amp; 'Setup Data'!$K$3&amp; "]Pressure!" &amp;N$26 &amp; $P$28+$M41))</f>
        <v>B / 115</v>
      </c>
      <c r="O41" s="245">
        <f ca="1">IF(INDIRECT("[" &amp; 'Setup Data'!$K$3&amp; "]Pressure!" &amp;O$26 &amp; $P$28+$M41)="","",INDIRECT("[" &amp; 'Setup Data'!$K$3&amp; "]Pressure!" &amp;O$26 &amp; $P$28+$M41))</f>
        <v>0</v>
      </c>
      <c r="P41" s="244">
        <f ca="1">IF(INDIRECT("[" &amp; 'Setup Data'!$K$3&amp; "]Pressure!" &amp;P$26 &amp; $P$28+$M41)="","",INDIRECT("[" &amp; 'Setup Data'!$K$3&amp; "]Pressure!" &amp;P$26 &amp; $P$28+$M41))</f>
        <v>20</v>
      </c>
      <c r="Q41" s="244" t="str">
        <f ca="1">IF(INDIRECT("[" &amp; 'Setup Data'!$K$3&amp; "]Pressure!" &amp;Q$26 &amp; $P$28+$M41)="","",INDIRECT("[" &amp; 'Setup Data'!$K$3&amp; "]Pressure!" &amp;Q$26 &amp; $P$28+$M41))</f>
        <v/>
      </c>
      <c r="R41" s="244" t="str">
        <f ca="1">IF(INDIRECT("[" &amp; 'Setup Data'!$K$3&amp; "]Pressure!" &amp;R$26 &amp; $P$28+$M41)="","",INDIRECT("[" &amp; 'Setup Data'!$K$3&amp; "]Pressure!" &amp;R$26 &amp; $P$28+$M41))</f>
        <v/>
      </c>
      <c r="S41" s="244" t="str">
        <f ca="1">IF(INDIRECT("[" &amp; 'Setup Data'!$K$3&amp; "]Pressure!" &amp;S$26 &amp; $P$28+$M41)="","",INDIRECT("[" &amp; 'Setup Data'!$K$3&amp; "]Pressure!" &amp;S$26 &amp; $P$28+$M41))</f>
        <v/>
      </c>
      <c r="T41" s="244">
        <f ca="1">IF(INDIRECT("[" &amp; 'Setup Data'!$K$3&amp; "]Pressure!" &amp;T$26 &amp; $P$28+$M41)="","",INDIRECT("[" &amp; 'Setup Data'!$K$3&amp; "]Pressure!" &amp;T$26 &amp; $P$28+$M41))</f>
        <v>115</v>
      </c>
      <c r="U41" s="244">
        <f ca="1">IF(INDIRECT("[" &amp; 'Setup Data'!$K$3&amp; "]Pressure!" &amp;U$26 &amp; $P$28+$M41)="","",INDIRECT("[" &amp; 'Setup Data'!$K$3&amp; "]Pressure!" &amp;U$26 &amp; $P$28+$M41))</f>
        <v>80</v>
      </c>
      <c r="V41" s="244">
        <f ca="1">IF(INDIRECT("[" &amp; 'Setup Data'!$K$3&amp; "]Pressure!" &amp;V$26 &amp; $P$28+$M41)="","",INDIRECT("[" &amp; 'Setup Data'!$K$3&amp; "]Pressure!" &amp;V$26 &amp; $P$28+$M41))</f>
        <v>0</v>
      </c>
      <c r="W41" s="244">
        <f ca="1">IF(INDIRECT("[" &amp; 'Setup Data'!$K$3&amp; "]Pressure!" &amp;W$26 &amp; $P$28+$M41)="","",INDIRECT("[" &amp; 'Setup Data'!$K$3&amp; "]Pressure!" &amp;W$26 &amp; $P$28+$M41))</f>
        <v>0</v>
      </c>
      <c r="X41" s="244">
        <f ca="1">IF(INDIRECT("[" &amp; 'Setup Data'!$K$3&amp; "]Pressure!" &amp;X$26 &amp; $P$28+$M41)="","",INDIRECT("[" &amp; 'Setup Data'!$K$3&amp; "]Pressure!" &amp;X$26 &amp; $P$28+$M41))</f>
        <v>99.999099999999999</v>
      </c>
      <c r="Y41" s="244" t="e">
        <f ca="1">IF(INDIRECT("[" &amp; 'Setup Data'!$K$3&amp; "]Pressure!" &amp;Y$26 &amp; $P$28+$M41)="","",INDIRECT("[" &amp; 'Setup Data'!$K$3&amp; "]Pressure!" &amp;Y$26 &amp; $P$28+$M41))</f>
        <v>#VALUE!</v>
      </c>
      <c r="Z41" s="244" t="e">
        <f ca="1">IF(INDIRECT("[" &amp; 'Setup Data'!$K$3&amp; "]Pressure!" &amp;Z$26 &amp; $P$28+$M41)="","",INDIRECT("[" &amp; 'Setup Data'!$K$3&amp; "]Pressure!" &amp;Z$26 &amp; $P$28+$M41))</f>
        <v>#VALUE!</v>
      </c>
      <c r="AA41" s="244" t="e">
        <f ca="1">IF(INDIRECT("[" &amp; 'Setup Data'!$K$3&amp; "]Pressure!" &amp;AA$26 &amp; $P$28+$M41)="","",INDIRECT("[" &amp; 'Setup Data'!$K$3&amp; "]Pressure!" &amp;AA$26 &amp; $P$28+$M41))</f>
        <v>#VALUE!</v>
      </c>
      <c r="AB41" s="244" t="e">
        <f ca="1">IF(INDIRECT("[" &amp; 'Setup Data'!$K$3&amp; "]Pressure!" &amp;AB$26 &amp; $P$28+$M41)="","",INDIRECT("[" &amp; 'Setup Data'!$K$3&amp; "]Pressure!" &amp;AB$26 &amp; $P$28+$M41))</f>
        <v>#VALUE!</v>
      </c>
      <c r="AC41" s="244" t="e">
        <f ca="1">IF(INDIRECT("[" &amp; 'Setup Data'!$K$3&amp; "]Pressure!" &amp;AC$26 &amp; $P$28+$M41)="","",INDIRECT("[" &amp; 'Setup Data'!$K$3&amp; "]Pressure!" &amp;AC$26 &amp; $P$28+$M41))</f>
        <v>#VALUE!</v>
      </c>
      <c r="AD41" s="244" t="e">
        <f ca="1">IF(INDIRECT("[" &amp; 'Setup Data'!$K$3&amp; "]Pressure!" &amp;AD$26 &amp; $P$28+$M41)="","",INDIRECT("[" &amp; 'Setup Data'!$K$3&amp; "]Pressure!" &amp;AD$26 &amp; $P$28+$M41))</f>
        <v>#VALUE!</v>
      </c>
      <c r="AE41" s="244">
        <f ca="1">IF(INDIRECT("[" &amp; 'Setup Data'!$K$3&amp; "]Pressure!" &amp;AE$26 &amp; $P$28+$M41)="","",INDIRECT("[" &amp; 'Setup Data'!$K$3&amp; "]Pressure!" &amp;AE$26 &amp; $P$28+$M41))</f>
        <v>1.4824341088260499E-7</v>
      </c>
      <c r="AF41" s="244">
        <f ca="1">IF(INDIRECT("[" &amp; 'Setup Data'!$K$3&amp; "]Pressure!" &amp;AF$26 &amp; $P$28+$M41)="","",INDIRECT("[" &amp; 'Setup Data'!$K$3&amp; "]Pressure!" &amp;AF$26 &amp; $P$28+$M41))</f>
        <v>-4.1031056692041199E-5</v>
      </c>
      <c r="AG41" s="244">
        <f ca="1">IF(INDIRECT("[" &amp; 'Setup Data'!$K$3&amp; "]Pressure!" &amp;AG$26 &amp; $P$28+$M41)="","",INDIRECT("[" &amp; 'Setup Data'!$K$3&amp; "]Pressure!" &amp;AG$26 &amp; $P$28+$M41))</f>
        <v>-0.99624436323844501</v>
      </c>
      <c r="AH41" s="244">
        <f ca="1">IF(INDIRECT("[" &amp; 'Setup Data'!$K$3&amp; "]Pressure!" &amp;AH$26 &amp; $P$28+$M41)="","",INDIRECT("[" &amp; 'Setup Data'!$K$3&amp; "]Pressure!" &amp;AH$26 &amp; $P$28+$M41))</f>
        <v>-0.113765936201805</v>
      </c>
      <c r="AI41" s="244">
        <f ca="1">IF(INDIRECT("[" &amp; 'Setup Data'!$K$3&amp; "]Pressure!" &amp;AI$26 &amp; $P$28+$M41)="","",INDIRECT("[" &amp; 'Setup Data'!$K$3&amp; "]Pressure!" &amp;AI$26 &amp; $P$28+$M41))</f>
        <v>0.99999999928778205</v>
      </c>
      <c r="AJ41" s="244">
        <f ca="1">IF(INDIRECT("[" &amp; 'Setup Data'!$K$3&amp; "]Pressure!" &amp;AJ$26 &amp; $P$28+$M41)="","",INDIRECT("[" &amp; 'Setup Data'!$K$3&amp; "]Pressure!" &amp;AJ$26 &amp; $P$28+$M41))</f>
        <v>3.5923988388601198E-4</v>
      </c>
      <c r="AK41" s="244">
        <f ca="1">IF(INDIRECT("[" &amp; 'Setup Data'!$K$3&amp; "]Pressure!" &amp;AK$26 &amp; $P$28+$M41)="","",INDIRECT("[" &amp; 'Setup Data'!$K$3&amp; "]Pressure!" &amp;AK$26 &amp; $P$28+$M41))</f>
        <v>0</v>
      </c>
      <c r="AL41" s="244">
        <f ca="1">IF(INDIRECT("[" &amp; 'Setup Data'!$K$3&amp; "]Pressure!" &amp;AL$26 &amp; $P$28+$M41)="","",INDIRECT("[" &amp; 'Setup Data'!$K$3&amp; "]Pressure!" &amp;AL$26 &amp; $P$28+$M41))</f>
        <v>1.269097E-18</v>
      </c>
      <c r="AM41" s="244">
        <f ca="1">IF(INDIRECT("[" &amp; 'Setup Data'!$K$3&amp; "]Pressure!" &amp;AM$26 &amp; $P$28+$M41)="","",INDIRECT("[" &amp; 'Setup Data'!$K$3&amp; "]Pressure!" &amp;AM$26 &amp; $P$28+$M41))</f>
        <v>1</v>
      </c>
      <c r="AN41" s="244">
        <f ca="1">IF(INDIRECT("[" &amp; 'Setup Data'!$K$3&amp; "]Pressure!" &amp;AN$26 &amp; $P$28+$M41)="","",INDIRECT("[" &amp; 'Setup Data'!$K$3&amp; "]Pressure!" &amp;AN$26 &amp; $P$28+$M41))</f>
        <v>1.7722764049999999E-15</v>
      </c>
      <c r="AO41" s="244">
        <f ca="1">IF(INDIRECT("[" &amp; 'Setup Data'!$K$3&amp; "]Pressure!" &amp;AO$26 &amp; $P$28+$M41)="","",INDIRECT("[" &amp; 'Setup Data'!$K$3&amp; "]Pressure!" &amp;AO$26 &amp; $P$28+$M41))</f>
        <v>1</v>
      </c>
      <c r="AP41" s="244">
        <f ca="1">IF(INDIRECT("[" &amp; 'Setup Data'!$K$3&amp; "]Pressure!" &amp;AP$26 &amp; $P$28+$M41)="","",INDIRECT("[" &amp; 'Setup Data'!$K$3&amp; "]Pressure!" &amp;AP$26 &amp; $P$28+$M41))</f>
        <v>0</v>
      </c>
      <c r="AQ41" s="14"/>
      <c r="AR41" s="14"/>
      <c r="AS41" s="14"/>
      <c r="AT41" s="14"/>
      <c r="AU41" s="14"/>
      <c r="AV41" s="14"/>
      <c r="AW41" s="14"/>
      <c r="AX41" s="14"/>
      <c r="AY41" s="14"/>
      <c r="AZ41" s="14"/>
      <c r="BA41" s="14"/>
      <c r="BB41" s="14"/>
      <c r="BC41" s="14"/>
      <c r="DZ41" s="16"/>
      <c r="EA41" s="16"/>
      <c r="EB41" s="16"/>
      <c r="EC41" s="16"/>
      <c r="ED41" s="16"/>
      <c r="EE41" s="16"/>
    </row>
    <row r="42" spans="1:135">
      <c r="A42" s="14"/>
      <c r="B42" s="14"/>
      <c r="C42" s="14"/>
      <c r="D42" s="14"/>
      <c r="E42" s="14"/>
      <c r="F42" s="14"/>
      <c r="G42" s="14"/>
      <c r="H42" s="14"/>
      <c r="I42" s="14"/>
      <c r="J42" s="14"/>
      <c r="K42" s="14"/>
      <c r="L42" s="14"/>
      <c r="M42" s="102">
        <f t="shared" si="8"/>
        <v>12</v>
      </c>
      <c r="N42" s="244" t="str">
        <f ca="1">IF($O$28=20,"B / ","") &amp; IF(INDIRECT("[" &amp; 'Setup Data'!$K$3&amp; "]Pressure!" &amp;N$26 &amp; $P$28+$M42)="","",INDIRECT("[" &amp; 'Setup Data'!$K$3&amp; "]Pressure!" &amp;N$26 &amp; $P$28+$M42))</f>
        <v>B / 200000</v>
      </c>
      <c r="O42" s="245">
        <f ca="1">IF(INDIRECT("[" &amp; 'Setup Data'!$K$3&amp; "]Pressure!" &amp;O$26 &amp; $P$28+$M42)="","",INDIRECT("[" &amp; 'Setup Data'!$K$3&amp; "]Pressure!" &amp;O$26 &amp; $P$28+$M42))</f>
        <v>0</v>
      </c>
      <c r="P42" s="244">
        <f ca="1">IF(INDIRECT("[" &amp; 'Setup Data'!$K$3&amp; "]Pressure!" &amp;P$26 &amp; $P$28+$M42)="","",INDIRECT("[" &amp; 'Setup Data'!$K$3&amp; "]Pressure!" &amp;P$26 &amp; $P$28+$M42))</f>
        <v>20</v>
      </c>
      <c r="Q42" s="244" t="str">
        <f ca="1">IF(INDIRECT("[" &amp; 'Setup Data'!$K$3&amp; "]Pressure!" &amp;Q$26 &amp; $P$28+$M42)="","",INDIRECT("[" &amp; 'Setup Data'!$K$3&amp; "]Pressure!" &amp;Q$26 &amp; $P$28+$M42))</f>
        <v/>
      </c>
      <c r="R42" s="244" t="str">
        <f ca="1">IF(INDIRECT("[" &amp; 'Setup Data'!$K$3&amp; "]Pressure!" &amp;R$26 &amp; $P$28+$M42)="","",INDIRECT("[" &amp; 'Setup Data'!$K$3&amp; "]Pressure!" &amp;R$26 &amp; $P$28+$M42))</f>
        <v/>
      </c>
      <c r="S42" s="244" t="str">
        <f ca="1">IF(INDIRECT("[" &amp; 'Setup Data'!$K$3&amp; "]Pressure!" &amp;S$26 &amp; $P$28+$M42)="","",INDIRECT("[" &amp; 'Setup Data'!$K$3&amp; "]Pressure!" &amp;S$26 &amp; $P$28+$M42))</f>
        <v/>
      </c>
      <c r="T42" s="244">
        <f ca="1">IF(INDIRECT("[" &amp; 'Setup Data'!$K$3&amp; "]Pressure!" &amp;T$26 &amp; $P$28+$M42)="","",INDIRECT("[" &amp; 'Setup Data'!$K$3&amp; "]Pressure!" &amp;T$26 &amp; $P$28+$M42))</f>
        <v>200000</v>
      </c>
      <c r="U42" s="244">
        <f ca="1">IF(INDIRECT("[" &amp; 'Setup Data'!$K$3&amp; "]Pressure!" &amp;U$26 &amp; $P$28+$M42)="","",INDIRECT("[" &amp; 'Setup Data'!$K$3&amp; "]Pressure!" &amp;U$26 &amp; $P$28+$M42))</f>
        <v>0</v>
      </c>
      <c r="V42" s="244">
        <f ca="1">IF(INDIRECT("[" &amp; 'Setup Data'!$K$3&amp; "]Pressure!" &amp;V$26 &amp; $P$28+$M42)="","",INDIRECT("[" &amp; 'Setup Data'!$K$3&amp; "]Pressure!" &amp;V$26 &amp; $P$28+$M42))</f>
        <v>0</v>
      </c>
      <c r="W42" s="244">
        <f ca="1">IF(INDIRECT("[" &amp; 'Setup Data'!$K$3&amp; "]Pressure!" &amp;W$26 &amp; $P$28+$M42)="","",INDIRECT("[" &amp; 'Setup Data'!$K$3&amp; "]Pressure!" &amp;W$26 &amp; $P$28+$M42))</f>
        <v>0</v>
      </c>
      <c r="X42" s="244">
        <f ca="1">IF(INDIRECT("[" &amp; 'Setup Data'!$K$3&amp; "]Pressure!" &amp;X$26 &amp; $P$28+$M42)="","",INDIRECT("[" &amp; 'Setup Data'!$K$3&amp; "]Pressure!" &amp;X$26 &amp; $P$28+$M42))</f>
        <v>99.965000000000003</v>
      </c>
      <c r="Y42" s="244" t="e">
        <f ca="1">IF(INDIRECT("[" &amp; 'Setup Data'!$K$3&amp; "]Pressure!" &amp;Y$26 &amp; $P$28+$M42)="","",INDIRECT("[" &amp; 'Setup Data'!$K$3&amp; "]Pressure!" &amp;Y$26 &amp; $P$28+$M42))</f>
        <v>#VALUE!</v>
      </c>
      <c r="Z42" s="244" t="e">
        <f ca="1">IF(INDIRECT("[" &amp; 'Setup Data'!$K$3&amp; "]Pressure!" &amp;Z$26 &amp; $P$28+$M42)="","",INDIRECT("[" &amp; 'Setup Data'!$K$3&amp; "]Pressure!" &amp;Z$26 &amp; $P$28+$M42))</f>
        <v>#VALUE!</v>
      </c>
      <c r="AA42" s="244" t="e">
        <f ca="1">IF(INDIRECT("[" &amp; 'Setup Data'!$K$3&amp; "]Pressure!" &amp;AA$26 &amp; $P$28+$M42)="","",INDIRECT("[" &amp; 'Setup Data'!$K$3&amp; "]Pressure!" &amp;AA$26 &amp; $P$28+$M42))</f>
        <v>#VALUE!</v>
      </c>
      <c r="AB42" s="244" t="e">
        <f ca="1">IF(INDIRECT("[" &amp; 'Setup Data'!$K$3&amp; "]Pressure!" &amp;AB$26 &amp; $P$28+$M42)="","",INDIRECT("[" &amp; 'Setup Data'!$K$3&amp; "]Pressure!" &amp;AB$26 &amp; $P$28+$M42))</f>
        <v>#VALUE!</v>
      </c>
      <c r="AC42" s="244" t="e">
        <f ca="1">IF(INDIRECT("[" &amp; 'Setup Data'!$K$3&amp; "]Pressure!" &amp;AC$26 &amp; $P$28+$M42)="","",INDIRECT("[" &amp; 'Setup Data'!$K$3&amp; "]Pressure!" &amp;AC$26 &amp; $P$28+$M42))</f>
        <v>#VALUE!</v>
      </c>
      <c r="AD42" s="244" t="e">
        <f ca="1">IF(INDIRECT("[" &amp; 'Setup Data'!$K$3&amp; "]Pressure!" &amp;AD$26 &amp; $P$28+$M42)="","",INDIRECT("[" &amp; 'Setup Data'!$K$3&amp; "]Pressure!" &amp;AD$26 &amp; $P$28+$M42))</f>
        <v>#VALUE!</v>
      </c>
      <c r="AE42" s="244">
        <f ca="1">IF(INDIRECT("[" &amp; 'Setup Data'!$K$3&amp; "]Pressure!" &amp;AE$26 &amp; $P$28+$M42)="","",INDIRECT("[" &amp; 'Setup Data'!$K$3&amp; "]Pressure!" &amp;AE$26 &amp; $P$28+$M42))</f>
        <v>-5.8760683760999995E-14</v>
      </c>
      <c r="AF42" s="244">
        <f ca="1">IF(INDIRECT("[" &amp; 'Setup Data'!$K$3&amp; "]Pressure!" &amp;AF$26 &amp; $P$28+$M42)="","",INDIRECT("[" &amp; 'Setup Data'!$K$3&amp; "]Pressure!" &amp;AF$26 &amp; $P$28+$M42))</f>
        <v>2.4854312354299799E-8</v>
      </c>
      <c r="AG42" s="244">
        <f ca="1">IF(INDIRECT("[" &amp; 'Setup Data'!$K$3&amp; "]Pressure!" &amp;AG$26 &amp; $P$28+$M42)="","",INDIRECT("[" &amp; 'Setup Data'!$K$3&amp; "]Pressure!" &amp;AG$26 &amp; $P$28+$M42))</f>
        <v>-1.0022533022533</v>
      </c>
      <c r="AH42" s="244">
        <f ca="1">IF(INDIRECT("[" &amp; 'Setup Data'!$K$3&amp; "]Pressure!" &amp;AH$26 &amp; $P$28+$M42)="","",INDIRECT("[" &amp; 'Setup Data'!$K$3&amp; "]Pressure!" &amp;AH$26 &amp; $P$28+$M42))</f>
        <v>-0.62937062937626798</v>
      </c>
      <c r="AI42" s="244">
        <f ca="1">IF(INDIRECT("[" &amp; 'Setup Data'!$K$3&amp; "]Pressure!" &amp;AI$26 &amp; $P$28+$M42)="","",INDIRECT("[" &amp; 'Setup Data'!$K$3&amp; "]Pressure!" &amp;AI$26 &amp; $P$28+$M42))</f>
        <v>0.99999999484507696</v>
      </c>
      <c r="AJ42" s="244">
        <f ca="1">IF(INDIRECT("[" &amp; 'Setup Data'!$K$3&amp; "]Pressure!" &amp;AJ$26 &amp; $P$28+$M42)="","",INDIRECT("[" &amp; 'Setup Data'!$K$3&amp; "]Pressure!" &amp;AJ$26 &amp; $P$28+$M42))</f>
        <v>5.6892558711609897</v>
      </c>
      <c r="AK42" s="244">
        <f ca="1">IF(INDIRECT("[" &amp; 'Setup Data'!$K$3&amp; "]Pressure!" &amp;AK$26 &amp; $P$28+$M42)="","",INDIRECT("[" &amp; 'Setup Data'!$K$3&amp; "]Pressure!" &amp;AK$26 &amp; $P$28+$M42))</f>
        <v>0</v>
      </c>
      <c r="AL42" s="244">
        <f ca="1">IF(INDIRECT("[" &amp; 'Setup Data'!$K$3&amp; "]Pressure!" &amp;AL$26 &amp; $P$28+$M42)="","",INDIRECT("[" &amp; 'Setup Data'!$K$3&amp; "]Pressure!" &amp;AL$26 &amp; $P$28+$M42))</f>
        <v>1.9930000000000001E-21</v>
      </c>
      <c r="AM42" s="244">
        <f ca="1">IF(INDIRECT("[" &amp; 'Setup Data'!$K$3&amp; "]Pressure!" &amp;AM$26 &amp; $P$28+$M42)="","",INDIRECT("[" &amp; 'Setup Data'!$K$3&amp; "]Pressure!" &amp;AM$26 &amp; $P$28+$M42))</f>
        <v>1</v>
      </c>
      <c r="AN42" s="244">
        <f ca="1">IF(INDIRECT("[" &amp; 'Setup Data'!$K$3&amp; "]Pressure!" &amp;AN$26 &amp; $P$28+$M42)="","",INDIRECT("[" &amp; 'Setup Data'!$K$3&amp; "]Pressure!" &amp;AN$26 &amp; $P$28+$M42))</f>
        <v>1.6001320834710001E-12</v>
      </c>
      <c r="AO42" s="244">
        <f ca="1">IF(INDIRECT("[" &amp; 'Setup Data'!$K$3&amp; "]Pressure!" &amp;AO$26 &amp; $P$28+$M42)="","",INDIRECT("[" &amp; 'Setup Data'!$K$3&amp; "]Pressure!" &amp;AO$26 &amp; $P$28+$M42))</f>
        <v>1</v>
      </c>
      <c r="AP42" s="244">
        <f ca="1">IF(INDIRECT("[" &amp; 'Setup Data'!$K$3&amp; "]Pressure!" &amp;AP$26 &amp; $P$28+$M42)="","",INDIRECT("[" &amp; 'Setup Data'!$K$3&amp; "]Pressure!" &amp;AP$26 &amp; $P$28+$M42))</f>
        <v>0</v>
      </c>
      <c r="AQ42" s="14"/>
      <c r="AR42" s="14"/>
      <c r="AS42" s="14"/>
      <c r="AT42" s="14"/>
      <c r="AU42" s="14"/>
      <c r="AV42" s="14"/>
      <c r="AW42" s="14"/>
      <c r="AX42" s="14"/>
      <c r="AY42" s="14"/>
      <c r="AZ42" s="14"/>
      <c r="BA42" s="14"/>
      <c r="BB42" s="14"/>
      <c r="BC42" s="14"/>
      <c r="DZ42" s="16"/>
      <c r="EA42" s="16"/>
      <c r="EB42" s="16"/>
      <c r="EC42" s="16"/>
      <c r="ED42" s="16"/>
      <c r="EE42" s="16"/>
    </row>
    <row r="43" spans="1:135" ht="15.75" thickBot="1">
      <c r="A43" s="14"/>
      <c r="B43" s="258"/>
      <c r="C43" s="14"/>
      <c r="D43" s="14"/>
      <c r="E43" s="14"/>
      <c r="F43" s="14"/>
      <c r="G43" s="14"/>
      <c r="H43" s="14"/>
      <c r="I43" s="14"/>
      <c r="J43" s="14"/>
      <c r="K43" s="14"/>
      <c r="L43" s="14"/>
      <c r="M43" s="102">
        <f t="shared" si="8"/>
        <v>13</v>
      </c>
      <c r="N43" s="244" t="str">
        <f ca="1">IF($O$28=20,"B / ","") &amp; IF(INDIRECT("[" &amp; 'Setup Data'!$K$3&amp; "]Pressure!" &amp;N$26 &amp; $P$28+$M43)="","",INDIRECT("[" &amp; 'Setup Data'!$K$3&amp; "]Pressure!" &amp;N$26 &amp; $P$28+$M43))</f>
        <v>B / 200</v>
      </c>
      <c r="O43" s="245">
        <f ca="1">IF(INDIRECT("[" &amp; 'Setup Data'!$K$3&amp; "]Pressure!" &amp;O$26 &amp; $P$28+$M43)="","",INDIRECT("[" &amp; 'Setup Data'!$K$3&amp; "]Pressure!" &amp;O$26 &amp; $P$28+$M43))</f>
        <v>462170</v>
      </c>
      <c r="P43" s="244">
        <f ca="1">IF(INDIRECT("[" &amp; 'Setup Data'!$K$3&amp; "]Pressure!" &amp;P$26 &amp; $P$28+$M43)="","",INDIRECT("[" &amp; 'Setup Data'!$K$3&amp; "]Pressure!" &amp;P$26 &amp; $P$28+$M43))</f>
        <v>20</v>
      </c>
      <c r="Q43" s="244" t="str">
        <f ca="1">IF(INDIRECT("[" &amp; 'Setup Data'!$K$3&amp; "]Pressure!" &amp;Q$26 &amp; $P$28+$M43)="","",INDIRECT("[" &amp; 'Setup Data'!$K$3&amp; "]Pressure!" &amp;Q$26 &amp; $P$28+$M43))</f>
        <v/>
      </c>
      <c r="R43" s="244" t="str">
        <f ca="1">IF(INDIRECT("[" &amp; 'Setup Data'!$K$3&amp; "]Pressure!" &amp;R$26 &amp; $P$28+$M43)="","",INDIRECT("[" &amp; 'Setup Data'!$K$3&amp; "]Pressure!" &amp;R$26 &amp; $P$28+$M43))</f>
        <v/>
      </c>
      <c r="S43" s="244" t="str">
        <f ca="1">IF(INDIRECT("[" &amp; 'Setup Data'!$K$3&amp; "]Pressure!" &amp;S$26 &amp; $P$28+$M43)="","",INDIRECT("[" &amp; 'Setup Data'!$K$3&amp; "]Pressure!" &amp;S$26 &amp; $P$28+$M43))</f>
        <v/>
      </c>
      <c r="T43" s="244">
        <f ca="1">IF(INDIRECT("[" &amp; 'Setup Data'!$K$3&amp; "]Pressure!" &amp;T$26 &amp; $P$28+$M43)="","",INDIRECT("[" &amp; 'Setup Data'!$K$3&amp; "]Pressure!" &amp;T$26 &amp; $P$28+$M43))</f>
        <v>200</v>
      </c>
      <c r="U43" s="244">
        <f ca="1">IF(INDIRECT("[" &amp; 'Setup Data'!$K$3&amp; "]Pressure!" &amp;U$26 &amp; $P$28+$M43)="","",INDIRECT("[" &amp; 'Setup Data'!$K$3&amp; "]Pressure!" &amp;U$26 &amp; $P$28+$M43))</f>
        <v>-95</v>
      </c>
      <c r="V43" s="244">
        <f ca="1">IF(INDIRECT("[" &amp; 'Setup Data'!$K$3&amp; "]Pressure!" &amp;V$26 &amp; $P$28+$M43)="","",INDIRECT("[" &amp; 'Setup Data'!$K$3&amp; "]Pressure!" &amp;V$26 &amp; $P$28+$M43))</f>
        <v>0</v>
      </c>
      <c r="W43" s="244">
        <f ca="1">IF(INDIRECT("[" &amp; 'Setup Data'!$K$3&amp; "]Pressure!" &amp;W$26 &amp; $P$28+$M43)="","",INDIRECT("[" &amp; 'Setup Data'!$K$3&amp; "]Pressure!" &amp;W$26 &amp; $P$28+$M43))</f>
        <v>0</v>
      </c>
      <c r="X43" s="244">
        <f ca="1">IF(INDIRECT("[" &amp; 'Setup Data'!$K$3&amp; "]Pressure!" &amp;X$26 &amp; $P$28+$M43)="","",INDIRECT("[" &amp; 'Setup Data'!$K$3&amp; "]Pressure!" &amp;X$26 &amp; $P$28+$M43))</f>
        <v>100.005</v>
      </c>
      <c r="Y43" s="244" t="e">
        <f ca="1">IF(INDIRECT("[" &amp; 'Setup Data'!$K$3&amp; "]Pressure!" &amp;Y$26 &amp; $P$28+$M43)="","",INDIRECT("[" &amp; 'Setup Data'!$K$3&amp; "]Pressure!" &amp;Y$26 &amp; $P$28+$M43))</f>
        <v>#VALUE!</v>
      </c>
      <c r="Z43" s="244" t="e">
        <f ca="1">IF(INDIRECT("[" &amp; 'Setup Data'!$K$3&amp; "]Pressure!" &amp;Z$26 &amp; $P$28+$M43)="","",INDIRECT("[" &amp; 'Setup Data'!$K$3&amp; "]Pressure!" &amp;Z$26 &amp; $P$28+$M43))</f>
        <v>#VALUE!</v>
      </c>
      <c r="AA43" s="244" t="e">
        <f ca="1">IF(INDIRECT("[" &amp; 'Setup Data'!$K$3&amp; "]Pressure!" &amp;AA$26 &amp; $P$28+$M43)="","",INDIRECT("[" &amp; 'Setup Data'!$K$3&amp; "]Pressure!" &amp;AA$26 &amp; $P$28+$M43))</f>
        <v>#VALUE!</v>
      </c>
      <c r="AB43" s="244" t="e">
        <f ca="1">IF(INDIRECT("[" &amp; 'Setup Data'!$K$3&amp; "]Pressure!" &amp;AB$26 &amp; $P$28+$M43)="","",INDIRECT("[" &amp; 'Setup Data'!$K$3&amp; "]Pressure!" &amp;AB$26 &amp; $P$28+$M43))</f>
        <v>#VALUE!</v>
      </c>
      <c r="AC43" s="244" t="e">
        <f ca="1">IF(INDIRECT("[" &amp; 'Setup Data'!$K$3&amp; "]Pressure!" &amp;AC$26 &amp; $P$28+$M43)="","",INDIRECT("[" &amp; 'Setup Data'!$K$3&amp; "]Pressure!" &amp;AC$26 &amp; $P$28+$M43))</f>
        <v>#VALUE!</v>
      </c>
      <c r="AD43" s="244" t="e">
        <f ca="1">IF(INDIRECT("[" &amp; 'Setup Data'!$K$3&amp; "]Pressure!" &amp;AD$26 &amp; $P$28+$M43)="","",INDIRECT("[" &amp; 'Setup Data'!$K$3&amp; "]Pressure!" &amp;AD$26 &amp; $P$28+$M43))</f>
        <v>#VALUE!</v>
      </c>
      <c r="AE43" s="244">
        <f ca="1">IF(INDIRECT("[" &amp; 'Setup Data'!$K$3&amp; "]Pressure!" &amp;AE$26 &amp; $P$28+$M43)="","",INDIRECT("[" &amp; 'Setup Data'!$K$3&amp; "]Pressure!" &amp;AE$26 &amp; $P$28+$M43))</f>
        <v>3.1220236693872998E-9</v>
      </c>
      <c r="AF43" s="244">
        <f ca="1">IF(INDIRECT("[" &amp; 'Setup Data'!$K$3&amp; "]Pressure!" &amp;AF$26 &amp; $P$28+$M43)="","",INDIRECT("[" &amp; 'Setup Data'!$K$3&amp; "]Pressure!" &amp;AF$26 &amp; $P$28+$M43))</f>
        <v>-1.2718297962267301E-6</v>
      </c>
      <c r="AG43" s="244">
        <f ca="1">IF(INDIRECT("[" &amp; 'Setup Data'!$K$3&amp; "]Pressure!" &amp;AG$26 &amp; $P$28+$M43)="","",INDIRECT("[" &amp; 'Setup Data'!$K$3&amp; "]Pressure!" &amp;AG$26 &amp; $P$28+$M43))</f>
        <v>-0.99992298068817298</v>
      </c>
      <c r="AH43" s="244">
        <f ca="1">IF(INDIRECT("[" &amp; 'Setup Data'!$K$3&amp; "]Pressure!" &amp;AH$26 &amp; $P$28+$M43)="","",INDIRECT("[" &amp; 'Setup Data'!$K$3&amp; "]Pressure!" &amp;AH$26 &amp; $P$28+$M43))</f>
        <v>2.76407830172836E-5</v>
      </c>
      <c r="AI43" s="244">
        <f ca="1">IF(INDIRECT("[" &amp; 'Setup Data'!$K$3&amp; "]Pressure!" &amp;AI$26 &amp; $P$28+$M43)="","",INDIRECT("[" &amp; 'Setup Data'!$K$3&amp; "]Pressure!" &amp;AI$26 &amp; $P$28+$M43))</f>
        <v>0.99999999770632997</v>
      </c>
      <c r="AJ43" s="244">
        <f ca="1">IF(INDIRECT("[" &amp; 'Setup Data'!$K$3&amp; "]Pressure!" &amp;AJ$26 &amp; $P$28+$M43)="","",INDIRECT("[" &amp; 'Setup Data'!$K$3&amp; "]Pressure!" &amp;AJ$26 &amp; $P$28+$M43))</f>
        <v>5.4997486260534396E-3</v>
      </c>
      <c r="AK43" s="244">
        <f ca="1">IF(INDIRECT("[" &amp; 'Setup Data'!$K$3&amp; "]Pressure!" &amp;AK$26 &amp; $P$28+$M43)="","",INDIRECT("[" &amp; 'Setup Data'!$K$3&amp; "]Pressure!" &amp;AK$26 &amp; $P$28+$M43))</f>
        <v>-6.6240000000000002E-21</v>
      </c>
      <c r="AL43" s="244">
        <f ca="1">IF(INDIRECT("[" &amp; 'Setup Data'!$K$3&amp; "]Pressure!" &amp;AL$26 &amp; $P$28+$M43)="","",INDIRECT("[" &amp; 'Setup Data'!$K$3&amp; "]Pressure!" &amp;AL$26 &amp; $P$28+$M43))</f>
        <v>5.98892E-19</v>
      </c>
      <c r="AM43" s="244">
        <f ca="1">IF(INDIRECT("[" &amp; 'Setup Data'!$K$3&amp; "]Pressure!" &amp;AM$26 &amp; $P$28+$M43)="","",INDIRECT("[" &amp; 'Setup Data'!$K$3&amp; "]Pressure!" &amp;AM$26 &amp; $P$28+$M43))</f>
        <v>1</v>
      </c>
      <c r="AN43" s="244">
        <f ca="1">IF(INDIRECT("[" &amp; 'Setup Data'!$K$3&amp; "]Pressure!" &amp;AN$26 &amp; $P$28+$M43)="","",INDIRECT("[" &amp; 'Setup Data'!$K$3&amp; "]Pressure!" &amp;AN$26 &amp; $P$28+$M43))</f>
        <v>-1.0975727361999999E-14</v>
      </c>
      <c r="AO43" s="244">
        <f ca="1">IF(INDIRECT("[" &amp; 'Setup Data'!$K$3&amp; "]Pressure!" &amp;AO$26 &amp; $P$28+$M43)="","",INDIRECT("[" &amp; 'Setup Data'!$K$3&amp; "]Pressure!" &amp;AO$26 &amp; $P$28+$M43))</f>
        <v>1</v>
      </c>
      <c r="AP43" s="244">
        <f ca="1">IF(INDIRECT("[" &amp; 'Setup Data'!$K$3&amp; "]Pressure!" &amp;AP$26 &amp; $P$28+$M43)="","",INDIRECT("[" &amp; 'Setup Data'!$K$3&amp; "]Pressure!" &amp;AP$26 &amp; $P$28+$M43))</f>
        <v>1.2380000179E-14</v>
      </c>
      <c r="AQ43" s="14"/>
      <c r="AR43" s="14"/>
      <c r="AS43" s="14"/>
      <c r="AT43" s="14"/>
      <c r="AU43" s="14"/>
      <c r="AV43" s="14"/>
      <c r="AW43" s="14"/>
      <c r="AX43" s="14"/>
      <c r="AY43" s="14"/>
      <c r="AZ43" s="14"/>
      <c r="BA43" s="14"/>
      <c r="BB43" s="14"/>
      <c r="BC43" s="14"/>
      <c r="DZ43" s="16"/>
      <c r="EA43" s="16"/>
      <c r="EB43" s="16"/>
      <c r="EC43" s="16"/>
      <c r="ED43" s="16"/>
      <c r="EE43" s="16"/>
    </row>
    <row r="44" spans="1:135" ht="17.25" thickBot="1">
      <c r="A44" s="14"/>
      <c r="B44" s="14"/>
      <c r="C44" s="14"/>
      <c r="D44" s="14"/>
      <c r="E44" s="951" t="s">
        <v>231</v>
      </c>
      <c r="F44" s="952"/>
      <c r="G44" s="14" t="e" cm="1">
        <f t="array" aca="1" ref="G44" ca="1">IUTPIC</f>
        <v>#NAME?</v>
      </c>
      <c r="H44" s="14"/>
      <c r="I44" s="14"/>
      <c r="J44" s="14"/>
      <c r="K44" s="14"/>
      <c r="L44" s="14"/>
      <c r="M44" s="102">
        <f t="shared" si="8"/>
        <v>14</v>
      </c>
      <c r="N44" s="244" t="str">
        <f ca="1">IF($O$28=20,"B / ","") &amp; IF(INDIRECT("[" &amp; 'Setup Data'!$K$3&amp; "]Pressure!" &amp;N$26 &amp; $P$28+$M44)="","",INDIRECT("[" &amp; 'Setup Data'!$K$3&amp; "]Pressure!" &amp;N$26 &amp; $P$28+$M44))</f>
        <v>B / 100</v>
      </c>
      <c r="O44" s="245">
        <f ca="1">IF(INDIRECT("[" &amp; 'Setup Data'!$K$3&amp; "]Pressure!" &amp;O$26 &amp; $P$28+$M44)="","",INDIRECT("[" &amp; 'Setup Data'!$K$3&amp; "]Pressure!" &amp;O$26 &amp; $P$28+$M44))</f>
        <v>0</v>
      </c>
      <c r="P44" s="244">
        <f ca="1">IF(INDIRECT("[" &amp; 'Setup Data'!$K$3&amp; "]Pressure!" &amp;P$26 &amp; $P$28+$M44)="","",INDIRECT("[" &amp; 'Setup Data'!$K$3&amp; "]Pressure!" &amp;P$26 &amp; $P$28+$M44))</f>
        <v>20</v>
      </c>
      <c r="Q44" s="244" t="str">
        <f ca="1">IF(INDIRECT("[" &amp; 'Setup Data'!$K$3&amp; "]Pressure!" &amp;Q$26 &amp; $P$28+$M44)="","",INDIRECT("[" &amp; 'Setup Data'!$K$3&amp; "]Pressure!" &amp;Q$26 &amp; $P$28+$M44))</f>
        <v/>
      </c>
      <c r="R44" s="244" t="str">
        <f ca="1">IF(INDIRECT("[" &amp; 'Setup Data'!$K$3&amp; "]Pressure!" &amp;R$26 &amp; $P$28+$M44)="","",INDIRECT("[" &amp; 'Setup Data'!$K$3&amp; "]Pressure!" &amp;R$26 &amp; $P$28+$M44))</f>
        <v/>
      </c>
      <c r="S44" s="244" t="str">
        <f ca="1">IF(INDIRECT("[" &amp; 'Setup Data'!$K$3&amp; "]Pressure!" &amp;S$26 &amp; $P$28+$M44)="","",INDIRECT("[" &amp; 'Setup Data'!$K$3&amp; "]Pressure!" &amp;S$26 &amp; $P$28+$M44))</f>
        <v/>
      </c>
      <c r="T44" s="244">
        <f ca="1">IF(INDIRECT("[" &amp; 'Setup Data'!$K$3&amp; "]Pressure!" &amp;T$26 &amp; $P$28+$M44)="","",INDIRECT("[" &amp; 'Setup Data'!$K$3&amp; "]Pressure!" &amp;T$26 &amp; $P$28+$M44))</f>
        <v>100</v>
      </c>
      <c r="U44" s="244">
        <f ca="1">IF(INDIRECT("[" &amp; 'Setup Data'!$K$3&amp; "]Pressure!" &amp;U$26 &amp; $P$28+$M44)="","",INDIRECT("[" &amp; 'Setup Data'!$K$3&amp; "]Pressure!" &amp;U$26 &amp; $P$28+$M44))</f>
        <v>-95</v>
      </c>
      <c r="V44" s="244">
        <f ca="1">IF(INDIRECT("[" &amp; 'Setup Data'!$K$3&amp; "]Pressure!" &amp;V$26 &amp; $P$28+$M44)="","",INDIRECT("[" &amp; 'Setup Data'!$K$3&amp; "]Pressure!" &amp;V$26 &amp; $P$28+$M44))</f>
        <v>0</v>
      </c>
      <c r="W44" s="244">
        <f ca="1">IF(INDIRECT("[" &amp; 'Setup Data'!$K$3&amp; "]Pressure!" &amp;W$26 &amp; $P$28+$M44)="","",INDIRECT("[" &amp; 'Setup Data'!$K$3&amp; "]Pressure!" &amp;W$26 &amp; $P$28+$M44))</f>
        <v>0</v>
      </c>
      <c r="X44" s="244">
        <f ca="1">IF(INDIRECT("[" &amp; 'Setup Data'!$K$3&amp; "]Pressure!" &amp;X$26 &amp; $P$28+$M44)="","",INDIRECT("[" &amp; 'Setup Data'!$K$3&amp; "]Pressure!" &amp;X$26 &amp; $P$28+$M44))</f>
        <v>100.01</v>
      </c>
      <c r="Y44" s="244" t="e">
        <f ca="1">IF(INDIRECT("[" &amp; 'Setup Data'!$K$3&amp; "]Pressure!" &amp;Y$26 &amp; $P$28+$M44)="","",INDIRECT("[" &amp; 'Setup Data'!$K$3&amp; "]Pressure!" &amp;Y$26 &amp; $P$28+$M44))</f>
        <v>#VALUE!</v>
      </c>
      <c r="Z44" s="244" t="e">
        <f ca="1">IF(INDIRECT("[" &amp; 'Setup Data'!$K$3&amp; "]Pressure!" &amp;Z$26 &amp; $P$28+$M44)="","",INDIRECT("[" &amp; 'Setup Data'!$K$3&amp; "]Pressure!" &amp;Z$26 &amp; $P$28+$M44))</f>
        <v>#VALUE!</v>
      </c>
      <c r="AA44" s="244" t="e">
        <f ca="1">IF(INDIRECT("[" &amp; 'Setup Data'!$K$3&amp; "]Pressure!" &amp;AA$26 &amp; $P$28+$M44)="","",INDIRECT("[" &amp; 'Setup Data'!$K$3&amp; "]Pressure!" &amp;AA$26 &amp; $P$28+$M44))</f>
        <v>#VALUE!</v>
      </c>
      <c r="AB44" s="244" t="e">
        <f ca="1">IF(INDIRECT("[" &amp; 'Setup Data'!$K$3&amp; "]Pressure!" &amp;AB$26 &amp; $P$28+$M44)="","",INDIRECT("[" &amp; 'Setup Data'!$K$3&amp; "]Pressure!" &amp;AB$26 &amp; $P$28+$M44))</f>
        <v>#VALUE!</v>
      </c>
      <c r="AC44" s="244" t="e">
        <f ca="1">IF(INDIRECT("[" &amp; 'Setup Data'!$K$3&amp; "]Pressure!" &amp;AC$26 &amp; $P$28+$M44)="","",INDIRECT("[" &amp; 'Setup Data'!$K$3&amp; "]Pressure!" &amp;AC$26 &amp; $P$28+$M44))</f>
        <v>#VALUE!</v>
      </c>
      <c r="AD44" s="244" t="e">
        <f ca="1">IF(INDIRECT("[" &amp; 'Setup Data'!$K$3&amp; "]Pressure!" &amp;AD$26 &amp; $P$28+$M44)="","",INDIRECT("[" &amp; 'Setup Data'!$K$3&amp; "]Pressure!" &amp;AD$26 &amp; $P$28+$M44))</f>
        <v>#VALUE!</v>
      </c>
      <c r="AE44" s="244">
        <f ca="1">IF(INDIRECT("[" &amp; 'Setup Data'!$K$3&amp; "]Pressure!" &amp;AE$26 &amp; $P$28+$M44)="","",INDIRECT("[" &amp; 'Setup Data'!$K$3&amp; "]Pressure!" &amp;AE$26 &amp; $P$28+$M44))</f>
        <v>-4.5912328669990903E-9</v>
      </c>
      <c r="AF44" s="244">
        <f ca="1">IF(INDIRECT("[" &amp; 'Setup Data'!$K$3&amp; "]Pressure!" &amp;AF$26 &amp; $P$28+$M44)="","",INDIRECT("[" &amp; 'Setup Data'!$K$3&amp; "]Pressure!" &amp;AF$26 &amp; $P$28+$M44))</f>
        <v>1.37667408709348E-6</v>
      </c>
      <c r="AG44" s="244">
        <f ca="1">IF(INDIRECT("[" &amp; 'Setup Data'!$K$3&amp; "]Pressure!" &amp;AG$26 &amp; $P$28+$M44)="","",INDIRECT("[" &amp; 'Setup Data'!$K$3&amp; "]Pressure!" &amp;AG$26 &amp; $P$28+$M44))</f>
        <v>-1.0002195290693401</v>
      </c>
      <c r="AH44" s="244">
        <f ca="1">IF(INDIRECT("[" &amp; 'Setup Data'!$K$3&amp; "]Pressure!" &amp;AH$26 &amp; $P$28+$M44)="","",INDIRECT("[" &amp; 'Setup Data'!$K$3&amp; "]Pressure!" &amp;AH$26 &amp; $P$28+$M44))</f>
        <v>6.49553207724E-3</v>
      </c>
      <c r="AI44" s="244">
        <f ca="1">IF(INDIRECT("[" &amp; 'Setup Data'!$K$3&amp; "]Pressure!" &amp;AI$26 &amp; $P$28+$M44)="","",INDIRECT("[" &amp; 'Setup Data'!$K$3&amp; "]Pressure!" &amp;AI$26 &amp; $P$28+$M44))</f>
        <v>0.99999999603117795</v>
      </c>
      <c r="AJ44" s="244">
        <f ca="1">IF(INDIRECT("[" &amp; 'Setup Data'!$K$3&amp; "]Pressure!" &amp;AJ$26 &amp; $P$28+$M44)="","",INDIRECT("[" &amp; 'Setup Data'!$K$3&amp; "]Pressure!" &amp;AJ$26 &amp; $P$28+$M44))</f>
        <v>5.1849720023889401E-3</v>
      </c>
      <c r="AK44" s="244">
        <f ca="1">IF(INDIRECT("[" &amp; 'Setup Data'!$K$3&amp; "]Pressure!" &amp;AK$26 &amp; $P$28+$M44)="","",INDIRECT("[" &amp; 'Setup Data'!$K$3&amp; "]Pressure!" &amp;AK$26 &amp; $P$28+$M44))</f>
        <v>0</v>
      </c>
      <c r="AL44" s="244">
        <f ca="1">IF(INDIRECT("[" &amp; 'Setup Data'!$K$3&amp; "]Pressure!" &amp;AL$26 &amp; $P$28+$M44)="","",INDIRECT("[" &amp; 'Setup Data'!$K$3&amp; "]Pressure!" &amp;AL$26 &amp; $P$28+$M44))</f>
        <v>0</v>
      </c>
      <c r="AM44" s="244">
        <f ca="1">IF(INDIRECT("[" &amp; 'Setup Data'!$K$3&amp; "]Pressure!" &amp;AM$26 &amp; $P$28+$M44)="","",INDIRECT("[" &amp; 'Setup Data'!$K$3&amp; "]Pressure!" &amp;AM$26 &amp; $P$28+$M44))</f>
        <v>1</v>
      </c>
      <c r="AN44" s="244">
        <f ca="1">IF(INDIRECT("[" &amp; 'Setup Data'!$K$3&amp; "]Pressure!" &amp;AN$26 &amp; $P$28+$M44)="","",INDIRECT("[" &amp; 'Setup Data'!$K$3&amp; "]Pressure!" &amp;AN$26 &amp; $P$28+$M44))</f>
        <v>0</v>
      </c>
      <c r="AO44" s="244">
        <f ca="1">IF(INDIRECT("[" &amp; 'Setup Data'!$K$3&amp; "]Pressure!" &amp;AO$26 &amp; $P$28+$M44)="","",INDIRECT("[" &amp; 'Setup Data'!$K$3&amp; "]Pressure!" &amp;AO$26 &amp; $P$28+$M44))</f>
        <v>1</v>
      </c>
      <c r="AP44" s="244">
        <f ca="1">IF(INDIRECT("[" &amp; 'Setup Data'!$K$3&amp; "]Pressure!" &amp;AP$26 &amp; $P$28+$M44)="","",INDIRECT("[" &amp; 'Setup Data'!$K$3&amp; "]Pressure!" &amp;AP$26 &amp; $P$28+$M44))</f>
        <v>0</v>
      </c>
      <c r="AQ44" s="14"/>
      <c r="AR44" s="14"/>
      <c r="AS44" s="14"/>
      <c r="AT44" s="14"/>
      <c r="AU44" s="14"/>
      <c r="AV44" s="14"/>
      <c r="AW44" s="14"/>
      <c r="AX44" s="14"/>
      <c r="AY44" s="14"/>
      <c r="AZ44" s="14"/>
      <c r="BA44" s="14"/>
      <c r="BB44" s="14"/>
      <c r="BC44" s="14"/>
      <c r="DZ44" s="16"/>
      <c r="EA44" s="16"/>
      <c r="EB44" s="16"/>
      <c r="EC44" s="16"/>
      <c r="ED44" s="16"/>
      <c r="EE44" s="16"/>
    </row>
    <row r="45" spans="1:135" ht="17.25" thickBot="1">
      <c r="A45" s="14"/>
      <c r="B45" s="14"/>
      <c r="C45" s="14"/>
      <c r="D45" s="259" t="e">
        <f>VLOOKUP(GaugeType,G29:I41,3,0)</f>
        <v>#NAME?</v>
      </c>
      <c r="E45" s="260">
        <f>VLOOKUP(GaugeType,G29:H41,2,FALSE)</f>
        <v>5</v>
      </c>
      <c r="F45" s="261" t="str">
        <f>VLOOKUP(C3,D29:G41,4,FALSE)</f>
        <v>?</v>
      </c>
      <c r="G45" s="14"/>
      <c r="H45" s="14"/>
      <c r="I45" s="14"/>
      <c r="J45" s="14"/>
      <c r="K45" s="14"/>
      <c r="L45" s="14"/>
      <c r="M45" s="102">
        <f t="shared" si="8"/>
        <v>15</v>
      </c>
      <c r="N45" s="244" t="str">
        <f ca="1">IF($O$28=20,"B / ","") &amp; IF(INDIRECT("[" &amp; 'Setup Data'!$K$3&amp; "]Pressure!" &amp;N$26 &amp; $P$28+$M45)="","",INDIRECT("[" &amp; 'Setup Data'!$K$3&amp; "]Pressure!" &amp;N$26 &amp; $P$28+$M45))</f>
        <v>B / 200B</v>
      </c>
      <c r="O45" s="245">
        <f ca="1">IF(INDIRECT("[" &amp; 'Setup Data'!$K$3&amp; "]Pressure!" &amp;O$26 &amp; $P$28+$M45)="","",INDIRECT("[" &amp; 'Setup Data'!$K$3&amp; "]Pressure!" &amp;O$26 &amp; $P$28+$M45))</f>
        <v>264733</v>
      </c>
      <c r="P45" s="244">
        <f ca="1">IF(INDIRECT("[" &amp; 'Setup Data'!$K$3&amp; "]Pressure!" &amp;P$26 &amp; $P$28+$M45)="","",INDIRECT("[" &amp; 'Setup Data'!$K$3&amp; "]Pressure!" &amp;P$26 &amp; $P$28+$M45))</f>
        <v>20</v>
      </c>
      <c r="Q45" s="244" t="str">
        <f ca="1">IF(INDIRECT("[" &amp; 'Setup Data'!$K$3&amp; "]Pressure!" &amp;Q$26 &amp; $P$28+$M45)="","",INDIRECT("[" &amp; 'Setup Data'!$K$3&amp; "]Pressure!" &amp;Q$26 &amp; $P$28+$M45))</f>
        <v/>
      </c>
      <c r="R45" s="244" t="str">
        <f ca="1">IF(INDIRECT("[" &amp; 'Setup Data'!$K$3&amp; "]Pressure!" &amp;R$26 &amp; $P$28+$M45)="","",INDIRECT("[" &amp; 'Setup Data'!$K$3&amp; "]Pressure!" &amp;R$26 &amp; $P$28+$M45))</f>
        <v/>
      </c>
      <c r="S45" s="244" t="str">
        <f ca="1">IF(INDIRECT("[" &amp; 'Setup Data'!$K$3&amp; "]Pressure!" &amp;S$26 &amp; $P$28+$M45)="","",INDIRECT("[" &amp; 'Setup Data'!$K$3&amp; "]Pressure!" &amp;S$26 &amp; $P$28+$M45))</f>
        <v/>
      </c>
      <c r="T45" s="244" t="str">
        <f ca="1">IF(INDIRECT("[" &amp; 'Setup Data'!$K$3&amp; "]Pressure!" &amp;T$26 &amp; $P$28+$M45)="","",INDIRECT("[" &amp; 'Setup Data'!$K$3&amp; "]Pressure!" &amp;T$26 &amp; $P$28+$M45))</f>
        <v>200B</v>
      </c>
      <c r="U45" s="244">
        <f ca="1">IF(INDIRECT("[" &amp; 'Setup Data'!$K$3&amp; "]Pressure!" &amp;U$26 &amp; $P$28+$M45)="","",INDIRECT("[" &amp; 'Setup Data'!$K$3&amp; "]Pressure!" &amp;U$26 &amp; $P$28+$M45))</f>
        <v>-95</v>
      </c>
      <c r="V45" s="244">
        <f ca="1">IF(INDIRECT("[" &amp; 'Setup Data'!$K$3&amp; "]Pressure!" &amp;V$26 &amp; $P$28+$M45)="","",INDIRECT("[" &amp; 'Setup Data'!$K$3&amp; "]Pressure!" &amp;V$26 &amp; $P$28+$M45))</f>
        <v>0</v>
      </c>
      <c r="W45" s="244">
        <f ca="1">IF(INDIRECT("[" &amp; 'Setup Data'!$K$3&amp; "]Pressure!" &amp;W$26 &amp; $P$28+$M45)="","",INDIRECT("[" &amp; 'Setup Data'!$K$3&amp; "]Pressure!" &amp;W$26 &amp; $P$28+$M45))</f>
        <v>0</v>
      </c>
      <c r="X45" s="244">
        <f ca="1">IF(INDIRECT("[" &amp; 'Setup Data'!$K$3&amp; "]Pressure!" &amp;X$26 &amp; $P$28+$M45)="","",INDIRECT("[" &amp; 'Setup Data'!$K$3&amp; "]Pressure!" &amp;X$26 &amp; $P$28+$M45))</f>
        <v>105.035</v>
      </c>
      <c r="Y45" s="244" t="e">
        <f ca="1">IF(INDIRECT("[" &amp; 'Setup Data'!$K$3&amp; "]Pressure!" &amp;Y$26 &amp; $P$28+$M45)="","",INDIRECT("[" &amp; 'Setup Data'!$K$3&amp; "]Pressure!" &amp;Y$26 &amp; $P$28+$M45))</f>
        <v>#VALUE!</v>
      </c>
      <c r="Z45" s="244" t="e">
        <f ca="1">IF(INDIRECT("[" &amp; 'Setup Data'!$K$3&amp; "]Pressure!" &amp;Z$26 &amp; $P$28+$M45)="","",INDIRECT("[" &amp; 'Setup Data'!$K$3&amp; "]Pressure!" &amp;Z$26 &amp; $P$28+$M45))</f>
        <v>#VALUE!</v>
      </c>
      <c r="AA45" s="244" t="e">
        <f ca="1">IF(INDIRECT("[" &amp; 'Setup Data'!$K$3&amp; "]Pressure!" &amp;AA$26 &amp; $P$28+$M45)="","",INDIRECT("[" &amp; 'Setup Data'!$K$3&amp; "]Pressure!" &amp;AA$26 &amp; $P$28+$M45))</f>
        <v>#VALUE!</v>
      </c>
      <c r="AB45" s="244" t="e">
        <f ca="1">IF(INDIRECT("[" &amp; 'Setup Data'!$K$3&amp; "]Pressure!" &amp;AB$26 &amp; $P$28+$M45)="","",INDIRECT("[" &amp; 'Setup Data'!$K$3&amp; "]Pressure!" &amp;AB$26 &amp; $P$28+$M45))</f>
        <v>#VALUE!</v>
      </c>
      <c r="AC45" s="244" t="e">
        <f ca="1">IF(INDIRECT("[" &amp; 'Setup Data'!$K$3&amp; "]Pressure!" &amp;AC$26 &amp; $P$28+$M45)="","",INDIRECT("[" &amp; 'Setup Data'!$K$3&amp; "]Pressure!" &amp;AC$26 &amp; $P$28+$M45))</f>
        <v>#VALUE!</v>
      </c>
      <c r="AD45" s="244" t="e">
        <f ca="1">IF(INDIRECT("[" &amp; 'Setup Data'!$K$3&amp; "]Pressure!" &amp;AD$26 &amp; $P$28+$M45)="","",INDIRECT("[" &amp; 'Setup Data'!$K$3&amp; "]Pressure!" &amp;AD$26 &amp; $P$28+$M45))</f>
        <v>#VALUE!</v>
      </c>
      <c r="AE45" s="244">
        <f ca="1">IF(INDIRECT("[" &amp; 'Setup Data'!$K$3&amp; "]Pressure!" &amp;AE$26 &amp; $P$28+$M45)="","",INDIRECT("[" &amp; 'Setup Data'!$K$3&amp; "]Pressure!" &amp;AE$26 &amp; $P$28+$M45))</f>
        <v>-8.3808858963607998E-9</v>
      </c>
      <c r="AF45" s="244">
        <f ca="1">IF(INDIRECT("[" &amp; 'Setup Data'!$K$3&amp; "]Pressure!" &amp;AF$26 &amp; $P$28+$M45)="","",INDIRECT("[" &amp; 'Setup Data'!$K$3&amp; "]Pressure!" &amp;AF$26 &amp; $P$28+$M45))</f>
        <v>2.6401981992760299E-6</v>
      </c>
      <c r="AG45" s="244">
        <f ca="1">IF(INDIRECT("[" &amp; 'Setup Data'!$K$3&amp; "]Pressure!" &amp;AG$26 &amp; $P$28+$M45)="","",INDIRECT("[" &amp; 'Setup Data'!$K$3&amp; "]Pressure!" &amp;AG$26 &amp; $P$28+$M45))</f>
        <v>-1.0005261904623499</v>
      </c>
      <c r="AH45" s="244">
        <f ca="1">IF(INDIRECT("[" &amp; 'Setup Data'!$K$3&amp; "]Pressure!" &amp;AH$26 &amp; $P$28+$M45)="","",INDIRECT("[" &amp; 'Setup Data'!$K$3&amp; "]Pressure!" &amp;AH$26 &amp; $P$28+$M45))</f>
        <v>3.7708679134563802E-3</v>
      </c>
      <c r="AI45" s="244">
        <f ca="1">IF(INDIRECT("[" &amp; 'Setup Data'!$K$3&amp; "]Pressure!" &amp;AI$26 &amp; $P$28+$M45)="","",INDIRECT("[" &amp; 'Setup Data'!$K$3&amp; "]Pressure!" &amp;AI$26 &amp; $P$28+$M45))</f>
        <v>0.99999999660141703</v>
      </c>
      <c r="AJ45" s="244">
        <f ca="1">IF(INDIRECT("[" &amp; 'Setup Data'!$K$3&amp; "]Pressure!" &amp;AJ$26 &amp; $P$28+$M45)="","",INDIRECT("[" &amp; 'Setup Data'!$K$3&amp; "]Pressure!" &amp;AJ$26 &amp; $P$28+$M45))</f>
        <v>6.35968523695852E-3</v>
      </c>
      <c r="AK45" s="244">
        <f ca="1">IF(INDIRECT("[" &amp; 'Setup Data'!$K$3&amp; "]Pressure!" &amp;AK$26 &amp; $P$28+$M45)="","",INDIRECT("[" &amp; 'Setup Data'!$K$3&amp; "]Pressure!" &amp;AK$26 &amp; $P$28+$M45))</f>
        <v>-5.6309999999999998E-21</v>
      </c>
      <c r="AL45" s="244">
        <f ca="1">IF(INDIRECT("[" &amp; 'Setup Data'!$K$3&amp; "]Pressure!" &amp;AL$26 &amp; $P$28+$M45)="","",INDIRECT("[" &amp; 'Setup Data'!$K$3&amp; "]Pressure!" &amp;AL$26 &amp; $P$28+$M45))</f>
        <v>5.8707000000000005E-19</v>
      </c>
      <c r="AM45" s="244">
        <f ca="1">IF(INDIRECT("[" &amp; 'Setup Data'!$K$3&amp; "]Pressure!" &amp;AM$26 &amp; $P$28+$M45)="","",INDIRECT("[" &amp; 'Setup Data'!$K$3&amp; "]Pressure!" &amp;AM$26 &amp; $P$28+$M45))</f>
        <v>1</v>
      </c>
      <c r="AN45" s="244">
        <f ca="1">IF(INDIRECT("[" &amp; 'Setup Data'!$K$3&amp; "]Pressure!" &amp;AN$26 &amp; $P$28+$M45)="","",INDIRECT("[" &amp; 'Setup Data'!$K$3&amp; "]Pressure!" &amp;AN$26 &amp; $P$28+$M45))</f>
        <v>-1.1200949002000001E-14</v>
      </c>
      <c r="AO45" s="244">
        <f ca="1">IF(INDIRECT("[" &amp; 'Setup Data'!$K$3&amp; "]Pressure!" &amp;AO$26 &amp; $P$28+$M45)="","",INDIRECT("[" &amp; 'Setup Data'!$K$3&amp; "]Pressure!" &amp;AO$26 &amp; $P$28+$M45))</f>
        <v>1</v>
      </c>
      <c r="AP45" s="244">
        <f ca="1">IF(INDIRECT("[" &amp; 'Setup Data'!$K$3&amp; "]Pressure!" &amp;AP$26 &amp; $P$28+$M45)="","",INDIRECT("[" &amp; 'Setup Data'!$K$3&amp; "]Pressure!" &amp;AP$26 &amp; $P$28+$M45))</f>
        <v>1.1799743632E-14</v>
      </c>
      <c r="AQ45" s="14"/>
      <c r="AR45" s="14"/>
      <c r="AS45" s="14"/>
      <c r="AT45" s="14"/>
      <c r="AU45" s="14"/>
      <c r="AV45" s="14"/>
      <c r="AW45" s="14"/>
      <c r="AX45" s="14"/>
      <c r="AY45" s="14"/>
      <c r="AZ45" s="14"/>
      <c r="BA45" s="14"/>
      <c r="BB45" s="14"/>
      <c r="BC45" s="14"/>
      <c r="DZ45" s="16"/>
      <c r="EA45" s="16"/>
      <c r="EB45" s="16"/>
      <c r="EC45" s="16"/>
      <c r="ED45" s="16"/>
      <c r="EE45" s="16"/>
    </row>
    <row r="46" spans="1:135">
      <c r="A46" s="14"/>
      <c r="B46" s="14"/>
      <c r="C46" s="14"/>
      <c r="D46" s="14"/>
      <c r="E46" s="14"/>
      <c r="F46" s="14"/>
      <c r="G46" s="14"/>
      <c r="H46" s="14"/>
      <c r="I46" s="14"/>
      <c r="J46" s="14"/>
      <c r="K46" s="14"/>
      <c r="L46" s="14"/>
      <c r="M46" s="102">
        <f t="shared" si="8"/>
        <v>16</v>
      </c>
      <c r="N46" s="244" t="str">
        <f ca="1">IF($O$28=20,"B / ","") &amp; IF(INDIRECT("[" &amp; 'Setup Data'!$K$3&amp; "]Pressure!" &amp;N$26 &amp; $P$28+$M46)="","",INDIRECT("[" &amp; 'Setup Data'!$K$3&amp; "]Pressure!" &amp;N$26 &amp; $P$28+$M46))</f>
        <v>B / 700</v>
      </c>
      <c r="O46" s="245">
        <f ca="1">IF(INDIRECT("[" &amp; 'Setup Data'!$K$3&amp; "]Pressure!" &amp;O$26 &amp; $P$28+$M46)="","",INDIRECT("[" &amp; 'Setup Data'!$K$3&amp; "]Pressure!" &amp;O$26 &amp; $P$28+$M46))</f>
        <v>474324</v>
      </c>
      <c r="P46" s="244">
        <f ca="1">IF(INDIRECT("[" &amp; 'Setup Data'!$K$3&amp; "]Pressure!" &amp;P$26 &amp; $P$28+$M46)="","",INDIRECT("[" &amp; 'Setup Data'!$K$3&amp; "]Pressure!" &amp;P$26 &amp; $P$28+$M46))</f>
        <v>20</v>
      </c>
      <c r="Q46" s="244" t="str">
        <f ca="1">IF(INDIRECT("[" &amp; 'Setup Data'!$K$3&amp; "]Pressure!" &amp;Q$26 &amp; $P$28+$M46)="","",INDIRECT("[" &amp; 'Setup Data'!$K$3&amp; "]Pressure!" &amp;Q$26 &amp; $P$28+$M46))</f>
        <v/>
      </c>
      <c r="R46" s="244" t="str">
        <f ca="1">IF(INDIRECT("[" &amp; 'Setup Data'!$K$3&amp; "]Pressure!" &amp;R$26 &amp; $P$28+$M46)="","",INDIRECT("[" &amp; 'Setup Data'!$K$3&amp; "]Pressure!" &amp;R$26 &amp; $P$28+$M46))</f>
        <v/>
      </c>
      <c r="S46" s="244" t="str">
        <f ca="1">IF(INDIRECT("[" &amp; 'Setup Data'!$K$3&amp; "]Pressure!" &amp;S$26 &amp; $P$28+$M46)="","",INDIRECT("[" &amp; 'Setup Data'!$K$3&amp; "]Pressure!" &amp;S$26 &amp; $P$28+$M46))</f>
        <v/>
      </c>
      <c r="T46" s="244">
        <f ca="1">IF(INDIRECT("[" &amp; 'Setup Data'!$K$3&amp; "]Pressure!" &amp;T$26 &amp; $P$28+$M46)="","",INDIRECT("[" &amp; 'Setup Data'!$K$3&amp; "]Pressure!" &amp;T$26 &amp; $P$28+$M46))</f>
        <v>700</v>
      </c>
      <c r="U46" s="244">
        <f ca="1">IF(INDIRECT("[" &amp; 'Setup Data'!$K$3&amp; "]Pressure!" &amp;U$26 &amp; $P$28+$M46)="","",INDIRECT("[" &amp; 'Setup Data'!$K$3&amp; "]Pressure!" &amp;U$26 &amp; $P$28+$M46))</f>
        <v>-95</v>
      </c>
      <c r="V46" s="244">
        <f ca="1">IF(INDIRECT("[" &amp; 'Setup Data'!$K$3&amp; "]Pressure!" &amp;V$26 &amp; $P$28+$M46)="","",INDIRECT("[" &amp; 'Setup Data'!$K$3&amp; "]Pressure!" &amp;V$26 &amp; $P$28+$M46))</f>
        <v>0</v>
      </c>
      <c r="W46" s="244">
        <f ca="1">IF(INDIRECT("[" &amp; 'Setup Data'!$K$3&amp; "]Pressure!" &amp;W$26 &amp; $P$28+$M46)="","",INDIRECT("[" &amp; 'Setup Data'!$K$3&amp; "]Pressure!" &amp;W$26 &amp; $P$28+$M46))</f>
        <v>0</v>
      </c>
      <c r="X46" s="244">
        <f ca="1">IF(INDIRECT("[" &amp; 'Setup Data'!$K$3&amp; "]Pressure!" &amp;X$26 &amp; $P$28+$M46)="","",INDIRECT("[" &amp; 'Setup Data'!$K$3&amp; "]Pressure!" &amp;X$26 &amp; $P$28+$M46))</f>
        <v>99.992900000000006</v>
      </c>
      <c r="Y46" s="244" t="e">
        <f ca="1">IF(INDIRECT("[" &amp; 'Setup Data'!$K$3&amp; "]Pressure!" &amp;Y$26 &amp; $P$28+$M46)="","",INDIRECT("[" &amp; 'Setup Data'!$K$3&amp; "]Pressure!" &amp;Y$26 &amp; $P$28+$M46))</f>
        <v>#VALUE!</v>
      </c>
      <c r="Z46" s="244" t="e">
        <f ca="1">IF(INDIRECT("[" &amp; 'Setup Data'!$K$3&amp; "]Pressure!" &amp;Z$26 &amp; $P$28+$M46)="","",INDIRECT("[" &amp; 'Setup Data'!$K$3&amp; "]Pressure!" &amp;Z$26 &amp; $P$28+$M46))</f>
        <v>#VALUE!</v>
      </c>
      <c r="AA46" s="244" t="e">
        <f ca="1">IF(INDIRECT("[" &amp; 'Setup Data'!$K$3&amp; "]Pressure!" &amp;AA$26 &amp; $P$28+$M46)="","",INDIRECT("[" &amp; 'Setup Data'!$K$3&amp; "]Pressure!" &amp;AA$26 &amp; $P$28+$M46))</f>
        <v>#VALUE!</v>
      </c>
      <c r="AB46" s="244" t="e">
        <f ca="1">IF(INDIRECT("[" &amp; 'Setup Data'!$K$3&amp; "]Pressure!" &amp;AB$26 &amp; $P$28+$M46)="","",INDIRECT("[" &amp; 'Setup Data'!$K$3&amp; "]Pressure!" &amp;AB$26 &amp; $P$28+$M46))</f>
        <v>#VALUE!</v>
      </c>
      <c r="AC46" s="244" t="e">
        <f ca="1">IF(INDIRECT("[" &amp; 'Setup Data'!$K$3&amp; "]Pressure!" &amp;AC$26 &amp; $P$28+$M46)="","",INDIRECT("[" &amp; 'Setup Data'!$K$3&amp; "]Pressure!" &amp;AC$26 &amp; $P$28+$M46))</f>
        <v>#VALUE!</v>
      </c>
      <c r="AD46" s="244" t="e">
        <f ca="1">IF(INDIRECT("[" &amp; 'Setup Data'!$K$3&amp; "]Pressure!" &amp;AD$26 &amp; $P$28+$M46)="","",INDIRECT("[" &amp; 'Setup Data'!$K$3&amp; "]Pressure!" &amp;AD$26 &amp; $P$28+$M46))</f>
        <v>#VALUE!</v>
      </c>
      <c r="AE46" s="244">
        <f ca="1">IF(INDIRECT("[" &amp; 'Setup Data'!$K$3&amp; "]Pressure!" &amp;AE$26 &amp; $P$28+$M46)="","",INDIRECT("[" &amp; 'Setup Data'!$K$3&amp; "]Pressure!" &amp;AE$26 &amp; $P$28+$M46))</f>
        <v>1.3101870475287899E-10</v>
      </c>
      <c r="AF46" s="244">
        <f ca="1">IF(INDIRECT("[" &amp; 'Setup Data'!$K$3&amp; "]Pressure!" &amp;AF$26 &amp; $P$28+$M46)="","",INDIRECT("[" &amp; 'Setup Data'!$K$3&amp; "]Pressure!" &amp;AF$26 &amp; $P$28+$M46))</f>
        <v>5.2695844646963303E-8</v>
      </c>
      <c r="AG46" s="244">
        <f ca="1">IF(INDIRECT("[" &amp; 'Setup Data'!$K$3&amp; "]Pressure!" &amp;AG$26 &amp; $P$28+$M46)="","",INDIRECT("[" &amp; 'Setup Data'!$K$3&amp; "]Pressure!" &amp;AG$26 &amp; $P$28+$M46))</f>
        <v>-1.00005561161154</v>
      </c>
      <c r="AH46" s="244">
        <f ca="1">IF(INDIRECT("[" &amp; 'Setup Data'!$K$3&amp; "]Pressure!" &amp;AH$26 &amp; $P$28+$M46)="","",INDIRECT("[" &amp; 'Setup Data'!$K$3&amp; "]Pressure!" &amp;AH$26 &amp; $P$28+$M46))</f>
        <v>1.3028166829891399E-2</v>
      </c>
      <c r="AI46" s="244">
        <f ca="1">IF(INDIRECT("[" &amp; 'Setup Data'!$K$3&amp; "]Pressure!" &amp;AI$26 &amp; $P$28+$M46)="","",INDIRECT("[" &amp; 'Setup Data'!$K$3&amp; "]Pressure!" &amp;AI$26 &amp; $P$28+$M46))</f>
        <v>0.99999999934154205</v>
      </c>
      <c r="AJ46" s="244">
        <f ca="1">IF(INDIRECT("[" &amp; 'Setup Data'!$K$3&amp; "]Pressure!" &amp;AJ$26 &amp; $P$28+$M46)="","",INDIRECT("[" &amp; 'Setup Data'!$K$3&amp; "]Pressure!" &amp;AJ$26 &amp; $P$28+$M46))</f>
        <v>8.3926595195543494E-3</v>
      </c>
      <c r="AK46" s="244">
        <f ca="1">IF(INDIRECT("[" &amp; 'Setup Data'!$K$3&amp; "]Pressure!" &amp;AK$26 &amp; $P$28+$M46)="","",INDIRECT("[" &amp; 'Setup Data'!$K$3&amp; "]Pressure!" &amp;AK$26 &amp; $P$28+$M46))</f>
        <v>6.33E-22</v>
      </c>
      <c r="AL46" s="244">
        <f ca="1">IF(INDIRECT("[" &amp; 'Setup Data'!$K$3&amp; "]Pressure!" &amp;AL$26 &amp; $P$28+$M46)="","",INDIRECT("[" &amp; 'Setup Data'!$K$3&amp; "]Pressure!" &amp;AL$26 &amp; $P$28+$M46))</f>
        <v>-6.3628099999999997E-19</v>
      </c>
      <c r="AM46" s="244">
        <f ca="1">IF(INDIRECT("[" &amp; 'Setup Data'!$K$3&amp; "]Pressure!" &amp;AM$26 &amp; $P$28+$M46)="","",INDIRECT("[" &amp; 'Setup Data'!$K$3&amp; "]Pressure!" &amp;AM$26 &amp; $P$28+$M46))</f>
        <v>1</v>
      </c>
      <c r="AN46" s="244">
        <f ca="1">IF(INDIRECT("[" &amp; 'Setup Data'!$K$3&amp; "]Pressure!" &amp;AN$26 &amp; $P$28+$M46)="","",INDIRECT("[" &amp; 'Setup Data'!$K$3&amp; "]Pressure!" &amp;AN$26 &amp; $P$28+$M46))</f>
        <v>-2.0110172827000001E-14</v>
      </c>
      <c r="AO46" s="244">
        <f ca="1">IF(INDIRECT("[" &amp; 'Setup Data'!$K$3&amp; "]Pressure!" &amp;AO$26 &amp; $P$28+$M46)="","",INDIRECT("[" &amp; 'Setup Data'!$K$3&amp; "]Pressure!" &amp;AO$26 &amp; $P$28+$M46))</f>
        <v>1</v>
      </c>
      <c r="AP46" s="244">
        <f ca="1">IF(INDIRECT("[" &amp; 'Setup Data'!$K$3&amp; "]Pressure!" &amp;AP$26 &amp; $P$28+$M46)="","",INDIRECT("[" &amp; 'Setup Data'!$K$3&amp; "]Pressure!" &amp;AP$26 &amp; $P$28+$M46))</f>
        <v>1.6408136929999999E-14</v>
      </c>
      <c r="AQ46" s="14"/>
      <c r="AR46" s="14"/>
      <c r="AS46" s="14"/>
      <c r="AT46" s="14"/>
      <c r="AU46" s="14"/>
      <c r="AV46" s="14"/>
      <c r="AW46" s="14"/>
      <c r="AX46" s="14"/>
      <c r="AY46" s="14"/>
      <c r="AZ46" s="14"/>
      <c r="BA46" s="14"/>
      <c r="BB46" s="14"/>
      <c r="BC46" s="14"/>
      <c r="DZ46" s="16"/>
      <c r="EA46" s="16"/>
      <c r="EB46" s="16"/>
      <c r="EC46" s="16"/>
      <c r="ED46" s="16"/>
      <c r="EE46" s="16"/>
    </row>
    <row r="47" spans="1:135">
      <c r="A47" s="14"/>
      <c r="B47" s="14"/>
      <c r="C47" s="14"/>
      <c r="D47" s="14" t="e">
        <f ca="1">IUTPIC</f>
        <v>#NAME?</v>
      </c>
      <c r="E47" s="14"/>
      <c r="F47" s="14"/>
      <c r="G47" s="14"/>
      <c r="H47" s="14"/>
      <c r="I47" s="14"/>
      <c r="J47" s="14"/>
      <c r="K47" s="14"/>
      <c r="L47" s="14"/>
      <c r="M47" s="102">
        <f t="shared" si="8"/>
        <v>17</v>
      </c>
      <c r="N47" s="244" t="str">
        <f ca="1">IF($O$28=20,"B / ","") &amp; IF(INDIRECT("[" &amp; 'Setup Data'!$K$3&amp; "]Pressure!" &amp;N$26 &amp; $P$28+$M47)="","",INDIRECT("[" &amp; 'Setup Data'!$K$3&amp; "]Pressure!" &amp;N$26 &amp; $P$28+$M47))</f>
        <v>B / 3500</v>
      </c>
      <c r="O47" s="245">
        <f ca="1">IF(INDIRECT("[" &amp; 'Setup Data'!$K$3&amp; "]Pressure!" &amp;O$26 &amp; $P$28+$M47)="","",INDIRECT("[" &amp; 'Setup Data'!$K$3&amp; "]Pressure!" &amp;O$26 &amp; $P$28+$M47))</f>
        <v>467585</v>
      </c>
      <c r="P47" s="244">
        <f ca="1">IF(INDIRECT("[" &amp; 'Setup Data'!$K$3&amp; "]Pressure!" &amp;P$26 &amp; $P$28+$M47)="","",INDIRECT("[" &amp; 'Setup Data'!$K$3&amp; "]Pressure!" &amp;P$26 &amp; $P$28+$M47))</f>
        <v>20</v>
      </c>
      <c r="Q47" s="244" t="str">
        <f ca="1">IF(INDIRECT("[" &amp; 'Setup Data'!$K$3&amp; "]Pressure!" &amp;Q$26 &amp; $P$28+$M47)="","",INDIRECT("[" &amp; 'Setup Data'!$K$3&amp; "]Pressure!" &amp;Q$26 &amp; $P$28+$M47))</f>
        <v/>
      </c>
      <c r="R47" s="244" t="str">
        <f ca="1">IF(INDIRECT("[" &amp; 'Setup Data'!$K$3&amp; "]Pressure!" &amp;R$26 &amp; $P$28+$M47)="","",INDIRECT("[" &amp; 'Setup Data'!$K$3&amp; "]Pressure!" &amp;R$26 &amp; $P$28+$M47))</f>
        <v/>
      </c>
      <c r="S47" s="244" t="str">
        <f ca="1">IF(INDIRECT("[" &amp; 'Setup Data'!$K$3&amp; "]Pressure!" &amp;S$26 &amp; $P$28+$M47)="","",INDIRECT("[" &amp; 'Setup Data'!$K$3&amp; "]Pressure!" &amp;S$26 &amp; $P$28+$M47))</f>
        <v/>
      </c>
      <c r="T47" s="244">
        <f ca="1">IF(INDIRECT("[" &amp; 'Setup Data'!$K$3&amp; "]Pressure!" &amp;T$26 &amp; $P$28+$M47)="","",INDIRECT("[" &amp; 'Setup Data'!$K$3&amp; "]Pressure!" &amp;T$26 &amp; $P$28+$M47))</f>
        <v>3500</v>
      </c>
      <c r="U47" s="244">
        <f ca="1">IF(INDIRECT("[" &amp; 'Setup Data'!$K$3&amp; "]Pressure!" &amp;U$26 &amp; $P$28+$M47)="","",INDIRECT("[" &amp; 'Setup Data'!$K$3&amp; "]Pressure!" &amp;U$26 &amp; $P$28+$M47))</f>
        <v>0</v>
      </c>
      <c r="V47" s="244">
        <f ca="1">IF(INDIRECT("[" &amp; 'Setup Data'!$K$3&amp; "]Pressure!" &amp;V$26 &amp; $P$28+$M47)="","",INDIRECT("[" &amp; 'Setup Data'!$K$3&amp; "]Pressure!" &amp;V$26 &amp; $P$28+$M47))</f>
        <v>0</v>
      </c>
      <c r="W47" s="244">
        <f ca="1">IF(INDIRECT("[" &amp; 'Setup Data'!$K$3&amp; "]Pressure!" &amp;W$26 &amp; $P$28+$M47)="","",INDIRECT("[" &amp; 'Setup Data'!$K$3&amp; "]Pressure!" &amp;W$26 &amp; $P$28+$M47))</f>
        <v>0</v>
      </c>
      <c r="X47" s="244">
        <f ca="1">IF(INDIRECT("[" &amp; 'Setup Data'!$K$3&amp; "]Pressure!" &amp;X$26 &amp; $P$28+$M47)="","",INDIRECT("[" &amp; 'Setup Data'!$K$3&amp; "]Pressure!" &amp;X$26 &amp; $P$28+$M47))</f>
        <v>99.991399999999999</v>
      </c>
      <c r="Y47" s="244" t="e">
        <f ca="1">IF(INDIRECT("[" &amp; 'Setup Data'!$K$3&amp; "]Pressure!" &amp;Y$26 &amp; $P$28+$M47)="","",INDIRECT("[" &amp; 'Setup Data'!$K$3&amp; "]Pressure!" &amp;Y$26 &amp; $P$28+$M47))</f>
        <v>#VALUE!</v>
      </c>
      <c r="Z47" s="244" t="e">
        <f ca="1">IF(INDIRECT("[" &amp; 'Setup Data'!$K$3&amp; "]Pressure!" &amp;Z$26 &amp; $P$28+$M47)="","",INDIRECT("[" &amp; 'Setup Data'!$K$3&amp; "]Pressure!" &amp;Z$26 &amp; $P$28+$M47))</f>
        <v>#VALUE!</v>
      </c>
      <c r="AA47" s="244" t="e">
        <f ca="1">IF(INDIRECT("[" &amp; 'Setup Data'!$K$3&amp; "]Pressure!" &amp;AA$26 &amp; $P$28+$M47)="","",INDIRECT("[" &amp; 'Setup Data'!$K$3&amp; "]Pressure!" &amp;AA$26 &amp; $P$28+$M47))</f>
        <v>#VALUE!</v>
      </c>
      <c r="AB47" s="244" t="e">
        <f ca="1">IF(INDIRECT("[" &amp; 'Setup Data'!$K$3&amp; "]Pressure!" &amp;AB$26 &amp; $P$28+$M47)="","",INDIRECT("[" &amp; 'Setup Data'!$K$3&amp; "]Pressure!" &amp;AB$26 &amp; $P$28+$M47))</f>
        <v>#VALUE!</v>
      </c>
      <c r="AC47" s="244" t="e">
        <f ca="1">IF(INDIRECT("[" &amp; 'Setup Data'!$K$3&amp; "]Pressure!" &amp;AC$26 &amp; $P$28+$M47)="","",INDIRECT("[" &amp; 'Setup Data'!$K$3&amp; "]Pressure!" &amp;AC$26 &amp; $P$28+$M47))</f>
        <v>#VALUE!</v>
      </c>
      <c r="AD47" s="244" t="e">
        <f ca="1">IF(INDIRECT("[" &amp; 'Setup Data'!$K$3&amp; "]Pressure!" &amp;AD$26 &amp; $P$28+$M47)="","",INDIRECT("[" &amp; 'Setup Data'!$K$3&amp; "]Pressure!" &amp;AD$26 &amp; $P$28+$M47))</f>
        <v>#VALUE!</v>
      </c>
      <c r="AE47" s="244">
        <f ca="1">IF(INDIRECT("[" &amp; 'Setup Data'!$K$3&amp; "]Pressure!" &amp;AE$26 &amp; $P$28+$M47)="","",INDIRECT("[" &amp; 'Setup Data'!$K$3&amp; "]Pressure!" &amp;AE$26 &amp; $P$28+$M47))</f>
        <v>1.9276714457345999E-11</v>
      </c>
      <c r="AF47" s="244">
        <f ca="1">IF(INDIRECT("[" &amp; 'Setup Data'!$K$3&amp; "]Pressure!" &amp;AF$26 &amp; $P$28+$M47)="","",INDIRECT("[" &amp; 'Setup Data'!$K$3&amp; "]Pressure!" &amp;AF$26 &amp; $P$28+$M47))</f>
        <v>-9.3242008882153697E-8</v>
      </c>
      <c r="AG47" s="244">
        <f ca="1">IF(INDIRECT("[" &amp; 'Setup Data'!$K$3&amp; "]Pressure!" &amp;AG$26 &amp; $P$28+$M47)="","",INDIRECT("[" &amp; 'Setup Data'!$K$3&amp; "]Pressure!" &amp;AG$26 &amp; $P$28+$M47))</f>
        <v>-0.99984261165654897</v>
      </c>
      <c r="AH47" s="244">
        <f ca="1">IF(INDIRECT("[" &amp; 'Setup Data'!$K$3&amp; "]Pressure!" &amp;AH$26 &amp; $P$28+$M47)="","",INDIRECT("[" &amp; 'Setup Data'!$K$3&amp; "]Pressure!" &amp;AH$26 &amp; $P$28+$M47))</f>
        <v>-2.2808188543287498E-2</v>
      </c>
      <c r="AI47" s="244">
        <f ca="1">IF(INDIRECT("[" &amp; 'Setup Data'!$K$3&amp; "]Pressure!" &amp;AI$26 &amp; $P$28+$M47)="","",INDIRECT("[" &amp; 'Setup Data'!$K$3&amp; "]Pressure!" &amp;AI$26 &amp; $P$28+$M47))</f>
        <v>0.99999999234102899</v>
      </c>
      <c r="AJ47" s="244">
        <f ca="1">IF(INDIRECT("[" &amp; 'Setup Data'!$K$3&amp; "]Pressure!" &amp;AJ$26 &amp; $P$28+$M47)="","",INDIRECT("[" &amp; 'Setup Data'!$K$3&amp; "]Pressure!" &amp;AJ$26 &amp; $P$28+$M47))</f>
        <v>0.13043264848585501</v>
      </c>
      <c r="AK47" s="244">
        <f ca="1">IF(INDIRECT("[" &amp; 'Setup Data'!$K$3&amp; "]Pressure!" &amp;AK$26 &amp; $P$28+$M47)="","",INDIRECT("[" &amp; 'Setup Data'!$K$3&amp; "]Pressure!" &amp;AK$26 &amp; $P$28+$M47))</f>
        <v>9.9999999999999996E-24</v>
      </c>
      <c r="AL47" s="244">
        <f ca="1">IF(INDIRECT("[" &amp; 'Setup Data'!$K$3&amp; "]Pressure!" &amp;AL$26 &amp; $P$28+$M47)="","",INDIRECT("[" &amp; 'Setup Data'!$K$3&amp; "]Pressure!" &amp;AL$26 &amp; $P$28+$M47))</f>
        <v>-1.06159E-19</v>
      </c>
      <c r="AM47" s="244">
        <f ca="1">IF(INDIRECT("[" &amp; 'Setup Data'!$K$3&amp; "]Pressure!" &amp;AM$26 &amp; $P$28+$M47)="","",INDIRECT("[" &amp; 'Setup Data'!$K$3&amp; "]Pressure!" &amp;AM$26 &amp; $P$28+$M47))</f>
        <v>1</v>
      </c>
      <c r="AN47" s="244">
        <f ca="1">IF(INDIRECT("[" &amp; 'Setup Data'!$K$3&amp; "]Pressure!" &amp;AN$26 &amp; $P$28+$M47)="","",INDIRECT("[" &amp; 'Setup Data'!$K$3&amp; "]Pressure!" &amp;AN$26 &amp; $P$28+$M47))</f>
        <v>4.7754835801000003E-14</v>
      </c>
      <c r="AO47" s="244">
        <f ca="1">IF(INDIRECT("[" &amp; 'Setup Data'!$K$3&amp; "]Pressure!" &amp;AO$26 &amp; $P$28+$M47)="","",INDIRECT("[" &amp; 'Setup Data'!$K$3&amp; "]Pressure!" &amp;AO$26 &amp; $P$28+$M47))</f>
        <v>1</v>
      </c>
      <c r="AP47" s="244">
        <f ca="1">IF(INDIRECT("[" &amp; 'Setup Data'!$K$3&amp; "]Pressure!" &amp;AP$26 &amp; $P$28+$M47)="","",INDIRECT("[" &amp; 'Setup Data'!$K$3&amp; "]Pressure!" &amp;AP$26 &amp; $P$28+$M47))</f>
        <v>3.5438207645000002E-14</v>
      </c>
      <c r="AQ47" s="14"/>
      <c r="AR47" s="14"/>
      <c r="AS47" s="14"/>
      <c r="AT47" s="14"/>
      <c r="AU47" s="14"/>
      <c r="AV47" s="14"/>
      <c r="AW47" s="14"/>
      <c r="AX47" s="14"/>
      <c r="AY47" s="14"/>
      <c r="AZ47" s="14"/>
      <c r="BA47" s="14"/>
      <c r="BB47" s="14"/>
      <c r="BC47" s="14"/>
      <c r="DZ47" s="16"/>
      <c r="EA47" s="16"/>
      <c r="EB47" s="16"/>
      <c r="EC47" s="16"/>
      <c r="ED47" s="16"/>
      <c r="EE47" s="16"/>
    </row>
    <row r="48" spans="1:135">
      <c r="A48" s="14"/>
      <c r="B48" s="14"/>
      <c r="C48" s="14"/>
      <c r="D48" s="14"/>
      <c r="E48" s="14"/>
      <c r="F48" s="14"/>
      <c r="G48" s="14"/>
      <c r="H48" s="14"/>
      <c r="I48" s="14"/>
      <c r="J48" s="14"/>
      <c r="K48" s="14"/>
      <c r="L48" s="14"/>
      <c r="M48" s="102">
        <f t="shared" si="8"/>
        <v>18</v>
      </c>
      <c r="N48" s="244" t="str">
        <f ca="1">IF($O$28=20,"B / ","") &amp; IF(INDIRECT("[" &amp; 'Setup Data'!$K$3&amp; "]Pressure!" &amp;N$26 &amp; $P$28+$M48)="","",INDIRECT("[" &amp; 'Setup Data'!$K$3&amp; "]Pressure!" &amp;N$26 &amp; $P$28+$M48))</f>
        <v>B / 13800</v>
      </c>
      <c r="O48" s="245">
        <f ca="1">IF(INDIRECT("[" &amp; 'Setup Data'!$K$3&amp; "]Pressure!" &amp;O$26 &amp; $P$28+$M48)="","",INDIRECT("[" &amp; 'Setup Data'!$K$3&amp; "]Pressure!" &amp;O$26 &amp; $P$28+$M48))</f>
        <v>479843</v>
      </c>
      <c r="P48" s="244">
        <f ca="1">IF(INDIRECT("[" &amp; 'Setup Data'!$K$3&amp; "]Pressure!" &amp;P$26 &amp; $P$28+$M48)="","",INDIRECT("[" &amp; 'Setup Data'!$K$3&amp; "]Pressure!" &amp;P$26 &amp; $P$28+$M48))</f>
        <v>20</v>
      </c>
      <c r="Q48" s="244" t="str">
        <f ca="1">IF(INDIRECT("[" &amp; 'Setup Data'!$K$3&amp; "]Pressure!" &amp;Q$26 &amp; $P$28+$M48)="","",INDIRECT("[" &amp; 'Setup Data'!$K$3&amp; "]Pressure!" &amp;Q$26 &amp; $P$28+$M48))</f>
        <v/>
      </c>
      <c r="R48" s="244" t="str">
        <f ca="1">IF(INDIRECT("[" &amp; 'Setup Data'!$K$3&amp; "]Pressure!" &amp;R$26 &amp; $P$28+$M48)="","",INDIRECT("[" &amp; 'Setup Data'!$K$3&amp; "]Pressure!" &amp;R$26 &amp; $P$28+$M48))</f>
        <v/>
      </c>
      <c r="S48" s="244" t="str">
        <f ca="1">IF(INDIRECT("[" &amp; 'Setup Data'!$K$3&amp; "]Pressure!" &amp;S$26 &amp; $P$28+$M48)="","",INDIRECT("[" &amp; 'Setup Data'!$K$3&amp; "]Pressure!" &amp;S$26 &amp; $P$28+$M48))</f>
        <v/>
      </c>
      <c r="T48" s="244">
        <f ca="1">IF(INDIRECT("[" &amp; 'Setup Data'!$K$3&amp; "]Pressure!" &amp;T$26 &amp; $P$28+$M48)="","",INDIRECT("[" &amp; 'Setup Data'!$K$3&amp; "]Pressure!" &amp;T$26 &amp; $P$28+$M48))</f>
        <v>13800</v>
      </c>
      <c r="U48" s="244">
        <f ca="1">IF(INDIRECT("[" &amp; 'Setup Data'!$K$3&amp; "]Pressure!" &amp;U$26 &amp; $P$28+$M48)="","",INDIRECT("[" &amp; 'Setup Data'!$K$3&amp; "]Pressure!" &amp;U$26 &amp; $P$28+$M48))</f>
        <v>0</v>
      </c>
      <c r="V48" s="244">
        <f ca="1">IF(INDIRECT("[" &amp; 'Setup Data'!$K$3&amp; "]Pressure!" &amp;V$26 &amp; $P$28+$M48)="","",INDIRECT("[" &amp; 'Setup Data'!$K$3&amp; "]Pressure!" &amp;V$26 &amp; $P$28+$M48))</f>
        <v>0</v>
      </c>
      <c r="W48" s="244">
        <f ca="1">IF(INDIRECT("[" &amp; 'Setup Data'!$K$3&amp; "]Pressure!" &amp;W$26 &amp; $P$28+$M48)="","",INDIRECT("[" &amp; 'Setup Data'!$K$3&amp; "]Pressure!" &amp;W$26 &amp; $P$28+$M48))</f>
        <v>0</v>
      </c>
      <c r="X48" s="244">
        <f ca="1">IF(INDIRECT("[" &amp; 'Setup Data'!$K$3&amp; "]Pressure!" &amp;X$26 &amp; $P$28+$M48)="","",INDIRECT("[" &amp; 'Setup Data'!$K$3&amp; "]Pressure!" &amp;X$26 &amp; $P$28+$M48))</f>
        <v>101.44929999999999</v>
      </c>
      <c r="Y48" s="244" t="e">
        <f ca="1">IF(INDIRECT("[" &amp; 'Setup Data'!$K$3&amp; "]Pressure!" &amp;Y$26 &amp; $P$28+$M48)="","",INDIRECT("[" &amp; 'Setup Data'!$K$3&amp; "]Pressure!" &amp;Y$26 &amp; $P$28+$M48))</f>
        <v>#VALUE!</v>
      </c>
      <c r="Z48" s="244" t="e">
        <f ca="1">IF(INDIRECT("[" &amp; 'Setup Data'!$K$3&amp; "]Pressure!" &amp;Z$26 &amp; $P$28+$M48)="","",INDIRECT("[" &amp; 'Setup Data'!$K$3&amp; "]Pressure!" &amp;Z$26 &amp; $P$28+$M48))</f>
        <v>#VALUE!</v>
      </c>
      <c r="AA48" s="244" t="e">
        <f ca="1">IF(INDIRECT("[" &amp; 'Setup Data'!$K$3&amp; "]Pressure!" &amp;AA$26 &amp; $P$28+$M48)="","",INDIRECT("[" &amp; 'Setup Data'!$K$3&amp; "]Pressure!" &amp;AA$26 &amp; $P$28+$M48))</f>
        <v>#VALUE!</v>
      </c>
      <c r="AB48" s="244" t="e">
        <f ca="1">IF(INDIRECT("[" &amp; 'Setup Data'!$K$3&amp; "]Pressure!" &amp;AB$26 &amp; $P$28+$M48)="","",INDIRECT("[" &amp; 'Setup Data'!$K$3&amp; "]Pressure!" &amp;AB$26 &amp; $P$28+$M48))</f>
        <v>#VALUE!</v>
      </c>
      <c r="AC48" s="244" t="e">
        <f ca="1">IF(INDIRECT("[" &amp; 'Setup Data'!$K$3&amp; "]Pressure!" &amp;AC$26 &amp; $P$28+$M48)="","",INDIRECT("[" &amp; 'Setup Data'!$K$3&amp; "]Pressure!" &amp;AC$26 &amp; $P$28+$M48))</f>
        <v>#VALUE!</v>
      </c>
      <c r="AD48" s="244" t="e">
        <f ca="1">IF(INDIRECT("[" &amp; 'Setup Data'!$K$3&amp; "]Pressure!" &amp;AD$26 &amp; $P$28+$M48)="","",INDIRECT("[" &amp; 'Setup Data'!$K$3&amp; "]Pressure!" &amp;AD$26 &amp; $P$28+$M48))</f>
        <v>#VALUE!</v>
      </c>
      <c r="AE48" s="244">
        <f ca="1">IF(INDIRECT("[" &amp; 'Setup Data'!$K$3&amp; "]Pressure!" &amp;AE$26 &amp; $P$28+$M48)="","",INDIRECT("[" &amp; 'Setup Data'!$K$3&amp; "]Pressure!" &amp;AE$26 &amp; $P$28+$M48))</f>
        <v>1.799302799199E-12</v>
      </c>
      <c r="AF48" s="244">
        <f ca="1">IF(INDIRECT("[" &amp; 'Setup Data'!$K$3&amp; "]Pressure!" &amp;AF$26 &amp; $P$28+$M48)="","",INDIRECT("[" &amp; 'Setup Data'!$K$3&amp; "]Pressure!" &amp;AF$26 &amp; $P$28+$M48))</f>
        <v>-8.9129227305845105E-9</v>
      </c>
      <c r="AG48" s="244">
        <f ca="1">IF(INDIRECT("[" &amp; 'Setup Data'!$K$3&amp; "]Pressure!" &amp;AG$26 &amp; $P$28+$M48)="","",INDIRECT("[" &amp; 'Setup Data'!$K$3&amp; "]Pressure!" &amp;AG$26 &amp; $P$28+$M48))</f>
        <v>-1.0002432443703799</v>
      </c>
      <c r="AH48" s="244">
        <f ca="1">IF(INDIRECT("[" &amp; 'Setup Data'!$K$3&amp; "]Pressure!" &amp;AH$26 &amp; $P$28+$M48)="","",INDIRECT("[" &amp; 'Setup Data'!$K$3&amp; "]Pressure!" &amp;AH$26 &amp; $P$28+$M48))</f>
        <v>0.23394205445095101</v>
      </c>
      <c r="AI48" s="244">
        <f ca="1">IF(INDIRECT("[" &amp; 'Setup Data'!$K$3&amp; "]Pressure!" &amp;AI$26 &amp; $P$28+$M48)="","",INDIRECT("[" &amp; 'Setup Data'!$K$3&amp; "]Pressure!" &amp;AI$26 &amp; $P$28+$M48))</f>
        <v>0.99999999330021405</v>
      </c>
      <c r="AJ48" s="244">
        <f ca="1">IF(INDIRECT("[" &amp; 'Setup Data'!$K$3&amp; "]Pressure!" &amp;AJ$26 &amp; $P$28+$M48)="","",INDIRECT("[" &amp; 'Setup Data'!$K$3&amp; "]Pressure!" &amp;AJ$26 &amp; $P$28+$M48))</f>
        <v>0.48426734103271601</v>
      </c>
      <c r="AK48" s="244">
        <f ca="1">IF(INDIRECT("[" &amp; 'Setup Data'!$K$3&amp; "]Pressure!" &amp;AK$26 &amp; $P$28+$M48)="","",INDIRECT("[" &amp; 'Setup Data'!$K$3&amp; "]Pressure!" &amp;AK$26 &amp; $P$28+$M48))</f>
        <v>0</v>
      </c>
      <c r="AL48" s="244">
        <f ca="1">IF(INDIRECT("[" &amp; 'Setup Data'!$K$3&amp; "]Pressure!" &amp;AL$26 &amp; $P$28+$M48)="","",INDIRECT("[" &amp; 'Setup Data'!$K$3&amp; "]Pressure!" &amp;AL$26 &amp; $P$28+$M48))</f>
        <v>0</v>
      </c>
      <c r="AM48" s="244">
        <f ca="1">IF(INDIRECT("[" &amp; 'Setup Data'!$K$3&amp; "]Pressure!" &amp;AM$26 &amp; $P$28+$M48)="","",INDIRECT("[" &amp; 'Setup Data'!$K$3&amp; "]Pressure!" &amp;AM$26 &amp; $P$28+$M48))</f>
        <v>1</v>
      </c>
      <c r="AN48" s="244">
        <f ca="1">IF(INDIRECT("[" &amp; 'Setup Data'!$K$3&amp; "]Pressure!" &amp;AN$26 &amp; $P$28+$M48)="","",INDIRECT("[" &amp; 'Setup Data'!$K$3&amp; "]Pressure!" &amp;AN$26 &amp; $P$28+$M48))</f>
        <v>0</v>
      </c>
      <c r="AO48" s="244">
        <f ca="1">IF(INDIRECT("[" &amp; 'Setup Data'!$K$3&amp; "]Pressure!" &amp;AO$26 &amp; $P$28+$M48)="","",INDIRECT("[" &amp; 'Setup Data'!$K$3&amp; "]Pressure!" &amp;AO$26 &amp; $P$28+$M48))</f>
        <v>1</v>
      </c>
      <c r="AP48" s="244">
        <f ca="1">IF(INDIRECT("[" &amp; 'Setup Data'!$K$3&amp; "]Pressure!" &amp;AP$26 &amp; $P$28+$M48)="","",INDIRECT("[" &amp; 'Setup Data'!$K$3&amp; "]Pressure!" &amp;AP$26 &amp; $P$28+$M48))</f>
        <v>0</v>
      </c>
      <c r="AQ48" s="14"/>
      <c r="AR48" s="14"/>
      <c r="AS48" s="14"/>
      <c r="AT48" s="14"/>
      <c r="AU48" s="14"/>
      <c r="AV48" s="14"/>
      <c r="AW48" s="14"/>
      <c r="AX48" s="14"/>
      <c r="AY48" s="14"/>
      <c r="AZ48" s="14"/>
      <c r="BA48" s="14"/>
      <c r="BB48" s="14"/>
      <c r="BC48" s="14"/>
      <c r="DZ48" s="16"/>
      <c r="EA48" s="16"/>
      <c r="EB48" s="16"/>
      <c r="EC48" s="16"/>
      <c r="ED48" s="16"/>
      <c r="EE48" s="16"/>
    </row>
    <row r="49" spans="1:135">
      <c r="A49" s="14"/>
      <c r="B49" s="14"/>
      <c r="C49" s="14"/>
      <c r="D49" s="14"/>
      <c r="E49" s="14"/>
      <c r="F49" s="14"/>
      <c r="G49" s="14"/>
      <c r="H49" s="14"/>
      <c r="I49" s="14"/>
      <c r="J49" s="14"/>
      <c r="K49" s="14"/>
      <c r="L49" s="14"/>
      <c r="M49" s="102">
        <f t="shared" si="8"/>
        <v>19</v>
      </c>
      <c r="N49" s="244" t="str">
        <f ca="1">IF($O$28=20,"B / ","") &amp; IF(INDIRECT("[" &amp; 'Setup Data'!$K$3&amp; "]Pressure!" &amp;N$26 &amp; $P$28+$M49)="","",INDIRECT("[" &amp; 'Setup Data'!$K$3&amp; "]Pressure!" &amp;N$26 &amp; $P$28+$M49))</f>
        <v>B / 70000</v>
      </c>
      <c r="O49" s="245">
        <f ca="1">IF(INDIRECT("[" &amp; 'Setup Data'!$K$3&amp; "]Pressure!" &amp;O$26 &amp; $P$28+$M49)="","",INDIRECT("[" &amp; 'Setup Data'!$K$3&amp; "]Pressure!" &amp;O$26 &amp; $P$28+$M49))</f>
        <v>560805</v>
      </c>
      <c r="P49" s="244">
        <f ca="1">IF(INDIRECT("[" &amp; 'Setup Data'!$K$3&amp; "]Pressure!" &amp;P$26 &amp; $P$28+$M49)="","",INDIRECT("[" &amp; 'Setup Data'!$K$3&amp; "]Pressure!" &amp;P$26 &amp; $P$28+$M49))</f>
        <v>20</v>
      </c>
      <c r="Q49" s="244" t="str">
        <f ca="1">IF(INDIRECT("[" &amp; 'Setup Data'!$K$3&amp; "]Pressure!" &amp;Q$26 &amp; $P$28+$M49)="","",INDIRECT("[" &amp; 'Setup Data'!$K$3&amp; "]Pressure!" &amp;Q$26 &amp; $P$28+$M49))</f>
        <v/>
      </c>
      <c r="R49" s="244" t="str">
        <f ca="1">IF(INDIRECT("[" &amp; 'Setup Data'!$K$3&amp; "]Pressure!" &amp;R$26 &amp; $P$28+$M49)="","",INDIRECT("[" &amp; 'Setup Data'!$K$3&amp; "]Pressure!" &amp;R$26 &amp; $P$28+$M49))</f>
        <v/>
      </c>
      <c r="S49" s="244" t="str">
        <f ca="1">IF(INDIRECT("[" &amp; 'Setup Data'!$K$3&amp; "]Pressure!" &amp;S$26 &amp; $P$28+$M49)="","",INDIRECT("[" &amp; 'Setup Data'!$K$3&amp; "]Pressure!" &amp;S$26 &amp; $P$28+$M49))</f>
        <v/>
      </c>
      <c r="T49" s="244">
        <f ca="1">IF(INDIRECT("[" &amp; 'Setup Data'!$K$3&amp; "]Pressure!" &amp;T$26 &amp; $P$28+$M49)="","",INDIRECT("[" &amp; 'Setup Data'!$K$3&amp; "]Pressure!" &amp;T$26 &amp; $P$28+$M49))</f>
        <v>70000</v>
      </c>
      <c r="U49" s="244">
        <f ca="1">IF(INDIRECT("[" &amp; 'Setup Data'!$K$3&amp; "]Pressure!" &amp;U$26 &amp; $P$28+$M49)="","",INDIRECT("[" &amp; 'Setup Data'!$K$3&amp; "]Pressure!" &amp;U$26 &amp; $P$28+$M49))</f>
        <v>0</v>
      </c>
      <c r="V49" s="244">
        <f ca="1">IF(INDIRECT("[" &amp; 'Setup Data'!$K$3&amp; "]Pressure!" &amp;V$26 &amp; $P$28+$M49)="","",INDIRECT("[" &amp; 'Setup Data'!$K$3&amp; "]Pressure!" &amp;V$26 &amp; $P$28+$M49))</f>
        <v>0</v>
      </c>
      <c r="W49" s="244">
        <f ca="1">IF(INDIRECT("[" &amp; 'Setup Data'!$K$3&amp; "]Pressure!" &amp;W$26 &amp; $P$28+$M49)="","",INDIRECT("[" &amp; 'Setup Data'!$K$3&amp; "]Pressure!" &amp;W$26 &amp; $P$28+$M49))</f>
        <v>0</v>
      </c>
      <c r="X49" s="244">
        <f ca="1">IF(INDIRECT("[" &amp; 'Setup Data'!$K$3&amp; "]Pressure!" &amp;X$26 &amp; $P$28+$M49)="","",INDIRECT("[" &amp; 'Setup Data'!$K$3&amp; "]Pressure!" &amp;X$26 &amp; $P$28+$M49))</f>
        <v>99.997100000000003</v>
      </c>
      <c r="Y49" s="244" t="e">
        <f ca="1">IF(INDIRECT("[" &amp; 'Setup Data'!$K$3&amp; "]Pressure!" &amp;Y$26 &amp; $P$28+$M49)="","",INDIRECT("[" &amp; 'Setup Data'!$K$3&amp; "]Pressure!" &amp;Y$26 &amp; $P$28+$M49))</f>
        <v>#VALUE!</v>
      </c>
      <c r="Z49" s="244" t="e">
        <f ca="1">IF(INDIRECT("[" &amp; 'Setup Data'!$K$3&amp; "]Pressure!" &amp;Z$26 &amp; $P$28+$M49)="","",INDIRECT("[" &amp; 'Setup Data'!$K$3&amp; "]Pressure!" &amp;Z$26 &amp; $P$28+$M49))</f>
        <v>#VALUE!</v>
      </c>
      <c r="AA49" s="244" t="e">
        <f ca="1">IF(INDIRECT("[" &amp; 'Setup Data'!$K$3&amp; "]Pressure!" &amp;AA$26 &amp; $P$28+$M49)="","",INDIRECT("[" &amp; 'Setup Data'!$K$3&amp; "]Pressure!" &amp;AA$26 &amp; $P$28+$M49))</f>
        <v>#VALUE!</v>
      </c>
      <c r="AB49" s="244" t="e">
        <f ca="1">IF(INDIRECT("[" &amp; 'Setup Data'!$K$3&amp; "]Pressure!" &amp;AB$26 &amp; $P$28+$M49)="","",INDIRECT("[" &amp; 'Setup Data'!$K$3&amp; "]Pressure!" &amp;AB$26 &amp; $P$28+$M49))</f>
        <v>#VALUE!</v>
      </c>
      <c r="AC49" s="244" t="e">
        <f ca="1">IF(INDIRECT("[" &amp; 'Setup Data'!$K$3&amp; "]Pressure!" &amp;AC$26 &amp; $P$28+$M49)="","",INDIRECT("[" &amp; 'Setup Data'!$K$3&amp; "]Pressure!" &amp;AC$26 &amp; $P$28+$M49))</f>
        <v>#VALUE!</v>
      </c>
      <c r="AD49" s="244" t="e">
        <f ca="1">IF(INDIRECT("[" &amp; 'Setup Data'!$K$3&amp; "]Pressure!" &amp;AD$26 &amp; $P$28+$M49)="","",INDIRECT("[" &amp; 'Setup Data'!$K$3&amp; "]Pressure!" &amp;AD$26 &amp; $P$28+$M49))</f>
        <v>#VALUE!</v>
      </c>
      <c r="AE49" s="244">
        <f ca="1">IF(INDIRECT("[" &amp; 'Setup Data'!$K$3&amp; "]Pressure!" &amp;AE$26 &amp; $P$28+$M49)="","",INDIRECT("[" &amp; 'Setup Data'!$K$3&amp; "]Pressure!" &amp;AE$26 &amp; $P$28+$M49))</f>
        <v>1.4850632717000001E-14</v>
      </c>
      <c r="AF49" s="244">
        <f ca="1">IF(INDIRECT("[" &amp; 'Setup Data'!$K$3&amp; "]Pressure!" &amp;AF$26 &amp; $P$28+$M49)="","",INDIRECT("[" &amp; 'Setup Data'!$K$3&amp; "]Pressure!" &amp;AF$26 &amp; $P$28+$M49))</f>
        <v>-2.5679468979322098E-10</v>
      </c>
      <c r="AG49" s="244">
        <f ca="1">IF(INDIRECT("[" &amp; 'Setup Data'!$K$3&amp; "]Pressure!" &amp;AG$26 &amp; $P$28+$M49)="","",INDIRECT("[" &amp; 'Setup Data'!$K$3&amp; "]Pressure!" &amp;AG$26 &amp; $P$28+$M49))</f>
        <v>-1.0000251208370501</v>
      </c>
      <c r="AH49" s="244">
        <f ca="1">IF(INDIRECT("[" &amp; 'Setup Data'!$K$3&amp; "]Pressure!" &amp;AH$26 &amp; $P$28+$M49)="","",INDIRECT("[" &amp; 'Setup Data'!$K$3&amp; "]Pressure!" &amp;AH$26 &amp; $P$28+$M49))</f>
        <v>5.0070217937893999E-2</v>
      </c>
      <c r="AI49" s="244">
        <f ca="1">IF(INDIRECT("[" &amp; 'Setup Data'!$K$3&amp; "]Pressure!" &amp;AI$26 &amp; $P$28+$M49)="","",INDIRECT("[" &amp; 'Setup Data'!$K$3&amp; "]Pressure!" &amp;AI$26 &amp; $P$28+$M49))</f>
        <v>0.99999999867045697</v>
      </c>
      <c r="AJ49" s="244">
        <f ca="1">IF(INDIRECT("[" &amp; 'Setup Data'!$K$3&amp; "]Pressure!" &amp;AJ$26 &amp; $P$28+$M49)="","",INDIRECT("[" &amp; 'Setup Data'!$K$3&amp; "]Pressure!" &amp;AJ$26 &amp; $P$28+$M49))</f>
        <v>1.07856254061346</v>
      </c>
      <c r="AK49" s="244">
        <f ca="1">IF(INDIRECT("[" &amp; 'Setup Data'!$K$3&amp; "]Pressure!" &amp;AK$26 &amp; $P$28+$M49)="","",INDIRECT("[" &amp; 'Setup Data'!$K$3&amp; "]Pressure!" &amp;AK$26 &amp; $P$28+$M49))</f>
        <v>0</v>
      </c>
      <c r="AL49" s="244">
        <f ca="1">IF(INDIRECT("[" &amp; 'Setup Data'!$K$3&amp; "]Pressure!" &amp;AL$26 &amp; $P$28+$M49)="","",INDIRECT("[" &amp; 'Setup Data'!$K$3&amp; "]Pressure!" &amp;AL$26 &amp; $P$28+$M49))</f>
        <v>8.5440000000000006E-21</v>
      </c>
      <c r="AM49" s="244">
        <f ca="1">IF(INDIRECT("[" &amp; 'Setup Data'!$K$3&amp; "]Pressure!" &amp;AM$26 &amp; $P$28+$M49)="","",INDIRECT("[" &amp; 'Setup Data'!$K$3&amp; "]Pressure!" &amp;AM$26 &amp; $P$28+$M49))</f>
        <v>1</v>
      </c>
      <c r="AN49" s="244">
        <f ca="1">IF(INDIRECT("[" &amp; 'Setup Data'!$K$3&amp; "]Pressure!" &amp;AN$26 &amp; $P$28+$M49)="","",INDIRECT("[" &amp; 'Setup Data'!$K$3&amp; "]Pressure!" &amp;AN$26 &amp; $P$28+$M49))</f>
        <v>1.640071974645E-12</v>
      </c>
      <c r="AO49" s="244">
        <f ca="1">IF(INDIRECT("[" &amp; 'Setup Data'!$K$3&amp; "]Pressure!" &amp;AO$26 &amp; $P$28+$M49)="","",INDIRECT("[" &amp; 'Setup Data'!$K$3&amp; "]Pressure!" &amp;AO$26 &amp; $P$28+$M49))</f>
        <v>1</v>
      </c>
      <c r="AP49" s="244">
        <f ca="1">IF(INDIRECT("[" &amp; 'Setup Data'!$K$3&amp; "]Pressure!" &amp;AP$26 &amp; $P$28+$M49)="","",INDIRECT("[" &amp; 'Setup Data'!$K$3&amp; "]Pressure!" &amp;AP$26 &amp; $P$28+$M49))</f>
        <v>5.6558487648700002E-13</v>
      </c>
      <c r="DZ49" s="16"/>
      <c r="EA49" s="16"/>
      <c r="EB49" s="16"/>
      <c r="EC49" s="16"/>
      <c r="ED49" s="16"/>
      <c r="EE49" s="16"/>
    </row>
    <row r="50" spans="1:135">
      <c r="A50" s="14"/>
      <c r="B50" s="14"/>
      <c r="C50" s="14"/>
      <c r="D50" s="14"/>
      <c r="E50" s="14"/>
      <c r="F50" s="14"/>
      <c r="G50" s="14"/>
      <c r="H50" s="14"/>
      <c r="I50" s="14"/>
      <c r="J50" s="14"/>
      <c r="K50" s="14"/>
      <c r="L50" s="14"/>
      <c r="M50" s="16"/>
      <c r="N50" s="244"/>
      <c r="O50" s="245"/>
      <c r="P50" s="244"/>
      <c r="Q50" s="244"/>
      <c r="R50" s="244"/>
      <c r="S50" s="244"/>
      <c r="T50" s="244"/>
      <c r="U50" s="244"/>
      <c r="V50" s="244"/>
      <c r="W50" s="262"/>
      <c r="X50" s="244"/>
      <c r="Y50" s="263"/>
      <c r="Z50" s="263"/>
      <c r="AA50" s="263"/>
      <c r="AB50" s="264"/>
      <c r="AC50" s="264"/>
      <c r="AD50" s="264"/>
      <c r="AE50" s="264"/>
      <c r="AF50" s="264"/>
      <c r="AG50" s="264"/>
      <c r="AH50" s="264"/>
      <c r="AI50" s="264"/>
      <c r="AJ50" s="264"/>
      <c r="AK50" s="264"/>
      <c r="AL50" s="264"/>
      <c r="AM50" s="264"/>
      <c r="AN50" s="264"/>
      <c r="AO50" s="264"/>
      <c r="AP50" s="264"/>
      <c r="DZ50" s="16"/>
      <c r="EA50" s="16"/>
      <c r="EB50" s="16"/>
      <c r="EC50" s="16"/>
      <c r="ED50" s="16"/>
      <c r="EE50" s="16"/>
    </row>
    <row r="51" spans="1:13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DZ51" s="16"/>
      <c r="EA51" s="102"/>
      <c r="EB51" s="102"/>
      <c r="EC51" s="102"/>
      <c r="ED51" s="102"/>
      <c r="EE51" s="102"/>
    </row>
    <row r="52" spans="1:135">
      <c r="A52" s="14"/>
      <c r="B52" s="14"/>
      <c r="C52" s="14"/>
      <c r="D52" s="14"/>
      <c r="E52" s="14"/>
      <c r="F52" s="14"/>
      <c r="G52" s="14"/>
      <c r="H52" s="14"/>
      <c r="I52" s="14"/>
      <c r="J52" s="14"/>
      <c r="K52" s="14"/>
      <c r="L52" s="14"/>
      <c r="M52" s="14"/>
      <c r="N52" s="14" t="s">
        <v>232</v>
      </c>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DZ52" s="16"/>
      <c r="EA52" s="16"/>
      <c r="EB52" s="16"/>
      <c r="EC52" s="16"/>
      <c r="ED52" s="16"/>
      <c r="EE52" s="16"/>
    </row>
    <row r="53" spans="1:13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DZ53" s="16"/>
      <c r="EA53" s="16"/>
      <c r="EB53" s="16"/>
      <c r="EC53" s="16"/>
      <c r="ED53" s="16"/>
      <c r="EE53" s="16"/>
    </row>
    <row r="54" spans="1:135">
      <c r="A54" s="14"/>
      <c r="B54" s="14"/>
      <c r="C54" s="14"/>
      <c r="D54" s="14"/>
      <c r="E54" s="14"/>
      <c r="F54" s="14"/>
      <c r="G54" s="14"/>
      <c r="H54" s="14"/>
      <c r="I54" s="14"/>
      <c r="J54" s="14"/>
      <c r="K54" s="14"/>
      <c r="L54" s="14"/>
      <c r="M54" s="14"/>
      <c r="N54" s="14" t="s">
        <v>233</v>
      </c>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DZ54" s="16"/>
      <c r="EA54" s="16"/>
      <c r="EB54" s="16"/>
      <c r="EC54" s="16"/>
      <c r="ED54" s="16"/>
      <c r="EE54" s="16"/>
    </row>
    <row r="55" spans="1:135">
      <c r="A55" s="14"/>
      <c r="B55" s="14"/>
      <c r="C55" s="14"/>
      <c r="D55" s="14"/>
      <c r="E55" s="14"/>
      <c r="F55" s="14"/>
      <c r="G55" s="14"/>
      <c r="H55" s="14"/>
      <c r="I55" s="14"/>
      <c r="J55" s="14"/>
      <c r="K55" s="14"/>
      <c r="L55" s="14"/>
      <c r="M55" s="14"/>
      <c r="N55" s="14" t="s">
        <v>234</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DZ55" s="16"/>
      <c r="EA55" s="16"/>
      <c r="EB55" s="16"/>
      <c r="EC55" s="16"/>
      <c r="ED55" s="16"/>
      <c r="EE55" s="16"/>
    </row>
    <row r="56" spans="1:135">
      <c r="A56" s="14"/>
      <c r="B56" s="14"/>
      <c r="C56" s="14"/>
      <c r="D56" s="14"/>
      <c r="E56" s="14"/>
      <c r="F56" s="14"/>
      <c r="G56" s="14"/>
      <c r="H56" s="14"/>
      <c r="I56" s="14"/>
      <c r="J56" s="14"/>
      <c r="K56" s="14"/>
      <c r="L56" s="14"/>
      <c r="M56" s="14"/>
      <c r="N56" s="14" t="s">
        <v>235</v>
      </c>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DZ56" s="16"/>
      <c r="EA56" s="16"/>
      <c r="EB56" s="16"/>
      <c r="EC56" s="16"/>
      <c r="ED56" s="16"/>
      <c r="EE56" s="16"/>
    </row>
    <row r="57" spans="1:13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Z57" s="16"/>
      <c r="EA57" s="16"/>
      <c r="EB57" s="16"/>
      <c r="EC57" s="16"/>
      <c r="ED57" s="16"/>
      <c r="EE57" s="16"/>
    </row>
    <row r="58" spans="1:13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DZ58" s="16"/>
      <c r="EA58" s="16"/>
      <c r="EB58" s="16"/>
      <c r="EC58" s="16"/>
      <c r="ED58" s="16"/>
      <c r="EE58" s="16"/>
    </row>
    <row r="59" spans="1:13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DZ59" s="16"/>
      <c r="EA59" s="16"/>
      <c r="EB59" s="16"/>
      <c r="EC59" s="16"/>
      <c r="ED59" s="16"/>
      <c r="EE59" s="16"/>
    </row>
    <row r="60" spans="1:135" ht="60" customHeight="1">
      <c r="A60" s="14"/>
      <c r="B60" s="14" t="s">
        <v>204</v>
      </c>
      <c r="D60" s="265" t="s">
        <v>236</v>
      </c>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DZ60" s="16"/>
      <c r="EA60" s="16"/>
      <c r="EB60" s="16"/>
      <c r="EC60" s="16"/>
      <c r="ED60" s="16"/>
      <c r="EE60" s="16"/>
    </row>
    <row r="61" spans="1:135" ht="60" customHeight="1">
      <c r="A61" s="14"/>
      <c r="B61" s="14" t="s">
        <v>217</v>
      </c>
      <c r="C61" s="14"/>
      <c r="D61" s="265" t="s">
        <v>237</v>
      </c>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DZ61" s="16"/>
      <c r="EA61" s="16"/>
      <c r="EB61" s="16"/>
      <c r="EC61" s="16"/>
      <c r="ED61" s="16"/>
      <c r="EE61" s="16"/>
    </row>
    <row r="62" spans="1:135" ht="60" customHeight="1">
      <c r="A62" s="14"/>
      <c r="B62" s="14" t="s">
        <v>238</v>
      </c>
      <c r="C62" s="14"/>
      <c r="D62" s="265" t="s">
        <v>239</v>
      </c>
      <c r="E62" s="14"/>
      <c r="F62" s="14"/>
      <c r="G62" s="14"/>
      <c r="H62" s="14"/>
      <c r="I62" s="14"/>
      <c r="J62" s="14"/>
      <c r="K62" s="14"/>
      <c r="L62" s="14"/>
      <c r="M62" s="14"/>
      <c r="N62" s="14"/>
      <c r="O62" s="14"/>
      <c r="P62" s="14"/>
      <c r="Q62" s="14"/>
      <c r="R62" s="14"/>
      <c r="S62" s="14"/>
      <c r="T62" s="14"/>
      <c r="U62" s="14"/>
      <c r="DZ62" s="16"/>
      <c r="EA62" s="16"/>
      <c r="EB62" s="16"/>
      <c r="EC62" s="16"/>
      <c r="ED62" s="16"/>
      <c r="EE62" s="16"/>
    </row>
    <row r="63" spans="1:135" ht="60" customHeight="1">
      <c r="A63" s="14"/>
      <c r="B63" s="14" t="s">
        <v>240</v>
      </c>
      <c r="C63" s="14"/>
      <c r="D63" s="265" t="s">
        <v>241</v>
      </c>
      <c r="E63" s="14"/>
      <c r="F63" s="14"/>
      <c r="G63" s="14"/>
      <c r="H63" s="14"/>
      <c r="I63" s="14"/>
      <c r="J63" s="14"/>
      <c r="K63" s="14"/>
      <c r="L63" s="14"/>
      <c r="M63" s="14"/>
      <c r="N63" s="14"/>
      <c r="O63" s="14"/>
      <c r="P63" s="14"/>
      <c r="Q63" s="14"/>
      <c r="R63" s="14"/>
      <c r="S63" s="14"/>
      <c r="T63" s="14"/>
      <c r="U63" s="14"/>
      <c r="DZ63" s="16"/>
      <c r="EA63" s="16"/>
      <c r="EB63" s="16"/>
      <c r="EC63" s="16"/>
      <c r="ED63" s="16"/>
      <c r="EE63" s="16"/>
    </row>
    <row r="64" spans="1:135" ht="60" customHeight="1">
      <c r="A64" s="14"/>
      <c r="B64" s="14" t="s">
        <v>212</v>
      </c>
      <c r="C64" s="14"/>
      <c r="D64" s="265" t="s">
        <v>242</v>
      </c>
      <c r="E64" s="14"/>
      <c r="F64" s="14"/>
      <c r="G64" s="14"/>
      <c r="H64" s="14"/>
      <c r="I64" s="14"/>
      <c r="J64" s="14"/>
      <c r="K64" s="14"/>
      <c r="L64" s="14"/>
      <c r="M64" s="14"/>
      <c r="N64" s="14"/>
      <c r="O64" s="14"/>
      <c r="P64" s="14"/>
      <c r="Q64" s="14"/>
      <c r="R64" s="14"/>
      <c r="S64" s="14"/>
      <c r="T64" s="14"/>
      <c r="U64" s="14"/>
      <c r="DZ64" s="16"/>
      <c r="EA64" s="16"/>
      <c r="EB64" s="16"/>
      <c r="EC64" s="16"/>
      <c r="ED64" s="16"/>
      <c r="EE64" s="16"/>
    </row>
    <row r="65" spans="1:135" ht="60" customHeight="1">
      <c r="A65" s="14"/>
      <c r="B65" s="14" t="s">
        <v>228</v>
      </c>
      <c r="C65" s="14"/>
      <c r="D65" s="265" t="s">
        <v>243</v>
      </c>
      <c r="E65" s="14"/>
      <c r="F65" s="14"/>
      <c r="G65" s="14"/>
      <c r="H65" s="14"/>
      <c r="I65" s="14"/>
      <c r="J65" s="14"/>
      <c r="K65" s="14"/>
      <c r="L65" s="14"/>
      <c r="M65" s="14"/>
      <c r="N65" s="14"/>
      <c r="O65" s="14"/>
      <c r="P65" s="14"/>
      <c r="Q65" s="14"/>
      <c r="R65" s="14"/>
      <c r="S65" s="14"/>
      <c r="T65" s="14"/>
      <c r="U65" s="14"/>
      <c r="DZ65" s="16"/>
      <c r="EA65" s="16"/>
      <c r="EB65" s="16"/>
      <c r="EC65" s="16"/>
      <c r="ED65" s="16"/>
      <c r="EE65" s="16"/>
    </row>
    <row r="66" spans="1:135" ht="60" customHeight="1">
      <c r="A66" s="14"/>
      <c r="B66" s="14" t="s">
        <v>221</v>
      </c>
      <c r="C66" s="14"/>
      <c r="D66" s="265" t="s">
        <v>244</v>
      </c>
      <c r="E66" s="14"/>
      <c r="F66" s="14"/>
      <c r="G66" s="14"/>
      <c r="H66" s="14"/>
      <c r="I66" s="14"/>
      <c r="J66" s="14"/>
      <c r="K66" s="14"/>
      <c r="L66" s="14"/>
      <c r="M66" s="14"/>
      <c r="N66" s="14"/>
      <c r="O66" s="14"/>
      <c r="P66" s="14"/>
      <c r="Q66" s="14"/>
      <c r="R66" s="14"/>
      <c r="S66" s="14"/>
      <c r="T66" s="14"/>
      <c r="U66" s="14"/>
      <c r="DZ66" s="16"/>
      <c r="EA66" s="16"/>
      <c r="EB66" s="16"/>
      <c r="EC66" s="16"/>
      <c r="ED66" s="16"/>
      <c r="EE66" s="16"/>
    </row>
    <row r="67" spans="1:135" ht="60" customHeight="1">
      <c r="A67" s="14"/>
      <c r="B67" s="14" t="s">
        <v>214</v>
      </c>
      <c r="C67" s="14"/>
      <c r="D67" s="265" t="s">
        <v>245</v>
      </c>
      <c r="E67" s="14"/>
      <c r="F67" s="14"/>
      <c r="G67" s="14"/>
      <c r="H67" s="14"/>
      <c r="I67" s="14"/>
      <c r="J67" s="14"/>
      <c r="K67" s="14"/>
      <c r="L67" s="14"/>
      <c r="M67" s="14"/>
      <c r="N67" s="14"/>
      <c r="O67" s="14"/>
      <c r="P67" s="14"/>
      <c r="Q67" s="14"/>
      <c r="R67" s="14"/>
      <c r="S67" s="14"/>
      <c r="T67" s="14"/>
      <c r="U67" s="14"/>
      <c r="DZ67" s="16"/>
      <c r="EA67" s="16"/>
      <c r="EB67" s="16"/>
      <c r="EC67" s="16"/>
      <c r="ED67" s="16"/>
      <c r="EE67" s="16"/>
    </row>
    <row r="68" spans="1:135" ht="60" customHeight="1">
      <c r="A68" s="14"/>
      <c r="B68" s="14" t="s">
        <v>207</v>
      </c>
      <c r="C68" s="14"/>
      <c r="D68" s="265" t="s">
        <v>246</v>
      </c>
      <c r="E68" s="14"/>
      <c r="F68" s="14"/>
      <c r="G68" s="14"/>
      <c r="H68" s="14"/>
      <c r="I68" s="14"/>
      <c r="J68" s="14"/>
      <c r="K68" s="14"/>
      <c r="L68" s="14"/>
      <c r="M68" s="14"/>
      <c r="N68" s="14"/>
      <c r="O68" s="14"/>
      <c r="P68" s="14"/>
      <c r="Q68" s="14"/>
      <c r="R68" s="14"/>
      <c r="S68" s="14"/>
      <c r="T68" s="14"/>
      <c r="U68" s="14"/>
      <c r="DZ68" s="16"/>
      <c r="EA68" s="16"/>
      <c r="EB68" s="16"/>
      <c r="EC68" s="16"/>
      <c r="ED68" s="16"/>
      <c r="EE68" s="16"/>
    </row>
    <row r="69" spans="1:135" ht="60" customHeight="1">
      <c r="A69" s="14"/>
      <c r="B69" s="14" t="s">
        <v>247</v>
      </c>
      <c r="C69" s="14"/>
      <c r="D69" s="265" t="s">
        <v>248</v>
      </c>
      <c r="E69" s="14"/>
      <c r="F69" s="14"/>
      <c r="G69" s="14"/>
      <c r="H69" s="14"/>
      <c r="I69" s="14"/>
      <c r="J69" s="14"/>
      <c r="K69" s="14"/>
      <c r="L69" s="14"/>
      <c r="M69" s="14"/>
      <c r="N69" s="14"/>
      <c r="O69" s="14"/>
      <c r="P69" s="14"/>
      <c r="Q69" s="14"/>
      <c r="R69" s="14"/>
      <c r="S69" s="14"/>
      <c r="T69" s="14"/>
      <c r="U69" s="14"/>
      <c r="DZ69" s="16"/>
      <c r="EA69" s="16"/>
      <c r="EB69" s="16"/>
      <c r="EC69" s="16"/>
      <c r="ED69" s="16"/>
      <c r="EE69" s="16"/>
    </row>
    <row r="70" spans="1:135" ht="60" customHeight="1">
      <c r="A70" s="14"/>
      <c r="B70" s="14" t="s">
        <v>249</v>
      </c>
      <c r="C70" s="14"/>
      <c r="D70" s="265" t="s">
        <v>250</v>
      </c>
      <c r="E70" s="14"/>
      <c r="F70" s="14"/>
      <c r="G70" s="14"/>
      <c r="H70" s="14"/>
      <c r="I70" s="14"/>
      <c r="J70" s="14"/>
      <c r="K70" s="14"/>
      <c r="L70" s="14"/>
      <c r="M70" s="14"/>
      <c r="N70" s="14"/>
      <c r="O70" s="14"/>
      <c r="P70" s="14"/>
      <c r="Q70" s="14"/>
      <c r="R70" s="14"/>
      <c r="S70" s="14"/>
      <c r="T70" s="14"/>
      <c r="U70" s="14"/>
      <c r="DZ70" s="16"/>
      <c r="EA70" s="16"/>
      <c r="EB70" s="16"/>
      <c r="EC70" s="16"/>
      <c r="ED70" s="16"/>
      <c r="EE70" s="16"/>
    </row>
    <row r="71" spans="1:135">
      <c r="A71" s="14"/>
      <c r="B71" s="14"/>
      <c r="C71" s="14"/>
      <c r="D71" s="14"/>
      <c r="E71" s="14"/>
      <c r="F71" s="14"/>
      <c r="G71" s="14"/>
      <c r="H71" s="14"/>
      <c r="I71" s="14"/>
      <c r="J71" s="14"/>
      <c r="K71" s="14"/>
      <c r="L71" s="14"/>
      <c r="M71" s="14"/>
      <c r="N71" s="14"/>
      <c r="O71" s="14"/>
      <c r="P71" s="14"/>
      <c r="Q71" s="14"/>
      <c r="R71" s="14"/>
      <c r="S71" s="14"/>
      <c r="T71" s="14"/>
      <c r="U71" s="14"/>
      <c r="DZ71" s="16"/>
      <c r="EA71" s="16"/>
      <c r="EB71" s="16"/>
      <c r="EC71" s="16"/>
      <c r="ED71" s="16"/>
      <c r="EE71" s="16"/>
    </row>
    <row r="72" spans="1:135">
      <c r="A72" s="14"/>
      <c r="B72" s="14"/>
      <c r="C72" s="14"/>
      <c r="D72" s="14"/>
      <c r="E72" s="14"/>
      <c r="F72" s="14"/>
      <c r="G72" s="14"/>
      <c r="H72" s="14"/>
      <c r="I72" s="14"/>
      <c r="J72" s="14"/>
      <c r="K72" s="14"/>
      <c r="L72" s="14"/>
      <c r="M72" s="14"/>
      <c r="N72" s="14"/>
      <c r="O72" s="14"/>
      <c r="P72" s="14"/>
      <c r="Q72" s="14"/>
      <c r="R72" s="14"/>
      <c r="S72" s="14"/>
      <c r="T72" s="14"/>
      <c r="U72" s="14"/>
      <c r="DZ72" s="16"/>
      <c r="EA72" s="16"/>
      <c r="EB72" s="16"/>
      <c r="EC72" s="16"/>
      <c r="ED72" s="16"/>
      <c r="EE72" s="16"/>
    </row>
    <row r="73" spans="1:135">
      <c r="A73" s="14"/>
      <c r="B73" s="14"/>
      <c r="C73" s="14"/>
      <c r="D73" s="14"/>
      <c r="E73" s="14"/>
      <c r="F73" s="14"/>
      <c r="G73" s="14"/>
      <c r="H73" s="14"/>
      <c r="I73" s="14"/>
      <c r="J73" s="14"/>
      <c r="K73" s="14"/>
      <c r="L73" s="14"/>
      <c r="M73" s="14"/>
      <c r="N73" s="14"/>
      <c r="O73" s="14"/>
      <c r="P73" s="14"/>
      <c r="Q73" s="14"/>
      <c r="R73" s="14"/>
      <c r="S73" s="14"/>
      <c r="T73" s="14"/>
      <c r="U73" s="14"/>
      <c r="DZ73" s="16"/>
      <c r="EA73" s="16"/>
      <c r="EB73" s="16"/>
      <c r="EC73" s="16"/>
      <c r="ED73" s="16"/>
      <c r="EE73" s="16"/>
    </row>
    <row r="74" spans="1:135">
      <c r="A74" s="14"/>
      <c r="B74" s="14"/>
      <c r="C74" s="14"/>
      <c r="D74" s="14"/>
      <c r="E74" s="14"/>
      <c r="F74" s="14"/>
      <c r="G74" s="14"/>
      <c r="H74" s="14"/>
      <c r="I74" s="14"/>
      <c r="J74" s="14"/>
      <c r="K74" s="14"/>
      <c r="L74" s="14"/>
      <c r="M74" s="14"/>
      <c r="N74" s="14"/>
      <c r="O74" s="14"/>
      <c r="P74" s="14"/>
      <c r="Q74" s="14"/>
      <c r="R74" s="14"/>
      <c r="S74" s="14"/>
      <c r="T74" s="14"/>
      <c r="U74" s="14"/>
      <c r="DZ74" s="16"/>
      <c r="EA74" s="16"/>
      <c r="EB74" s="16"/>
      <c r="EC74" s="16"/>
      <c r="ED74" s="16"/>
      <c r="EE74" s="16"/>
    </row>
    <row r="75" spans="1:135" ht="12.75">
      <c r="DZ75" s="16"/>
      <c r="EA75" s="16"/>
      <c r="EB75" s="16"/>
      <c r="EC75" s="16"/>
      <c r="ED75" s="16"/>
      <c r="EE75" s="16"/>
    </row>
    <row r="76" spans="1:135" ht="12.75">
      <c r="DZ76" s="16"/>
      <c r="EA76" s="16"/>
      <c r="EB76" s="16"/>
      <c r="EC76" s="16"/>
      <c r="ED76" s="16"/>
      <c r="EE76" s="16"/>
    </row>
    <row r="77" spans="1:135" ht="12.75">
      <c r="DZ77" s="16"/>
      <c r="EA77" s="16"/>
      <c r="EB77" s="16"/>
      <c r="EC77" s="16"/>
      <c r="ED77" s="16"/>
      <c r="EE77" s="16"/>
    </row>
    <row r="78" spans="1:135" ht="12.75">
      <c r="DZ78" s="16"/>
      <c r="EA78" s="16"/>
      <c r="EB78" s="16"/>
      <c r="EC78" s="16"/>
      <c r="ED78" s="16"/>
      <c r="EE78" s="16"/>
    </row>
    <row r="79" spans="1:135" ht="12.75">
      <c r="DZ79" s="16"/>
      <c r="EA79" s="16"/>
      <c r="EB79" s="16"/>
      <c r="EC79" s="16"/>
      <c r="ED79" s="16"/>
      <c r="EE79" s="16"/>
    </row>
    <row r="80" spans="1:135" ht="12.75">
      <c r="DZ80" s="16"/>
      <c r="EA80" s="16"/>
      <c r="EB80" s="16"/>
      <c r="EC80" s="16"/>
      <c r="ED80" s="16"/>
      <c r="EE80" s="16"/>
    </row>
    <row r="81" spans="130:135" ht="12.75">
      <c r="DZ81" s="16"/>
      <c r="EA81" s="16"/>
      <c r="EB81" s="16"/>
      <c r="EC81" s="16"/>
      <c r="ED81" s="16"/>
      <c r="EE81" s="16"/>
    </row>
    <row r="82" spans="130:135" ht="12.75">
      <c r="DZ82" s="16"/>
      <c r="EA82" s="16"/>
      <c r="EB82" s="16"/>
      <c r="EC82" s="16"/>
      <c r="ED82" s="16"/>
      <c r="EE82" s="16"/>
    </row>
    <row r="83" spans="130:135" ht="12.75">
      <c r="DZ83" s="16"/>
      <c r="EA83" s="16"/>
      <c r="EB83" s="16"/>
      <c r="EC83" s="16"/>
      <c r="ED83" s="16"/>
      <c r="EE83" s="16"/>
    </row>
    <row r="84" spans="130:135" ht="12.75">
      <c r="DZ84" s="16"/>
      <c r="EA84" s="16"/>
      <c r="EB84" s="16"/>
      <c r="EC84" s="16"/>
      <c r="ED84" s="16"/>
      <c r="EE84" s="16"/>
    </row>
    <row r="85" spans="130:135" ht="12.75">
      <c r="DZ85" s="16"/>
      <c r="EA85" s="16"/>
      <c r="EB85" s="16"/>
      <c r="EC85" s="16"/>
      <c r="ED85" s="16"/>
      <c r="EE85" s="16"/>
    </row>
    <row r="86" spans="130:135" ht="12.75">
      <c r="DZ86" s="16"/>
      <c r="EA86" s="16"/>
      <c r="EB86" s="16"/>
      <c r="EC86" s="16"/>
      <c r="ED86" s="16"/>
      <c r="EE86" s="16"/>
    </row>
    <row r="87" spans="130:135" ht="12.75">
      <c r="DZ87" s="16"/>
      <c r="EA87" s="16"/>
      <c r="EB87" s="16"/>
      <c r="EC87" s="16"/>
      <c r="ED87" s="16"/>
      <c r="EE87" s="16"/>
    </row>
    <row r="88" spans="130:135" ht="12.75">
      <c r="DZ88" s="16"/>
      <c r="EA88" s="16"/>
      <c r="EB88" s="16"/>
      <c r="EC88" s="16"/>
      <c r="ED88" s="16"/>
      <c r="EE88" s="16"/>
    </row>
    <row r="89" spans="130:135" ht="12.75">
      <c r="DZ89" s="16"/>
      <c r="EA89" s="16"/>
      <c r="EB89" s="16"/>
      <c r="EC89" s="16"/>
      <c r="ED89" s="16"/>
      <c r="EE89" s="16"/>
    </row>
    <row r="90" spans="130:135" ht="12.75">
      <c r="DZ90" s="16"/>
      <c r="EA90" s="16"/>
      <c r="EB90" s="16"/>
      <c r="EC90" s="16"/>
      <c r="ED90" s="16"/>
      <c r="EE90" s="16"/>
    </row>
    <row r="91" spans="130:135" ht="12.75">
      <c r="DZ91" s="16"/>
      <c r="EA91" s="100" t="s">
        <v>61</v>
      </c>
      <c r="EB91" s="16"/>
      <c r="EC91" s="16"/>
      <c r="ED91" s="16"/>
      <c r="EE91" s="16"/>
    </row>
    <row r="92" spans="130:135" ht="12.75">
      <c r="DZ92" s="16"/>
      <c r="EA92" s="100" t="s">
        <v>62</v>
      </c>
      <c r="EB92" s="16"/>
      <c r="EC92" s="16"/>
      <c r="ED92" s="16"/>
      <c r="EE92" s="16"/>
    </row>
    <row r="93" spans="130:135" ht="12.75">
      <c r="DZ93" s="16"/>
      <c r="EA93" s="101" t="s">
        <v>63</v>
      </c>
      <c r="EB93" s="16"/>
      <c r="EC93" s="16"/>
      <c r="ED93" s="16"/>
      <c r="EE93" s="16"/>
    </row>
    <row r="94" spans="130:135" ht="12.75">
      <c r="DZ94" s="16"/>
      <c r="EA94" s="16"/>
      <c r="EB94" s="16"/>
      <c r="EC94" s="16"/>
      <c r="ED94" s="16"/>
      <c r="EE94" s="16"/>
    </row>
    <row r="95" spans="130:135" ht="12.75">
      <c r="DZ95" s="16"/>
      <c r="EA95" s="16"/>
      <c r="EB95" s="16"/>
      <c r="EC95" s="16"/>
      <c r="ED95" s="16"/>
      <c r="EE95" s="16"/>
    </row>
    <row r="96" spans="130:135" ht="12.75">
      <c r="DZ96" s="16"/>
      <c r="EA96" s="16"/>
      <c r="EB96" s="16"/>
      <c r="EC96" s="16"/>
      <c r="ED96" s="16"/>
      <c r="EE96" s="16"/>
    </row>
    <row r="97" spans="130:135" ht="12.75">
      <c r="DZ97" s="16"/>
      <c r="EA97" s="16"/>
      <c r="EB97" s="16"/>
      <c r="EC97" s="16"/>
      <c r="ED97" s="16"/>
      <c r="EE97" s="16"/>
    </row>
    <row r="98" spans="130:135" ht="12.75">
      <c r="DZ98" s="16"/>
      <c r="EA98" s="16"/>
      <c r="EB98" s="16"/>
      <c r="EC98" s="16"/>
      <c r="ED98" s="16"/>
      <c r="EE98" s="16"/>
    </row>
    <row r="99" spans="130:135" ht="12.75">
      <c r="DZ99" s="16"/>
      <c r="EA99" s="16"/>
      <c r="EB99" s="16"/>
      <c r="EC99" s="16"/>
      <c r="ED99" s="16"/>
      <c r="EE99" s="16"/>
    </row>
    <row r="100" spans="130:135" ht="12.75">
      <c r="DZ100" s="16"/>
      <c r="EA100" s="16"/>
      <c r="EB100" s="16"/>
      <c r="EC100" s="16"/>
      <c r="ED100" s="16"/>
      <c r="EE100" s="16"/>
    </row>
    <row r="101" spans="130:135" ht="12.75">
      <c r="DZ101" s="16"/>
      <c r="EA101" s="16"/>
      <c r="EB101" s="16"/>
      <c r="EC101" s="16"/>
      <c r="ED101" s="16"/>
      <c r="EE101" s="16"/>
    </row>
    <row r="102" spans="130:135" ht="12.75">
      <c r="DZ102" s="16"/>
      <c r="EA102" s="102" t="s">
        <v>0</v>
      </c>
      <c r="EB102" s="16"/>
      <c r="EC102" s="16"/>
      <c r="ED102" s="16"/>
      <c r="EE102" s="16"/>
    </row>
    <row r="103" spans="130:135" ht="12.75">
      <c r="DZ103" s="16"/>
      <c r="EA103" s="102"/>
      <c r="EB103" s="16"/>
      <c r="EC103" s="16"/>
      <c r="ED103" s="16"/>
      <c r="EE103" s="16"/>
    </row>
    <row r="104" spans="130:135" ht="12.75">
      <c r="DZ104" s="16"/>
      <c r="EA104" s="102"/>
      <c r="EB104" s="16"/>
      <c r="EC104" s="16"/>
      <c r="ED104" s="16"/>
      <c r="EE104" s="16"/>
    </row>
    <row r="105" spans="130:135" ht="12.75">
      <c r="DZ105" s="16"/>
      <c r="EA105" s="102"/>
      <c r="EB105" s="16"/>
      <c r="EC105" s="16"/>
      <c r="ED105" s="16"/>
      <c r="EE105" s="16"/>
    </row>
    <row r="106" spans="130:135" ht="12.75">
      <c r="DZ106" s="16"/>
      <c r="EA106" s="102"/>
      <c r="EB106" s="16"/>
      <c r="EC106" s="16"/>
      <c r="ED106" s="16"/>
      <c r="EE106" s="16"/>
    </row>
    <row r="107" spans="130:135" ht="12.75">
      <c r="DZ107" s="16"/>
      <c r="EA107" s="102"/>
      <c r="EB107" s="16"/>
      <c r="EC107" s="16"/>
      <c r="ED107" s="16"/>
      <c r="EE107" s="16"/>
    </row>
    <row r="108" spans="130:135" ht="12.75">
      <c r="DZ108" s="16"/>
      <c r="EA108" s="102"/>
      <c r="EB108" s="16"/>
      <c r="EC108" s="16"/>
      <c r="ED108" s="16"/>
      <c r="EE108" s="16"/>
    </row>
    <row r="109" spans="130:135" ht="12.75">
      <c r="DZ109" s="16"/>
      <c r="EA109" s="103">
        <f ca="1">NOW()</f>
        <v>45839.714934143522</v>
      </c>
      <c r="EB109" s="16"/>
      <c r="EC109" s="16"/>
      <c r="ED109" s="16"/>
      <c r="EE109" s="16"/>
    </row>
    <row r="110" spans="130:135" ht="12.75">
      <c r="DZ110" s="16"/>
      <c r="EA110" s="103"/>
      <c r="EB110" s="16"/>
      <c r="EC110" s="16"/>
      <c r="ED110" s="16"/>
      <c r="EE110" s="16"/>
    </row>
    <row r="111" spans="130:135" ht="12.75">
      <c r="DZ111" s="16"/>
      <c r="EA111" s="102" t="str">
        <f>[3]Staff!$A3</f>
        <v>Sherwin Nofuente</v>
      </c>
      <c r="EB111" s="16"/>
      <c r="EC111" s="16"/>
      <c r="ED111" s="16"/>
      <c r="EE111" s="16"/>
    </row>
    <row r="112" spans="130:135" ht="12.75">
      <c r="DZ112" s="16"/>
      <c r="EA112" s="102"/>
      <c r="EB112" s="16"/>
      <c r="EC112" s="16"/>
      <c r="ED112" s="16"/>
      <c r="EE112" s="16"/>
    </row>
    <row r="113" spans="130:135" ht="12.75">
      <c r="DZ113" s="16"/>
      <c r="EA113" s="102"/>
      <c r="EB113" s="16"/>
      <c r="EC113" s="16"/>
      <c r="ED113" s="16"/>
      <c r="EE113" s="16"/>
    </row>
    <row r="114" spans="130:135" ht="12.75">
      <c r="DZ114" s="16"/>
      <c r="EA114" s="102"/>
      <c r="EB114" s="16"/>
      <c r="EC114" s="16"/>
      <c r="ED114" s="16"/>
      <c r="EE114" s="16"/>
    </row>
    <row r="115" spans="130:135" ht="12.75">
      <c r="DZ115" s="16"/>
      <c r="EA115" s="102"/>
      <c r="EB115" s="16"/>
      <c r="EC115" s="16"/>
      <c r="ED115" s="16"/>
      <c r="EE115" s="16"/>
    </row>
    <row r="116" spans="130:135" ht="12.75">
      <c r="DZ116" s="16"/>
      <c r="EA116" s="102"/>
      <c r="EB116" s="16"/>
      <c r="EC116" s="16"/>
      <c r="ED116" s="16"/>
      <c r="EE116" s="16"/>
    </row>
    <row r="117" spans="130:135" ht="12.75">
      <c r="DZ117" s="16"/>
      <c r="EA117" s="102"/>
      <c r="EB117" s="16"/>
      <c r="EC117" s="16"/>
      <c r="ED117" s="16"/>
      <c r="EE117" s="16"/>
    </row>
    <row r="118" spans="130:135" ht="12.75">
      <c r="DZ118" s="16"/>
      <c r="EA118" s="102"/>
      <c r="EB118" s="16"/>
      <c r="EC118" s="16"/>
      <c r="ED118" s="16"/>
      <c r="EE118" s="16"/>
    </row>
    <row r="119" spans="130:135" ht="12.75">
      <c r="DZ119" s="16"/>
      <c r="EA119" s="102"/>
      <c r="EB119" s="16"/>
      <c r="EC119" s="16"/>
      <c r="ED119" s="16"/>
      <c r="EE119" s="16"/>
    </row>
    <row r="120" spans="130:135" ht="12.75">
      <c r="DZ120" s="16"/>
      <c r="EA120" s="102"/>
      <c r="EB120" s="16"/>
      <c r="EC120" s="16"/>
      <c r="ED120" s="16"/>
      <c r="EE120" s="16"/>
    </row>
    <row r="121" spans="130:135" ht="12.75">
      <c r="DZ121" s="16"/>
      <c r="EA121" s="102"/>
      <c r="EB121" s="16"/>
      <c r="EC121" s="16"/>
      <c r="ED121" s="16"/>
      <c r="EE121" s="16"/>
    </row>
    <row r="122" spans="130:135" ht="12.75">
      <c r="DZ122" s="16"/>
      <c r="EA122" s="102"/>
      <c r="EB122" s="16"/>
      <c r="EC122" s="16"/>
      <c r="ED122" s="16"/>
      <c r="EE122" s="16"/>
    </row>
    <row r="123" spans="130:135" ht="12.75">
      <c r="DZ123" s="16"/>
      <c r="EA123" s="102"/>
      <c r="EB123" s="16"/>
      <c r="EC123" s="16"/>
      <c r="ED123" s="16"/>
      <c r="EE123" s="16"/>
    </row>
    <row r="124" spans="130:135" ht="12.75">
      <c r="DZ124" s="16"/>
      <c r="EA124" s="102"/>
      <c r="EB124" s="16"/>
      <c r="EC124" s="16"/>
      <c r="ED124" s="16"/>
      <c r="EE124" s="16"/>
    </row>
    <row r="125" spans="130:135" ht="12.75">
      <c r="DZ125" s="16"/>
      <c r="EA125" s="102"/>
      <c r="EB125" s="16"/>
      <c r="EC125" s="16"/>
      <c r="ED125" s="16"/>
      <c r="EE125" s="16"/>
    </row>
    <row r="126" spans="130:135" ht="12.75">
      <c r="DZ126" s="16"/>
      <c r="EA126" s="102"/>
      <c r="EB126" s="16"/>
      <c r="EC126" s="16"/>
      <c r="ED126" s="16"/>
      <c r="EE126" s="16"/>
    </row>
    <row r="127" spans="130:135" ht="12.75">
      <c r="DZ127" s="16"/>
      <c r="EA127" s="102"/>
      <c r="EB127" s="16"/>
      <c r="EC127" s="16"/>
      <c r="ED127" s="16"/>
      <c r="EE127" s="16"/>
    </row>
    <row r="128" spans="130:135" ht="12.75">
      <c r="DZ128" s="16"/>
      <c r="EA128" s="102"/>
      <c r="EB128" s="16"/>
      <c r="EC128" s="16"/>
      <c r="ED128" s="16"/>
      <c r="EE128" s="16"/>
    </row>
    <row r="129" spans="130:135" ht="12.75">
      <c r="DZ129" s="16"/>
      <c r="EA129" s="102"/>
      <c r="EB129" s="16"/>
      <c r="EC129" s="16"/>
      <c r="ED129" s="16"/>
      <c r="EE129" s="16"/>
    </row>
    <row r="130" spans="130:135" ht="12.75">
      <c r="DZ130" s="16"/>
      <c r="EA130" s="102"/>
      <c r="EB130" s="16"/>
      <c r="EC130" s="16"/>
      <c r="ED130" s="16"/>
      <c r="EE130" s="16"/>
    </row>
    <row r="131" spans="130:135" ht="12.75">
      <c r="DZ131" s="16"/>
      <c r="EA131" s="102"/>
      <c r="EB131" s="16"/>
      <c r="EC131" s="16"/>
      <c r="ED131" s="16"/>
      <c r="EE131" s="16"/>
    </row>
    <row r="132" spans="130:135" ht="12.75">
      <c r="DZ132" s="16"/>
      <c r="EA132" s="102"/>
      <c r="EB132" s="16"/>
      <c r="EC132" s="16"/>
      <c r="ED132" s="16"/>
      <c r="EE132" s="16"/>
    </row>
    <row r="133" spans="130:135" ht="12.75">
      <c r="DZ133" s="16"/>
      <c r="EA133" s="102"/>
      <c r="EB133" s="16"/>
      <c r="EC133" s="16"/>
      <c r="ED133" s="16"/>
      <c r="EE133" s="16"/>
    </row>
    <row r="134" spans="130:135" ht="12.75">
      <c r="DZ134" s="16"/>
      <c r="EA134" s="102"/>
      <c r="EB134" s="16"/>
      <c r="EC134" s="16"/>
      <c r="ED134" s="16"/>
      <c r="EE134" s="16"/>
    </row>
    <row r="135" spans="130:135" ht="12.75">
      <c r="DZ135" s="16"/>
      <c r="EA135" s="102"/>
      <c r="EB135" s="16"/>
      <c r="EC135" s="16"/>
      <c r="ED135" s="16"/>
      <c r="EE135" s="16"/>
    </row>
    <row r="136" spans="130:135" ht="12.75">
      <c r="DZ136" s="16"/>
      <c r="EA136" s="102"/>
      <c r="EB136" s="16"/>
      <c r="EC136" s="16"/>
      <c r="ED136" s="16"/>
      <c r="EE136" s="16"/>
    </row>
    <row r="137" spans="130:135" ht="12.75">
      <c r="DZ137" s="16"/>
      <c r="EA137" s="102"/>
      <c r="EB137" s="16"/>
      <c r="EC137" s="16"/>
      <c r="ED137" s="16"/>
      <c r="EE137" s="16"/>
    </row>
    <row r="138" spans="130:135" ht="12.75">
      <c r="DZ138" s="16"/>
      <c r="EA138" s="102"/>
      <c r="EB138" s="16"/>
      <c r="EC138" s="16"/>
      <c r="ED138" s="16"/>
      <c r="EE138" s="16"/>
    </row>
    <row r="139" spans="130:135" ht="12.75">
      <c r="DZ139" s="16"/>
      <c r="EA139" s="102"/>
      <c r="EB139" s="16"/>
      <c r="EC139" s="16"/>
      <c r="ED139" s="16"/>
      <c r="EE139" s="16"/>
    </row>
    <row r="140" spans="130:135" ht="12.75">
      <c r="DZ140" s="16"/>
      <c r="EA140" s="102"/>
      <c r="EB140" s="16"/>
      <c r="EC140" s="16"/>
      <c r="ED140" s="16"/>
      <c r="EE140" s="16"/>
    </row>
    <row r="141" spans="130:135" ht="12.75">
      <c r="DZ141" s="16"/>
      <c r="EA141" s="104">
        <f>Mods!BE4</f>
        <v>0</v>
      </c>
      <c r="EB141" s="16"/>
      <c r="EC141" s="16"/>
      <c r="ED141" s="16"/>
      <c r="EE141" s="16"/>
    </row>
    <row r="142" spans="130:135" ht="12.75">
      <c r="DZ142" s="105">
        <f>BI14</f>
        <v>0</v>
      </c>
      <c r="EA142" s="104">
        <f>Mods!BE4 + 0.01</f>
        <v>0.01</v>
      </c>
      <c r="EB142" s="16"/>
      <c r="EC142" s="16"/>
      <c r="ED142" s="16"/>
      <c r="EE142" s="16"/>
    </row>
    <row r="143" spans="130:135" ht="12.75">
      <c r="DZ143" s="16"/>
      <c r="EA143" s="104">
        <v>0.01</v>
      </c>
      <c r="EB143" s="16"/>
      <c r="EC143" s="16"/>
      <c r="ED143" s="16"/>
      <c r="EE143" s="16"/>
    </row>
    <row r="144" spans="130:135" ht="12.75">
      <c r="DZ144" s="16"/>
      <c r="EA144" s="16"/>
      <c r="EB144" s="16"/>
      <c r="EC144" s="16"/>
      <c r="ED144" s="16"/>
      <c r="EE144" s="16"/>
    </row>
    <row r="145" spans="130:135" ht="12.75">
      <c r="DZ145" s="16"/>
      <c r="EA145" s="16"/>
      <c r="EB145" s="16"/>
      <c r="EC145" s="16"/>
      <c r="ED145" s="16"/>
      <c r="EE145" s="16"/>
    </row>
    <row r="146" spans="130:135" ht="12.75">
      <c r="DZ146" s="16"/>
      <c r="EA146" s="16"/>
      <c r="EB146" s="16"/>
      <c r="EC146" s="16"/>
      <c r="ED146" s="16"/>
      <c r="EE146" s="16"/>
    </row>
    <row r="147" spans="130:135" ht="12.75">
      <c r="DZ147" s="16"/>
      <c r="EA147" s="16"/>
      <c r="EB147" s="16"/>
      <c r="EC147" s="16"/>
      <c r="ED147" s="16"/>
      <c r="EE147" s="16"/>
    </row>
    <row r="148" spans="130:135" ht="12.75">
      <c r="DZ148" s="16"/>
      <c r="EA148" s="16"/>
      <c r="EB148" s="16"/>
      <c r="EC148" s="16"/>
      <c r="ED148" s="16"/>
      <c r="EE148" s="16"/>
    </row>
    <row r="149" spans="130:135" ht="12.75">
      <c r="DZ149" s="16"/>
      <c r="EA149" s="16"/>
      <c r="EB149" s="16"/>
      <c r="EC149" s="16"/>
      <c r="ED149" s="16"/>
      <c r="EE149" s="16"/>
    </row>
    <row r="150" spans="130:135" ht="12.75">
      <c r="DZ150" s="16"/>
      <c r="EA150" s="16"/>
      <c r="EB150" s="16"/>
      <c r="EC150" s="16"/>
      <c r="ED150" s="16"/>
      <c r="EE150" s="16"/>
    </row>
    <row r="151" spans="130:135" ht="12.75">
      <c r="DZ151" s="16"/>
      <c r="EA151" s="16"/>
      <c r="EB151" s="16"/>
      <c r="EC151" s="16"/>
      <c r="ED151" s="16"/>
      <c r="EE151" s="16"/>
    </row>
    <row r="152" spans="130:135" ht="12.75">
      <c r="DZ152" s="16"/>
      <c r="EA152" s="106">
        <v>1.0416666666666666E-2</v>
      </c>
      <c r="EB152" s="16"/>
      <c r="EC152" s="16"/>
      <c r="ED152" s="16"/>
      <c r="EE152" s="16"/>
    </row>
    <row r="153" spans="130:135" ht="12.75">
      <c r="DZ153" s="16"/>
      <c r="EA153" s="106">
        <f>EA152+EA152</f>
        <v>2.0833333333333332E-2</v>
      </c>
      <c r="EB153" s="16"/>
      <c r="EC153" s="16"/>
      <c r="ED153" s="16"/>
      <c r="EE153" s="16"/>
    </row>
    <row r="154" spans="130:135" ht="12.75">
      <c r="DZ154" s="16"/>
      <c r="EA154" s="106">
        <f>EA153+$CA$152</f>
        <v>2.0833333333333332E-2</v>
      </c>
      <c r="EB154" s="16"/>
      <c r="EC154" s="16"/>
      <c r="ED154" s="16"/>
      <c r="EE154" s="16"/>
    </row>
    <row r="155" spans="130:135" ht="12.75">
      <c r="DZ155" s="16"/>
      <c r="EA155" s="106">
        <f t="shared" ref="EA155:EA202" si="9">EA154+$CA$152</f>
        <v>2.0833333333333332E-2</v>
      </c>
      <c r="EB155" s="16"/>
      <c r="EC155" s="16"/>
      <c r="ED155" s="16"/>
      <c r="EE155" s="16"/>
    </row>
    <row r="156" spans="130:135" ht="12.75">
      <c r="DZ156" s="16"/>
      <c r="EA156" s="106">
        <f t="shared" si="9"/>
        <v>2.0833333333333332E-2</v>
      </c>
      <c r="EB156" s="16"/>
      <c r="EC156" s="16"/>
      <c r="ED156" s="16"/>
      <c r="EE156" s="16"/>
    </row>
    <row r="157" spans="130:135" ht="12.75">
      <c r="DZ157" s="16"/>
      <c r="EA157" s="106">
        <f t="shared" si="9"/>
        <v>2.0833333333333332E-2</v>
      </c>
      <c r="EB157" s="16"/>
      <c r="EC157" s="16"/>
      <c r="ED157" s="16"/>
      <c r="EE157" s="16"/>
    </row>
    <row r="158" spans="130:135" ht="12.75">
      <c r="DZ158" s="16"/>
      <c r="EA158" s="106">
        <f t="shared" si="9"/>
        <v>2.0833333333333332E-2</v>
      </c>
      <c r="EB158" s="16"/>
      <c r="EC158" s="16"/>
      <c r="ED158" s="16"/>
      <c r="EE158" s="16"/>
    </row>
    <row r="159" spans="130:135" ht="12.75">
      <c r="DZ159" s="16"/>
      <c r="EA159" s="106">
        <f t="shared" si="9"/>
        <v>2.0833333333333332E-2</v>
      </c>
      <c r="EB159" s="16"/>
      <c r="EC159" s="16"/>
      <c r="ED159" s="16"/>
      <c r="EE159" s="16"/>
    </row>
    <row r="160" spans="130:135" ht="12.75">
      <c r="DZ160" s="16"/>
      <c r="EA160" s="106">
        <f t="shared" si="9"/>
        <v>2.0833333333333332E-2</v>
      </c>
      <c r="EB160" s="16"/>
      <c r="EC160" s="16"/>
      <c r="ED160" s="16"/>
      <c r="EE160" s="16"/>
    </row>
    <row r="161" spans="130:135" ht="12.75">
      <c r="DZ161" s="16"/>
      <c r="EA161" s="106">
        <f t="shared" si="9"/>
        <v>2.0833333333333332E-2</v>
      </c>
      <c r="EB161" s="16"/>
      <c r="EC161" s="16"/>
      <c r="ED161" s="16"/>
      <c r="EE161" s="16"/>
    </row>
    <row r="162" spans="130:135" ht="12.75">
      <c r="DZ162" s="16"/>
      <c r="EA162" s="106">
        <f t="shared" si="9"/>
        <v>2.0833333333333332E-2</v>
      </c>
      <c r="EB162" s="16"/>
      <c r="EC162" s="16"/>
      <c r="ED162" s="16"/>
      <c r="EE162" s="16"/>
    </row>
    <row r="163" spans="130:135" ht="12.75">
      <c r="DZ163" s="16"/>
      <c r="EA163" s="106">
        <f t="shared" si="9"/>
        <v>2.0833333333333332E-2</v>
      </c>
      <c r="EB163" s="16"/>
      <c r="EC163" s="16"/>
      <c r="ED163" s="16"/>
      <c r="EE163" s="16"/>
    </row>
    <row r="164" spans="130:135" ht="12.75">
      <c r="DZ164" s="16"/>
      <c r="EA164" s="106">
        <f t="shared" si="9"/>
        <v>2.0833333333333332E-2</v>
      </c>
      <c r="EB164" s="16"/>
      <c r="EC164" s="16"/>
      <c r="ED164" s="16"/>
      <c r="EE164" s="16"/>
    </row>
    <row r="165" spans="130:135" ht="12.75">
      <c r="DZ165" s="16"/>
      <c r="EA165" s="106">
        <f t="shared" si="9"/>
        <v>2.0833333333333332E-2</v>
      </c>
      <c r="EB165" s="16"/>
      <c r="EC165" s="16"/>
      <c r="ED165" s="16"/>
      <c r="EE165" s="16"/>
    </row>
    <row r="166" spans="130:135" ht="12.75">
      <c r="DZ166" s="16"/>
      <c r="EA166" s="106">
        <f t="shared" si="9"/>
        <v>2.0833333333333332E-2</v>
      </c>
      <c r="EB166" s="16"/>
      <c r="EC166" s="16"/>
      <c r="ED166" s="16"/>
      <c r="EE166" s="16"/>
    </row>
    <row r="167" spans="130:135" ht="12.75">
      <c r="DZ167" s="16"/>
      <c r="EA167" s="106">
        <f t="shared" si="9"/>
        <v>2.0833333333333332E-2</v>
      </c>
      <c r="EB167" s="16"/>
      <c r="EC167" s="16"/>
      <c r="ED167" s="16"/>
      <c r="EE167" s="16"/>
    </row>
    <row r="168" spans="130:135" ht="12.75">
      <c r="DZ168" s="16"/>
      <c r="EA168" s="106">
        <f t="shared" si="9"/>
        <v>2.0833333333333332E-2</v>
      </c>
      <c r="EB168" s="16"/>
      <c r="EC168" s="16"/>
      <c r="ED168" s="16"/>
      <c r="EE168" s="16"/>
    </row>
    <row r="169" spans="130:135" ht="12.75">
      <c r="DZ169" s="16"/>
      <c r="EA169" s="106">
        <f t="shared" si="9"/>
        <v>2.0833333333333332E-2</v>
      </c>
      <c r="EB169" s="16"/>
      <c r="EC169" s="16"/>
      <c r="ED169" s="16"/>
      <c r="EE169" s="16"/>
    </row>
    <row r="170" spans="130:135" ht="12.75">
      <c r="DZ170" s="16"/>
      <c r="EA170" s="106">
        <f t="shared" si="9"/>
        <v>2.0833333333333332E-2</v>
      </c>
      <c r="EB170" s="16"/>
      <c r="EC170" s="16"/>
      <c r="ED170" s="16"/>
      <c r="EE170" s="16"/>
    </row>
    <row r="171" spans="130:135" ht="12.75">
      <c r="DZ171" s="16"/>
      <c r="EA171" s="106">
        <f t="shared" si="9"/>
        <v>2.0833333333333332E-2</v>
      </c>
      <c r="EB171" s="16"/>
      <c r="EC171" s="16"/>
      <c r="ED171" s="16"/>
      <c r="EE171" s="16"/>
    </row>
    <row r="172" spans="130:135" ht="12.75">
      <c r="DZ172" s="16"/>
      <c r="EA172" s="106">
        <f t="shared" si="9"/>
        <v>2.0833333333333332E-2</v>
      </c>
      <c r="EB172" s="16"/>
      <c r="EC172" s="16"/>
      <c r="ED172" s="16"/>
      <c r="EE172" s="16"/>
    </row>
    <row r="173" spans="130:135" ht="12.75">
      <c r="DZ173" s="16"/>
      <c r="EA173" s="106">
        <f t="shared" si="9"/>
        <v>2.0833333333333332E-2</v>
      </c>
      <c r="EB173" s="16"/>
      <c r="EC173" s="16"/>
      <c r="ED173" s="16"/>
      <c r="EE173" s="16"/>
    </row>
    <row r="174" spans="130:135" ht="12.75">
      <c r="DZ174" s="16"/>
      <c r="EA174" s="106">
        <f t="shared" si="9"/>
        <v>2.0833333333333332E-2</v>
      </c>
      <c r="EB174" s="16"/>
      <c r="EC174" s="16"/>
      <c r="ED174" s="16"/>
      <c r="EE174" s="16"/>
    </row>
    <row r="175" spans="130:135" ht="12.75">
      <c r="DZ175" s="16"/>
      <c r="EA175" s="106">
        <f t="shared" si="9"/>
        <v>2.0833333333333332E-2</v>
      </c>
      <c r="EB175" s="16"/>
      <c r="EC175" s="16"/>
      <c r="ED175" s="16"/>
      <c r="EE175" s="16"/>
    </row>
    <row r="176" spans="130:135" ht="12.75">
      <c r="DZ176" s="16"/>
      <c r="EA176" s="106">
        <f t="shared" si="9"/>
        <v>2.0833333333333332E-2</v>
      </c>
      <c r="EB176" s="16"/>
      <c r="EC176" s="16"/>
      <c r="ED176" s="16"/>
      <c r="EE176" s="16"/>
    </row>
    <row r="177" spans="130:135" ht="12.75">
      <c r="DZ177" s="16"/>
      <c r="EA177" s="106">
        <f t="shared" si="9"/>
        <v>2.0833333333333332E-2</v>
      </c>
      <c r="EB177" s="16"/>
      <c r="EC177" s="16"/>
      <c r="ED177" s="16"/>
      <c r="EE177" s="16"/>
    </row>
    <row r="178" spans="130:135" ht="12.75">
      <c r="DZ178" s="16"/>
      <c r="EA178" s="106">
        <f t="shared" si="9"/>
        <v>2.0833333333333332E-2</v>
      </c>
      <c r="EB178" s="16"/>
      <c r="EC178" s="16"/>
      <c r="ED178" s="16"/>
      <c r="EE178" s="16"/>
    </row>
    <row r="179" spans="130:135" ht="12.75">
      <c r="DZ179" s="16"/>
      <c r="EA179" s="106">
        <f t="shared" si="9"/>
        <v>2.0833333333333332E-2</v>
      </c>
      <c r="EB179" s="16"/>
      <c r="EC179" s="16"/>
      <c r="ED179" s="16"/>
      <c r="EE179" s="16"/>
    </row>
    <row r="180" spans="130:135" ht="12.75">
      <c r="DZ180" s="16"/>
      <c r="EA180" s="106">
        <f t="shared" si="9"/>
        <v>2.0833333333333332E-2</v>
      </c>
      <c r="EB180" s="16"/>
      <c r="EC180" s="16"/>
      <c r="ED180" s="16"/>
      <c r="EE180" s="16"/>
    </row>
    <row r="181" spans="130:135" ht="12.75">
      <c r="DZ181" s="16"/>
      <c r="EA181" s="106">
        <f t="shared" si="9"/>
        <v>2.0833333333333332E-2</v>
      </c>
      <c r="EB181" s="16"/>
      <c r="EC181" s="16"/>
      <c r="ED181" s="16"/>
      <c r="EE181" s="16"/>
    </row>
    <row r="182" spans="130:135" ht="12.75">
      <c r="DZ182" s="16"/>
      <c r="EA182" s="106">
        <f t="shared" si="9"/>
        <v>2.0833333333333332E-2</v>
      </c>
      <c r="EB182" s="16"/>
      <c r="EC182" s="16"/>
      <c r="ED182" s="16"/>
      <c r="EE182" s="16"/>
    </row>
    <row r="183" spans="130:135" ht="12.75">
      <c r="DZ183" s="16"/>
      <c r="EA183" s="106">
        <f t="shared" si="9"/>
        <v>2.0833333333333332E-2</v>
      </c>
      <c r="EB183" s="16"/>
      <c r="EC183" s="16"/>
      <c r="ED183" s="16"/>
      <c r="EE183" s="16"/>
    </row>
    <row r="184" spans="130:135" ht="12.75">
      <c r="DZ184" s="16"/>
      <c r="EA184" s="106">
        <f t="shared" si="9"/>
        <v>2.0833333333333332E-2</v>
      </c>
      <c r="EB184" s="16"/>
      <c r="EC184" s="16"/>
      <c r="ED184" s="16"/>
      <c r="EE184" s="16"/>
    </row>
    <row r="185" spans="130:135" ht="12.75">
      <c r="DZ185" s="16"/>
      <c r="EA185" s="106">
        <f t="shared" si="9"/>
        <v>2.0833333333333332E-2</v>
      </c>
      <c r="EB185" s="16"/>
      <c r="EC185" s="16"/>
      <c r="ED185" s="16"/>
      <c r="EE185" s="16"/>
    </row>
    <row r="186" spans="130:135" ht="12.75">
      <c r="DZ186" s="16"/>
      <c r="EA186" s="106">
        <f t="shared" si="9"/>
        <v>2.0833333333333332E-2</v>
      </c>
      <c r="EB186" s="16"/>
      <c r="EC186" s="16"/>
      <c r="ED186" s="16"/>
      <c r="EE186" s="16"/>
    </row>
    <row r="187" spans="130:135" ht="12.75">
      <c r="DZ187" s="16"/>
      <c r="EA187" s="106">
        <f t="shared" si="9"/>
        <v>2.0833333333333332E-2</v>
      </c>
      <c r="EB187" s="16"/>
      <c r="EC187" s="16"/>
      <c r="ED187" s="16"/>
      <c r="EE187" s="16"/>
    </row>
    <row r="188" spans="130:135" ht="12.75">
      <c r="DZ188" s="16"/>
      <c r="EA188" s="106">
        <f t="shared" si="9"/>
        <v>2.0833333333333332E-2</v>
      </c>
      <c r="EB188" s="16"/>
      <c r="EC188" s="16"/>
      <c r="ED188" s="16"/>
      <c r="EE188" s="16"/>
    </row>
    <row r="189" spans="130:135" ht="12.75">
      <c r="DZ189" s="16"/>
      <c r="EA189" s="106">
        <f t="shared" si="9"/>
        <v>2.0833333333333332E-2</v>
      </c>
      <c r="EB189" s="16"/>
      <c r="EC189" s="16"/>
      <c r="ED189" s="16"/>
      <c r="EE189" s="16"/>
    </row>
    <row r="190" spans="130:135" ht="12.75">
      <c r="DZ190" s="16"/>
      <c r="EA190" s="106">
        <f t="shared" si="9"/>
        <v>2.0833333333333332E-2</v>
      </c>
      <c r="EB190" s="16"/>
      <c r="EC190" s="16"/>
      <c r="ED190" s="16"/>
      <c r="EE190" s="16"/>
    </row>
    <row r="191" spans="130:135" ht="12.75">
      <c r="DZ191" s="16"/>
      <c r="EA191" s="106">
        <f t="shared" si="9"/>
        <v>2.0833333333333332E-2</v>
      </c>
      <c r="EB191" s="16"/>
      <c r="EC191" s="16"/>
      <c r="ED191" s="16"/>
      <c r="EE191" s="16"/>
    </row>
    <row r="192" spans="130:135" ht="12.75">
      <c r="DZ192" s="16"/>
      <c r="EA192" s="106">
        <f t="shared" si="9"/>
        <v>2.0833333333333332E-2</v>
      </c>
      <c r="EB192" s="16"/>
      <c r="EC192" s="16"/>
      <c r="ED192" s="16"/>
      <c r="EE192" s="16"/>
    </row>
    <row r="193" spans="130:135" ht="12.75">
      <c r="DZ193" s="16"/>
      <c r="EA193" s="106">
        <f t="shared" si="9"/>
        <v>2.0833333333333332E-2</v>
      </c>
      <c r="EB193" s="16"/>
      <c r="EC193" s="16"/>
      <c r="ED193" s="16"/>
      <c r="EE193" s="16"/>
    </row>
    <row r="194" spans="130:135" ht="12.75">
      <c r="DZ194" s="16"/>
      <c r="EA194" s="106">
        <f t="shared" si="9"/>
        <v>2.0833333333333332E-2</v>
      </c>
      <c r="EB194" s="16"/>
      <c r="EC194" s="16"/>
      <c r="ED194" s="16"/>
      <c r="EE194" s="16"/>
    </row>
    <row r="195" spans="130:135" ht="12.75">
      <c r="DZ195" s="16"/>
      <c r="EA195" s="106">
        <f t="shared" si="9"/>
        <v>2.0833333333333332E-2</v>
      </c>
      <c r="EB195" s="16"/>
      <c r="EC195" s="16"/>
      <c r="ED195" s="16"/>
      <c r="EE195" s="16"/>
    </row>
    <row r="196" spans="130:135" ht="12.75">
      <c r="DZ196" s="16"/>
      <c r="EA196" s="106">
        <f t="shared" si="9"/>
        <v>2.0833333333333332E-2</v>
      </c>
      <c r="EB196" s="16"/>
      <c r="EC196" s="16"/>
      <c r="ED196" s="16"/>
      <c r="EE196" s="16"/>
    </row>
    <row r="197" spans="130:135" ht="12.75">
      <c r="DZ197" s="16"/>
      <c r="EA197" s="106">
        <f t="shared" si="9"/>
        <v>2.0833333333333332E-2</v>
      </c>
      <c r="EB197" s="16"/>
      <c r="EC197" s="16"/>
      <c r="ED197" s="16"/>
      <c r="EE197" s="16"/>
    </row>
    <row r="198" spans="130:135" ht="12.75">
      <c r="DZ198" s="16"/>
      <c r="EA198" s="106">
        <f t="shared" si="9"/>
        <v>2.0833333333333332E-2</v>
      </c>
      <c r="EB198" s="16"/>
      <c r="EC198" s="16"/>
      <c r="ED198" s="16"/>
      <c r="EE198" s="16"/>
    </row>
    <row r="199" spans="130:135" ht="12.75">
      <c r="DZ199" s="16"/>
      <c r="EA199" s="106">
        <f t="shared" si="9"/>
        <v>2.0833333333333332E-2</v>
      </c>
      <c r="EB199" s="16"/>
      <c r="EC199" s="16"/>
      <c r="ED199" s="16"/>
      <c r="EE199" s="16"/>
    </row>
    <row r="200" spans="130:135" ht="12.75">
      <c r="DZ200" s="16"/>
      <c r="EA200" s="106">
        <f t="shared" si="9"/>
        <v>2.0833333333333332E-2</v>
      </c>
      <c r="EB200" s="16"/>
      <c r="EC200" s="16"/>
      <c r="ED200" s="16"/>
      <c r="EE200" s="16"/>
    </row>
    <row r="201" spans="130:135" ht="12.75">
      <c r="DZ201" s="16"/>
      <c r="EA201" s="106">
        <f t="shared" si="9"/>
        <v>2.0833333333333332E-2</v>
      </c>
      <c r="EB201" s="16"/>
      <c r="EC201" s="16"/>
      <c r="ED201" s="16"/>
      <c r="EE201" s="16"/>
    </row>
    <row r="202" spans="130:135" ht="12.75">
      <c r="DZ202" s="16"/>
      <c r="EA202" s="106">
        <f t="shared" si="9"/>
        <v>2.0833333333333332E-2</v>
      </c>
      <c r="EB202" s="16"/>
      <c r="EC202" s="16"/>
      <c r="ED202" s="16"/>
      <c r="EE202" s="16"/>
    </row>
    <row r="203" spans="130:135" ht="12.75">
      <c r="DZ203" s="16"/>
      <c r="EA203" s="16"/>
      <c r="EB203" s="16"/>
      <c r="EC203" s="16"/>
      <c r="ED203" s="16"/>
      <c r="EE203" s="16"/>
    </row>
  </sheetData>
  <dataConsolidate/>
  <mergeCells count="68">
    <mergeCell ref="D28:G28"/>
    <mergeCell ref="Y28:AD28"/>
    <mergeCell ref="AE28:AJ28"/>
    <mergeCell ref="AK28:AP28"/>
    <mergeCell ref="E44:F44"/>
    <mergeCell ref="C26:G27"/>
    <mergeCell ref="EB15:EC18"/>
    <mergeCell ref="C16:D16"/>
    <mergeCell ref="H16:J16"/>
    <mergeCell ref="L16:M16"/>
    <mergeCell ref="C17:D17"/>
    <mergeCell ref="H17:J17"/>
    <mergeCell ref="O17:R18"/>
    <mergeCell ref="C18:D18"/>
    <mergeCell ref="H18:J18"/>
    <mergeCell ref="L18:M18"/>
    <mergeCell ref="C19:D19"/>
    <mergeCell ref="I19:J19"/>
    <mergeCell ref="L20:U24"/>
    <mergeCell ref="B21:E21"/>
    <mergeCell ref="B22:E22"/>
    <mergeCell ref="C13:E13"/>
    <mergeCell ref="C14:D14"/>
    <mergeCell ref="M14:R14"/>
    <mergeCell ref="C15:D15"/>
    <mergeCell ref="G15:J15"/>
    <mergeCell ref="O15:R16"/>
    <mergeCell ref="I10:J10"/>
    <mergeCell ref="N10:O10"/>
    <mergeCell ref="P10:Q10"/>
    <mergeCell ref="R10:S10"/>
    <mergeCell ref="E11:E12"/>
    <mergeCell ref="H11:J11"/>
    <mergeCell ref="I12:J12"/>
    <mergeCell ref="L12:M12"/>
    <mergeCell ref="N12:S12"/>
    <mergeCell ref="N8:O8"/>
    <mergeCell ref="P8:Q8"/>
    <mergeCell ref="R8:S8"/>
    <mergeCell ref="H9:J9"/>
    <mergeCell ref="N9:O9"/>
    <mergeCell ref="P9:Q9"/>
    <mergeCell ref="R9:S9"/>
    <mergeCell ref="H6:J6"/>
    <mergeCell ref="N6:O6"/>
    <mergeCell ref="P6:Q6"/>
    <mergeCell ref="R6:S6"/>
    <mergeCell ref="H7:J7"/>
    <mergeCell ref="N7:O7"/>
    <mergeCell ref="P7:Q7"/>
    <mergeCell ref="R7:S7"/>
    <mergeCell ref="C3:E3"/>
    <mergeCell ref="H3:I3"/>
    <mergeCell ref="EA3:EE3"/>
    <mergeCell ref="H4:I4"/>
    <mergeCell ref="AH4:AI4"/>
    <mergeCell ref="L5:M5"/>
    <mergeCell ref="N5:O5"/>
    <mergeCell ref="P5:Q5"/>
    <mergeCell ref="R5:S5"/>
    <mergeCell ref="U1:U2"/>
    <mergeCell ref="X1:Y2"/>
    <mergeCell ref="Z1:Z2"/>
    <mergeCell ref="AA1:AA2"/>
    <mergeCell ref="AB1:AB2"/>
    <mergeCell ref="B2:E2"/>
    <mergeCell ref="G2:J2"/>
    <mergeCell ref="L2:M2"/>
  </mergeCells>
  <conditionalFormatting sqref="J13">
    <cfRule type="expression" dxfId="79" priority="14">
      <formula>OR($H$13="N/A",$H$13="Full Scale")</formula>
    </cfRule>
  </conditionalFormatting>
  <conditionalFormatting sqref="I13">
    <cfRule type="expression" dxfId="78" priority="15">
      <formula>OR($H$13="N/A",$H$13="Nominal")</formula>
    </cfRule>
  </conditionalFormatting>
  <conditionalFormatting sqref="G15:J19">
    <cfRule type="expression" dxfId="77" priority="16">
      <formula>NOT($H$13="Custom")</formula>
    </cfRule>
  </conditionalFormatting>
  <conditionalFormatting sqref="D8:E9">
    <cfRule type="expression" dxfId="76" priority="13">
      <formula>OR($C$8="?",$C$8="Digital",$C$8="Analogue")</formula>
    </cfRule>
  </conditionalFormatting>
  <conditionalFormatting sqref="O2:T3">
    <cfRule type="expression" dxfId="75" priority="12">
      <formula>Elect=0</formula>
    </cfRule>
  </conditionalFormatting>
  <conditionalFormatting sqref="U1 U3">
    <cfRule type="expression" dxfId="74" priority="11">
      <formula>Elect=0</formula>
    </cfRule>
  </conditionalFormatting>
  <conditionalFormatting sqref="G11:H11">
    <cfRule type="expression" dxfId="73" priority="9">
      <formula>$A$10="Y"</formula>
    </cfRule>
    <cfRule type="expression" dxfId="72" priority="10">
      <formula>$A$10="N"</formula>
    </cfRule>
  </conditionalFormatting>
  <conditionalFormatting sqref="J5">
    <cfRule type="expression" dxfId="71" priority="8">
      <formula>"?"</formula>
    </cfRule>
  </conditionalFormatting>
  <conditionalFormatting sqref="L6:S6">
    <cfRule type="expression" dxfId="70" priority="4">
      <formula>$R$6&lt;NOW()</formula>
    </cfRule>
    <cfRule type="expression" dxfId="69" priority="7">
      <formula>$R$6&gt;NOW()</formula>
    </cfRule>
  </conditionalFormatting>
  <conditionalFormatting sqref="L7:S7">
    <cfRule type="expression" dxfId="68" priority="3">
      <formula>$R$7&lt;NOW()</formula>
    </cfRule>
    <cfRule type="expression" dxfId="67" priority="6">
      <formula>$R$7&gt;NOW()</formula>
    </cfRule>
  </conditionalFormatting>
  <conditionalFormatting sqref="L8:S8">
    <cfRule type="expression" dxfId="66" priority="2">
      <formula>$R$8&lt;NOW()</formula>
    </cfRule>
    <cfRule type="expression" dxfId="65" priority="5">
      <formula>$R$8&gt;NOW()</formula>
    </cfRule>
  </conditionalFormatting>
  <conditionalFormatting sqref="C19:D19">
    <cfRule type="expression" dxfId="64" priority="1">
      <formula>$C$3="?"</formula>
    </cfRule>
  </conditionalFormatting>
  <dataValidations disablePrompts="1" count="22">
    <dataValidation type="list" allowBlank="1" showInputMessage="1" showErrorMessage="1" sqref="EA10" xr:uid="{1BEE324A-69C8-48BB-956D-A16F5A85A398}">
      <formula1>$CB$11:$CB$13</formula1>
    </dataValidation>
    <dataValidation type="list" errorStyle="warning" allowBlank="1" showInputMessage="1" showErrorMessage="1" error="This Type is not in the list" sqref="C3:E3" xr:uid="{9B23D436-A78A-4E07-84DA-B6668C19295E}">
      <formula1>$D$29:$D$41</formula1>
    </dataValidation>
    <dataValidation type="list" allowBlank="1" showInputMessage="1" showErrorMessage="1" sqref="C13:E13" xr:uid="{90EE4C55-93FC-4B8C-B772-6F8C6995EF20}">
      <formula1>$Y$3:$Y$17</formula1>
    </dataValidation>
    <dataValidation type="custom" showInputMessage="1" showErrorMessage="1" error="YOU CAN ENTER UPPERCASE ALPHER NUMERIC AND HYPHEN" sqref="C6:C7" xr:uid="{41AACD4A-1A60-46D2-ADC4-15E19C864C94}">
      <formula1>AND(SEARCH(MID(C6:E6,ROW(INDIRECT("1:"&amp;LEN(C6:E6))),1),"0123456789ABCDEFGHIJKLMNOPQRSTUVWXYZ-"))</formula1>
    </dataValidation>
    <dataValidation allowBlank="1" showErrorMessage="1" promptTitle="Best estimated readability" prompt="Enter what the divsions can be split by._x000a_Digital =1_x000a_Analogue 2, 3, 4 or 5" sqref="C16" xr:uid="{CEBD667B-C52E-4231-8C88-9DC0B6B6C768}"/>
    <dataValidation type="list" allowBlank="1" showInputMessage="1" showErrorMessage="1" sqref="H7" xr:uid="{B1AB0F94-81BF-4803-9CDC-8E552EB516EA}">
      <formula1>"Applied,Indicated,?"</formula1>
    </dataValidation>
    <dataValidation type="list" allowBlank="1" showInputMessage="1" showErrorMessage="1" sqref="H13" xr:uid="{F22FAEB1-6703-4AEE-94E1-D6DDF0F46BBE}">
      <formula1>$BA$1:$BA$6</formula1>
    </dataValidation>
    <dataValidation type="list" allowBlank="1" showInputMessage="1" showErrorMessage="1" sqref="H12" xr:uid="{ACC98743-4518-4D60-8DBB-C053AB2CAD32}">
      <formula1>"A,M1,M2,?"</formula1>
    </dataValidation>
    <dataValidation type="list" allowBlank="1" showInputMessage="1" showErrorMessage="1" sqref="D12" xr:uid="{E9D6ABBB-489A-4010-939A-A0F83BE16F58}">
      <formula1>"inches,in,mm"</formula1>
    </dataValidation>
    <dataValidation type="list" allowBlank="1" showErrorMessage="1" prompt="_x000a__x000a__x000a_" sqref="H5" xr:uid="{A6448735-42DB-4C81-B3DC-93B328DD5B7A}">
      <formula1>"vertical,horizontal,?"</formula1>
    </dataValidation>
    <dataValidation type="list" allowBlank="1" showInputMessage="1" showErrorMessage="1" promptTitle="Is the Pressure Gauge sealed?" prompt="Y = Yes_x000a_N = No" sqref="C10" xr:uid="{D45F57AD-ECB4-448A-907B-CB650B8A0414}">
      <formula1>"Y,N"</formula1>
    </dataValidation>
    <dataValidation type="list" allowBlank="1" showInputMessage="1" showErrorMessage="1" promptTitle="Readout Type" prompt="Is this a digital or analogue display?_x000a_" sqref="C8" xr:uid="{7AE91AA3-0F62-4DBF-AF66-896D2A87B93D}">
      <formula1>"?,Digital, Analogue,mA,V,mV"</formula1>
    </dataValidation>
    <dataValidation type="list" allowBlank="1" showInputMessage="1" showErrorMessage="1" sqref="H19" xr:uid="{F6A53138-01EF-4923-A739-CE9DFED96D5D}">
      <formula1>List</formula1>
    </dataValidation>
    <dataValidation type="list" allowBlank="1" showInputMessage="1" showErrorMessage="1" sqref="H6" xr:uid="{A013FE19-1603-42B7-84BD-FFF8A3D2D79B}">
      <formula1>"Mineral Oil,Water,Air,Nitrogen,?"</formula1>
    </dataValidation>
    <dataValidation type="list" allowBlank="1" showInputMessage="1" showErrorMessage="1" sqref="H8" xr:uid="{2563B554-592D-4894-9D7E-80F1C253BA32}">
      <formula1>"Y,N"</formula1>
    </dataValidation>
    <dataValidation type="list" allowBlank="1" showInputMessage="1" showErrorMessage="1" sqref="I19" xr:uid="{A9699E27-99D7-413D-8320-1AE7A8675F73}">
      <formula1>"Range,Reading"</formula1>
    </dataValidation>
    <dataValidation type="list" allowBlank="1" sqref="I13:J13" xr:uid="{B12BC67E-E904-4842-B3DC-2B86DB8B3F64}">
      <formula1>$BB$1:$BB$36</formula1>
    </dataValidation>
    <dataValidation type="list" allowBlank="1" showInputMessage="1" showErrorMessage="1" promptTitle="Liquid Filled" prompt="Y = Yes_x000a_N = No" sqref="C11 C9" xr:uid="{310DA7EF-0600-4AF4-B974-03EA80481415}">
      <formula1>"Y,N"</formula1>
    </dataValidation>
    <dataValidation type="list" allowBlank="1" showInputMessage="1" showErrorMessage="1" sqref="J5" xr:uid="{49D7BB1D-0237-4CF0-BC69-3170C37A4B99}">
      <formula1>"Y,N,?"</formula1>
    </dataValidation>
    <dataValidation type="list" allowBlank="1" showInputMessage="1" showErrorMessage="1" sqref="L6:L10" xr:uid="{E060EC90-D19A-44B6-9826-0F4FB6880540}">
      <formula1>IF($M$3=20,$N$30:$N$49,IF($M$3&lt;=20,$N$30:$N$39,$N$40:$N$49))</formula1>
    </dataValidation>
    <dataValidation type="list" allowBlank="1" showInputMessage="1" showErrorMessage="1" sqref="M3" xr:uid="{D4D26B65-3F65-485A-AEF9-5EFE066B51F9}">
      <formula1>"1,2,3,4,5,6,7,8,9,10,11,12,13,14,15,16,17,18,19,20,21,22,23,24,25,26,?"</formula1>
    </dataValidation>
    <dataValidation type="list" allowBlank="1" showInputMessage="1" showErrorMessage="1" sqref="H9" xr:uid="{93A32BD3-4106-4C9E-8115-C579E5C6244A}">
      <formula1>$AD$1:$AD$3</formula1>
    </dataValidation>
  </dataValidations>
  <hyperlinks>
    <hyperlink ref="EA93" r:id="rId1" display="mailto:nata_approvals@texonsite.com.au" xr:uid="{2F16B935-2957-4C89-BBE9-12D455EBA2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trument">
                <anchor moveWithCells="1" sizeWithCells="1">
                  <from>
                    <xdr:col>4</xdr:col>
                    <xdr:colOff>266700</xdr:colOff>
                    <xdr:row>11</xdr:row>
                    <xdr:rowOff>19050</xdr:rowOff>
                  </from>
                  <to>
                    <xdr:col>6</xdr:col>
                    <xdr:colOff>466725</xdr:colOff>
                    <xdr:row>12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5D86-2D5B-4AD7-9238-F4136710ECD0}">
  <sheetPr codeName="Sheet10"/>
  <dimension ref="A1:DY41"/>
  <sheetViews>
    <sheetView topLeftCell="A6" zoomScale="85" zoomScaleNormal="85" workbookViewId="0">
      <selection activeCell="C18" sqref="C18"/>
    </sheetView>
  </sheetViews>
  <sheetFormatPr defaultColWidth="9.140625" defaultRowHeight="12.75"/>
  <cols>
    <col min="1" max="1" width="9.140625" style="102"/>
    <col min="2" max="2" width="18.85546875" style="102" customWidth="1"/>
    <col min="3" max="4" width="9.140625" style="102"/>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5703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266"/>
      <c r="B1" s="267"/>
      <c r="C1" s="960" t="s">
        <v>251</v>
      </c>
      <c r="D1" s="960"/>
      <c r="E1" s="960"/>
      <c r="F1" s="961" t="str">
        <f>IF('1Test Data'!$A$5="Y","Oxygen Pressure Selected OIL FREE ISOLATION PROCEDUERS Must be used!","")</f>
        <v/>
      </c>
      <c r="G1" s="961"/>
      <c r="H1" s="961"/>
      <c r="I1" s="961"/>
      <c r="J1" s="961"/>
      <c r="K1" s="961"/>
      <c r="L1" s="961"/>
      <c r="M1" s="961"/>
      <c r="N1" s="961"/>
      <c r="O1" s="268"/>
      <c r="P1" s="268"/>
      <c r="Q1" s="268"/>
      <c r="R1" s="268"/>
      <c r="S1" s="268"/>
      <c r="T1" s="268"/>
      <c r="U1" s="268"/>
      <c r="V1" s="269"/>
      <c r="Y1" s="102">
        <v>74.025750000000002</v>
      </c>
      <c r="AK1" s="109" t="s">
        <v>69</v>
      </c>
    </row>
    <row r="2" spans="1:105" ht="15" customHeight="1">
      <c r="A2" s="270"/>
      <c r="B2" s="271"/>
      <c r="C2" s="962" t="s">
        <v>252</v>
      </c>
      <c r="D2" s="963"/>
      <c r="E2" s="964"/>
      <c r="F2" s="272" t="e">
        <f>IF(VLOOKUP($C$2,AC5:AD7,2,0)="","",VLOOKUP($C$2,AC5:AD7,2,0))</f>
        <v>#NAME?</v>
      </c>
      <c r="G2" s="273"/>
      <c r="H2" s="273"/>
      <c r="I2" s="273"/>
      <c r="J2" s="273"/>
      <c r="K2" s="273"/>
      <c r="L2" s="273"/>
      <c r="M2" s="273"/>
      <c r="N2" s="271"/>
      <c r="O2" s="271"/>
      <c r="P2" s="271"/>
      <c r="Q2" s="271"/>
      <c r="R2" s="271"/>
      <c r="S2" s="271"/>
      <c r="T2" s="271"/>
      <c r="U2" s="271"/>
      <c r="V2" s="20"/>
      <c r="Y2" s="102">
        <v>74.025750000000002</v>
      </c>
      <c r="AK2" s="109" t="s">
        <v>79</v>
      </c>
    </row>
    <row r="3" spans="1:105" ht="15" customHeight="1">
      <c r="A3" s="270"/>
      <c r="B3" s="271"/>
      <c r="C3" s="965"/>
      <c r="D3" s="966"/>
      <c r="E3" s="966"/>
      <c r="F3" s="966"/>
      <c r="G3" s="966"/>
      <c r="H3" s="966"/>
      <c r="I3" s="966"/>
      <c r="J3" s="966"/>
      <c r="K3" s="967"/>
      <c r="L3" s="274"/>
      <c r="M3" s="274"/>
      <c r="N3" s="271"/>
      <c r="O3" s="271"/>
      <c r="P3" s="271"/>
      <c r="Q3" s="271"/>
      <c r="R3" s="271"/>
      <c r="S3" s="271"/>
      <c r="T3" s="271"/>
      <c r="U3" s="271"/>
      <c r="V3" s="20"/>
      <c r="AK3" s="109" t="s">
        <v>92</v>
      </c>
    </row>
    <row r="4" spans="1:105" ht="15" customHeight="1">
      <c r="A4" s="270"/>
      <c r="B4" s="274"/>
      <c r="C4" s="968"/>
      <c r="D4" s="969"/>
      <c r="E4" s="969"/>
      <c r="F4" s="969"/>
      <c r="G4" s="969"/>
      <c r="H4" s="969"/>
      <c r="I4" s="969"/>
      <c r="J4" s="969"/>
      <c r="K4" s="970"/>
      <c r="L4" s="275"/>
      <c r="M4" s="274"/>
      <c r="N4" s="271"/>
      <c r="O4" s="271"/>
      <c r="P4" s="271"/>
      <c r="Q4" s="271"/>
      <c r="R4" s="271"/>
      <c r="S4" s="271"/>
      <c r="T4" s="271"/>
      <c r="U4" s="271"/>
      <c r="V4" s="20"/>
      <c r="X4" s="102">
        <f>A18</f>
        <v>0</v>
      </c>
      <c r="Y4" s="102" t="e">
        <f t="shared" ref="Y4:Y11" si="0">X4*ElectMult</f>
        <v>#NAME?</v>
      </c>
      <c r="Z4" s="102" t="e">
        <f t="shared" ref="Z4:Z11" si="1">Y4+Lower</f>
        <v>#NAME?</v>
      </c>
      <c r="AK4" s="109" t="s">
        <v>98</v>
      </c>
    </row>
    <row r="5" spans="1:105" ht="15" customHeight="1" thickBot="1">
      <c r="A5" s="270"/>
      <c r="B5" s="271"/>
      <c r="C5" s="971" t="s">
        <v>253</v>
      </c>
      <c r="D5" s="971"/>
      <c r="E5" s="971"/>
      <c r="F5" s="197"/>
      <c r="G5" s="197"/>
      <c r="H5" s="197"/>
      <c r="I5" s="197"/>
      <c r="J5" s="197"/>
      <c r="K5" s="197"/>
      <c r="L5" s="275"/>
      <c r="M5" s="276" t="str">
        <f>IFERROR(ROUND(AVERAGE(M7:M8,'1Test Data'!H3),1),"")</f>
        <v/>
      </c>
      <c r="N5" s="271"/>
      <c r="O5" s="271"/>
      <c r="P5" s="271"/>
      <c r="Q5" s="271"/>
      <c r="R5" s="271"/>
      <c r="S5" s="271"/>
      <c r="T5" s="271"/>
      <c r="U5" s="271"/>
      <c r="V5" s="20"/>
      <c r="X5" s="102">
        <f t="shared" ref="X5:X11" si="2">A19</f>
        <v>0</v>
      </c>
      <c r="Y5" s="102" t="e">
        <f t="shared" si="0"/>
        <v>#NAME?</v>
      </c>
      <c r="Z5" s="102" t="e">
        <f t="shared" si="1"/>
        <v>#NAME?</v>
      </c>
      <c r="AC5" s="277" t="s">
        <v>252</v>
      </c>
      <c r="AD5" s="278" t="e">
        <f>"The "&amp;EquipType&amp;" was presented in a satisfactory operating condition."</f>
        <v>#NAME?</v>
      </c>
      <c r="AE5" s="277"/>
      <c r="AF5" s="277"/>
      <c r="AG5" s="277"/>
      <c r="AH5" s="277"/>
      <c r="AI5" s="277"/>
      <c r="AJ5" s="277"/>
      <c r="AK5" s="109" t="s">
        <v>108</v>
      </c>
    </row>
    <row r="6" spans="1:105" ht="15" customHeight="1">
      <c r="A6" s="270"/>
      <c r="B6" s="271"/>
      <c r="C6" s="972" t="s">
        <v>254</v>
      </c>
      <c r="D6" s="973"/>
      <c r="E6" s="974"/>
      <c r="F6" s="272" t="str">
        <f>IF(VLOOKUP($C$6,AC10:AD17,2,0)="","",VLOOKUP($C$6,AC10:AD17,2,0))</f>
        <v/>
      </c>
      <c r="G6" s="275"/>
      <c r="H6" s="275"/>
      <c r="I6" s="275"/>
      <c r="J6" s="275"/>
      <c r="K6" s="275"/>
      <c r="L6" s="975" t="s">
        <v>255</v>
      </c>
      <c r="M6" s="975"/>
      <c r="N6" s="976"/>
      <c r="O6" s="175"/>
      <c r="P6" s="912" t="s">
        <v>136</v>
      </c>
      <c r="Q6" s="912"/>
      <c r="R6" s="912"/>
      <c r="S6" s="912"/>
      <c r="T6" s="912"/>
      <c r="U6" s="977"/>
      <c r="V6" s="20"/>
      <c r="X6" s="102">
        <f t="shared" si="2"/>
        <v>0</v>
      </c>
      <c r="Y6" s="102" t="e">
        <f t="shared" si="0"/>
        <v>#NAME?</v>
      </c>
      <c r="Z6" s="102" t="e">
        <f t="shared" si="1"/>
        <v>#NAME?</v>
      </c>
      <c r="AC6" s="43" t="s">
        <v>256</v>
      </c>
    </row>
    <row r="7" spans="1:105" ht="15" customHeight="1">
      <c r="A7" s="270"/>
      <c r="B7" s="271"/>
      <c r="C7" s="978"/>
      <c r="D7" s="979"/>
      <c r="E7" s="979"/>
      <c r="F7" s="979"/>
      <c r="G7" s="979"/>
      <c r="H7" s="979"/>
      <c r="I7" s="979"/>
      <c r="J7" s="979"/>
      <c r="K7" s="980"/>
      <c r="L7" s="279" t="s">
        <v>257</v>
      </c>
      <c r="M7" s="280" t="s">
        <v>10</v>
      </c>
      <c r="N7" s="271" t="s">
        <v>258</v>
      </c>
      <c r="O7" s="179"/>
      <c r="P7" s="172"/>
      <c r="Q7" s="172"/>
      <c r="R7" s="915"/>
      <c r="S7" s="915"/>
      <c r="T7" s="915"/>
      <c r="U7" s="180"/>
      <c r="V7" s="20"/>
      <c r="X7" s="102">
        <f t="shared" si="2"/>
        <v>0</v>
      </c>
      <c r="Y7" s="102" t="e">
        <f t="shared" si="0"/>
        <v>#NAME?</v>
      </c>
      <c r="Z7" s="102" t="e">
        <f t="shared" si="1"/>
        <v>#NAME?</v>
      </c>
      <c r="AC7" s="43" t="s">
        <v>10</v>
      </c>
      <c r="DA7" s="16"/>
    </row>
    <row r="8" spans="1:105" ht="15" customHeight="1">
      <c r="A8" s="270"/>
      <c r="B8" s="271"/>
      <c r="C8" s="981"/>
      <c r="D8" s="982"/>
      <c r="E8" s="982"/>
      <c r="F8" s="982"/>
      <c r="G8" s="982"/>
      <c r="H8" s="982"/>
      <c r="I8" s="982"/>
      <c r="J8" s="982"/>
      <c r="K8" s="983"/>
      <c r="L8" s="279" t="s">
        <v>259</v>
      </c>
      <c r="M8" s="280" t="s">
        <v>10</v>
      </c>
      <c r="N8" s="271" t="s">
        <v>258</v>
      </c>
      <c r="O8" s="924" t="s">
        <v>143</v>
      </c>
      <c r="P8" s="925"/>
      <c r="Q8" s="183" t="s">
        <v>144</v>
      </c>
      <c r="R8" s="916"/>
      <c r="S8" s="916"/>
      <c r="T8" s="916"/>
      <c r="U8" s="180"/>
      <c r="V8" s="20"/>
      <c r="X8" s="102">
        <f t="shared" si="2"/>
        <v>0</v>
      </c>
      <c r="Y8" s="102" t="e">
        <f t="shared" si="0"/>
        <v>#NAME?</v>
      </c>
      <c r="Z8" s="102" t="e">
        <f t="shared" si="1"/>
        <v>#NAME?</v>
      </c>
      <c r="DA8" s="16"/>
    </row>
    <row r="9" spans="1:105" ht="15" customHeight="1" thickBot="1">
      <c r="A9" s="281" t="s">
        <v>260</v>
      </c>
      <c r="B9" s="271"/>
      <c r="C9" s="271"/>
      <c r="D9" s="271"/>
      <c r="E9" s="271"/>
      <c r="F9" s="271"/>
      <c r="G9" s="271"/>
      <c r="H9" s="271"/>
      <c r="I9" s="271"/>
      <c r="J9" s="271"/>
      <c r="K9" s="274"/>
      <c r="L9" s="274"/>
      <c r="M9" s="282"/>
      <c r="N9" s="283"/>
      <c r="O9" s="184"/>
      <c r="P9" s="185"/>
      <c r="Q9" s="185"/>
      <c r="R9" s="928"/>
      <c r="S9" s="928"/>
      <c r="T9" s="928"/>
      <c r="U9" s="180"/>
      <c r="V9" s="20"/>
      <c r="X9" s="102">
        <f t="shared" si="2"/>
        <v>0</v>
      </c>
      <c r="Y9" s="102" t="e">
        <f t="shared" si="0"/>
        <v>#NAME?</v>
      </c>
      <c r="Z9" s="102" t="e">
        <f t="shared" si="1"/>
        <v>#NAME?</v>
      </c>
      <c r="AC9" s="102" t="s">
        <v>10</v>
      </c>
      <c r="DA9" s="16"/>
    </row>
    <row r="10" spans="1:105" ht="15" customHeight="1">
      <c r="A10" s="284" t="s">
        <v>261</v>
      </c>
      <c r="B10" s="953" t="s">
        <v>262</v>
      </c>
      <c r="C10" s="955" t="str">
        <f>IF(correction="Y","Corrected  Pressure","Uncorrected  Pressure")</f>
        <v>Uncorrected  Pressure</v>
      </c>
      <c r="D10" s="285"/>
      <c r="E10" s="957" t="s">
        <v>263</v>
      </c>
      <c r="F10" s="958"/>
      <c r="G10" s="958"/>
      <c r="H10" s="958"/>
      <c r="I10" s="958"/>
      <c r="J10" s="958"/>
      <c r="K10" s="958"/>
      <c r="L10" s="958"/>
      <c r="M10" s="959"/>
      <c r="N10" s="283"/>
      <c r="O10" s="924"/>
      <c r="P10" s="925"/>
      <c r="Q10" s="183" t="s">
        <v>150</v>
      </c>
      <c r="R10" s="916"/>
      <c r="S10" s="916"/>
      <c r="T10" s="916"/>
      <c r="U10" s="180"/>
      <c r="V10" s="20"/>
      <c r="X10" s="102">
        <f t="shared" si="2"/>
        <v>0</v>
      </c>
      <c r="Y10" s="102" t="e">
        <f t="shared" si="0"/>
        <v>#NAME?</v>
      </c>
      <c r="Z10" s="102" t="e">
        <f t="shared" si="1"/>
        <v>#NAME?</v>
      </c>
      <c r="AC10" s="277" t="s">
        <v>264</v>
      </c>
      <c r="AD10" s="286" t="e">
        <f>"Prior to taking final readings, the  "&amp;_xlfn.SINGLE(EquipType)&amp;" was adjusted." &amp;CHAR(10)&amp; "The maximum 'As Found' correction is "&amp;$DQ$38&amp;" " &amp;_xlfn.SINGLE(Units)</f>
        <v>#NAME?</v>
      </c>
      <c r="AE10" s="287"/>
      <c r="AF10" s="287"/>
      <c r="AG10" s="287"/>
      <c r="AH10" s="287"/>
      <c r="AI10" s="287"/>
      <c r="AJ10" s="278"/>
      <c r="AK10" s="102" t="s">
        <v>265</v>
      </c>
      <c r="DA10" s="16"/>
    </row>
    <row r="11" spans="1:105" ht="15" customHeight="1" thickBot="1">
      <c r="A11" s="288" t="s">
        <v>0</v>
      </c>
      <c r="B11" s="954"/>
      <c r="C11" s="956"/>
      <c r="D11" s="285"/>
      <c r="E11" s="289" t="s">
        <v>266</v>
      </c>
      <c r="F11" s="290" t="s">
        <v>267</v>
      </c>
      <c r="G11" s="290" t="s">
        <v>268</v>
      </c>
      <c r="H11" s="290" t="s">
        <v>269</v>
      </c>
      <c r="I11" s="290" t="s">
        <v>270</v>
      </c>
      <c r="J11" s="290" t="s">
        <v>271</v>
      </c>
      <c r="K11" s="291" t="s">
        <v>272</v>
      </c>
      <c r="L11" s="291" t="s">
        <v>273</v>
      </c>
      <c r="M11" s="292" t="s">
        <v>274</v>
      </c>
      <c r="N11" s="283"/>
      <c r="O11" s="190"/>
      <c r="P11" s="174"/>
      <c r="Q11" s="174"/>
      <c r="R11" s="113"/>
      <c r="S11" s="113"/>
      <c r="T11" s="113"/>
      <c r="U11" s="293"/>
      <c r="V11" s="20"/>
      <c r="X11" s="102">
        <f t="shared" si="2"/>
        <v>0</v>
      </c>
      <c r="Y11" s="102" t="e">
        <f t="shared" si="0"/>
        <v>#NAME?</v>
      </c>
      <c r="Z11" s="102" t="e">
        <f t="shared" si="1"/>
        <v>#NAME?</v>
      </c>
      <c r="AC11" s="277" t="s">
        <v>275</v>
      </c>
      <c r="AD11" s="286" t="e">
        <f>"Prior to taking final readings, the "&amp;EquipType&amp;" was repaired."</f>
        <v>#NAME?</v>
      </c>
      <c r="AE11" s="287"/>
      <c r="AF11" s="287"/>
      <c r="AG11" s="287"/>
      <c r="AH11" s="287"/>
      <c r="AI11" s="287"/>
      <c r="AJ11" s="278"/>
      <c r="AK11" s="102" t="s">
        <v>276</v>
      </c>
      <c r="DA11" s="16"/>
    </row>
    <row r="12" spans="1:105" ht="20.25" customHeight="1" thickBot="1">
      <c r="A12" s="294" t="e">
        <f>IF(Capacity="?","?",IF(TestType="M1",ROUND(Capacity*0.25/Cardinal,0)*Cardinal,Capacity/2))</f>
        <v>#NAME?</v>
      </c>
      <c r="B12" s="691" t="str">
        <f>IF(A18="","",B18)</f>
        <v/>
      </c>
      <c r="C12" s="295" t="e">
        <f>IF(OR(B12="",A12=""),"",IF(Elect=1,$A12*ElectMult+Lower,IF(correction="Y",IF($A12=0,$A12,$A12+$AZ12),$A12)))</f>
        <v>#NAME?</v>
      </c>
      <c r="D12" s="296"/>
      <c r="E12" s="693"/>
      <c r="F12" s="694"/>
      <c r="G12" s="694"/>
      <c r="H12" s="694"/>
      <c r="I12" s="694"/>
      <c r="J12" s="694"/>
      <c r="K12" s="297">
        <f>MIN(ABS(E12),ABS(F12),ABS(G12),IF(H12=0,ABS(G12),ABS(H12)),IF(I12=0,ABS(G12),ABS(I12)),IF(J12=0,ABS(G12),ABS(J12)))</f>
        <v>0</v>
      </c>
      <c r="L12" s="297">
        <f>MAX(ABS(E12),ABS(F12),ABS(G12),IF(H12=0,ABS(G12),ABS(H12)),IF(I12=0,ABS(G12),ABS(I12)),IF(J12=0,ABS(G12),ABS(J12)))</f>
        <v>0</v>
      </c>
      <c r="M12" s="298">
        <f>L12-K12</f>
        <v>0</v>
      </c>
      <c r="N12" s="283"/>
      <c r="O12" s="299"/>
      <c r="P12" s="271"/>
      <c r="Q12" s="271"/>
      <c r="R12" s="984">
        <v>5.3240740740740744E-4</v>
      </c>
      <c r="S12" s="985"/>
      <c r="T12" s="985"/>
      <c r="U12" s="986"/>
      <c r="V12" s="20"/>
      <c r="W12" s="300"/>
      <c r="AC12" s="277" t="s">
        <v>277</v>
      </c>
      <c r="AD12" s="286" t="e">
        <f>"Prior to taking final readings, the "&amp;EquipType&amp;" was adjusted and repaired."</f>
        <v>#NAME?</v>
      </c>
      <c r="AE12" s="287"/>
      <c r="AF12" s="287"/>
      <c r="AG12" s="287"/>
      <c r="AH12" s="287"/>
      <c r="AI12" s="287"/>
      <c r="AJ12" s="278"/>
      <c r="AK12" s="102" t="s">
        <v>278</v>
      </c>
      <c r="DA12" s="16"/>
    </row>
    <row r="13" spans="1:105" ht="20.25" customHeight="1" thickBot="1">
      <c r="A13" s="294" t="e">
        <f>IF(Capacity="?","?",IF(TestType="M1",ROUND(Capacity*0.75/Cardinal,0)*Cardinal,""))</f>
        <v>#NAME?</v>
      </c>
      <c r="B13" s="692" t="str">
        <f>IF(A19="","",B18)</f>
        <v/>
      </c>
      <c r="C13" s="295" t="e">
        <f>IF(OR(B13="",A13=""),"",IF(Elect=1,$A13*ElectMult+Lower,IF(correction="Y",IF($A13=0,$A13,$A13+$AZ13),$A13)))</f>
        <v>#NAME?</v>
      </c>
      <c r="D13" s="296"/>
      <c r="E13" s="695"/>
      <c r="F13" s="696"/>
      <c r="G13" s="696"/>
      <c r="H13" s="696"/>
      <c r="I13" s="696"/>
      <c r="J13" s="696"/>
      <c r="K13" s="301">
        <f>MIN(ABS(E13),ABS(F13),ABS(G13),IF(H13=0,ABS(G13),ABS(H13)),IF(I13=0,ABS(G13),ABS(I13)),IF(J13=0,ABS(G13),ABS(J13)))</f>
        <v>0</v>
      </c>
      <c r="L13" s="302">
        <f>MAX(ABS(E13),ABS(F13),ABS(G13),IF(H13=0,ABS(G13),ABS(H13)),IF(I13=0,ABS(G13),ABS(I13)),IF(J13=0,ABS(G13),ABS(J13)))</f>
        <v>0</v>
      </c>
      <c r="M13" s="303">
        <f>L13-K13</f>
        <v>0</v>
      </c>
      <c r="N13" s="283" t="s">
        <v>279</v>
      </c>
      <c r="O13" s="304">
        <f>MAX(M12:M13)</f>
        <v>0</v>
      </c>
      <c r="P13" s="271"/>
      <c r="Q13" s="271"/>
      <c r="R13" s="987"/>
      <c r="S13" s="988"/>
      <c r="T13" s="988"/>
      <c r="U13" s="989"/>
      <c r="V13" s="20"/>
      <c r="X13" s="102" t="e">
        <f>IF(Elect=1,Capacity*ElectMult,)</f>
        <v>#NAME?</v>
      </c>
      <c r="AC13" s="277" t="s">
        <v>280</v>
      </c>
      <c r="AD13" s="286" t="e">
        <f>"The "&amp;EquipType&amp;" should be withdrawn from service as per customers request."</f>
        <v>#NAME?</v>
      </c>
      <c r="AE13" s="287"/>
      <c r="AF13" s="287"/>
      <c r="AG13" s="287"/>
      <c r="AH13" s="287"/>
      <c r="AI13" s="287"/>
      <c r="AJ13" s="278"/>
      <c r="AK13" s="102" t="s">
        <v>281</v>
      </c>
      <c r="DA13" s="16"/>
    </row>
    <row r="14" spans="1:105" ht="15" customHeight="1" thickBot="1">
      <c r="A14" s="305"/>
      <c r="B14" s="306"/>
      <c r="C14" s="306"/>
      <c r="D14" s="306"/>
      <c r="E14" s="307" t="s">
        <v>282</v>
      </c>
      <c r="F14" s="308"/>
      <c r="G14" s="308"/>
      <c r="H14" s="308" t="e">
        <f>Elect</f>
        <v>#NAME?</v>
      </c>
      <c r="I14" s="308"/>
      <c r="J14" s="308"/>
      <c r="K14" s="308"/>
      <c r="L14" s="309"/>
      <c r="M14" s="309"/>
      <c r="N14" s="306"/>
      <c r="O14" s="306"/>
      <c r="P14" s="306"/>
      <c r="Q14" s="306" t="s">
        <v>283</v>
      </c>
      <c r="R14" s="694" t="str">
        <f>IFERROR(R12/COUNT(F18:G37,I18:J37,E12:G13)*86400,"")</f>
        <v/>
      </c>
      <c r="S14" s="274" t="s">
        <v>284</v>
      </c>
      <c r="T14" s="274"/>
      <c r="U14" s="274"/>
      <c r="V14" s="310"/>
      <c r="W14" s="311"/>
      <c r="X14" s="312"/>
      <c r="Y14" s="312"/>
      <c r="Z14" s="16"/>
      <c r="AA14" s="16"/>
      <c r="AB14" s="16"/>
      <c r="AC14" s="277" t="s">
        <v>285</v>
      </c>
      <c r="AD14" s="286" t="e">
        <f>"The "&amp;EquipType&amp;" accuracy class was reclassified as per customers request."</f>
        <v>#NAME?</v>
      </c>
      <c r="AE14" s="287"/>
      <c r="AF14" s="287"/>
      <c r="AG14" s="287"/>
      <c r="AH14" s="287"/>
      <c r="AI14" s="287"/>
      <c r="AJ14" s="278"/>
      <c r="AK14" s="102" t="s">
        <v>286</v>
      </c>
      <c r="DA14" s="16"/>
    </row>
    <row r="15" spans="1:105" ht="15" customHeight="1" thickBot="1">
      <c r="A15" s="990" t="str">
        <f>"Reference Pressure in " &amp;_xlfn.SINGLE( Units)</f>
        <v>Reference Pressure in mm</v>
      </c>
      <c r="B15" s="993" t="s">
        <v>262</v>
      </c>
      <c r="C15" s="955" t="s">
        <v>889</v>
      </c>
      <c r="D15" s="997" t="s">
        <v>890</v>
      </c>
      <c r="E15" s="990" t="s">
        <v>891</v>
      </c>
      <c r="F15" s="1000" t="s">
        <v>287</v>
      </c>
      <c r="G15" s="958"/>
      <c r="H15" s="1001"/>
      <c r="I15" s="1000" t="str">
        <f>"Decreasing "&amp;IF(GaugeType="B","Differential ","")&amp; "Pressure"</f>
        <v>Decreasing Pressure</v>
      </c>
      <c r="J15" s="958"/>
      <c r="K15" s="1001"/>
      <c r="L15" s="1002" t="s">
        <v>288</v>
      </c>
      <c r="M15" s="1003"/>
      <c r="N15" s="993" t="s">
        <v>289</v>
      </c>
      <c r="O15" s="1009" t="s">
        <v>290</v>
      </c>
      <c r="P15" s="1010"/>
      <c r="Q15" s="1009" t="s">
        <v>291</v>
      </c>
      <c r="R15" s="1010"/>
      <c r="S15" s="313" t="s">
        <v>292</v>
      </c>
      <c r="T15" s="314" t="s">
        <v>292</v>
      </c>
      <c r="U15" s="274"/>
      <c r="V15" s="310"/>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11" t="s">
        <v>297</v>
      </c>
      <c r="CS15" s="1012"/>
      <c r="CT15" s="317">
        <v>1</v>
      </c>
      <c r="CU15" s="318" t="e">
        <f>$CT$15*(Range/100)</f>
        <v>#VALUE!</v>
      </c>
      <c r="CV15" s="16"/>
      <c r="CW15" s="16"/>
      <c r="CX15" s="16"/>
      <c r="CY15" s="16"/>
      <c r="CZ15" s="16"/>
    </row>
    <row r="16" spans="1:105" ht="15" customHeight="1" thickBot="1">
      <c r="A16" s="991"/>
      <c r="B16" s="994"/>
      <c r="C16" s="996"/>
      <c r="D16" s="998"/>
      <c r="E16" s="991"/>
      <c r="F16" s="319" t="s">
        <v>266</v>
      </c>
      <c r="G16" s="319" t="s">
        <v>267</v>
      </c>
      <c r="H16" s="319" t="s">
        <v>298</v>
      </c>
      <c r="I16" s="319" t="s">
        <v>266</v>
      </c>
      <c r="J16" s="319" t="s">
        <v>267</v>
      </c>
      <c r="K16" s="319" t="s">
        <v>298</v>
      </c>
      <c r="L16" s="1013" t="s">
        <v>299</v>
      </c>
      <c r="M16" s="1013" t="s">
        <v>300</v>
      </c>
      <c r="N16" s="995"/>
      <c r="O16" s="320" t="s">
        <v>293</v>
      </c>
      <c r="P16" s="320" t="s">
        <v>294</v>
      </c>
      <c r="Q16" s="1014" t="e">
        <f>_xlfn.SINGLE(IF(_xlfn.SINGLE(Elect)=1,ReadoutType,Units))</f>
        <v>#NAME?</v>
      </c>
      <c r="R16" s="1016" t="s">
        <v>78</v>
      </c>
      <c r="S16" s="1018" t="str">
        <f>" (%)   of "&amp;"Range"</f>
        <v xml:space="preserve"> (%)   of Range</v>
      </c>
      <c r="T16" s="1020" t="e">
        <f>"Tolerance ("&amp;_xlfn.SINGLE(IF(_xlfn.SINGLE(Elect)=1,ReadoutType,Units))&amp;")"</f>
        <v>#NAME?</v>
      </c>
      <c r="U16" s="274"/>
      <c r="V16" s="310"/>
      <c r="W16" s="321" t="s">
        <v>301</v>
      </c>
      <c r="X16" s="322" t="s">
        <v>301</v>
      </c>
      <c r="Y16" s="322" t="s">
        <v>301</v>
      </c>
      <c r="Z16" s="16"/>
      <c r="AA16" s="16"/>
      <c r="AB16" s="16"/>
      <c r="AC16" s="277" t="s">
        <v>254</v>
      </c>
      <c r="AD16" s="209"/>
      <c r="AE16" s="209"/>
      <c r="AF16" s="209"/>
      <c r="AG16" s="209"/>
      <c r="AH16" s="209"/>
      <c r="AI16" s="209"/>
      <c r="AJ16" s="209"/>
      <c r="BA16" s="948" t="s">
        <v>188</v>
      </c>
      <c r="BB16" s="949"/>
      <c r="BC16" s="949"/>
      <c r="BD16" s="949"/>
      <c r="BE16" s="949"/>
      <c r="BF16" s="950"/>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92"/>
      <c r="B17" s="995"/>
      <c r="C17" s="956"/>
      <c r="D17" s="999"/>
      <c r="E17" s="992"/>
      <c r="F17" s="323" t="str">
        <f>Units</f>
        <v>mm</v>
      </c>
      <c r="G17" s="323" t="str">
        <f>Units</f>
        <v>mm</v>
      </c>
      <c r="H17" s="323" t="e">
        <f>_xlfn.SINGLE(IF(_xlfn.SINGLE(Elect)=1,ReadoutType,Units))</f>
        <v>#NAME?</v>
      </c>
      <c r="I17" s="323" t="e">
        <f>_xlfn.SINGLE(IF(_xlfn.SINGLE(Elect)=1,ReadoutType,Units))</f>
        <v>#NAME?</v>
      </c>
      <c r="J17" s="323" t="e">
        <f>_xlfn.SINGLE(IF(_xlfn.SINGLE(Elect)=1,ReadoutType,Units))</f>
        <v>#NAME?</v>
      </c>
      <c r="K17" s="323" t="e">
        <f>_xlfn.SINGLE(IF(_xlfn.SINGLE(Elect)=1,ReadoutType,Units))</f>
        <v>#NAME?</v>
      </c>
      <c r="L17" s="995"/>
      <c r="M17" s="995"/>
      <c r="N17" s="323" t="e">
        <f>_xlfn.SINGLE(IF(_xlfn.SINGLE(Elect)=1,ReadoutType,Units))</f>
        <v>#NAME?</v>
      </c>
      <c r="O17" s="323" t="e">
        <f>_xlfn.SINGLE(IF(_xlfn.SINGLE(Elect)=1,ReadoutType,Units))</f>
        <v>#NAME?</v>
      </c>
      <c r="P17" s="323" t="e">
        <f>_xlfn.SINGLE(IF(_xlfn.SINGLE(Elect)=1,ReadoutType,Units))</f>
        <v>#NAME?</v>
      </c>
      <c r="Q17" s="1015"/>
      <c r="R17" s="1017"/>
      <c r="S17" s="1019"/>
      <c r="T17" s="1021"/>
      <c r="U17" s="274"/>
      <c r="V17" s="310"/>
      <c r="W17" s="321"/>
      <c r="X17" s="322"/>
      <c r="Y17" s="322"/>
      <c r="Z17" s="16"/>
      <c r="AA17" s="16"/>
      <c r="AB17" s="16"/>
      <c r="AC17" s="277" t="s">
        <v>302</v>
      </c>
      <c r="AD17" s="1026" t="s">
        <v>303</v>
      </c>
      <c r="AE17" s="810"/>
      <c r="AF17" s="810"/>
      <c r="AG17" s="810"/>
      <c r="AH17" s="810"/>
      <c r="AI17" s="810"/>
      <c r="AJ17" s="810"/>
      <c r="BA17" s="236" t="s">
        <v>199</v>
      </c>
      <c r="BB17" s="236" t="s">
        <v>200</v>
      </c>
      <c r="BC17" s="236" t="s">
        <v>201</v>
      </c>
      <c r="BD17" s="236" t="s">
        <v>88</v>
      </c>
      <c r="BE17" s="206" t="s">
        <v>202</v>
      </c>
      <c r="BF17" s="206" t="s">
        <v>203</v>
      </c>
      <c r="BZ17" s="16"/>
      <c r="CA17" s="945" t="s">
        <v>304</v>
      </c>
      <c r="CB17" s="946"/>
      <c r="CC17" s="946"/>
      <c r="CD17" s="946"/>
      <c r="CE17" s="946"/>
      <c r="CF17" s="947"/>
      <c r="CG17" s="16"/>
      <c r="CH17" s="16"/>
      <c r="CI17" s="16"/>
      <c r="CJ17" s="16"/>
      <c r="CK17" s="1027" t="s">
        <v>305</v>
      </c>
      <c r="CL17" s="1028"/>
      <c r="CM17" s="1028"/>
      <c r="CN17" s="1028"/>
      <c r="CO17" s="1028"/>
      <c r="CP17" s="1029"/>
      <c r="CQ17" s="16"/>
      <c r="CR17" s="16"/>
      <c r="CS17" s="16"/>
      <c r="CT17" s="16"/>
      <c r="CU17" s="1004" t="s">
        <v>306</v>
      </c>
      <c r="CV17" s="1005"/>
      <c r="CW17" s="1005"/>
      <c r="CX17" s="1005"/>
      <c r="CY17" s="1005"/>
      <c r="CZ17" s="1006"/>
    </row>
    <row r="18" spans="1:124" ht="15" customHeight="1" thickBot="1">
      <c r="A18" s="697"/>
      <c r="B18" s="691"/>
      <c r="C18" s="324" t="str">
        <f>testPart</f>
        <v>Go</v>
      </c>
      <c r="D18" s="325">
        <v>0</v>
      </c>
      <c r="E18" s="324" t="s">
        <v>892</v>
      </c>
      <c r="F18" s="694"/>
      <c r="G18" s="694"/>
      <c r="H18" s="326" t="str">
        <f t="shared" ref="H18:H37" si="3">IF(AND(F18="",G18=""),"",MROUND(AVERAGE(F18:G18),Readability))</f>
        <v/>
      </c>
      <c r="I18" s="694"/>
      <c r="J18" s="694"/>
      <c r="K18" s="326" t="str">
        <f t="shared" ref="K18:K37" si="4">IF(AND(I18="",J18=""),"",MROUND(AVERAGE(I18:J18),Readability))</f>
        <v/>
      </c>
      <c r="L18" s="327" t="str">
        <f>IF(A18="","",IF(T18&gt;N18,ROUND(T18/N18,1)&amp;" / 1","1 / "&amp;ROUND(N18/T18,1)))</f>
        <v/>
      </c>
      <c r="M18" s="327" t="str">
        <f>IF(A18="","",IF(T18&gt;Z18,ROUND(T18/(Z18),1)&amp;" / 1","1 / "&amp;ROUND((Z18)/T18,1)))</f>
        <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7" si="5">IF(H18="","",ROUND(($C18-H18),DecimalPlaces))</f>
        <v/>
      </c>
      <c r="P18" s="329" t="str">
        <f t="shared" ref="P18:P37" si="6">IF(K18="","",ROUND($C18-K18,DecimalPlaces))</f>
        <v/>
      </c>
      <c r="Q18" s="330" t="str">
        <f ca="1">IF(A18="","",IF(_xlfn.SINGLE(Elect)=1,_xlfn.SINGLE(INDIRECT(AC18))*VLOOKUP(_xlfn.SINGLE(Units),'1Test Data'!$Y$3:$AB$22,4,0),_xlfn.SINGLE(INDIRECT(AA18))*VLOOKUP(_xlfn.SINGLE(Units),'1Test Data'!$Y$3:$AB$22,4,0)))</f>
        <v/>
      </c>
      <c r="R18" s="331" t="str">
        <f ca="1">IF(A18="","",IF($A18=0,"N/A",INDIRECT(AB18)))</f>
        <v/>
      </c>
      <c r="S18" s="330" t="str">
        <f>IF($A18="","",IF(Elect=1,(($T18/Capacity)*100)/ElectMult,($T18/Capacity)*100))</f>
        <v/>
      </c>
      <c r="T18" s="332" t="str">
        <f>IF($A18="","",ABS(IF(Tolerance=$AK$5,IF(GaugeType="Test",(Capacity/100)*0.25,IF(GaugeType="B",(Capacity/100)*2,IF(GaugeLimitMSA2="Y",(Capacity/100)*3,IF(OR($C18&lt;10%*ABS(Capacity),$C18&gt;90%*ABS(Capacity)),(Capacity/100)*1.5,(Capacity/100)*1)))),IF(Tolerance=$AK$1,IF(Elect=1,(ABS(Capacity/100)*Range)*ElectMult,(ABS(Capacity/100)*Range)),IF(Tolerance=$AK$2,IF(Elect=1,IF($C18=0,Division*2,(ABS($C18/100)*Reading))*ElectMult,IF($C18=0,Division*2,(ABS($C18/100)*Reading))),IF(Tolerance=$AK$3,IF(Elect=1,(((Capacity/100)*Range)+(ABS($C18/100)*Reading))*ElectMult,(((Capacity/100)*Range)+(ABS($C18/100)*Reading))),IF(Elect=1,((Counts*Readability)+IF($C18&gt;ABS(ReadingCrossover*$C18),(($C18/100)*Reading),0)+ IF($C18&lt;0,IF(VacRR="Reading",ABS(($C18/100)*Vacuum),(($AL$21/100)*Vacuum)),IF($C18&lt;=((Capacity/100)*RangeCrossover),((Capacity/100)*Range),(($C18/100)*Reading))))*ElectMult,((Counts*Readability)+IF($C18&gt;ABS(ReadingCrossover*$C18),(($C18/100)*Reading),0)+ IF($C18&lt;0,IF(VacRR="Reading",ABS(($C18/100)*Vacuum),(($AL$21/100)*Vacuum)),IF($C18&lt;=((Capacity/100)*RangeCrossover),((Capacity/100)*Range),(($C18/100)*Reading)))))))))))</f>
        <v/>
      </c>
      <c r="U18" s="274"/>
      <c r="V18" s="310"/>
      <c r="W18" s="321" t="str">
        <f t="shared" ref="W18:W37" ca="1" si="7">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7" ca="1" si="8">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7" si="9">IF(A18="","",IF(OR(IF(GaugeType="B",FALSE,W18="Fail"),X18="Fail"),"Fail","Pass"))</f>
        <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CL18+($T10+$CT$47)</f>
        <v>0</v>
      </c>
      <c r="CW18" s="340">
        <f>CM18+($T10+$CT$47)</f>
        <v>0</v>
      </c>
      <c r="CX18" s="340">
        <f>CN18+($T10+$CT$47)</f>
        <v>0</v>
      </c>
      <c r="CY18" s="340">
        <f>CO18+($T10+$CT$47)</f>
        <v>0</v>
      </c>
      <c r="CZ18" s="340">
        <f>CP18+($T10+$CT$47)</f>
        <v>0</v>
      </c>
      <c r="DN18" s="104" t="e">
        <f>$C18+$T18</f>
        <v>#VALUE!</v>
      </c>
      <c r="DO18" s="104" t="e">
        <f>C18-$T18</f>
        <v>#VALUE!</v>
      </c>
      <c r="DP18" s="104" t="str">
        <f ca="1">IFERROR(T18-Q18,"")</f>
        <v/>
      </c>
      <c r="DQ18" s="102" t="str">
        <f>IF(A18="","",E18-A18)</f>
        <v/>
      </c>
      <c r="DT18" s="102"/>
    </row>
    <row r="19" spans="1:124" ht="15" customHeight="1" thickBot="1">
      <c r="A19" s="697"/>
      <c r="B19" s="691" t="str">
        <f>IF(A19="","",B18)</f>
        <v/>
      </c>
      <c r="C19" s="324" t="str">
        <f>IF(OR(B19="",A19=""),"",IF(Elect=1,$A19*ElectMult+Lower,IF(correction="Y",IF($A19=0,$A19,$A19+$AZ19),$A19)))</f>
        <v/>
      </c>
      <c r="D19" s="325">
        <v>0</v>
      </c>
      <c r="E19" s="324" t="s">
        <v>257</v>
      </c>
      <c r="F19" s="694"/>
      <c r="G19" s="694"/>
      <c r="H19" s="326" t="str">
        <f t="shared" si="3"/>
        <v/>
      </c>
      <c r="I19" s="694"/>
      <c r="J19" s="694"/>
      <c r="K19" s="326" t="str">
        <f t="shared" si="4"/>
        <v/>
      </c>
      <c r="L19" s="327" t="str">
        <f t="shared" ref="L19:L37" si="10">IF(A19="","",IF(T19&gt;N19,ROUND(T19/N19,1)&amp;" / 1","1 / "&amp;ROUND(N19/T19,1)))</f>
        <v/>
      </c>
      <c r="M19" s="327" t="str">
        <f t="shared" ref="M19:M37" si="11">IF(A19="","",IF(T19&gt;Z19,ROUND(T19/(Z19),1)&amp;" / 1","1 / "&amp;ROUND((Z19)/T19,1)))</f>
        <v/>
      </c>
      <c r="N19" s="326" t="str">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19" s="328" t="str">
        <f t="shared" si="5"/>
        <v/>
      </c>
      <c r="P19" s="329" t="str">
        <f t="shared" si="6"/>
        <v/>
      </c>
      <c r="Q19" s="330" t="str">
        <f ca="1">IF(A19="","",IF(_xlfn.SINGLE(Elect)=1,_xlfn.SINGLE(INDIRECT(AC19))*VLOOKUP(_xlfn.SINGLE(Units),'1Test Data'!$Y$3:$AB$22,4,0),_xlfn.SINGLE(INDIRECT(AA19))*VLOOKUP(_xlfn.SINGLE(Units),'1Test Data'!$Y$3:$AB$22,4,0)))</f>
        <v/>
      </c>
      <c r="R19" s="331" t="str">
        <f t="shared" ref="R19:R37" ca="1" si="12">IF(A19="","",IF(A19=0,"N/A",INDIRECT(AB19)))</f>
        <v/>
      </c>
      <c r="S19" s="330" t="str">
        <f>IF($A19="","",IF(Elect=1,(($T19/Capacity)*100)/ElectMult,($T19/Capacity)*100))</f>
        <v/>
      </c>
      <c r="T19" s="332" t="str">
        <f>IF($A19="","",ABS(IF(Tolerance=$AK$5,IF(GaugeType="Test",(Capacity/100)*0.25,IF(GaugeType="B",(Capacity/100)*2,IF(GaugeLimitMSA2="Y",(Capacity/100)*3,IF(OR($C19&lt;10%*ABS(Capacity),$C19&gt;90%*ABS(Capacity)),(Capacity/100)*1.5,(Capacity/100)*1)))),IF(Tolerance=$AK$1,IF(Elect=1,(ABS(Capacity/100)*Range)*ElectMult,(ABS(Capacity/100)*Range)),IF(Tolerance=$AK$2,IF(Elect=1,IF($C19=0,Division*2,(ABS($C19/100)*Reading))*ElectMult,IF($C19=0,Division*2,(ABS($C19/100)*Reading))),IF(Tolerance=$AK$3,IF(Elect=1,(((Capacity/100)*Range)+(ABS($C19/100)*Reading))*ElectMult,(((Capacity/100)*Range)+(ABS($C19/100)*Reading))),IF(Elect=1,((Counts*Readability)+IF($C19&gt;ABS(ReadingCrossover*$C19),(($C19/100)*Reading),0)+ IF($C19&lt;0,IF(VacRR="Reading",ABS(($C19/100)*Vacuum),(($AL$21/100)*Vacuum)),IF($C19&lt;=((Capacity/100)*RangeCrossover),((Capacity/100)*Range),(($C19/100)*Reading))))*ElectMult,((Counts*Readability)+IF($C19&gt;ABS(ReadingCrossover*$C19),(($C19/100)*Reading),0)+ IF($C19&lt;0,IF(VacRR="Reading",ABS(($C19/100)*Vacuum),(($AL$21/100)*Vacuum)),IF($C19&lt;=((Capacity/100)*RangeCrossover),((Capacity/100)*Range),(($C19/100)*Reading)))))))))))</f>
        <v/>
      </c>
      <c r="U19" s="274"/>
      <c r="V19" s="310"/>
      <c r="W19" s="321" t="str">
        <f t="shared" ca="1" si="7"/>
        <v>---</v>
      </c>
      <c r="X19" s="322" t="str">
        <f t="shared" ca="1" si="8"/>
        <v>---</v>
      </c>
      <c r="Y19" s="322" t="str">
        <f t="shared" si="9"/>
        <v/>
      </c>
      <c r="Z19" s="333" t="e">
        <f ca="1">_xlfn.SINGLE(IF(_xlfn.SINGLE(Elect)=1,INDIRECT("Uncert!I"&amp;(((ROW()-17)*25)-2)),INDIRECT("Uncert!O"&amp;(((ROW()-17)*25)-1))))*VLOOKUP(_xlfn.SINGLE(Units),'1Test Data'!$Y$3:$AB$22,4,0)</f>
        <v>#NAME?</v>
      </c>
      <c r="AA19" s="333" t="str">
        <f t="shared" ref="AA19:AA37" si="13">"Uncert!M"&amp;(((ROW()-17)*25)-1)</f>
        <v>Uncert!M49</v>
      </c>
      <c r="AB19" s="333" t="str">
        <f t="shared" ref="AB19:AB37" si="14">"Uncert!M"&amp;((ROW()-17)*25)</f>
        <v>Uncert!M50</v>
      </c>
      <c r="AC19" s="333" t="str">
        <f t="shared" ref="AC19:AC37" si="15">"Uncert!I"&amp;(((ROW()-17)*25)-1)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ROUND((($CK$39/19)*$CJ19)/'1Test Data'!$C$19,0)*'1Test Data'!$C$19</f>
        <v>#NAME?</v>
      </c>
      <c r="CL19" s="342" t="e">
        <f t="shared" ref="CL19:CM37" ca="1" si="16">($CK19+RANDBETWEEN(0-(((Capacity/100)*Range)/2),0+(((Capacity/100)*Range)/2)))</f>
        <v>#NAME?</v>
      </c>
      <c r="CM19" s="342" t="e">
        <f t="shared" ca="1" si="16"/>
        <v>#NAME?</v>
      </c>
      <c r="CN19" s="342" t="e">
        <f t="shared" ref="CN19:CP37" ca="1" si="17">($CM19+RANDBETWEEN(0-(((Capacity/100)*Range)/20),0+(((Capacity/100)*Range)/20)))</f>
        <v>#NAME?</v>
      </c>
      <c r="CO19" s="342" t="e">
        <f t="shared" ca="1" si="17"/>
        <v>#NAME?</v>
      </c>
      <c r="CP19" s="342" t="e">
        <f t="shared" ca="1" si="17"/>
        <v>#NAME?</v>
      </c>
      <c r="CQ19" s="16"/>
      <c r="CR19" s="16"/>
      <c r="CS19" s="16"/>
      <c r="CT19" s="16"/>
      <c r="CU19" s="340" t="e">
        <f ca="1">CK19</f>
        <v>#NAME?</v>
      </c>
      <c r="CV19" s="340" t="e">
        <f t="shared" ref="CV19:CZ34" ca="1" si="18">(IF(CL19&gt;CU19,CL19+($T18+$CT$15),CL19-($T18+$CT$15)))</f>
        <v>#NAME?</v>
      </c>
      <c r="CW19" s="340" t="e">
        <f t="shared" ca="1" si="18"/>
        <v>#NAME?</v>
      </c>
      <c r="CX19" s="340" t="e">
        <f t="shared" ca="1" si="18"/>
        <v>#NAME?</v>
      </c>
      <c r="CY19" s="340" t="e">
        <f t="shared" ca="1" si="18"/>
        <v>#NAME?</v>
      </c>
      <c r="CZ19" s="340" t="e">
        <f t="shared" ca="1" si="18"/>
        <v>#NAME?</v>
      </c>
      <c r="DN19" s="104" t="e">
        <f t="shared" ref="DN19:DN25" si="19">$C19+$T19</f>
        <v>#VALUE!</v>
      </c>
      <c r="DO19" s="104" t="e">
        <f t="shared" ref="DO19:DO25" si="20">C19-$T19</f>
        <v>#VALUE!</v>
      </c>
      <c r="DP19" s="104" t="str">
        <f t="shared" ref="DP19:DP37" ca="1" si="21">IFERROR(T19-Q19,"")</f>
        <v/>
      </c>
      <c r="DQ19" s="102" t="str">
        <f t="shared" ref="DQ19:DQ37" si="22">IF(A19="","",E19-A19)</f>
        <v/>
      </c>
      <c r="DT19" s="102"/>
    </row>
    <row r="20" spans="1:124" ht="15" customHeight="1" thickBot="1">
      <c r="A20" s="697"/>
      <c r="B20" s="691" t="str">
        <f t="shared" ref="B20:B37" si="23">IF(A20="","",B19)</f>
        <v/>
      </c>
      <c r="C20" s="324" t="str">
        <f>IF(OR(B20="",A20=""),"",IF(Elect=1,$A20*ElectMult+Lower,IF(correction="Y",IF($A20=0,$A20,$A20+$AZ20),$A20)))</f>
        <v/>
      </c>
      <c r="D20" s="325">
        <v>0</v>
      </c>
      <c r="E20" s="324" t="s">
        <v>893</v>
      </c>
      <c r="F20" s="694"/>
      <c r="G20" s="694"/>
      <c r="H20" s="326" t="str">
        <f t="shared" si="3"/>
        <v/>
      </c>
      <c r="I20" s="694"/>
      <c r="J20" s="694"/>
      <c r="K20" s="326" t="str">
        <f t="shared" si="4"/>
        <v/>
      </c>
      <c r="L20" s="327" t="str">
        <f t="shared" si="10"/>
        <v/>
      </c>
      <c r="M20" s="327" t="str">
        <f t="shared" si="11"/>
        <v/>
      </c>
      <c r="N20" s="326" t="str">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0" s="328" t="str">
        <f t="shared" si="5"/>
        <v/>
      </c>
      <c r="P20" s="329" t="str">
        <f t="shared" si="6"/>
        <v/>
      </c>
      <c r="Q20" s="330" t="str">
        <f ca="1">IF(A20="","",IF(_xlfn.SINGLE(Elect)=1,_xlfn.SINGLE(INDIRECT(AC20))*VLOOKUP(_xlfn.SINGLE(Units),'1Test Data'!$Y$3:$AB$22,4,0),_xlfn.SINGLE(INDIRECT(AA20))*VLOOKUP(_xlfn.SINGLE(Units),'1Test Data'!$Y$3:$AB$22,4,0)))</f>
        <v/>
      </c>
      <c r="R20" s="331" t="str">
        <f t="shared" ca="1" si="12"/>
        <v/>
      </c>
      <c r="S20" s="330" t="str">
        <f>IF($A20="","",IF(Elect=1,(($T20/Capacity)*100)/ElectMult,($T20/Capacity)*100))</f>
        <v/>
      </c>
      <c r="T20" s="332" t="str">
        <f>IF($A20="","",ABS(IF(Tolerance=$AK$5,IF(GaugeType="Test",(Capacity/100)*0.25,IF(GaugeType="B",(Capacity/100)*2,IF(GaugeLimitMSA2="Y",(Capacity/100)*3,IF(OR($C20&lt;10%*ABS(Capacity),$C20&gt;90%*ABS(Capacity)),(Capacity/100)*1.5,(Capacity/100)*1)))),IF(Tolerance=$AK$1,IF(Elect=1,(ABS(Capacity/100)*Range)*ElectMult,(ABS(Capacity/100)*Range)),IF(Tolerance=$AK$2,IF(Elect=1,IF($C20=0,Division*2,(ABS($C20/100)*Reading))*ElectMult,IF($C20=0,Division*2,(ABS($C20/100)*Reading))),IF(Tolerance=$AK$3,IF(Elect=1,(((Capacity/100)*Range)+(ABS($C20/100)*Reading))*ElectMult,(((Capacity/100)*Range)+(ABS($C20/100)*Reading))),IF(Elect=1,((Counts*Readability)+IF($C20&gt;ABS(ReadingCrossover*$C20),(($C20/100)*Reading),0)+ IF($C20&lt;0,IF(VacRR="Reading",ABS(($C20/100)*Vacuum),(($AL$21/100)*Vacuum)),IF($C20&lt;=((Capacity/100)*RangeCrossover),((Capacity/100)*Range),(($C20/100)*Reading))))*ElectMult,((Counts*Readability)+IF($C20&gt;ABS(ReadingCrossover*$C20),(($C20/100)*Reading),0)+ IF($C20&lt;0,IF(VacRR="Reading",ABS(($C20/100)*Vacuum),(($AL$21/100)*Vacuum)),IF($C20&lt;=((Capacity/100)*RangeCrossover),((Capacity/100)*Range),(($C20/100)*Reading)))))))))))</f>
        <v/>
      </c>
      <c r="U20" s="274"/>
      <c r="V20" s="310"/>
      <c r="W20" s="321" t="str">
        <f t="shared" ca="1" si="7"/>
        <v>---</v>
      </c>
      <c r="X20" s="322" t="str">
        <f t="shared" ca="1" si="8"/>
        <v>---</v>
      </c>
      <c r="Y20" s="322" t="str">
        <f t="shared" si="9"/>
        <v/>
      </c>
      <c r="Z20" s="333" t="e">
        <f ca="1">_xlfn.SINGLE(IF(_xlfn.SINGLE(Elect)=1,INDIRECT("Uncert!I"&amp;(((ROW()-17)*25)-2)),INDIRECT("Uncert!O"&amp;(((ROW()-17)*25)-1))))*VLOOKUP(_xlfn.SINGLE(Units),'1Test Data'!$Y$3:$AB$22,4,0)</f>
        <v>#NAME?</v>
      </c>
      <c r="AA20" s="333" t="str">
        <f t="shared" si="13"/>
        <v>Uncert!M74</v>
      </c>
      <c r="AB20" s="333" t="str">
        <f t="shared" si="14"/>
        <v>Uncert!M75</v>
      </c>
      <c r="AC20" s="333" t="str">
        <f t="shared" si="15"/>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ROUND((($CK$39/19)*$CJ20)/'1Test Data'!$C$19,0)*'1Test Data'!$C$19</f>
        <v>#NAME?</v>
      </c>
      <c r="CL20" s="342" t="e">
        <f t="shared" ca="1" si="16"/>
        <v>#NAME?</v>
      </c>
      <c r="CM20" s="342" t="e">
        <f t="shared" ca="1" si="16"/>
        <v>#NAME?</v>
      </c>
      <c r="CN20" s="342" t="e">
        <f t="shared" ca="1" si="17"/>
        <v>#NAME?</v>
      </c>
      <c r="CO20" s="342" t="e">
        <f t="shared" ca="1" si="17"/>
        <v>#NAME?</v>
      </c>
      <c r="CP20" s="342" t="e">
        <f t="shared" ca="1" si="17"/>
        <v>#NAME?</v>
      </c>
      <c r="CQ20" s="16"/>
      <c r="CR20" s="16"/>
      <c r="CS20" s="16"/>
      <c r="CT20" s="16"/>
      <c r="CU20" s="340" t="e">
        <f t="shared" ref="CU20:CU37" ca="1" si="24">CK20</f>
        <v>#NAME?</v>
      </c>
      <c r="CV20" s="340" t="e">
        <f t="shared" ca="1" si="18"/>
        <v>#NAME?</v>
      </c>
      <c r="CW20" s="340" t="e">
        <f t="shared" ca="1" si="18"/>
        <v>#NAME?</v>
      </c>
      <c r="CX20" s="340" t="e">
        <f t="shared" ca="1" si="18"/>
        <v>#NAME?</v>
      </c>
      <c r="CY20" s="340" t="e">
        <f t="shared" ca="1" si="18"/>
        <v>#NAME?</v>
      </c>
      <c r="CZ20" s="340" t="e">
        <f t="shared" ca="1" si="18"/>
        <v>#NAME?</v>
      </c>
      <c r="DN20" s="104" t="e">
        <f t="shared" si="19"/>
        <v>#VALUE!</v>
      </c>
      <c r="DO20" s="104" t="e">
        <f t="shared" si="20"/>
        <v>#VALUE!</v>
      </c>
      <c r="DP20" s="104" t="str">
        <f t="shared" ca="1" si="21"/>
        <v/>
      </c>
      <c r="DQ20" s="102" t="str">
        <f t="shared" si="22"/>
        <v/>
      </c>
      <c r="DT20" s="102"/>
    </row>
    <row r="21" spans="1:124" ht="15" customHeight="1" thickBot="1">
      <c r="A21" s="697"/>
      <c r="B21" s="691" t="str">
        <f t="shared" si="23"/>
        <v/>
      </c>
      <c r="C21" s="324" t="str">
        <f>IF(OR(B21="",A21=""),"",IF(Elect=1,$A21*ElectMult+Lower,IF(correction="Y",IF($A21=0,$A21,$A21+$AZ21),$A21)))</f>
        <v/>
      </c>
      <c r="D21" s="325">
        <v>0</v>
      </c>
      <c r="E21" s="324"/>
      <c r="F21" s="694"/>
      <c r="G21" s="694"/>
      <c r="H21" s="326" t="str">
        <f t="shared" si="3"/>
        <v/>
      </c>
      <c r="I21" s="694"/>
      <c r="J21" s="694"/>
      <c r="K21" s="326" t="str">
        <f t="shared" si="4"/>
        <v/>
      </c>
      <c r="L21" s="327" t="str">
        <f t="shared" si="10"/>
        <v/>
      </c>
      <c r="M21" s="327" t="str">
        <f t="shared" si="11"/>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 t="shared" si="5"/>
        <v/>
      </c>
      <c r="P21" s="329" t="str">
        <f t="shared" si="6"/>
        <v/>
      </c>
      <c r="Q21" s="330" t="str">
        <f ca="1">IF(A21="","",IF(_xlfn.SINGLE(Elect)=1,_xlfn.SINGLE(INDIRECT(AC21))*VLOOKUP(_xlfn.SINGLE(Units),'1Test Data'!$Y$3:$AB$22,4,0),_xlfn.SINGLE(INDIRECT(AA21))*VLOOKUP(_xlfn.SINGLE(Units),'1Test Data'!$Y$3:$AB$22,4,0)))</f>
        <v/>
      </c>
      <c r="R21" s="331" t="str">
        <f t="shared" ca="1" si="12"/>
        <v/>
      </c>
      <c r="S21" s="330" t="str">
        <f>IF($A21="","",IF(Elect=1,(($T21/Capacity)*100)/ElectMult,($T21/Capacity)*100))</f>
        <v/>
      </c>
      <c r="T21" s="332" t="str">
        <f>IF($A21="","",ABS(IF(Tolerance=$AK$5,IF(GaugeType="Test",(Capacity/100)*0.25,IF(GaugeType="B",(Capacity/100)*2,IF(GaugeLimitMSA2="Y",(Capacity/100)*3,IF(OR($C21&lt;10%*ABS(Capacity),$C21&gt;90%*ABS(Capacity)),(Capacity/100)*1.5,(Capacity/100)*1)))),IF(Tolerance=$AK$1,IF(Elect=1,(ABS(Capacity/100)*Range)*ElectMult,(ABS(Capacity/100)*Range)),IF(Tolerance=$AK$2,IF(Elect=1,IF($C21=0,Division*2,(ABS($C21/100)*Reading))*ElectMult,IF($C21=0,Division*2,(ABS($C21/100)*Reading))),IF(Tolerance=$AK$3,IF(Elect=1,(((Capacity/100)*Range)+(ABS($C21/100)*Reading))*ElectMult,(((Capacity/100)*Range)+(ABS($C21/100)*Reading))),IF(Elect=1,((Counts*Readability)+IF($C21&gt;ABS(ReadingCrossover*$C21),(($C21/100)*Reading),0)+ IF($C21&lt;0,IF(VacRR="Reading",ABS(($C21/100)*Vacuum),(($AL$21/100)*Vacuum)),IF($C21&lt;=((Capacity/100)*RangeCrossover),((Capacity/100)*Range),(($C21/100)*Reading))))*ElectMult,((Counts*Readability)+IF($C21&gt;ABS(ReadingCrossover*$C21),(($C21/100)*Reading),0)+ IF($C21&lt;0,IF(VacRR="Reading",ABS(($C21/100)*Vacuum),(($AL$21/100)*Vacuum)),IF($C21&lt;=((Capacity/100)*RangeCrossover),((Capacity/100)*Range),(($C21/100)*Reading)))))))))))</f>
        <v/>
      </c>
      <c r="U21" s="274"/>
      <c r="V21" s="310"/>
      <c r="W21" s="321" t="str">
        <f t="shared" ca="1" si="7"/>
        <v>---</v>
      </c>
      <c r="X21" s="322" t="str">
        <f t="shared" ca="1" si="8"/>
        <v>---</v>
      </c>
      <c r="Y21" s="322" t="str">
        <f t="shared" si="9"/>
        <v/>
      </c>
      <c r="Z21" s="333" t="e">
        <f ca="1">_xlfn.SINGLE(IF(_xlfn.SINGLE(Elect)=1,INDIRECT("Uncert!I"&amp;(((ROW()-17)*25)-2)),INDIRECT("Uncert!O"&amp;(((ROW()-17)*25)-1))))*VLOOKUP(_xlfn.SINGLE(Units),'1Test Data'!$Y$3:$AB$22,4,0)</f>
        <v>#NAME?</v>
      </c>
      <c r="AA21" s="333" t="str">
        <f t="shared" si="13"/>
        <v>Uncert!M99</v>
      </c>
      <c r="AB21" s="333" t="str">
        <f t="shared" si="14"/>
        <v>Uncert!M100</v>
      </c>
      <c r="AC21" s="333" t="str">
        <f t="shared" si="15"/>
        <v>Uncert!I99</v>
      </c>
      <c r="AG21" s="102" t="s">
        <v>111</v>
      </c>
      <c r="AH21" s="102">
        <f>'1Test Data'!AB6*100</f>
        <v>0.1</v>
      </c>
      <c r="AL21" s="102" t="e">
        <f>VLOOKUP(_xlfn.SINGLE(Units),AG18:AH31,2,FALSE)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ROUND((($CK$39/19)*$CJ21)/'1Test Data'!$C$19,0)*'1Test Data'!$C$19</f>
        <v>#NAME?</v>
      </c>
      <c r="CL21" s="342" t="e">
        <f t="shared" ca="1" si="16"/>
        <v>#NAME?</v>
      </c>
      <c r="CM21" s="342" t="e">
        <f t="shared" ca="1" si="16"/>
        <v>#NAME?</v>
      </c>
      <c r="CN21" s="342" t="e">
        <f t="shared" ca="1" si="17"/>
        <v>#NAME?</v>
      </c>
      <c r="CO21" s="342" t="e">
        <f t="shared" ca="1" si="17"/>
        <v>#NAME?</v>
      </c>
      <c r="CP21" s="342" t="e">
        <f t="shared" ca="1" si="17"/>
        <v>#NAME?</v>
      </c>
      <c r="CQ21" s="16"/>
      <c r="CR21" s="16"/>
      <c r="CS21" s="16"/>
      <c r="CT21" s="16"/>
      <c r="CU21" s="340" t="e">
        <f t="shared" ca="1" si="24"/>
        <v>#NAME?</v>
      </c>
      <c r="CV21" s="340" t="e">
        <f t="shared" ca="1" si="18"/>
        <v>#NAME?</v>
      </c>
      <c r="CW21" s="340" t="e">
        <f t="shared" ca="1" si="18"/>
        <v>#NAME?</v>
      </c>
      <c r="CX21" s="340" t="e">
        <f t="shared" ca="1" si="18"/>
        <v>#NAME?</v>
      </c>
      <c r="CY21" s="340" t="e">
        <f t="shared" ca="1" si="18"/>
        <v>#NAME?</v>
      </c>
      <c r="CZ21" s="340" t="e">
        <f t="shared" ca="1" si="18"/>
        <v>#NAME?</v>
      </c>
      <c r="DN21" s="104" t="e">
        <f t="shared" si="19"/>
        <v>#VALUE!</v>
      </c>
      <c r="DO21" s="104" t="e">
        <f t="shared" si="20"/>
        <v>#VALUE!</v>
      </c>
      <c r="DP21" s="104" t="str">
        <f t="shared" ca="1" si="21"/>
        <v/>
      </c>
      <c r="DQ21" s="102" t="str">
        <f t="shared" si="22"/>
        <v/>
      </c>
      <c r="DT21" s="102"/>
    </row>
    <row r="22" spans="1:124" ht="15" customHeight="1" thickBot="1">
      <c r="A22" s="697"/>
      <c r="B22" s="691" t="str">
        <f t="shared" si="23"/>
        <v/>
      </c>
      <c r="C22" s="324" t="str">
        <f>IF(OR(B22="",A22=""),"",IF(Elect=1,$A22*ElectMult+Lower,IF(correction="Y",IF($A22=0,$A22,$A22+$AZ22),$A22)))</f>
        <v/>
      </c>
      <c r="D22" s="325">
        <v>0</v>
      </c>
      <c r="E22" s="324"/>
      <c r="F22" s="694"/>
      <c r="G22" s="694"/>
      <c r="H22" s="326" t="str">
        <f t="shared" si="3"/>
        <v/>
      </c>
      <c r="I22" s="694"/>
      <c r="J22" s="694"/>
      <c r="K22" s="326" t="str">
        <f t="shared" si="4"/>
        <v/>
      </c>
      <c r="L22" s="327" t="str">
        <f t="shared" si="10"/>
        <v/>
      </c>
      <c r="M22" s="327" t="str">
        <f t="shared" si="11"/>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 t="shared" si="5"/>
        <v/>
      </c>
      <c r="P22" s="329" t="str">
        <f t="shared" si="6"/>
        <v/>
      </c>
      <c r="Q22" s="330" t="str">
        <f ca="1">IF(A22="","",IF(_xlfn.SINGLE(Elect)=1,_xlfn.SINGLE(INDIRECT(AC22))*VLOOKUP(_xlfn.SINGLE(Units),'1Test Data'!$Y$3:$AB$22,4,0),_xlfn.SINGLE(INDIRECT(AA22))*VLOOKUP(_xlfn.SINGLE(Units),'1Test Data'!$Y$3:$AB$22,4,0)))</f>
        <v/>
      </c>
      <c r="R22" s="331" t="str">
        <f t="shared" ca="1" si="12"/>
        <v/>
      </c>
      <c r="S22" s="330" t="str">
        <f>IF($A22="","",IF(Elect=1,(($T22/Capacity)*100)/ElectMult,($T22/Capacity)*100))</f>
        <v/>
      </c>
      <c r="T22" s="332" t="str">
        <f>IF($A22="","",ABS(IF(Tolerance=$AK$5,IF(GaugeType="Test",(Capacity/100)*0.25,IF(GaugeType="B",(Capacity/100)*2,IF(GaugeLimitMSA2="Y",(Capacity/100)*3,IF(OR($C22&lt;10%*ABS(Capacity),$C22&gt;90%*ABS(Capacity)),(Capacity/100)*1.5,(Capacity/100)*1)))),IF(Tolerance=$AK$1,IF(Elect=1,(ABS(Capacity/100)*Range)*ElectMult,(ABS(Capacity/100)*Range)),IF(Tolerance=$AK$2,IF(Elect=1,IF($C22=0,Division*2,(ABS($C22/100)*Reading))*ElectMult,IF($C22=0,Division*2,(ABS($C22/100)*Reading))),IF(Tolerance=$AK$3,IF(Elect=1,(((Capacity/100)*Range)+(ABS($C22/100)*Reading))*ElectMult,(((Capacity/100)*Range)+(ABS($C22/100)*Reading))),IF(Elect=1,((Counts*Readability)+IF($C22&gt;ABS(ReadingCrossover*$C22),(($C22/100)*Reading),0)+ IF($C22&lt;0,IF(VacRR="Reading",ABS(($C22/100)*Vacuum),(($AL$21/100)*Vacuum)),IF($C22&lt;=((Capacity/100)*RangeCrossover),((Capacity/100)*Range),(($C22/100)*Reading))))*ElectMult,((Counts*Readability)+IF($C22&gt;ABS(ReadingCrossover*$C22),(($C22/100)*Reading),0)+ IF($C22&lt;0,IF(VacRR="Reading",ABS(($C22/100)*Vacuum),(($AL$21/100)*Vacuum)),IF($C22&lt;=((Capacity/100)*RangeCrossover),((Capacity/100)*Range),(($C22/100)*Reading)))))))))))</f>
        <v/>
      </c>
      <c r="U22" s="274"/>
      <c r="V22" s="310"/>
      <c r="W22" s="321" t="str">
        <f t="shared" ca="1" si="7"/>
        <v>---</v>
      </c>
      <c r="X22" s="322" t="str">
        <f t="shared" ca="1" si="8"/>
        <v>---</v>
      </c>
      <c r="Y22" s="322" t="str">
        <f t="shared" si="9"/>
        <v/>
      </c>
      <c r="Z22" s="333" t="e">
        <f ca="1">_xlfn.SINGLE(IF(_xlfn.SINGLE(Elect)=1,INDIRECT("Uncert!I"&amp;(((ROW()-17)*25)-2)),INDIRECT("Uncert!O"&amp;(((ROW()-17)*25)-1))))*VLOOKUP(_xlfn.SINGLE(Units),'1Test Data'!$Y$3:$AB$22,4,0)</f>
        <v>#NAME?</v>
      </c>
      <c r="AA22" s="333" t="str">
        <f t="shared" si="13"/>
        <v>Uncert!M124</v>
      </c>
      <c r="AB22" s="333" t="str">
        <f t="shared" si="14"/>
        <v>Uncert!M125</v>
      </c>
      <c r="AC22" s="333" t="str">
        <f t="shared" si="15"/>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ROUND((($CK$39/19)*$CJ22)/'1Test Data'!$C$19,0)*'1Test Data'!$C$19</f>
        <v>#NAME?</v>
      </c>
      <c r="CL22" s="342" t="e">
        <f t="shared" ca="1" si="16"/>
        <v>#NAME?</v>
      </c>
      <c r="CM22" s="342" t="e">
        <f t="shared" ca="1" si="16"/>
        <v>#NAME?</v>
      </c>
      <c r="CN22" s="342" t="e">
        <f t="shared" ca="1" si="17"/>
        <v>#NAME?</v>
      </c>
      <c r="CO22" s="342" t="e">
        <f t="shared" ca="1" si="17"/>
        <v>#NAME?</v>
      </c>
      <c r="CP22" s="342" t="e">
        <f t="shared" ca="1" si="17"/>
        <v>#NAME?</v>
      </c>
      <c r="CQ22" s="16"/>
      <c r="CR22" s="16"/>
      <c r="CS22" s="16"/>
      <c r="CT22" s="16"/>
      <c r="CU22" s="340" t="e">
        <f t="shared" ca="1" si="24"/>
        <v>#NAME?</v>
      </c>
      <c r="CV22" s="340" t="e">
        <f t="shared" ca="1" si="18"/>
        <v>#NAME?</v>
      </c>
      <c r="CW22" s="340" t="e">
        <f t="shared" ca="1" si="18"/>
        <v>#NAME?</v>
      </c>
      <c r="CX22" s="340" t="e">
        <f t="shared" ca="1" si="18"/>
        <v>#NAME?</v>
      </c>
      <c r="CY22" s="340" t="e">
        <f t="shared" ca="1" si="18"/>
        <v>#NAME?</v>
      </c>
      <c r="CZ22" s="340" t="e">
        <f t="shared" ca="1" si="18"/>
        <v>#NAME?</v>
      </c>
      <c r="DN22" s="104" t="e">
        <f t="shared" si="19"/>
        <v>#VALUE!</v>
      </c>
      <c r="DO22" s="104" t="e">
        <f t="shared" si="20"/>
        <v>#VALUE!</v>
      </c>
      <c r="DP22" s="104" t="str">
        <f t="shared" ca="1" si="21"/>
        <v/>
      </c>
      <c r="DQ22" s="102" t="str">
        <f t="shared" si="22"/>
        <v/>
      </c>
      <c r="DT22" s="102"/>
    </row>
    <row r="23" spans="1:124" ht="15" customHeight="1" thickBot="1">
      <c r="A23" s="697"/>
      <c r="B23" s="691" t="str">
        <f t="shared" si="23"/>
        <v/>
      </c>
      <c r="C23" s="324" t="str">
        <f>IF(OR(B23="",A23=""),"",IF(Elect=1,$A23*ElectMult+Lower,IF(correction="Y",IF($A23=0,$A23,$A23+$AZ23),$A23)))</f>
        <v/>
      </c>
      <c r="D23" s="325">
        <v>0</v>
      </c>
      <c r="E23" s="324"/>
      <c r="F23" s="694"/>
      <c r="G23" s="694"/>
      <c r="H23" s="326" t="str">
        <f t="shared" si="3"/>
        <v/>
      </c>
      <c r="I23" s="694"/>
      <c r="J23" s="694"/>
      <c r="K23" s="326" t="str">
        <f t="shared" si="4"/>
        <v/>
      </c>
      <c r="L23" s="327" t="str">
        <f t="shared" si="10"/>
        <v/>
      </c>
      <c r="M23" s="327" t="str">
        <f t="shared" si="11"/>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 t="shared" si="5"/>
        <v/>
      </c>
      <c r="P23" s="329" t="str">
        <f t="shared" si="6"/>
        <v/>
      </c>
      <c r="Q23" s="330" t="str">
        <f ca="1">IF(A23="","",IF(_xlfn.SINGLE(Elect)=1,_xlfn.SINGLE(INDIRECT(AC23))*VLOOKUP(_xlfn.SINGLE(Units),'1Test Data'!$Y$3:$AB$22,4,0),_xlfn.SINGLE(INDIRECT(AA23))*VLOOKUP(_xlfn.SINGLE(Units),'1Test Data'!$Y$3:$AB$22,4,0)))</f>
        <v/>
      </c>
      <c r="R23" s="331" t="str">
        <f t="shared" ca="1" si="12"/>
        <v/>
      </c>
      <c r="S23" s="330" t="str">
        <f>IF($A23="","",IF(Elect=1,(($T23/Capacity)*100)/ElectMult,($T23/Capacity)*100))</f>
        <v/>
      </c>
      <c r="T23" s="332" t="str">
        <f>IF($A23="","",ABS(IF(Tolerance=$AK$5,IF(GaugeType="Test",(Capacity/100)*0.25,IF(GaugeType="B",(Capacity/100)*2,IF(GaugeLimitMSA2="Y",(Capacity/100)*3,IF(OR($C23&lt;10%*ABS(Capacity),$C23&gt;90%*ABS(Capacity)),(Capacity/100)*1.5,(Capacity/100)*1)))),IF(Tolerance=$AK$1,IF(Elect=1,(ABS(Capacity/100)*Range)*ElectMult,(ABS(Capacity/100)*Range)),IF(Tolerance=$AK$2,IF(Elect=1,IF($C23=0,Division*2,(ABS($C23/100)*Reading))*ElectMult,IF($C23=0,Division*2,(ABS($C23/100)*Reading))),IF(Tolerance=$AK$3,IF(Elect=1,(((Capacity/100)*Range)+(ABS($C23/100)*Reading))*ElectMult,(((Capacity/100)*Range)+(ABS($C23/100)*Reading))),IF(Elect=1,((Counts*Readability)+IF($C23&gt;ABS(ReadingCrossover*$C23),(($C23/100)*Reading),0)+ IF($C23&lt;0,IF(VacRR="Reading",ABS(($C23/100)*Vacuum),(($AL$21/100)*Vacuum)),IF($C23&lt;=((Capacity/100)*RangeCrossover),((Capacity/100)*Range),(($C23/100)*Reading))))*ElectMult,((Counts*Readability)+IF($C23&gt;ABS(ReadingCrossover*$C23),(($C23/100)*Reading),0)+ IF($C23&lt;0,IF(VacRR="Reading",ABS(($C23/100)*Vacuum),(($AL$21/100)*Vacuum)),IF($C23&lt;=((Capacity/100)*RangeCrossover),((Capacity/100)*Range),(($C23/100)*Reading)))))))))))</f>
        <v/>
      </c>
      <c r="U23" s="274"/>
      <c r="V23" s="310"/>
      <c r="W23" s="321" t="str">
        <f t="shared" ca="1" si="7"/>
        <v>---</v>
      </c>
      <c r="X23" s="322" t="str">
        <f t="shared" ca="1" si="8"/>
        <v>---</v>
      </c>
      <c r="Y23" s="322" t="str">
        <f t="shared" si="9"/>
        <v/>
      </c>
      <c r="Z23" s="333" t="e">
        <f ca="1">_xlfn.SINGLE(IF(_xlfn.SINGLE(Elect)=1,INDIRECT("Uncert!I"&amp;(((ROW()-17)*25)-2)),INDIRECT("Uncert!O"&amp;(((ROW()-17)*25)-1))))*VLOOKUP(_xlfn.SINGLE(Units),'1Test Data'!$Y$3:$AB$22,4,0)</f>
        <v>#NAME?</v>
      </c>
      <c r="AA23" s="333" t="str">
        <f t="shared" si="13"/>
        <v>Uncert!M149</v>
      </c>
      <c r="AB23" s="333" t="str">
        <f t="shared" si="14"/>
        <v>Uncert!M150</v>
      </c>
      <c r="AC23" s="333" t="str">
        <f t="shared" si="15"/>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ROUND((($CK$39/19)*$CJ23)/'1Test Data'!$C$19,0)*'1Test Data'!$C$19</f>
        <v>#NAME?</v>
      </c>
      <c r="CL23" s="342" t="e">
        <f t="shared" ca="1" si="16"/>
        <v>#NAME?</v>
      </c>
      <c r="CM23" s="342" t="e">
        <f t="shared" ca="1" si="16"/>
        <v>#NAME?</v>
      </c>
      <c r="CN23" s="342" t="e">
        <f t="shared" ca="1" si="17"/>
        <v>#NAME?</v>
      </c>
      <c r="CO23" s="342" t="e">
        <f t="shared" ca="1" si="17"/>
        <v>#NAME?</v>
      </c>
      <c r="CP23" s="342" t="e">
        <f t="shared" ca="1" si="17"/>
        <v>#NAME?</v>
      </c>
      <c r="CQ23" s="16"/>
      <c r="CR23" s="16"/>
      <c r="CS23" s="16"/>
      <c r="CT23" s="16"/>
      <c r="CU23" s="340" t="e">
        <f t="shared" ca="1" si="24"/>
        <v>#NAME?</v>
      </c>
      <c r="CV23" s="340" t="e">
        <f t="shared" ca="1" si="18"/>
        <v>#NAME?</v>
      </c>
      <c r="CW23" s="340" t="e">
        <f t="shared" ca="1" si="18"/>
        <v>#NAME?</v>
      </c>
      <c r="CX23" s="340" t="e">
        <f t="shared" ca="1" si="18"/>
        <v>#NAME?</v>
      </c>
      <c r="CY23" s="340" t="e">
        <f t="shared" ca="1" si="18"/>
        <v>#NAME?</v>
      </c>
      <c r="CZ23" s="340" t="e">
        <f t="shared" ca="1" si="18"/>
        <v>#NAME?</v>
      </c>
      <c r="DN23" s="104" t="e">
        <f t="shared" si="19"/>
        <v>#VALUE!</v>
      </c>
      <c r="DO23" s="104" t="e">
        <f t="shared" si="20"/>
        <v>#VALUE!</v>
      </c>
      <c r="DP23" s="104" t="str">
        <f t="shared" ca="1" si="21"/>
        <v/>
      </c>
      <c r="DQ23" s="102" t="str">
        <f t="shared" si="22"/>
        <v/>
      </c>
      <c r="DT23" s="102"/>
    </row>
    <row r="24" spans="1:124" ht="15" customHeight="1" thickBot="1">
      <c r="A24" s="697"/>
      <c r="B24" s="691" t="str">
        <f t="shared" si="23"/>
        <v/>
      </c>
      <c r="C24" s="324" t="str">
        <f>IF(OR(B24="",A24=""),"",IF(Elect=1,$A24*ElectMult+Lower,IF(correction="Y",IF($A24=0,$A24,$A24+$AZ24),$A24)))</f>
        <v/>
      </c>
      <c r="D24" s="325">
        <v>0</v>
      </c>
      <c r="E24" s="324"/>
      <c r="F24" s="694"/>
      <c r="G24" s="694"/>
      <c r="H24" s="326" t="str">
        <f t="shared" si="3"/>
        <v/>
      </c>
      <c r="I24" s="694"/>
      <c r="J24" s="694"/>
      <c r="K24" s="326" t="str">
        <f t="shared" si="4"/>
        <v/>
      </c>
      <c r="L24" s="327" t="str">
        <f t="shared" si="10"/>
        <v/>
      </c>
      <c r="M24" s="327" t="str">
        <f t="shared" si="11"/>
        <v/>
      </c>
      <c r="N24" s="326" t="str">
        <f ca="1">IF(C24="","",IF(IF(_xlfn.SINGLE(Elect)=1,(_xlfn.SINGLE(INDIRECT("Uncert!E"&amp;(((ROW()-17)*25)-20)))/_xlfn.SINGLE(INDIRECT("Uncert!K"&amp;(((ROW()-17)*25)-13))))*VLOOKUP(_xlfn.SINGLE(Units),'1Test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4" s="328" t="str">
        <f t="shared" si="5"/>
        <v/>
      </c>
      <c r="P24" s="329" t="str">
        <f t="shared" si="6"/>
        <v/>
      </c>
      <c r="Q24" s="330" t="str">
        <f ca="1">IF(A24="","",IF(_xlfn.SINGLE(Elect)=1,_xlfn.SINGLE(INDIRECT(AC24))*VLOOKUP(_xlfn.SINGLE(Units),'1Test Data'!$Y$3:$AB$22,4,0),_xlfn.SINGLE(INDIRECT(AA24))*VLOOKUP(_xlfn.SINGLE(Units),'1Test Data'!$Y$3:$AB$22,4,0)))</f>
        <v/>
      </c>
      <c r="R24" s="331" t="str">
        <f t="shared" ca="1" si="12"/>
        <v/>
      </c>
      <c r="S24" s="330" t="str">
        <f>IF($A24="","",IF(Elect=1,(($T24/Capacity)*100)/ElectMult,($T24/Capacity)*100))</f>
        <v/>
      </c>
      <c r="T24" s="332" t="str">
        <f>IF($A24="","",ABS(IF(Tolerance=$AK$5,IF(GaugeType="Test",(Capacity/100)*0.25,IF(GaugeType="B",(Capacity/100)*2,IF(GaugeLimitMSA2="Y",(Capacity/100)*3,IF(OR($C24&lt;10%*ABS(Capacity),$C24&gt;90%*ABS(Capacity)),(Capacity/100)*1.5,(Capacity/100)*1)))),IF(Tolerance=$AK$1,IF(Elect=1,(ABS(Capacity/100)*Range)*ElectMult,(ABS(Capacity/100)*Range)),IF(Tolerance=$AK$2,IF(Elect=1,IF($C24=0,Division*2,(ABS($C24/100)*Reading))*ElectMult,IF($C24=0,Division*2,(ABS($C24/100)*Reading))),IF(Tolerance=$AK$3,IF(Elect=1,(((Capacity/100)*Range)+(ABS($C24/100)*Reading))*ElectMult,(((Capacity/100)*Range)+(ABS($C24/100)*Reading))),IF(Elect=1,((Counts*Readability)+IF($C24&gt;ABS(ReadingCrossover*$C24),(($C24/100)*Reading),0)+ IF($C24&lt;0,IF(VacRR="Reading",ABS(($C24/100)*Vacuum),(($AL$21/100)*Vacuum)),IF($C24&lt;=((Capacity/100)*RangeCrossover),((Capacity/100)*Range),(($C24/100)*Reading))))*ElectMult,((Counts*Readability)+IF($C24&gt;ABS(ReadingCrossover*$C24),(($C24/100)*Reading),0)+ IF($C24&lt;0,IF(VacRR="Reading",ABS(($C24/100)*Vacuum),(($AL$21/100)*Vacuum)),IF($C24&lt;=((Capacity/100)*RangeCrossover),((Capacity/100)*Range),(($C24/100)*Reading)))))))))))</f>
        <v/>
      </c>
      <c r="U24" s="274"/>
      <c r="V24" s="310"/>
      <c r="W24" s="321" t="str">
        <f t="shared" ca="1" si="7"/>
        <v>---</v>
      </c>
      <c r="X24" s="322" t="str">
        <f t="shared" ca="1" si="8"/>
        <v>---</v>
      </c>
      <c r="Y24" s="322" t="str">
        <f t="shared" si="9"/>
        <v/>
      </c>
      <c r="Z24" s="333" t="e">
        <f ca="1">_xlfn.SINGLE(IF(_xlfn.SINGLE(Elect)=1,INDIRECT("Uncert!I"&amp;(((ROW()-17)*25)-2)),INDIRECT("Uncert!O"&amp;(((ROW()-17)*25)-1))))*VLOOKUP(_xlfn.SINGLE(Units),'1Test Data'!$Y$3:$AB$22,4,0)</f>
        <v>#NAME?</v>
      </c>
      <c r="AA24" s="333" t="str">
        <f t="shared" si="13"/>
        <v>Uncert!M174</v>
      </c>
      <c r="AB24" s="333" t="str">
        <f t="shared" si="14"/>
        <v>Uncert!M175</v>
      </c>
      <c r="AC24" s="333" t="str">
        <f t="shared" si="15"/>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ROUND((($CK$39/19)*$CJ24)/'1Test Data'!$C$19,0)*'1Test Data'!$C$19</f>
        <v>#NAME?</v>
      </c>
      <c r="CL24" s="342" t="e">
        <f t="shared" ca="1" si="16"/>
        <v>#NAME?</v>
      </c>
      <c r="CM24" s="342" t="e">
        <f t="shared" ca="1" si="16"/>
        <v>#NAME?</v>
      </c>
      <c r="CN24" s="342" t="e">
        <f t="shared" ca="1" si="17"/>
        <v>#NAME?</v>
      </c>
      <c r="CO24" s="342" t="e">
        <f t="shared" ca="1" si="17"/>
        <v>#NAME?</v>
      </c>
      <c r="CP24" s="342" t="e">
        <f t="shared" ca="1" si="17"/>
        <v>#NAME?</v>
      </c>
      <c r="CQ24" s="16"/>
      <c r="CR24" s="16"/>
      <c r="CS24" s="16"/>
      <c r="CT24" s="16"/>
      <c r="CU24" s="340" t="e">
        <f t="shared" ca="1" si="24"/>
        <v>#NAME?</v>
      </c>
      <c r="CV24" s="340" t="e">
        <f t="shared" ca="1" si="18"/>
        <v>#NAME?</v>
      </c>
      <c r="CW24" s="340" t="e">
        <f t="shared" ca="1" si="18"/>
        <v>#NAME?</v>
      </c>
      <c r="CX24" s="340" t="e">
        <f t="shared" ca="1" si="18"/>
        <v>#NAME?</v>
      </c>
      <c r="CY24" s="340" t="e">
        <f t="shared" ca="1" si="18"/>
        <v>#NAME?</v>
      </c>
      <c r="CZ24" s="340" t="e">
        <f t="shared" ca="1" si="18"/>
        <v>#NAME?</v>
      </c>
      <c r="DN24" s="104" t="e">
        <f t="shared" si="19"/>
        <v>#VALUE!</v>
      </c>
      <c r="DO24" s="104" t="e">
        <f t="shared" si="20"/>
        <v>#VALUE!</v>
      </c>
      <c r="DP24" s="104" t="str">
        <f t="shared" ca="1" si="21"/>
        <v/>
      </c>
      <c r="DQ24" s="102" t="str">
        <f t="shared" si="22"/>
        <v/>
      </c>
      <c r="DT24" s="102"/>
    </row>
    <row r="25" spans="1:124" ht="15" customHeight="1" thickBot="1">
      <c r="A25" s="697"/>
      <c r="B25" s="691" t="str">
        <f t="shared" si="23"/>
        <v/>
      </c>
      <c r="C25" s="324" t="str">
        <f>IF(OR(B25="",A25=""),"",IF(Elect=1,$A25*ElectMult+Lower,IF(correction="Y",IF($A25=0,$A25,$A25+$AZ25),$A25)))</f>
        <v/>
      </c>
      <c r="D25" s="325">
        <v>0</v>
      </c>
      <c r="E25" s="324"/>
      <c r="F25" s="694"/>
      <c r="G25" s="694"/>
      <c r="H25" s="326" t="str">
        <f t="shared" si="3"/>
        <v/>
      </c>
      <c r="I25" s="694"/>
      <c r="J25" s="694"/>
      <c r="K25" s="326" t="str">
        <f t="shared" si="4"/>
        <v/>
      </c>
      <c r="L25" s="327" t="str">
        <f t="shared" si="10"/>
        <v/>
      </c>
      <c r="M25" s="327" t="str">
        <f t="shared" si="11"/>
        <v/>
      </c>
      <c r="N25" s="326" t="str">
        <f ca="1">IF(C25="","",IF(IF(_xlfn.SINGLE(Elect)=1,(_xlfn.SINGLE(INDIRECT("Uncert!E"&amp;(((ROW()-17)*25)-20)))/_xlfn.SINGLE(INDIRECT("Uncert!K"&amp;(((ROW()-17)*25)-13))))*VLOOKUP(_xlfn.SINGLE(Units),'1Test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5" s="328" t="str">
        <f t="shared" si="5"/>
        <v/>
      </c>
      <c r="P25" s="329" t="str">
        <f t="shared" si="6"/>
        <v/>
      </c>
      <c r="Q25" s="330" t="str">
        <f ca="1">IF(A25="","",IF(_xlfn.SINGLE(Elect)=1,_xlfn.SINGLE(INDIRECT(AC25))*VLOOKUP(_xlfn.SINGLE(Units),'1Test Data'!$Y$3:$AB$22,4,0),_xlfn.SINGLE(INDIRECT(AA25))*VLOOKUP(_xlfn.SINGLE(Units),'1Test Data'!$Y$3:$AB$22,4,0)))</f>
        <v/>
      </c>
      <c r="R25" s="331" t="str">
        <f t="shared" ca="1" si="12"/>
        <v/>
      </c>
      <c r="S25" s="330" t="str">
        <f>IF($A25="","",IF(Elect=1,(($T25/Capacity)*100)/ElectMult,($T25/Capacity)*100))</f>
        <v/>
      </c>
      <c r="T25" s="332" t="str">
        <f>IF($A25="","",ABS(IF(Tolerance=$AK$5,IF(GaugeType="Test",(Capacity/100)*0.25,IF(GaugeType="B",(Capacity/100)*2,IF(GaugeLimitMSA2="Y",(Capacity/100)*3,IF(OR($C25&lt;10%*ABS(Capacity),$C25&gt;90%*ABS(Capacity)),(Capacity/100)*1.5,(Capacity/100)*1)))),IF(Tolerance=$AK$1,IF(Elect=1,(ABS(Capacity/100)*Range)*ElectMult,(ABS(Capacity/100)*Range)),IF(Tolerance=$AK$2,IF(Elect=1,IF($C25=0,Division*2,(ABS($C25/100)*Reading))*ElectMult,IF($C25=0,Division*2,(ABS($C25/100)*Reading))),IF(Tolerance=$AK$3,IF(Elect=1,(((Capacity/100)*Range)+(ABS($C25/100)*Reading))*ElectMult,(((Capacity/100)*Range)+(ABS($C25/100)*Reading))),IF(Elect=1,((Counts*Readability)+IF($C25&gt;ABS(ReadingCrossover*$C25),(($C25/100)*Reading),0)+ IF($C25&lt;0,IF(VacRR="Reading",ABS(($C25/100)*Vacuum),(($AL$21/100)*Vacuum)),IF($C25&lt;=((Capacity/100)*RangeCrossover),((Capacity/100)*Range),(($C25/100)*Reading))))*ElectMult,((Counts*Readability)+IF($C25&gt;ABS(ReadingCrossover*$C25),(($C25/100)*Reading),0)+ IF($C25&lt;0,IF(VacRR="Reading",ABS(($C25/100)*Vacuum),(($AL$21/100)*Vacuum)),IF($C25&lt;=((Capacity/100)*RangeCrossover),((Capacity/100)*Range),(($C25/100)*Reading)))))))))))</f>
        <v/>
      </c>
      <c r="U25" s="274"/>
      <c r="V25" s="310"/>
      <c r="W25" s="321" t="str">
        <f t="shared" ca="1" si="7"/>
        <v>---</v>
      </c>
      <c r="X25" s="322" t="str">
        <f t="shared" ca="1" si="8"/>
        <v>---</v>
      </c>
      <c r="Y25" s="322" t="str">
        <f t="shared" si="9"/>
        <v/>
      </c>
      <c r="Z25" s="333" t="e">
        <f ca="1">_xlfn.SINGLE(IF(_xlfn.SINGLE(Elect)=1,INDIRECT("Uncert!I"&amp;(((ROW()-17)*25)-2)),INDIRECT("Uncert!O"&amp;(((ROW()-17)*25)-1))))*VLOOKUP(_xlfn.SINGLE(Units),'1Test Data'!$Y$3:$AB$22,4,0)</f>
        <v>#NAME?</v>
      </c>
      <c r="AA25" s="333" t="str">
        <f t="shared" si="13"/>
        <v>Uncert!M199</v>
      </c>
      <c r="AB25" s="333" t="str">
        <f t="shared" si="14"/>
        <v>Uncert!M200</v>
      </c>
      <c r="AC25" s="333" t="str">
        <f t="shared" si="15"/>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ROUND((($CK$39/19)*$CJ25)/'1Test Data'!$C$19,0)*'1Test Data'!$C$19</f>
        <v>#NAME?</v>
      </c>
      <c r="CL25" s="342" t="e">
        <f t="shared" ca="1" si="16"/>
        <v>#NAME?</v>
      </c>
      <c r="CM25" s="342" t="e">
        <f t="shared" ca="1" si="16"/>
        <v>#NAME?</v>
      </c>
      <c r="CN25" s="342" t="e">
        <f t="shared" ca="1" si="17"/>
        <v>#NAME?</v>
      </c>
      <c r="CO25" s="342" t="e">
        <f t="shared" ca="1" si="17"/>
        <v>#NAME?</v>
      </c>
      <c r="CP25" s="342" t="e">
        <f t="shared" ca="1" si="17"/>
        <v>#NAME?</v>
      </c>
      <c r="CQ25" s="16"/>
      <c r="CR25" s="16"/>
      <c r="CS25" s="16"/>
      <c r="CT25" s="16"/>
      <c r="CU25" s="340" t="e">
        <f t="shared" ca="1" si="24"/>
        <v>#NAME?</v>
      </c>
      <c r="CV25" s="340" t="e">
        <f t="shared" ca="1" si="18"/>
        <v>#NAME?</v>
      </c>
      <c r="CW25" s="340" t="e">
        <f t="shared" ca="1" si="18"/>
        <v>#NAME?</v>
      </c>
      <c r="CX25" s="340" t="e">
        <f t="shared" ca="1" si="18"/>
        <v>#NAME?</v>
      </c>
      <c r="CY25" s="340" t="e">
        <f t="shared" ca="1" si="18"/>
        <v>#NAME?</v>
      </c>
      <c r="CZ25" s="340" t="e">
        <f t="shared" ca="1" si="18"/>
        <v>#NAME?</v>
      </c>
      <c r="DN25" s="104" t="e">
        <f t="shared" si="19"/>
        <v>#VALUE!</v>
      </c>
      <c r="DO25" s="104" t="e">
        <f t="shared" si="20"/>
        <v>#VALUE!</v>
      </c>
      <c r="DP25" s="104" t="str">
        <f t="shared" ca="1" si="21"/>
        <v/>
      </c>
      <c r="DQ25" s="102" t="str">
        <f t="shared" si="22"/>
        <v/>
      </c>
      <c r="DT25" s="102"/>
    </row>
    <row r="26" spans="1:124" ht="15" customHeight="1" thickBot="1">
      <c r="A26" s="697"/>
      <c r="B26" s="691" t="str">
        <f t="shared" si="23"/>
        <v/>
      </c>
      <c r="C26" s="324" t="str">
        <f>IF(OR(B26="",A26=""),"",IF(Elect=1,$A26*ElectMult+Lower,IF(correction="Y",IF($A26=0,$A26,$A26+$AZ26),$A26)))</f>
        <v/>
      </c>
      <c r="D26" s="325">
        <v>0</v>
      </c>
      <c r="E26" s="324"/>
      <c r="F26" s="694"/>
      <c r="G26" s="694"/>
      <c r="H26" s="326" t="str">
        <f t="shared" si="3"/>
        <v/>
      </c>
      <c r="I26" s="694"/>
      <c r="J26" s="694"/>
      <c r="K26" s="326" t="str">
        <f t="shared" si="4"/>
        <v/>
      </c>
      <c r="L26" s="327" t="str">
        <f t="shared" si="10"/>
        <v/>
      </c>
      <c r="M26" s="327" t="str">
        <f t="shared" si="11"/>
        <v/>
      </c>
      <c r="N26" s="326" t="str">
        <f ca="1">IF(C26="","",IF(IF(_xlfn.SINGLE(Elect)=1,(_xlfn.SINGLE(INDIRECT("Uncert!E"&amp;(((ROW()-17)*25)-20)))/_xlfn.SINGLE(INDIRECT("Uncert!K"&amp;(((ROW()-17)*25)-13))))*VLOOKUP(_xlfn.SINGLE(Units),'1Test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6" s="328" t="str">
        <f t="shared" si="5"/>
        <v/>
      </c>
      <c r="P26" s="329" t="str">
        <f t="shared" si="6"/>
        <v/>
      </c>
      <c r="Q26" s="330" t="str">
        <f ca="1">IF(A26="","",IF(_xlfn.SINGLE(Elect)=1,_xlfn.SINGLE(INDIRECT(AC26))*VLOOKUP(_xlfn.SINGLE(Units),'1Test Data'!$Y$3:$AB$22,4,0),_xlfn.SINGLE(INDIRECT(AA26))*VLOOKUP(_xlfn.SINGLE(Units),'1Test Data'!$Y$3:$AB$22,4,0)))</f>
        <v/>
      </c>
      <c r="R26" s="331" t="str">
        <f t="shared" ca="1" si="12"/>
        <v/>
      </c>
      <c r="S26" s="330" t="str">
        <f>IF($A26="","",IF(Elect=1,(($T26/Capacity)*100)/ElectMult,($T26/Capacity)*100))</f>
        <v/>
      </c>
      <c r="T26" s="332" t="str">
        <f>IF($A26="","",ABS(IF(Tolerance=$AK$5,IF(GaugeType="Test",(Capacity/100)*0.25,IF(GaugeType="B",(Capacity/100)*2,IF(GaugeLimitMSA2="Y",(Capacity/100)*3,IF(OR($C26&lt;10%*ABS(Capacity),$C26&gt;90%*ABS(Capacity)),(Capacity/100)*1.5,(Capacity/100)*1)))),IF(Tolerance=$AK$1,IF(Elect=1,(ABS(Capacity/100)*Range)*ElectMult,(ABS(Capacity/100)*Range)),IF(Tolerance=$AK$2,IF(Elect=1,IF($C26=0,Division*2,(ABS($C26/100)*Reading))*ElectMult,IF($C26=0,Division*2,(ABS($C26/100)*Reading))),IF(Tolerance=$AK$3,IF(Elect=1,(((Capacity/100)*Range)+(ABS($C26/100)*Reading))*ElectMult,(((Capacity/100)*Range)+(ABS($C26/100)*Reading))),IF(Elect=1,((Counts*Readability)+IF($C26&gt;ABS(ReadingCrossover*$C26),(($C26/100)*Reading),0)+ IF($C26&lt;0,IF(VacRR="Reading",ABS(($C26/100)*Vacuum),(($AL$21/100)*Vacuum)),IF($C26&lt;=((Capacity/100)*RangeCrossover),((Capacity/100)*Range),(($C26/100)*Reading))))*ElectMult,((Counts*Readability)+IF($C26&gt;ABS(ReadingCrossover*$C26),(($C26/100)*Reading),0)+ IF($C26&lt;0,IF(VacRR="Reading",ABS(($C26/100)*Vacuum),(($AL$21/100)*Vacuum)),IF($C26&lt;=((Capacity/100)*RangeCrossover),((Capacity/100)*Range),(($C26/100)*Reading)))))))))))</f>
        <v/>
      </c>
      <c r="U26" s="274"/>
      <c r="V26" s="310"/>
      <c r="W26" s="321" t="str">
        <f t="shared" ca="1" si="7"/>
        <v>---</v>
      </c>
      <c r="X26" s="322" t="str">
        <f t="shared" ca="1" si="8"/>
        <v>---</v>
      </c>
      <c r="Y26" s="322" t="str">
        <f t="shared" si="9"/>
        <v/>
      </c>
      <c r="Z26" s="333" t="e">
        <f ca="1">_xlfn.SINGLE(IF(_xlfn.SINGLE(Elect)=1,INDIRECT("Uncert!I"&amp;(((ROW()-17)*25)-2)),INDIRECT("Uncert!O"&amp;(((ROW()-17)*25)-1))))*VLOOKUP(_xlfn.SINGLE(Units),'1Test Data'!$Y$3:$AB$22,4,0)</f>
        <v>#NAME?</v>
      </c>
      <c r="AA26" s="333" t="str">
        <f t="shared" si="13"/>
        <v>Uncert!M224</v>
      </c>
      <c r="AB26" s="333" t="str">
        <f t="shared" si="14"/>
        <v>Uncert!M225</v>
      </c>
      <c r="AC26" s="333" t="str">
        <f t="shared" si="15"/>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ROUND((($CK$39/19)*$CJ26)/'1Test Data'!$C$19,0)*'1Test Data'!$C$19</f>
        <v>#NAME?</v>
      </c>
      <c r="CL26" s="342" t="e">
        <f t="shared" ca="1" si="16"/>
        <v>#NAME?</v>
      </c>
      <c r="CM26" s="342" t="e">
        <f t="shared" ca="1" si="16"/>
        <v>#NAME?</v>
      </c>
      <c r="CN26" s="342" t="e">
        <f t="shared" ca="1" si="17"/>
        <v>#NAME?</v>
      </c>
      <c r="CO26" s="342" t="e">
        <f t="shared" ca="1" si="17"/>
        <v>#NAME?</v>
      </c>
      <c r="CP26" s="342" t="e">
        <f t="shared" ca="1" si="17"/>
        <v>#NAME?</v>
      </c>
      <c r="CQ26" s="16"/>
      <c r="CR26" s="16"/>
      <c r="CS26" s="16"/>
      <c r="CT26" s="16"/>
      <c r="CU26" s="340" t="e">
        <f t="shared" ca="1" si="24"/>
        <v>#NAME?</v>
      </c>
      <c r="CV26" s="340" t="e">
        <f t="shared" ca="1" si="18"/>
        <v>#NAME?</v>
      </c>
      <c r="CW26" s="340" t="e">
        <f t="shared" ca="1" si="18"/>
        <v>#NAME?</v>
      </c>
      <c r="CX26" s="340" t="e">
        <f t="shared" ca="1" si="18"/>
        <v>#NAME?</v>
      </c>
      <c r="CY26" s="340" t="e">
        <f t="shared" ca="1" si="18"/>
        <v>#NAME?</v>
      </c>
      <c r="CZ26" s="340" t="e">
        <f t="shared" ca="1" si="18"/>
        <v>#NAME?</v>
      </c>
      <c r="DN26" s="104" t="e">
        <f>$C26+$T26</f>
        <v>#VALUE!</v>
      </c>
      <c r="DO26" s="104" t="e">
        <f>C26-$T26</f>
        <v>#VALUE!</v>
      </c>
      <c r="DP26" s="104" t="str">
        <f t="shared" ca="1" si="21"/>
        <v/>
      </c>
      <c r="DQ26" s="102" t="str">
        <f t="shared" si="22"/>
        <v/>
      </c>
      <c r="DT26" s="102"/>
    </row>
    <row r="27" spans="1:124" ht="15" customHeight="1" thickBot="1">
      <c r="A27" s="697"/>
      <c r="B27" s="691" t="str">
        <f t="shared" si="23"/>
        <v/>
      </c>
      <c r="C27" s="324" t="str">
        <f>IF(OR(B27="",A27=""),"",IF(Elect=1,$A27*ElectMult+Lower,IF(correction="Y",IF($A27=0,$A27,$A27+$AZ27),$A27)))</f>
        <v/>
      </c>
      <c r="D27" s="325">
        <v>0</v>
      </c>
      <c r="E27" s="324"/>
      <c r="F27" s="694"/>
      <c r="G27" s="694"/>
      <c r="H27" s="326" t="str">
        <f t="shared" si="3"/>
        <v/>
      </c>
      <c r="I27" s="694"/>
      <c r="J27" s="694"/>
      <c r="K27" s="326" t="str">
        <f t="shared" si="4"/>
        <v/>
      </c>
      <c r="L27" s="327" t="str">
        <f t="shared" si="10"/>
        <v/>
      </c>
      <c r="M27" s="327" t="str">
        <f t="shared" si="11"/>
        <v/>
      </c>
      <c r="N27" s="326" t="str">
        <f ca="1">IF(C27="","",IF(IF(_xlfn.SINGLE(Elect)=1,(_xlfn.SINGLE(INDIRECT("Uncert!E"&amp;(((ROW()-17)*25)-20)))/_xlfn.SINGLE(INDIRECT("Uncert!K"&amp;(((ROW()-17)*25)-13))))*VLOOKUP(_xlfn.SINGLE(Units),'1Test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7" s="328" t="str">
        <f t="shared" si="5"/>
        <v/>
      </c>
      <c r="P27" s="329" t="str">
        <f t="shared" si="6"/>
        <v/>
      </c>
      <c r="Q27" s="330" t="str">
        <f ca="1">IF(A27="","",IF(_xlfn.SINGLE(Elect)=1,_xlfn.SINGLE(INDIRECT(AC27))*VLOOKUP(_xlfn.SINGLE(Units),'1Test Data'!$Y$3:$AB$22,4,0),_xlfn.SINGLE(INDIRECT(AA27))*VLOOKUP(_xlfn.SINGLE(Units),'1Test Data'!$Y$3:$AB$22,4,0)))</f>
        <v/>
      </c>
      <c r="R27" s="331" t="str">
        <f t="shared" ca="1" si="12"/>
        <v/>
      </c>
      <c r="S27" s="330" t="str">
        <f>IF($A27="","",IF(Elect=1,(($T27/Capacity)*100)/ElectMult,($T27/Capacity)*100))</f>
        <v/>
      </c>
      <c r="T27" s="332" t="str">
        <f>IF($A27="","",ABS(IF(Tolerance=$AK$5,IF(GaugeType="Test",(Capacity/100)*0.25,IF(GaugeType="B",(Capacity/100)*2,IF(GaugeLimitMSA2="Y",(Capacity/100)*3,IF(OR($C27&lt;10%*ABS(Capacity),$C27&gt;90%*ABS(Capacity)),(Capacity/100)*1.5,(Capacity/100)*1)))),IF(Tolerance=$AK$1,IF(Elect=1,(ABS(Capacity/100)*Range)*ElectMult,(ABS(Capacity/100)*Range)),IF(Tolerance=$AK$2,IF(Elect=1,IF($C27=0,Division*2,(ABS($C27/100)*Reading))*ElectMult,IF($C27=0,Division*2,(ABS($C27/100)*Reading))),IF(Tolerance=$AK$3,IF(Elect=1,(((Capacity/100)*Range)+(ABS($C27/100)*Reading))*ElectMult,(((Capacity/100)*Range)+(ABS($C27/100)*Reading))),IF(Elect=1,((Counts*Readability)+IF($C27&gt;ABS(ReadingCrossover*$C27),(($C27/100)*Reading),0)+ IF($C27&lt;0,IF(VacRR="Reading",ABS(($C27/100)*Vacuum),(($AL$21/100)*Vacuum)),IF($C27&lt;=((Capacity/100)*RangeCrossover),((Capacity/100)*Range),(($C27/100)*Reading))))*ElectMult,((Counts*Readability)+IF($C27&gt;ABS(ReadingCrossover*$C27),(($C27/100)*Reading),0)+ IF($C27&lt;0,IF(VacRR="Reading",ABS(($C27/100)*Vacuum),(($AL$21/100)*Vacuum)),IF($C27&lt;=((Capacity/100)*RangeCrossover),((Capacity/100)*Range),(($C27/100)*Reading)))))))))))</f>
        <v/>
      </c>
      <c r="U27" s="274"/>
      <c r="V27" s="310"/>
      <c r="W27" s="321" t="str">
        <f t="shared" ca="1" si="7"/>
        <v>---</v>
      </c>
      <c r="X27" s="322" t="str">
        <f t="shared" ca="1" si="8"/>
        <v>---</v>
      </c>
      <c r="Y27" s="322" t="str">
        <f t="shared" si="9"/>
        <v/>
      </c>
      <c r="Z27" s="333" t="e">
        <f ca="1">_xlfn.SINGLE(IF(_xlfn.SINGLE(Elect)=1,INDIRECT("Uncert!I"&amp;(((ROW()-17)*25)-2)),INDIRECT("Uncert!O"&amp;(((ROW()-17)*25)-1))))*VLOOKUP(_xlfn.SINGLE(Units),'1Test Data'!$Y$3:$AB$22,4,0)</f>
        <v>#NAME?</v>
      </c>
      <c r="AA27" s="333" t="str">
        <f t="shared" si="13"/>
        <v>Uncert!M249</v>
      </c>
      <c r="AB27" s="333" t="str">
        <f t="shared" si="14"/>
        <v>Uncert!M250</v>
      </c>
      <c r="AC27" s="333" t="str">
        <f t="shared" si="15"/>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ROUND((($CK$39/19)*$CJ27)/'1Test Data'!$C$19,0)*'1Test Data'!$C$19</f>
        <v>#NAME?</v>
      </c>
      <c r="CL27" s="342" t="e">
        <f t="shared" ca="1" si="16"/>
        <v>#NAME?</v>
      </c>
      <c r="CM27" s="342" t="e">
        <f t="shared" ca="1" si="16"/>
        <v>#NAME?</v>
      </c>
      <c r="CN27" s="342" t="e">
        <f t="shared" ca="1" si="17"/>
        <v>#NAME?</v>
      </c>
      <c r="CO27" s="342" t="e">
        <f t="shared" ca="1" si="17"/>
        <v>#NAME?</v>
      </c>
      <c r="CP27" s="342" t="e">
        <f t="shared" ca="1" si="17"/>
        <v>#NAME?</v>
      </c>
      <c r="CQ27" s="16"/>
      <c r="CR27" s="16"/>
      <c r="CS27" s="16"/>
      <c r="CT27" s="16"/>
      <c r="CU27" s="340" t="e">
        <f t="shared" ca="1" si="24"/>
        <v>#NAME?</v>
      </c>
      <c r="CV27" s="340" t="e">
        <f t="shared" ca="1" si="18"/>
        <v>#NAME?</v>
      </c>
      <c r="CW27" s="340" t="e">
        <f t="shared" ca="1" si="18"/>
        <v>#NAME?</v>
      </c>
      <c r="CX27" s="340" t="e">
        <f t="shared" ca="1" si="18"/>
        <v>#NAME?</v>
      </c>
      <c r="CY27" s="340" t="e">
        <f t="shared" ca="1" si="18"/>
        <v>#NAME?</v>
      </c>
      <c r="CZ27" s="340" t="e">
        <f t="shared" ca="1" si="18"/>
        <v>#NAME?</v>
      </c>
      <c r="DN27" s="104" t="str">
        <f>IFERROR($C27+$T27,"")</f>
        <v/>
      </c>
      <c r="DO27" s="104" t="str">
        <f>IFERROR(C27-$T27,"")</f>
        <v/>
      </c>
      <c r="DP27" s="104" t="str">
        <f t="shared" ca="1" si="21"/>
        <v/>
      </c>
      <c r="DQ27" s="102" t="str">
        <f t="shared" si="22"/>
        <v/>
      </c>
      <c r="DT27" s="102"/>
    </row>
    <row r="28" spans="1:124" ht="15" customHeight="1" thickBot="1">
      <c r="A28" s="697"/>
      <c r="B28" s="691" t="str">
        <f t="shared" si="23"/>
        <v/>
      </c>
      <c r="C28" s="324" t="str">
        <f>IF(OR(B28="",A28=""),"",IF(Elect=1,$A28*ElectMult+Lower,IF(correction="Y",IF($A28=0,$A28,$A28+$AZ28),$A28)))</f>
        <v/>
      </c>
      <c r="D28" s="325">
        <v>0</v>
      </c>
      <c r="E28" s="324"/>
      <c r="F28" s="694"/>
      <c r="G28" s="694"/>
      <c r="H28" s="326" t="str">
        <f t="shared" si="3"/>
        <v/>
      </c>
      <c r="I28" s="694"/>
      <c r="J28" s="694"/>
      <c r="K28" s="326" t="str">
        <f t="shared" si="4"/>
        <v/>
      </c>
      <c r="L28" s="327" t="str">
        <f t="shared" si="10"/>
        <v/>
      </c>
      <c r="M28" s="327" t="str">
        <f t="shared" si="11"/>
        <v/>
      </c>
      <c r="N28" s="326" t="str">
        <f ca="1">IF(C28="","",IF(IF(_xlfn.SINGLE(Elect)=1,(_xlfn.SINGLE(INDIRECT("Uncert!E"&amp;(((ROW()-17)*25)-20)))/_xlfn.SINGLE(INDIRECT("Uncert!K"&amp;(((ROW()-17)*25)-13))))*VLOOKUP(_xlfn.SINGLE(Units),'1Test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8" s="328" t="str">
        <f t="shared" si="5"/>
        <v/>
      </c>
      <c r="P28" s="329" t="str">
        <f t="shared" si="6"/>
        <v/>
      </c>
      <c r="Q28" s="330" t="str">
        <f ca="1">IF(A28="","",IF(_xlfn.SINGLE(Elect)=1,_xlfn.SINGLE(INDIRECT(AC28))*VLOOKUP(_xlfn.SINGLE(Units),'1Test Data'!$Y$3:$AB$22,4,0),_xlfn.SINGLE(INDIRECT(AA28))*VLOOKUP(_xlfn.SINGLE(Units),'1Test Data'!$Y$3:$AB$22,4,0)))</f>
        <v/>
      </c>
      <c r="R28" s="331" t="str">
        <f t="shared" ca="1" si="12"/>
        <v/>
      </c>
      <c r="S28" s="330" t="str">
        <f>IF($A28="","",IF(Elect=1,(($T28/Capacity)*100)/ElectMult,($T28/Capacity)*100))</f>
        <v/>
      </c>
      <c r="T28" s="332" t="str">
        <f>IF($A28="","",ABS(IF(Tolerance=$AK$5,IF(GaugeType="Test",(Capacity/100)*0.25,IF(GaugeType="B",(Capacity/100)*2,IF(GaugeLimitMSA2="Y",(Capacity/100)*3,IF(OR($C28&lt;10%*ABS(Capacity),$C28&gt;90%*ABS(Capacity)),(Capacity/100)*1.5,(Capacity/100)*1)))),IF(Tolerance=$AK$1,IF(Elect=1,(ABS(Capacity/100)*Range)*ElectMult,(ABS(Capacity/100)*Range)),IF(Tolerance=$AK$2,IF(Elect=1,IF($C28=0,Division*2,(ABS($C28/100)*Reading))*ElectMult,IF($C28=0,Division*2,(ABS($C28/100)*Reading))),IF(Tolerance=$AK$3,IF(Elect=1,(((Capacity/100)*Range)+(ABS($C28/100)*Reading))*ElectMult,(((Capacity/100)*Range)+(ABS($C28/100)*Reading))),IF(Elect=1,((Counts*Readability)+IF($C28&gt;ABS(ReadingCrossover*$C28),(($C28/100)*Reading),0)+ IF($C28&lt;0,IF(VacRR="Reading",ABS(($C28/100)*Vacuum),(($AL$21/100)*Vacuum)),IF($C28&lt;=((Capacity/100)*RangeCrossover),((Capacity/100)*Range),(($C28/100)*Reading))))*ElectMult,((Counts*Readability)+IF($C28&gt;ABS(ReadingCrossover*$C28),(($C28/100)*Reading),0)+ IF($C28&lt;0,IF(VacRR="Reading",ABS(($C28/100)*Vacuum),(($AL$21/100)*Vacuum)),IF($C28&lt;=((Capacity/100)*RangeCrossover),((Capacity/100)*Range),(($C28/100)*Reading)))))))))))</f>
        <v/>
      </c>
      <c r="U28" s="274"/>
      <c r="V28" s="310"/>
      <c r="W28" s="321" t="str">
        <f t="shared" ca="1" si="7"/>
        <v>---</v>
      </c>
      <c r="X28" s="322" t="str">
        <f t="shared" ca="1" si="8"/>
        <v>---</v>
      </c>
      <c r="Y28" s="322" t="str">
        <f t="shared" si="9"/>
        <v/>
      </c>
      <c r="Z28" s="333" t="e">
        <f ca="1">_xlfn.SINGLE(IF(_xlfn.SINGLE(Elect)=1,INDIRECT("Uncert!I"&amp;(((ROW()-17)*25)-2)),INDIRECT("Uncert!O"&amp;(((ROW()-17)*25)-1))))*VLOOKUP(_xlfn.SINGLE(Units),'1Test Data'!$Y$3:$AB$22,4,0)</f>
        <v>#NAME?</v>
      </c>
      <c r="AA28" s="333" t="str">
        <f t="shared" si="13"/>
        <v>Uncert!M274</v>
      </c>
      <c r="AB28" s="333" t="str">
        <f t="shared" si="14"/>
        <v>Uncert!M275</v>
      </c>
      <c r="AC28" s="333" t="str">
        <f t="shared" si="15"/>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ROUND((($CK$39/19)*$CJ28)/'1Test Data'!$C$19,0)*'1Test Data'!$C$19</f>
        <v>#NAME?</v>
      </c>
      <c r="CL28" s="342" t="e">
        <f t="shared" ca="1" si="16"/>
        <v>#NAME?</v>
      </c>
      <c r="CM28" s="342" t="e">
        <f t="shared" ca="1" si="16"/>
        <v>#NAME?</v>
      </c>
      <c r="CN28" s="342" t="e">
        <f t="shared" ca="1" si="17"/>
        <v>#NAME?</v>
      </c>
      <c r="CO28" s="342" t="e">
        <f t="shared" ca="1" si="17"/>
        <v>#NAME?</v>
      </c>
      <c r="CP28" s="342" t="e">
        <f t="shared" ca="1" si="17"/>
        <v>#NAME?</v>
      </c>
      <c r="CQ28" s="16"/>
      <c r="CR28" s="16"/>
      <c r="CS28" s="16"/>
      <c r="CT28" s="16"/>
      <c r="CU28" s="340" t="e">
        <f t="shared" ca="1" si="24"/>
        <v>#NAME?</v>
      </c>
      <c r="CV28" s="340" t="e">
        <f t="shared" ca="1" si="18"/>
        <v>#NAME?</v>
      </c>
      <c r="CW28" s="340" t="e">
        <f t="shared" ca="1" si="18"/>
        <v>#NAME?</v>
      </c>
      <c r="CX28" s="340" t="e">
        <f t="shared" ca="1" si="18"/>
        <v>#NAME?</v>
      </c>
      <c r="CY28" s="340" t="e">
        <f t="shared" ca="1" si="18"/>
        <v>#NAME?</v>
      </c>
      <c r="CZ28" s="340" t="e">
        <f t="shared" ca="1" si="18"/>
        <v>#NAME?</v>
      </c>
      <c r="DN28" s="104" t="str">
        <f t="shared" ref="DN28:DN33" si="25">IFERROR($C28+$T28,"")</f>
        <v/>
      </c>
      <c r="DO28" s="104" t="str">
        <f t="shared" ref="DO28:DO33" si="26">IFERROR(C28-$T28,"")</f>
        <v/>
      </c>
      <c r="DP28" s="104" t="str">
        <f t="shared" ca="1" si="21"/>
        <v/>
      </c>
      <c r="DQ28" s="102" t="str">
        <f t="shared" si="22"/>
        <v/>
      </c>
      <c r="DT28" s="102"/>
    </row>
    <row r="29" spans="1:124" ht="15" customHeight="1" thickBot="1">
      <c r="A29" s="697"/>
      <c r="B29" s="691" t="str">
        <f t="shared" si="23"/>
        <v/>
      </c>
      <c r="C29" s="324" t="str">
        <f>IF(OR(B29="",A29=""),"",IF(Elect=1,$A29*ElectMult+Lower,IF(correction="Y",IF($A29=0,$A29,$A29+$AZ29),$A29)))</f>
        <v/>
      </c>
      <c r="D29" s="325">
        <v>0</v>
      </c>
      <c r="E29" s="324"/>
      <c r="F29" s="694"/>
      <c r="G29" s="694"/>
      <c r="H29" s="326" t="str">
        <f t="shared" si="3"/>
        <v/>
      </c>
      <c r="I29" s="694"/>
      <c r="J29" s="694"/>
      <c r="K29" s="326" t="str">
        <f t="shared" si="4"/>
        <v/>
      </c>
      <c r="L29" s="327" t="str">
        <f t="shared" si="10"/>
        <v/>
      </c>
      <c r="M29" s="327" t="str">
        <f t="shared" si="11"/>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5"/>
        <v/>
      </c>
      <c r="P29" s="329" t="str">
        <f t="shared" si="6"/>
        <v/>
      </c>
      <c r="Q29" s="330" t="str">
        <f ca="1">IF(A29="","",IF(_xlfn.SINGLE(Elect)=1,_xlfn.SINGLE(INDIRECT(AC29))*VLOOKUP(_xlfn.SINGLE(Units),'1Test Data'!$Y$3:$AB$22,4,0),_xlfn.SINGLE(INDIRECT(AA29))*VLOOKUP(_xlfn.SINGLE(Units),'1Test Data'!$Y$3:$AB$22,4,0)))</f>
        <v/>
      </c>
      <c r="R29" s="331" t="str">
        <f t="shared" ca="1" si="12"/>
        <v/>
      </c>
      <c r="S29" s="330" t="str">
        <f>IF($A29="","",IF(Elect=1,(($T29/Capacity)*100)/ElectMult,($T29/Capacity)*100))</f>
        <v/>
      </c>
      <c r="T29" s="332" t="str">
        <f>IF($A29="","",ABS(IF(Tolerance=$AK$5,IF(GaugeType="Test",(Capacity/100)*0.25,IF(GaugeType="B",(Capacity/100)*2,IF(GaugeLimitMSA2="Y",(Capacity/100)*3,IF(OR($C29&lt;10%*ABS(Capacity),$C29&gt;90%*ABS(Capacity)),(Capacity/100)*1.5,(Capacity/100)*1)))),IF(Tolerance=$AK$1,IF(Elect=1,(ABS(Capacity/100)*Range)*ElectMult,(ABS(Capacity/100)*Range)),IF(Tolerance=$AK$2,IF(Elect=1,IF($C29=0,Division*2,(ABS($C29/100)*Reading))*ElectMult,IF($C29=0,Division*2,(ABS($C29/100)*Reading))),IF(Tolerance=$AK$3,IF(Elect=1,(((Capacity/100)*Range)+(ABS($C29/100)*Reading))*ElectMult,(((Capacity/100)*Range)+(ABS($C29/100)*Reading))),IF(Elect=1,((Counts*Readability)+IF($C29&gt;ABS(ReadingCrossover*$C29),(($C29/100)*Reading),0)+ IF($C29&lt;0,IF(VacRR="Reading",ABS(($C29/100)*Vacuum),(($AL$21/100)*Vacuum)),IF($C29&lt;=((Capacity/100)*RangeCrossover),((Capacity/100)*Range),(($C29/100)*Reading))))*ElectMult,((Counts*Readability)+IF($C29&gt;ABS(ReadingCrossover*$C29),(($C29/100)*Reading),0)+ IF($C29&lt;0,IF(VacRR="Reading",ABS(($C29/100)*Vacuum),(($AL$21/100)*Vacuum)),IF($C29&lt;=((Capacity/100)*RangeCrossover),((Capacity/100)*Range),(($C29/100)*Reading)))))))))))</f>
        <v/>
      </c>
      <c r="U29" s="274"/>
      <c r="V29" s="310"/>
      <c r="W29" s="321" t="str">
        <f t="shared" ca="1" si="7"/>
        <v>---</v>
      </c>
      <c r="X29" s="322" t="str">
        <f t="shared" ca="1" si="8"/>
        <v>---</v>
      </c>
      <c r="Y29" s="322" t="str">
        <f t="shared" si="9"/>
        <v/>
      </c>
      <c r="Z29" s="333" t="e">
        <f ca="1">_xlfn.SINGLE(IF(_xlfn.SINGLE(Elect)=1,INDIRECT("Uncert!I"&amp;(((ROW()-17)*25)-2)),INDIRECT("Uncert!O"&amp;(((ROW()-17)*25)-1))))*VLOOKUP(_xlfn.SINGLE(Units),'1Test Data'!$Y$3:$AB$22,4,0)</f>
        <v>#NAME?</v>
      </c>
      <c r="AA29" s="333" t="str">
        <f t="shared" si="13"/>
        <v>Uncert!M299</v>
      </c>
      <c r="AB29" s="333" t="str">
        <f t="shared" si="14"/>
        <v>Uncert!M300</v>
      </c>
      <c r="AC29" s="333" t="str">
        <f t="shared" si="15"/>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ROUND((($CK$39/19)*$CJ29)/'1Test Data'!$C$19,0)*'1Test Data'!$C$19</f>
        <v>#NAME?</v>
      </c>
      <c r="CL29" s="342" t="e">
        <f t="shared" ca="1" si="16"/>
        <v>#NAME?</v>
      </c>
      <c r="CM29" s="342" t="e">
        <f t="shared" ca="1" si="16"/>
        <v>#NAME?</v>
      </c>
      <c r="CN29" s="342" t="e">
        <f t="shared" ca="1" si="17"/>
        <v>#NAME?</v>
      </c>
      <c r="CO29" s="342" t="e">
        <f t="shared" ca="1" si="17"/>
        <v>#NAME?</v>
      </c>
      <c r="CP29" s="342" t="e">
        <f t="shared" ca="1" si="17"/>
        <v>#NAME?</v>
      </c>
      <c r="CQ29" s="16"/>
      <c r="CR29" s="16"/>
      <c r="CS29" s="16"/>
      <c r="CT29" s="16"/>
      <c r="CU29" s="340" t="e">
        <f t="shared" ca="1" si="24"/>
        <v>#NAME?</v>
      </c>
      <c r="CV29" s="340" t="e">
        <f t="shared" ca="1" si="18"/>
        <v>#NAME?</v>
      </c>
      <c r="CW29" s="340" t="e">
        <f t="shared" ca="1" si="18"/>
        <v>#NAME?</v>
      </c>
      <c r="CX29" s="340" t="e">
        <f t="shared" ca="1" si="18"/>
        <v>#NAME?</v>
      </c>
      <c r="CY29" s="340" t="e">
        <f t="shared" ca="1" si="18"/>
        <v>#NAME?</v>
      </c>
      <c r="CZ29" s="340" t="e">
        <f t="shared" ca="1" si="18"/>
        <v>#NAME?</v>
      </c>
      <c r="DN29" s="104" t="str">
        <f t="shared" si="25"/>
        <v/>
      </c>
      <c r="DO29" s="104" t="str">
        <f t="shared" si="26"/>
        <v/>
      </c>
      <c r="DP29" s="104" t="str">
        <f t="shared" ca="1" si="21"/>
        <v/>
      </c>
      <c r="DQ29" s="102" t="str">
        <f t="shared" si="22"/>
        <v/>
      </c>
      <c r="DT29" s="102"/>
    </row>
    <row r="30" spans="1:124" ht="15" customHeight="1" thickBot="1">
      <c r="A30" s="697"/>
      <c r="B30" s="691" t="str">
        <f t="shared" si="23"/>
        <v/>
      </c>
      <c r="C30" s="324" t="str">
        <f>IF(OR(B30="",A30=""),"",IF(Elect=1,$A30*ElectMult+Lower,IF(correction="Y",IF($A30=0,$A30,$A30+$AZ30),$A30)))</f>
        <v/>
      </c>
      <c r="D30" s="325">
        <v>0</v>
      </c>
      <c r="E30" s="324"/>
      <c r="F30" s="694"/>
      <c r="G30" s="694"/>
      <c r="H30" s="326" t="str">
        <f t="shared" si="3"/>
        <v/>
      </c>
      <c r="I30" s="694"/>
      <c r="J30" s="694"/>
      <c r="K30" s="326" t="str">
        <f t="shared" si="4"/>
        <v/>
      </c>
      <c r="L30" s="327" t="str">
        <f t="shared" si="10"/>
        <v/>
      </c>
      <c r="M30" s="327" t="str">
        <f t="shared" si="11"/>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5"/>
        <v/>
      </c>
      <c r="P30" s="329" t="str">
        <f t="shared" si="6"/>
        <v/>
      </c>
      <c r="Q30" s="330" t="str">
        <f ca="1">IF(A30="","",IF(_xlfn.SINGLE(Elect)=1,_xlfn.SINGLE(INDIRECT(AC30))*VLOOKUP(_xlfn.SINGLE(Units),'1Test Data'!$Y$3:$AB$22,4,0),_xlfn.SINGLE(INDIRECT(AA30))*VLOOKUP(_xlfn.SINGLE(Units),'1Test Data'!$Y$3:$AB$22,4,0)))</f>
        <v/>
      </c>
      <c r="R30" s="331" t="str">
        <f t="shared" ca="1" si="12"/>
        <v/>
      </c>
      <c r="S30" s="330" t="str">
        <f>IF($A30="","",IF(Elect=1,(($T30/Capacity)*100)/ElectMult,($T30/Capacity)*100))</f>
        <v/>
      </c>
      <c r="T30" s="332" t="str">
        <f>IF($A30="","",ABS(IF(Tolerance=$AK$5,IF(GaugeType="Test",(Capacity/100)*0.25,IF(GaugeType="B",(Capacity/100)*2,IF(GaugeLimitMSA2="Y",(Capacity/100)*3,IF(OR($C30&lt;10%*ABS(Capacity),$C30&gt;90%*ABS(Capacity)),(Capacity/100)*1.5,(Capacity/100)*1)))),IF(Tolerance=$AK$1,IF(Elect=1,(ABS(Capacity/100)*Range)*ElectMult,(ABS(Capacity/100)*Range)),IF(Tolerance=$AK$2,IF(Elect=1,IF($C30=0,Division*2,(ABS($C30/100)*Reading))*ElectMult,IF($C30=0,Division*2,(ABS($C30/100)*Reading))),IF(Tolerance=$AK$3,IF(Elect=1,(((Capacity/100)*Range)+(ABS($C30/100)*Reading))*ElectMult,(((Capacity/100)*Range)+(ABS($C30/100)*Reading))),IF(Elect=1,((Counts*Readability)+IF($C30&gt;ABS(ReadingCrossover*$C30),(($C30/100)*Reading),0)+ IF($C30&lt;0,IF(VacRR="Reading",ABS(($C30/100)*Vacuum),(($AL$21/100)*Vacuum)),IF($C30&lt;=((Capacity/100)*RangeCrossover),((Capacity/100)*Range),(($C30/100)*Reading))))*ElectMult,((Counts*Readability)+IF($C30&gt;ABS(ReadingCrossover*$C30),(($C30/100)*Reading),0)+ IF($C30&lt;0,IF(VacRR="Reading",ABS(($C30/100)*Vacuum),(($AL$21/100)*Vacuum)),IF($C30&lt;=((Capacity/100)*RangeCrossover),((Capacity/100)*Range),(($C30/100)*Reading)))))))))))</f>
        <v/>
      </c>
      <c r="U30" s="274"/>
      <c r="V30" s="310"/>
      <c r="W30" s="321" t="str">
        <f t="shared" ca="1" si="7"/>
        <v>---</v>
      </c>
      <c r="X30" s="322" t="str">
        <f t="shared" ca="1" si="8"/>
        <v>---</v>
      </c>
      <c r="Y30" s="322" t="str">
        <f t="shared" si="9"/>
        <v/>
      </c>
      <c r="Z30" s="333" t="e">
        <f ca="1">_xlfn.SINGLE(IF(_xlfn.SINGLE(Elect)=1,INDIRECT("Uncert!I"&amp;(((ROW()-17)*25)-2)),INDIRECT("Uncert!O"&amp;(((ROW()-17)*25)-1))))*VLOOKUP(_xlfn.SINGLE(Units),'1Test Data'!$Y$3:$AB$22,4,0)</f>
        <v>#NAME?</v>
      </c>
      <c r="AA30" s="333" t="str">
        <f t="shared" si="13"/>
        <v>Uncert!M324</v>
      </c>
      <c r="AB30" s="333" t="str">
        <f t="shared" si="14"/>
        <v>Uncert!M325</v>
      </c>
      <c r="AC30" s="333" t="str">
        <f t="shared" si="15"/>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ROUND((($CK$39/19)*$CJ30)/'1Test Data'!$C$19,0)*'1Test Data'!$C$19</f>
        <v>#NAME?</v>
      </c>
      <c r="CL30" s="342" t="e">
        <f t="shared" ca="1" si="16"/>
        <v>#NAME?</v>
      </c>
      <c r="CM30" s="342" t="e">
        <f t="shared" ca="1" si="16"/>
        <v>#NAME?</v>
      </c>
      <c r="CN30" s="342" t="e">
        <f t="shared" ca="1" si="17"/>
        <v>#NAME?</v>
      </c>
      <c r="CO30" s="342" t="e">
        <f t="shared" ca="1" si="17"/>
        <v>#NAME?</v>
      </c>
      <c r="CP30" s="342" t="e">
        <f t="shared" ca="1" si="17"/>
        <v>#NAME?</v>
      </c>
      <c r="CQ30" s="16"/>
      <c r="CR30" s="16"/>
      <c r="CS30" s="16"/>
      <c r="CT30" s="16"/>
      <c r="CU30" s="340" t="e">
        <f t="shared" ca="1" si="24"/>
        <v>#NAME?</v>
      </c>
      <c r="CV30" s="340" t="e">
        <f t="shared" ca="1" si="18"/>
        <v>#NAME?</v>
      </c>
      <c r="CW30" s="340" t="e">
        <f t="shared" ca="1" si="18"/>
        <v>#NAME?</v>
      </c>
      <c r="CX30" s="340" t="e">
        <f t="shared" ca="1" si="18"/>
        <v>#NAME?</v>
      </c>
      <c r="CY30" s="340" t="e">
        <f t="shared" ca="1" si="18"/>
        <v>#NAME?</v>
      </c>
      <c r="CZ30" s="340" t="e">
        <f t="shared" ca="1" si="18"/>
        <v>#NAME?</v>
      </c>
      <c r="DN30" s="104" t="str">
        <f t="shared" si="25"/>
        <v/>
      </c>
      <c r="DO30" s="104" t="str">
        <f t="shared" si="26"/>
        <v/>
      </c>
      <c r="DP30" s="104" t="str">
        <f t="shared" ca="1" si="21"/>
        <v/>
      </c>
      <c r="DQ30" s="102" t="str">
        <f t="shared" si="22"/>
        <v/>
      </c>
      <c r="DT30" s="102"/>
    </row>
    <row r="31" spans="1:124" ht="15" customHeight="1" thickBot="1">
      <c r="A31" s="697"/>
      <c r="B31" s="691" t="str">
        <f t="shared" si="23"/>
        <v/>
      </c>
      <c r="C31" s="324" t="str">
        <f>IF(OR(B31="",A31=""),"",IF(Elect=1,$A31*ElectMult+Lower,IF(correction="Y",IF($A31=0,$A31,$A31+$AZ31),$A31)))</f>
        <v/>
      </c>
      <c r="D31" s="325">
        <v>0</v>
      </c>
      <c r="E31" s="324"/>
      <c r="F31" s="694"/>
      <c r="G31" s="694"/>
      <c r="H31" s="326" t="str">
        <f t="shared" si="3"/>
        <v/>
      </c>
      <c r="I31" s="694"/>
      <c r="J31" s="694"/>
      <c r="K31" s="326" t="str">
        <f t="shared" si="4"/>
        <v/>
      </c>
      <c r="L31" s="327" t="str">
        <f t="shared" si="10"/>
        <v/>
      </c>
      <c r="M31" s="327" t="str">
        <f t="shared" si="11"/>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8" t="str">
        <f t="shared" si="5"/>
        <v/>
      </c>
      <c r="P31" s="329" t="str">
        <f t="shared" si="6"/>
        <v/>
      </c>
      <c r="Q31" s="330" t="str">
        <f ca="1">IF(A31="","",IF(_xlfn.SINGLE(Elect)=1,_xlfn.SINGLE(INDIRECT(AC31))*VLOOKUP(_xlfn.SINGLE(Units),'1Test Data'!$Y$3:$AB$22,4,0),_xlfn.SINGLE(INDIRECT(AA31))*VLOOKUP(_xlfn.SINGLE(Units),'1Test Data'!$Y$3:$AB$22,4,0)))</f>
        <v/>
      </c>
      <c r="R31" s="331" t="str">
        <f t="shared" ca="1" si="12"/>
        <v/>
      </c>
      <c r="S31" s="330" t="str">
        <f>IF($A31="","",IF(Elect=1,(($T31/Capacity)*100)/ElectMult,($T31/Capacity)*100))</f>
        <v/>
      </c>
      <c r="T31" s="332" t="str">
        <f>IF($A31="","",ABS(IF(Tolerance=$AK$5,IF(GaugeType="Test",(Capacity/100)*0.25,IF(GaugeType="B",(Capacity/100)*2,IF(GaugeLimitMSA2="Y",(Capacity/100)*3,IF(OR($C31&lt;10%*ABS(Capacity),$C31&gt;90%*ABS(Capacity)),(Capacity/100)*1.5,(Capacity/100)*1)))),IF(Tolerance=$AK$1,IF(Elect=1,(ABS(Capacity/100)*Range)*ElectMult,(ABS(Capacity/100)*Range)),IF(Tolerance=$AK$2,IF(Elect=1,IF($C31=0,Division*2,(ABS($C31/100)*Reading))*ElectMult,IF($C31=0,Division*2,(ABS($C31/100)*Reading))),IF(Tolerance=$AK$3,IF(Elect=1,(((Capacity/100)*Range)+(ABS($C31/100)*Reading))*ElectMult,(((Capacity/100)*Range)+(ABS($C31/100)*Reading))),IF(Elect=1,((Counts*Readability)+IF($C31&gt;ABS(ReadingCrossover*$C31),(($C31/100)*Reading),0)+ IF($C31&lt;0,IF(VacRR="Reading",ABS(($C31/100)*Vacuum),(($AL$21/100)*Vacuum)),IF($C31&lt;=((Capacity/100)*RangeCrossover),((Capacity/100)*Range),(($C31/100)*Reading))))*ElectMult,((Counts*Readability)+IF($C31&gt;ABS(ReadingCrossover*$C31),(($C31/100)*Reading),0)+ IF($C31&lt;0,IF(VacRR="Reading",ABS(($C31/100)*Vacuum),(($AL$21/100)*Vacuum)),IF($C31&lt;=((Capacity/100)*RangeCrossover),((Capacity/100)*Range),(($C31/100)*Reading)))))))))))</f>
        <v/>
      </c>
      <c r="U31" s="274"/>
      <c r="V31" s="310"/>
      <c r="W31" s="321" t="str">
        <f t="shared" ca="1" si="7"/>
        <v>---</v>
      </c>
      <c r="X31" s="322" t="str">
        <f t="shared" ca="1" si="8"/>
        <v>---</v>
      </c>
      <c r="Y31" s="322" t="str">
        <f t="shared" si="9"/>
        <v/>
      </c>
      <c r="Z31" s="333" t="e">
        <f ca="1">_xlfn.SINGLE(IF(_xlfn.SINGLE(Elect)=1,INDIRECT("Uncert!I"&amp;(((ROW()-17)*25)-2)),INDIRECT("Uncert!O"&amp;(((ROW()-17)*25)-1))))*VLOOKUP(_xlfn.SINGLE(Units),'1Test Data'!$Y$3:$AB$22,4,0)</f>
        <v>#NAME?</v>
      </c>
      <c r="AA31" s="333" t="str">
        <f t="shared" si="13"/>
        <v>Uncert!M349</v>
      </c>
      <c r="AB31" s="333" t="str">
        <f t="shared" si="14"/>
        <v>Uncert!M350</v>
      </c>
      <c r="AC31" s="333" t="str">
        <f t="shared" si="15"/>
        <v>Uncert!I349</v>
      </c>
      <c r="AG31" s="102" t="s">
        <v>145</v>
      </c>
      <c r="AH31" s="102">
        <f>'1Test Data'!AB16*100</f>
        <v>401.86465198521137</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1" t="str">
        <f>""</f>
        <v/>
      </c>
      <c r="CB31" s="147" t="str">
        <f>""</f>
        <v/>
      </c>
      <c r="CC31" s="147" t="str">
        <f>""</f>
        <v/>
      </c>
      <c r="CD31" s="147" t="str">
        <f>""</f>
        <v/>
      </c>
      <c r="CE31" s="147" t="str">
        <f>""</f>
        <v/>
      </c>
      <c r="CF31" s="65" t="str">
        <f>""</f>
        <v/>
      </c>
      <c r="CG31" s="16"/>
      <c r="CH31" s="16"/>
      <c r="CI31" s="16"/>
      <c r="CJ31" s="16">
        <v>13</v>
      </c>
      <c r="CK31" s="342" t="e">
        <f ca="1">ROUND((($CK$39/19)*$CJ31)/'1Test Data'!$C$19,0)*'1Test Data'!$C$19</f>
        <v>#NAME?</v>
      </c>
      <c r="CL31" s="342" t="e">
        <f t="shared" ca="1" si="16"/>
        <v>#NAME?</v>
      </c>
      <c r="CM31" s="342" t="e">
        <f t="shared" ca="1" si="16"/>
        <v>#NAME?</v>
      </c>
      <c r="CN31" s="342" t="e">
        <f t="shared" ca="1" si="17"/>
        <v>#NAME?</v>
      </c>
      <c r="CO31" s="342" t="e">
        <f t="shared" ca="1" si="17"/>
        <v>#NAME?</v>
      </c>
      <c r="CP31" s="342" t="e">
        <f t="shared" ca="1" si="17"/>
        <v>#NAME?</v>
      </c>
      <c r="CQ31" s="16"/>
      <c r="CR31" s="16"/>
      <c r="CS31" s="16"/>
      <c r="CT31" s="16"/>
      <c r="CU31" s="340" t="e">
        <f t="shared" ca="1" si="24"/>
        <v>#NAME?</v>
      </c>
      <c r="CV31" s="340" t="e">
        <f t="shared" ca="1" si="18"/>
        <v>#NAME?</v>
      </c>
      <c r="CW31" s="340" t="e">
        <f t="shared" ca="1" si="18"/>
        <v>#NAME?</v>
      </c>
      <c r="CX31" s="340" t="e">
        <f t="shared" ca="1" si="18"/>
        <v>#NAME?</v>
      </c>
      <c r="CY31" s="340" t="e">
        <f t="shared" ca="1" si="18"/>
        <v>#NAME?</v>
      </c>
      <c r="CZ31" s="340" t="e">
        <f t="shared" ca="1" si="18"/>
        <v>#NAME?</v>
      </c>
      <c r="DN31" s="104" t="str">
        <f t="shared" si="25"/>
        <v/>
      </c>
      <c r="DO31" s="104" t="str">
        <f t="shared" si="26"/>
        <v/>
      </c>
      <c r="DP31" s="104" t="str">
        <f t="shared" ca="1" si="21"/>
        <v/>
      </c>
      <c r="DQ31" s="102" t="str">
        <f t="shared" si="22"/>
        <v/>
      </c>
      <c r="DT31" s="102"/>
    </row>
    <row r="32" spans="1:124" ht="15" customHeight="1" thickBot="1">
      <c r="A32" s="697"/>
      <c r="B32" s="691" t="str">
        <f t="shared" si="23"/>
        <v/>
      </c>
      <c r="C32" s="324" t="str">
        <f>IF(OR(B32="",A32=""),"",IF(Elect=1,$A32*ElectMult+Lower,IF(correction="Y",IF($A32=0,$A32,$A32+$AZ32),$A32)))</f>
        <v/>
      </c>
      <c r="D32" s="325">
        <v>0</v>
      </c>
      <c r="E32" s="324"/>
      <c r="F32" s="694"/>
      <c r="G32" s="694"/>
      <c r="H32" s="326" t="str">
        <f t="shared" si="3"/>
        <v/>
      </c>
      <c r="I32" s="694"/>
      <c r="J32" s="694"/>
      <c r="K32" s="326" t="str">
        <f t="shared" si="4"/>
        <v/>
      </c>
      <c r="L32" s="327" t="str">
        <f t="shared" si="10"/>
        <v/>
      </c>
      <c r="M32" s="327" t="str">
        <f t="shared" si="11"/>
        <v/>
      </c>
      <c r="N32" s="326" t="str">
        <f ca="1">IF(C32="","",IF(IF(_xlfn.SINGLE(Elect)=1,(_xlfn.SINGLE(INDIRECT("Uncert!E"&amp;(((ROW()-17)*25)-20)))/_xlfn.SINGLE(INDIRECT("Uncert!K"&amp;(((ROW()-17)*25)-13))))*VLOOKUP(_xlfn.SINGLE(Units),'1Test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2" s="328" t="str">
        <f t="shared" si="5"/>
        <v/>
      </c>
      <c r="P32" s="329" t="str">
        <f t="shared" si="6"/>
        <v/>
      </c>
      <c r="Q32" s="330" t="str">
        <f ca="1">IF(A32="","",IF(_xlfn.SINGLE(Elect)=1,_xlfn.SINGLE(INDIRECT(AC32))*VLOOKUP(_xlfn.SINGLE(Units),'1Test Data'!$Y$3:$AB$22,4,0),_xlfn.SINGLE(INDIRECT(AA32))*VLOOKUP(_xlfn.SINGLE(Units),'1Test Data'!$Y$3:$AB$22,4,0)))</f>
        <v/>
      </c>
      <c r="R32" s="331" t="str">
        <f t="shared" ca="1" si="12"/>
        <v/>
      </c>
      <c r="S32" s="330" t="str">
        <f>IF($A32="","",IF(Elect=1,(($T32/Capacity)*100)/ElectMult,($T32/Capacity)*100))</f>
        <v/>
      </c>
      <c r="T32" s="332" t="str">
        <f>IF($A32="","",ABS(IF(Tolerance=$AK$5,IF(GaugeType="Test",(Capacity/100)*0.25,IF(GaugeType="B",(Capacity/100)*2,IF(GaugeLimitMSA2="Y",(Capacity/100)*3,IF(OR($C32&lt;10%*ABS(Capacity),$C32&gt;90%*ABS(Capacity)),(Capacity/100)*1.5,(Capacity/100)*1)))),IF(Tolerance=$AK$1,IF(Elect=1,(ABS(Capacity/100)*Range)*ElectMult,(ABS(Capacity/100)*Range)),IF(Tolerance=$AK$2,IF(Elect=1,IF($C32=0,Division*2,(ABS($C32/100)*Reading))*ElectMult,IF($C32=0,Division*2,(ABS($C32/100)*Reading))),IF(Tolerance=$AK$3,IF(Elect=1,(((Capacity/100)*Range)+(ABS($C32/100)*Reading))*ElectMult,(((Capacity/100)*Range)+(ABS($C32/100)*Reading))),IF(Elect=1,((Counts*Readability)+IF($C32&gt;ABS(ReadingCrossover*$C32),(($C32/100)*Reading),0)+ IF($C32&lt;0,IF(VacRR="Reading",ABS(($C32/100)*Vacuum),(($AL$21/100)*Vacuum)),IF($C32&lt;=((Capacity/100)*RangeCrossover),((Capacity/100)*Range),(($C32/100)*Reading))))*ElectMult,((Counts*Readability)+IF($C32&gt;ABS(ReadingCrossover*$C32),(($C32/100)*Reading),0)+ IF($C32&lt;0,IF(VacRR="Reading",ABS(($C32/100)*Vacuum),(($AL$21/100)*Vacuum)),IF($C32&lt;=((Capacity/100)*RangeCrossover),((Capacity/100)*Range),(($C32/100)*Reading)))))))))))</f>
        <v/>
      </c>
      <c r="U32" s="274"/>
      <c r="V32" s="310"/>
      <c r="W32" s="321" t="str">
        <f t="shared" ca="1" si="7"/>
        <v>---</v>
      </c>
      <c r="X32" s="322" t="str">
        <f t="shared" ca="1" si="8"/>
        <v>---</v>
      </c>
      <c r="Y32" s="322" t="str">
        <f t="shared" si="9"/>
        <v/>
      </c>
      <c r="Z32" s="333" t="e">
        <f ca="1">_xlfn.SINGLE(IF(_xlfn.SINGLE(Elect)=1,INDIRECT("Uncert!I"&amp;(((ROW()-17)*25)-2)),INDIRECT("Uncert!O"&amp;(((ROW()-17)*25)-1))))*VLOOKUP(_xlfn.SINGLE(Units),'1Test Data'!$Y$3:$AB$22,4,0)</f>
        <v>#NAME?</v>
      </c>
      <c r="AA32" s="333" t="str">
        <f t="shared" si="13"/>
        <v>Uncert!M374</v>
      </c>
      <c r="AB32" s="333" t="str">
        <f t="shared" si="14"/>
        <v>Uncert!M375</v>
      </c>
      <c r="AC32" s="333" t="str">
        <f t="shared" si="15"/>
        <v>Uncert!I374</v>
      </c>
      <c r="AZ32" s="102" t="e">
        <f ca="1">UnitConvert*($BA32*$A32^3+$BB32*$A32^2+$BC32*$A32+$BD32)</f>
        <v>#N/A</v>
      </c>
      <c r="BA32" s="335" t="e">
        <f ca="1">VLOOKUP($B32,'1Test Data'!$O$30:$AP$49,23,0)</f>
        <v>#N/A</v>
      </c>
      <c r="BB32" s="335" t="e">
        <f ca="1">VLOOKUP($B32,'1Test Data'!$O$30:$AP$49,24,0)</f>
        <v>#N/A</v>
      </c>
      <c r="BC32" s="335" t="e">
        <f ca="1">VLOOKUP($B32,'1Test Data'!$O$30:$AP$49,25,0)</f>
        <v>#N/A</v>
      </c>
      <c r="BD32" s="335" t="e">
        <f ca="1">VLOOKUP($B32,'1Test Data'!$O$30:$AP$49,26,0)</f>
        <v>#N/A</v>
      </c>
      <c r="BE32" s="335" t="e">
        <f ca="1">VLOOKUP($B32,'1Test Data'!$O$30:$AP$49,27,0)</f>
        <v>#N/A</v>
      </c>
      <c r="BF32" s="335" t="e">
        <f ca="1">VLOOKUP($B32,'1Test Data'!$O$30:$AP$49,28,0)</f>
        <v>#N/A</v>
      </c>
      <c r="BZ32" s="16"/>
      <c r="CA32" s="341" t="str">
        <f>""</f>
        <v/>
      </c>
      <c r="CB32" s="147" t="str">
        <f>""</f>
        <v/>
      </c>
      <c r="CC32" s="147" t="str">
        <f>""</f>
        <v/>
      </c>
      <c r="CD32" s="147" t="str">
        <f>""</f>
        <v/>
      </c>
      <c r="CE32" s="147" t="str">
        <f>""</f>
        <v/>
      </c>
      <c r="CF32" s="65" t="str">
        <f>""</f>
        <v/>
      </c>
      <c r="CG32" s="16"/>
      <c r="CH32" s="16"/>
      <c r="CI32" s="16"/>
      <c r="CJ32" s="16">
        <v>14</v>
      </c>
      <c r="CK32" s="342" t="e">
        <f ca="1">ROUND((($CK$39/19)*$CJ32)/'1Test Data'!$C$19,0)*'1Test Data'!$C$19</f>
        <v>#NAME?</v>
      </c>
      <c r="CL32" s="342" t="e">
        <f t="shared" ca="1" si="16"/>
        <v>#NAME?</v>
      </c>
      <c r="CM32" s="342" t="e">
        <f t="shared" ca="1" si="16"/>
        <v>#NAME?</v>
      </c>
      <c r="CN32" s="342" t="e">
        <f t="shared" ca="1" si="17"/>
        <v>#NAME?</v>
      </c>
      <c r="CO32" s="342" t="e">
        <f t="shared" ca="1" si="17"/>
        <v>#NAME?</v>
      </c>
      <c r="CP32" s="342" t="e">
        <f t="shared" ca="1" si="17"/>
        <v>#NAME?</v>
      </c>
      <c r="CQ32" s="16"/>
      <c r="CR32" s="16"/>
      <c r="CS32" s="16"/>
      <c r="CT32" s="16"/>
      <c r="CU32" s="340" t="e">
        <f t="shared" ca="1" si="24"/>
        <v>#NAME?</v>
      </c>
      <c r="CV32" s="340" t="e">
        <f t="shared" ca="1" si="18"/>
        <v>#NAME?</v>
      </c>
      <c r="CW32" s="340" t="e">
        <f t="shared" ca="1" si="18"/>
        <v>#NAME?</v>
      </c>
      <c r="CX32" s="340" t="e">
        <f t="shared" ca="1" si="18"/>
        <v>#NAME?</v>
      </c>
      <c r="CY32" s="340" t="e">
        <f t="shared" ca="1" si="18"/>
        <v>#NAME?</v>
      </c>
      <c r="CZ32" s="340" t="e">
        <f t="shared" ca="1" si="18"/>
        <v>#NAME?</v>
      </c>
      <c r="DN32" s="104" t="str">
        <f t="shared" si="25"/>
        <v/>
      </c>
      <c r="DO32" s="104" t="str">
        <f t="shared" si="26"/>
        <v/>
      </c>
      <c r="DP32" s="104" t="str">
        <f t="shared" ca="1" si="21"/>
        <v/>
      </c>
      <c r="DQ32" s="102" t="str">
        <f t="shared" si="22"/>
        <v/>
      </c>
      <c r="DT32" s="102"/>
    </row>
    <row r="33" spans="1:124" ht="15" customHeight="1" thickBot="1">
      <c r="A33" s="697"/>
      <c r="B33" s="691" t="str">
        <f t="shared" si="23"/>
        <v/>
      </c>
      <c r="C33" s="324" t="str">
        <f>IF(OR(B33="",A33=""),"",IF(Elect=1,$A33*ElectMult+Lower,IF(correction="Y",IF($A33=0,$A33,$A33+$AZ33),$A33)))</f>
        <v/>
      </c>
      <c r="D33" s="325">
        <v>0</v>
      </c>
      <c r="E33" s="324"/>
      <c r="F33" s="694"/>
      <c r="G33" s="694"/>
      <c r="H33" s="326" t="str">
        <f t="shared" si="3"/>
        <v/>
      </c>
      <c r="I33" s="694"/>
      <c r="J33" s="694"/>
      <c r="K33" s="326" t="str">
        <f t="shared" si="4"/>
        <v/>
      </c>
      <c r="L33" s="327" t="str">
        <f t="shared" si="10"/>
        <v/>
      </c>
      <c r="M33" s="327" t="str">
        <f t="shared" si="11"/>
        <v/>
      </c>
      <c r="N33" s="326" t="str">
        <f ca="1">IF(C33="","",IF(IF(_xlfn.SINGLE(Elect)=1,(_xlfn.SINGLE(INDIRECT("Uncert!E"&amp;(((ROW()-17)*25)-20)))/_xlfn.SINGLE(INDIRECT("Uncert!K"&amp;(((ROW()-17)*25)-13))))*VLOOKUP(_xlfn.SINGLE(Units),'1Test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3" s="328" t="str">
        <f t="shared" si="5"/>
        <v/>
      </c>
      <c r="P33" s="329" t="str">
        <f t="shared" si="6"/>
        <v/>
      </c>
      <c r="Q33" s="330" t="str">
        <f ca="1">IF(A33="","",IF(_xlfn.SINGLE(Elect)=1,_xlfn.SINGLE(INDIRECT(AC33))*VLOOKUP(_xlfn.SINGLE(Units),'1Test Data'!$Y$3:$AB$22,4,0),_xlfn.SINGLE(INDIRECT(AA33))*VLOOKUP(_xlfn.SINGLE(Units),'1Test Data'!$Y$3:$AB$22,4,0)))</f>
        <v/>
      </c>
      <c r="R33" s="331" t="str">
        <f t="shared" ca="1" si="12"/>
        <v/>
      </c>
      <c r="S33" s="330" t="str">
        <f>IF($A33="","",IF(Elect=1,(($T33/Capacity)*100)/ElectMult,($T33/Capacity)*100))</f>
        <v/>
      </c>
      <c r="T33" s="332" t="str">
        <f>IF($A33="","",ABS(IF(Tolerance=$AK$5,IF(GaugeType="Test",(Capacity/100)*0.25,IF(GaugeType="B",(Capacity/100)*2,IF(GaugeLimitMSA2="Y",(Capacity/100)*3,IF(OR($C33&lt;10%*ABS(Capacity),$C33&gt;90%*ABS(Capacity)),(Capacity/100)*1.5,(Capacity/100)*1)))),IF(Tolerance=$AK$1,IF(Elect=1,(ABS(Capacity/100)*Range)*ElectMult,(ABS(Capacity/100)*Range)),IF(Tolerance=$AK$2,IF(Elect=1,IF($C33=0,Division*2,(ABS($C33/100)*Reading))*ElectMult,IF($C33=0,Division*2,(ABS($C33/100)*Reading))),IF(Tolerance=$AK$3,IF(Elect=1,(((Capacity/100)*Range)+(ABS($C33/100)*Reading))*ElectMult,(((Capacity/100)*Range)+(ABS($C33/100)*Reading))),IF(Elect=1,((Counts*Readability)+IF($C33&gt;ABS(ReadingCrossover*$C33),(($C33/100)*Reading),0)+ IF($C33&lt;0,IF(VacRR="Reading",ABS(($C33/100)*Vacuum),(($AL$21/100)*Vacuum)),IF($C33&lt;=((Capacity/100)*RangeCrossover),((Capacity/100)*Range),(($C33/100)*Reading))))*ElectMult,((Counts*Readability)+IF($C33&gt;ABS(ReadingCrossover*$C33),(($C33/100)*Reading),0)+ IF($C33&lt;0,IF(VacRR="Reading",ABS(($C33/100)*Vacuum),(($AL$21/100)*Vacuum)),IF($C33&lt;=((Capacity/100)*RangeCrossover),((Capacity/100)*Range),(($C33/100)*Reading)))))))))))</f>
        <v/>
      </c>
      <c r="U33" s="274"/>
      <c r="V33" s="310"/>
      <c r="W33" s="321" t="str">
        <f t="shared" ca="1" si="7"/>
        <v>---</v>
      </c>
      <c r="X33" s="322" t="str">
        <f t="shared" ca="1" si="8"/>
        <v>---</v>
      </c>
      <c r="Y33" s="322" t="str">
        <f t="shared" si="9"/>
        <v/>
      </c>
      <c r="Z33" s="333" t="e">
        <f ca="1">_xlfn.SINGLE(IF(_xlfn.SINGLE(Elect)=1,INDIRECT("Uncert!I"&amp;(((ROW()-17)*25)-2)),INDIRECT("Uncert!O"&amp;(((ROW()-17)*25)-1))))*VLOOKUP(_xlfn.SINGLE(Units),'1Test Data'!$Y$3:$AB$22,4,0)</f>
        <v>#NAME?</v>
      </c>
      <c r="AA33" s="333" t="str">
        <f t="shared" si="13"/>
        <v>Uncert!M399</v>
      </c>
      <c r="AB33" s="333" t="str">
        <f t="shared" si="14"/>
        <v>Uncert!M400</v>
      </c>
      <c r="AC33" s="333" t="str">
        <f t="shared" si="15"/>
        <v>Uncert!I399</v>
      </c>
      <c r="AZ33" s="102" t="e">
        <f ca="1">UnitConvert*($BA33*$A33^3+$BB33*$A33^2+$BC33*$A33+$BD33)</f>
        <v>#N/A</v>
      </c>
      <c r="BA33" s="335" t="e">
        <f ca="1">VLOOKUP($B33,'1Test Data'!$O$30:$AP$49,23,0)</f>
        <v>#N/A</v>
      </c>
      <c r="BB33" s="335" t="e">
        <f ca="1">VLOOKUP($B33,'1Test Data'!$O$30:$AP$49,24,0)</f>
        <v>#N/A</v>
      </c>
      <c r="BC33" s="335" t="e">
        <f ca="1">VLOOKUP($B33,'1Test Data'!$O$30:$AP$49,25,0)</f>
        <v>#N/A</v>
      </c>
      <c r="BD33" s="335" t="e">
        <f ca="1">VLOOKUP($B33,'1Test Data'!$O$30:$AP$49,26,0)</f>
        <v>#N/A</v>
      </c>
      <c r="BE33" s="335" t="e">
        <f ca="1">VLOOKUP($B33,'1Test Data'!$O$30:$AP$49,27,0)</f>
        <v>#N/A</v>
      </c>
      <c r="BF33" s="335" t="e">
        <f ca="1">VLOOKUP($B33,'1Test Data'!$O$30:$AP$49,28,0)</f>
        <v>#N/A</v>
      </c>
      <c r="BZ33" s="16"/>
      <c r="CA33" s="341" t="str">
        <f>""</f>
        <v/>
      </c>
      <c r="CB33" s="147" t="str">
        <f>""</f>
        <v/>
      </c>
      <c r="CC33" s="147" t="str">
        <f>""</f>
        <v/>
      </c>
      <c r="CD33" s="147" t="str">
        <f>""</f>
        <v/>
      </c>
      <c r="CE33" s="147" t="str">
        <f>""</f>
        <v/>
      </c>
      <c r="CF33" s="65" t="str">
        <f>""</f>
        <v/>
      </c>
      <c r="CG33" s="16"/>
      <c r="CH33" s="16"/>
      <c r="CI33" s="16"/>
      <c r="CJ33" s="16">
        <v>15</v>
      </c>
      <c r="CK33" s="342" t="e">
        <f ca="1">ROUND((($CK$39/19)*$CJ33)/'1Test Data'!$C$19,0)*'1Test Data'!$C$19</f>
        <v>#NAME?</v>
      </c>
      <c r="CL33" s="342" t="e">
        <f t="shared" ca="1" si="16"/>
        <v>#NAME?</v>
      </c>
      <c r="CM33" s="342" t="e">
        <f t="shared" ca="1" si="16"/>
        <v>#NAME?</v>
      </c>
      <c r="CN33" s="342" t="e">
        <f t="shared" ca="1" si="17"/>
        <v>#NAME?</v>
      </c>
      <c r="CO33" s="342" t="e">
        <f t="shared" ca="1" si="17"/>
        <v>#NAME?</v>
      </c>
      <c r="CP33" s="342" t="e">
        <f t="shared" ca="1" si="17"/>
        <v>#NAME?</v>
      </c>
      <c r="CQ33" s="16"/>
      <c r="CR33" s="16"/>
      <c r="CS33" s="16"/>
      <c r="CT33" s="16"/>
      <c r="CU33" s="340" t="e">
        <f t="shared" ca="1" si="24"/>
        <v>#NAME?</v>
      </c>
      <c r="CV33" s="340" t="e">
        <f t="shared" ca="1" si="18"/>
        <v>#NAME?</v>
      </c>
      <c r="CW33" s="340" t="e">
        <f t="shared" ca="1" si="18"/>
        <v>#NAME?</v>
      </c>
      <c r="CX33" s="340" t="e">
        <f t="shared" ca="1" si="18"/>
        <v>#NAME?</v>
      </c>
      <c r="CY33" s="340" t="e">
        <f t="shared" ca="1" si="18"/>
        <v>#NAME?</v>
      </c>
      <c r="CZ33" s="340" t="e">
        <f t="shared" ca="1" si="18"/>
        <v>#NAME?</v>
      </c>
      <c r="DN33" s="104" t="str">
        <f t="shared" si="25"/>
        <v/>
      </c>
      <c r="DO33" s="104" t="str">
        <f t="shared" si="26"/>
        <v/>
      </c>
      <c r="DP33" s="104" t="str">
        <f t="shared" ca="1" si="21"/>
        <v/>
      </c>
      <c r="DQ33" s="102" t="str">
        <f t="shared" si="22"/>
        <v/>
      </c>
      <c r="DT33" s="102"/>
    </row>
    <row r="34" spans="1:124" ht="15" customHeight="1" thickBot="1">
      <c r="A34" s="697"/>
      <c r="B34" s="691" t="str">
        <f t="shared" si="23"/>
        <v/>
      </c>
      <c r="C34" s="324" t="str">
        <f>IF(OR(B34="",A34=""),"",IF(Elect=1,$A34*ElectMult+Lower,IF(correction="Y",IF($A34=0,$A34,$A34+$AZ34),$A34)))</f>
        <v/>
      </c>
      <c r="D34" s="325">
        <v>0</v>
      </c>
      <c r="E34" s="324"/>
      <c r="F34" s="694"/>
      <c r="G34" s="694"/>
      <c r="H34" s="326" t="str">
        <f t="shared" si="3"/>
        <v/>
      </c>
      <c r="I34" s="694"/>
      <c r="J34" s="694"/>
      <c r="K34" s="326" t="str">
        <f t="shared" si="4"/>
        <v/>
      </c>
      <c r="L34" s="327" t="str">
        <f t="shared" si="10"/>
        <v/>
      </c>
      <c r="M34" s="327" t="str">
        <f t="shared" si="11"/>
        <v/>
      </c>
      <c r="N34" s="326" t="str">
        <f ca="1">IF(C34="","",IF(IF(_xlfn.SINGLE(Elect)=1,(_xlfn.SINGLE(INDIRECT("Uncert!E"&amp;(((ROW()-17)*25)-20)))/_xlfn.SINGLE(INDIRECT("Uncert!K"&amp;(((ROW()-17)*25)-13))))*VLOOKUP(_xlfn.SINGLE(Units),'1Test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4" s="328" t="str">
        <f t="shared" si="5"/>
        <v/>
      </c>
      <c r="P34" s="329" t="str">
        <f t="shared" si="6"/>
        <v/>
      </c>
      <c r="Q34" s="330" t="str">
        <f ca="1">IF(A34="","",IF(_xlfn.SINGLE(Elect)=1,_xlfn.SINGLE(INDIRECT(AC34))*VLOOKUP(_xlfn.SINGLE(Units),'1Test Data'!$Y$3:$AB$22,4,0),_xlfn.SINGLE(INDIRECT(AA34))*VLOOKUP(_xlfn.SINGLE(Units),'1Test Data'!$Y$3:$AB$22,4,0)))</f>
        <v/>
      </c>
      <c r="R34" s="331" t="str">
        <f t="shared" ca="1" si="12"/>
        <v/>
      </c>
      <c r="S34" s="330" t="str">
        <f>IF($A34="","",IF(Elect=1,(($T34/Capacity)*100)/ElectMult,($T34/Capacity)*100))</f>
        <v/>
      </c>
      <c r="T34" s="332" t="str">
        <f>IF($A34="","",ABS(IF(Tolerance=$AK$5,IF(GaugeType="Test",(Capacity/100)*0.25,IF(GaugeType="B",(Capacity/100)*2,IF(GaugeLimitMSA2="Y",(Capacity/100)*3,IF(OR($C34&lt;10%*ABS(Capacity),$C34&gt;90%*ABS(Capacity)),(Capacity/100)*1.5,(Capacity/100)*1)))),IF(Tolerance=$AK$1,IF(Elect=1,(ABS(Capacity/100)*Range)*ElectMult,(ABS(Capacity/100)*Range)),IF(Tolerance=$AK$2,IF(Elect=1,IF($C34=0,Division*2,(ABS($C34/100)*Reading))*ElectMult,IF($C34=0,Division*2,(ABS($C34/100)*Reading))),IF(Tolerance=$AK$3,IF(Elect=1,(((Capacity/100)*Range)+(ABS($C34/100)*Reading))*ElectMult,(((Capacity/100)*Range)+(ABS($C34/100)*Reading))),IF(Elect=1,((Counts*Readability)+IF($C34&gt;ABS(ReadingCrossover*$C34),(($C34/100)*Reading),0)+ IF($C34&lt;0,IF(VacRR="Reading",ABS(($C34/100)*Vacuum),(($AL$21/100)*Vacuum)),IF($C34&lt;=((Capacity/100)*RangeCrossover),((Capacity/100)*Range),(($C34/100)*Reading))))*ElectMult,((Counts*Readability)+IF($C34&gt;ABS(ReadingCrossover*$C34),(($C34/100)*Reading),0)+ IF($C34&lt;0,IF(VacRR="Reading",ABS(($C34/100)*Vacuum),(($AL$21/100)*Vacuum)),IF($C34&lt;=((Capacity/100)*RangeCrossover),((Capacity/100)*Range),(($C34/100)*Reading)))))))))))</f>
        <v/>
      </c>
      <c r="U34" s="274"/>
      <c r="V34" s="310"/>
      <c r="W34" s="321" t="str">
        <f t="shared" ca="1" si="7"/>
        <v>---</v>
      </c>
      <c r="X34" s="322" t="str">
        <f t="shared" ca="1" si="8"/>
        <v>---</v>
      </c>
      <c r="Y34" s="322" t="str">
        <f t="shared" si="9"/>
        <v/>
      </c>
      <c r="Z34" s="333" t="e">
        <f ca="1">_xlfn.SINGLE(IF(_xlfn.SINGLE(Elect)=1,INDIRECT("Uncert!I"&amp;(((ROW()-17)*25)-2)),INDIRECT("Uncert!O"&amp;(((ROW()-17)*25)-1))))*VLOOKUP(_xlfn.SINGLE(Units),'1Test Data'!$Y$3:$AB$22,4,0)</f>
        <v>#NAME?</v>
      </c>
      <c r="AA34" s="333" t="str">
        <f t="shared" si="13"/>
        <v>Uncert!M424</v>
      </c>
      <c r="AB34" s="333" t="str">
        <f t="shared" si="14"/>
        <v>Uncert!M425</v>
      </c>
      <c r="AC34" s="333" t="str">
        <f t="shared" si="15"/>
        <v>Uncert!I424</v>
      </c>
      <c r="AZ34" s="102" t="e">
        <f ca="1">UnitConvert*($BA34*$A34^3+$BB34*$A34^2+$BC34*$A34+$BD34)</f>
        <v>#N/A</v>
      </c>
      <c r="BA34" s="335" t="e">
        <f ca="1">VLOOKUP($B34,'1Test Data'!$O$30:$AP$49,23,0)</f>
        <v>#N/A</v>
      </c>
      <c r="BB34" s="335" t="e">
        <f ca="1">VLOOKUP($B34,'1Test Data'!$O$30:$AP$49,24,0)</f>
        <v>#N/A</v>
      </c>
      <c r="BC34" s="335" t="e">
        <f ca="1">VLOOKUP($B34,'1Test Data'!$O$30:$AP$49,25,0)</f>
        <v>#N/A</v>
      </c>
      <c r="BD34" s="335" t="e">
        <f ca="1">VLOOKUP($B34,'1Test Data'!$O$30:$AP$49,26,0)</f>
        <v>#N/A</v>
      </c>
      <c r="BE34" s="335" t="e">
        <f ca="1">VLOOKUP($B34,'1Test Data'!$O$30:$AP$49,27,0)</f>
        <v>#N/A</v>
      </c>
      <c r="BF34" s="335" t="e">
        <f ca="1">VLOOKUP($B34,'1Test Data'!$O$30:$AP$49,28,0)</f>
        <v>#N/A</v>
      </c>
      <c r="BZ34" s="16"/>
      <c r="CA34" s="341" t="str">
        <f>""</f>
        <v/>
      </c>
      <c r="CB34" s="147" t="str">
        <f>""</f>
        <v/>
      </c>
      <c r="CC34" s="147" t="str">
        <f>""</f>
        <v/>
      </c>
      <c r="CD34" s="147" t="str">
        <f>""</f>
        <v/>
      </c>
      <c r="CE34" s="147" t="str">
        <f>""</f>
        <v/>
      </c>
      <c r="CF34" s="65" t="str">
        <f>""</f>
        <v/>
      </c>
      <c r="CG34" s="16"/>
      <c r="CH34" s="16"/>
      <c r="CI34" s="16"/>
      <c r="CJ34" s="16">
        <v>16</v>
      </c>
      <c r="CK34" s="342" t="e">
        <f ca="1">ROUND((($CK$39/19)*$CJ34)/'1Test Data'!$C$19,0)*'1Test Data'!$C$19</f>
        <v>#NAME?</v>
      </c>
      <c r="CL34" s="342" t="e">
        <f t="shared" ca="1" si="16"/>
        <v>#NAME?</v>
      </c>
      <c r="CM34" s="342" t="e">
        <f t="shared" ca="1" si="16"/>
        <v>#NAME?</v>
      </c>
      <c r="CN34" s="342" t="e">
        <f t="shared" ca="1" si="17"/>
        <v>#NAME?</v>
      </c>
      <c r="CO34" s="342" t="e">
        <f t="shared" ca="1" si="17"/>
        <v>#NAME?</v>
      </c>
      <c r="CP34" s="342" t="e">
        <f t="shared" ca="1" si="17"/>
        <v>#NAME?</v>
      </c>
      <c r="CQ34" s="16"/>
      <c r="CR34" s="16"/>
      <c r="CS34" s="16"/>
      <c r="CT34" s="16"/>
      <c r="CU34" s="340" t="e">
        <f t="shared" ca="1" si="24"/>
        <v>#NAME?</v>
      </c>
      <c r="CV34" s="340" t="e">
        <f t="shared" ca="1" si="18"/>
        <v>#NAME?</v>
      </c>
      <c r="CW34" s="340" t="e">
        <f t="shared" ca="1" si="18"/>
        <v>#NAME?</v>
      </c>
      <c r="CX34" s="340" t="e">
        <f t="shared" ca="1" si="18"/>
        <v>#NAME?</v>
      </c>
      <c r="CY34" s="340" t="e">
        <f t="shared" ca="1" si="18"/>
        <v>#NAME?</v>
      </c>
      <c r="CZ34" s="340" t="e">
        <f t="shared" ca="1" si="18"/>
        <v>#NAME?</v>
      </c>
      <c r="DP34" s="104" t="str">
        <f t="shared" ca="1" si="21"/>
        <v/>
      </c>
      <c r="DQ34" s="102" t="str">
        <f t="shared" si="22"/>
        <v/>
      </c>
      <c r="DT34" s="102"/>
    </row>
    <row r="35" spans="1:124" ht="15" customHeight="1" thickBot="1">
      <c r="A35" s="697"/>
      <c r="B35" s="691" t="str">
        <f t="shared" si="23"/>
        <v/>
      </c>
      <c r="C35" s="324" t="str">
        <f>IF(OR(B35="",A35=""),"",IF(Elect=1,$A35*ElectMult+Lower,IF(correction="Y",IF($A35=0,$A35,$A35+$AZ35),$A35)))</f>
        <v/>
      </c>
      <c r="D35" s="325">
        <v>0</v>
      </c>
      <c r="E35" s="324"/>
      <c r="F35" s="694"/>
      <c r="G35" s="694"/>
      <c r="H35" s="326" t="str">
        <f t="shared" si="3"/>
        <v/>
      </c>
      <c r="I35" s="694"/>
      <c r="J35" s="694"/>
      <c r="K35" s="326" t="str">
        <f t="shared" si="4"/>
        <v/>
      </c>
      <c r="L35" s="327" t="str">
        <f t="shared" si="10"/>
        <v/>
      </c>
      <c r="M35" s="327" t="str">
        <f t="shared" si="11"/>
        <v/>
      </c>
      <c r="N35" s="326" t="str">
        <f ca="1">IF(C35="","",IF(IF(_xlfn.SINGLE(Elect)=1,(_xlfn.SINGLE(INDIRECT("Uncert!E"&amp;(((ROW()-17)*25)-20)))/_xlfn.SINGLE(INDIRECT("Uncert!K"&amp;(((ROW()-17)*25)-13))))*VLOOKUP(_xlfn.SINGLE(Units),'1Test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5" s="328" t="str">
        <f t="shared" si="5"/>
        <v/>
      </c>
      <c r="P35" s="329" t="str">
        <f t="shared" si="6"/>
        <v/>
      </c>
      <c r="Q35" s="330" t="str">
        <f ca="1">IF(A35="","",IF(_xlfn.SINGLE(Elect)=1,_xlfn.SINGLE(INDIRECT(AC35))*VLOOKUP(_xlfn.SINGLE(Units),'1Test Data'!$Y$3:$AB$22,4,0),_xlfn.SINGLE(INDIRECT(AA35))*VLOOKUP(_xlfn.SINGLE(Units),'1Test Data'!$Y$3:$AB$22,4,0)))</f>
        <v/>
      </c>
      <c r="R35" s="331" t="str">
        <f t="shared" ca="1" si="12"/>
        <v/>
      </c>
      <c r="S35" s="330" t="str">
        <f>IF($A35="","",IF(Elect=1,(($T35/Capacity)*100)/ElectMult,($T35/Capacity)*100))</f>
        <v/>
      </c>
      <c r="T35" s="332" t="str">
        <f>IF($A35="","",ABS(IF(Tolerance=$AK$5,IF(GaugeType="Test",(Capacity/100)*0.25,IF(GaugeType="B",(Capacity/100)*2,IF(GaugeLimitMSA2="Y",(Capacity/100)*3,IF(OR($C35&lt;10%*ABS(Capacity),$C35&gt;90%*ABS(Capacity)),(Capacity/100)*1.5,(Capacity/100)*1)))),IF(Tolerance=$AK$1,IF(Elect=1,(ABS(Capacity/100)*Range)*ElectMult,(ABS(Capacity/100)*Range)),IF(Tolerance=$AK$2,IF(Elect=1,IF($C35=0,Division*2,(ABS($C35/100)*Reading))*ElectMult,IF($C35=0,Division*2,(ABS($C35/100)*Reading))),IF(Tolerance=$AK$3,IF(Elect=1,(((Capacity/100)*Range)+(ABS($C35/100)*Reading))*ElectMult,(((Capacity/100)*Range)+(ABS($C35/100)*Reading))),IF(Elect=1,((Counts*Readability)+IF($C35&gt;ABS(ReadingCrossover*$C35),(($C35/100)*Reading),0)+ IF($C35&lt;0,IF(VacRR="Reading",ABS(($C35/100)*Vacuum),(($AL$21/100)*Vacuum)),IF($C35&lt;=((Capacity/100)*RangeCrossover),((Capacity/100)*Range),(($C35/100)*Reading))))*ElectMult,((Counts*Readability)+IF($C35&gt;ABS(ReadingCrossover*$C35),(($C35/100)*Reading),0)+ IF($C35&lt;0,IF(VacRR="Reading",ABS(($C35/100)*Vacuum),(($AL$21/100)*Vacuum)),IF($C35&lt;=((Capacity/100)*RangeCrossover),((Capacity/100)*Range),(($C35/100)*Reading)))))))))))</f>
        <v/>
      </c>
      <c r="U35" s="274"/>
      <c r="V35" s="310"/>
      <c r="W35" s="321" t="str">
        <f t="shared" ca="1" si="7"/>
        <v>---</v>
      </c>
      <c r="X35" s="322" t="str">
        <f t="shared" ca="1" si="8"/>
        <v>---</v>
      </c>
      <c r="Y35" s="322" t="str">
        <f t="shared" si="9"/>
        <v/>
      </c>
      <c r="Z35" s="333" t="e">
        <f ca="1">_xlfn.SINGLE(IF(_xlfn.SINGLE(Elect)=1,INDIRECT("Uncert!I"&amp;(((ROW()-17)*25)-2)),INDIRECT("Uncert!O"&amp;(((ROW()-17)*25)-1))))*VLOOKUP(_xlfn.SINGLE(Units),'1Test Data'!$Y$3:$AB$22,4,0)</f>
        <v>#NAME?</v>
      </c>
      <c r="AA35" s="333" t="str">
        <f t="shared" si="13"/>
        <v>Uncert!M449</v>
      </c>
      <c r="AB35" s="333" t="str">
        <f t="shared" si="14"/>
        <v>Uncert!M450</v>
      </c>
      <c r="AC35" s="333" t="str">
        <f t="shared" si="15"/>
        <v>Uncert!I449</v>
      </c>
      <c r="AZ35" s="102" t="e">
        <f ca="1">UnitConvert*($BA35*$A35^3+$BB35*$A35^2+$BC35*$A35+$BD35)</f>
        <v>#N/A</v>
      </c>
      <c r="BA35" s="335" t="e">
        <f ca="1">VLOOKUP($B35,'1Test Data'!$O$30:$AP$49,23,0)</f>
        <v>#N/A</v>
      </c>
      <c r="BB35" s="335" t="e">
        <f ca="1">VLOOKUP($B35,'1Test Data'!$O$30:$AP$49,24,0)</f>
        <v>#N/A</v>
      </c>
      <c r="BC35" s="335" t="e">
        <f ca="1">VLOOKUP($B35,'1Test Data'!$O$30:$AP$49,25,0)</f>
        <v>#N/A</v>
      </c>
      <c r="BD35" s="335" t="e">
        <f ca="1">VLOOKUP($B35,'1Test Data'!$O$30:$AP$49,26,0)</f>
        <v>#N/A</v>
      </c>
      <c r="BE35" s="335" t="e">
        <f ca="1">VLOOKUP($B35,'1Test Data'!$O$30:$AP$49,27,0)</f>
        <v>#N/A</v>
      </c>
      <c r="BF35" s="335" t="e">
        <f ca="1">VLOOKUP($B35,'1Test Data'!$O$30:$AP$49,28,0)</f>
        <v>#N/A</v>
      </c>
      <c r="BZ35" s="16"/>
      <c r="CA35" s="341" t="str">
        <f>""</f>
        <v/>
      </c>
      <c r="CB35" s="147" t="str">
        <f>""</f>
        <v/>
      </c>
      <c r="CC35" s="147" t="str">
        <f>""</f>
        <v/>
      </c>
      <c r="CD35" s="147" t="str">
        <f>""</f>
        <v/>
      </c>
      <c r="CE35" s="147" t="str">
        <f>""</f>
        <v/>
      </c>
      <c r="CF35" s="65" t="str">
        <f>""</f>
        <v/>
      </c>
      <c r="CG35" s="16"/>
      <c r="CH35" s="16"/>
      <c r="CI35" s="16"/>
      <c r="CJ35" s="16">
        <v>17</v>
      </c>
      <c r="CK35" s="342" t="e">
        <f ca="1">ROUND((($CK$39/19)*$CJ35)/'1Test Data'!$C$19,0)*'1Test Data'!$C$19</f>
        <v>#NAME?</v>
      </c>
      <c r="CL35" s="342" t="e">
        <f t="shared" ca="1" si="16"/>
        <v>#NAME?</v>
      </c>
      <c r="CM35" s="342" t="e">
        <f t="shared" ca="1" si="16"/>
        <v>#NAME?</v>
      </c>
      <c r="CN35" s="342" t="e">
        <f t="shared" ca="1" si="17"/>
        <v>#NAME?</v>
      </c>
      <c r="CO35" s="342" t="e">
        <f t="shared" ca="1" si="17"/>
        <v>#NAME?</v>
      </c>
      <c r="CP35" s="342" t="e">
        <f t="shared" ca="1" si="17"/>
        <v>#NAME?</v>
      </c>
      <c r="CQ35" s="16"/>
      <c r="CR35" s="16"/>
      <c r="CS35" s="16"/>
      <c r="CT35" s="16"/>
      <c r="CU35" s="340" t="e">
        <f t="shared" ca="1" si="24"/>
        <v>#NAME?</v>
      </c>
      <c r="CV35" s="340" t="e">
        <f t="shared" ref="CV35:CZ37" ca="1" si="27">(IF(CL35&gt;CU35,CL35+($T34+$CT$15),CL35-($T34+$CT$15)))</f>
        <v>#NAME?</v>
      </c>
      <c r="CW35" s="340" t="e">
        <f t="shared" ca="1" si="27"/>
        <v>#NAME?</v>
      </c>
      <c r="CX35" s="340" t="e">
        <f t="shared" ca="1" si="27"/>
        <v>#NAME?</v>
      </c>
      <c r="CY35" s="340" t="e">
        <f t="shared" ca="1" si="27"/>
        <v>#NAME?</v>
      </c>
      <c r="CZ35" s="340" t="e">
        <f t="shared" ca="1" si="27"/>
        <v>#NAME?</v>
      </c>
      <c r="DP35" s="104" t="str">
        <f t="shared" ca="1" si="21"/>
        <v/>
      </c>
      <c r="DQ35" s="102" t="str">
        <f t="shared" si="22"/>
        <v/>
      </c>
      <c r="DT35" s="102"/>
    </row>
    <row r="36" spans="1:124" ht="15" customHeight="1" thickBot="1">
      <c r="A36" s="697"/>
      <c r="B36" s="691" t="str">
        <f t="shared" si="23"/>
        <v/>
      </c>
      <c r="C36" s="324" t="str">
        <f>IF(OR(B36="",A36=""),"",IF(Elect=1,$A36*ElectMult+Lower,IF(correction="Y",IF($A36=0,$A36,$A36+$AZ36),$A36)))</f>
        <v/>
      </c>
      <c r="D36" s="325">
        <v>0</v>
      </c>
      <c r="E36" s="324"/>
      <c r="F36" s="694"/>
      <c r="G36" s="694"/>
      <c r="H36" s="326" t="str">
        <f t="shared" si="3"/>
        <v/>
      </c>
      <c r="I36" s="694"/>
      <c r="J36" s="694"/>
      <c r="K36" s="326" t="str">
        <f t="shared" si="4"/>
        <v/>
      </c>
      <c r="L36" s="327" t="str">
        <f t="shared" si="10"/>
        <v/>
      </c>
      <c r="M36" s="327" t="str">
        <f t="shared" si="11"/>
        <v/>
      </c>
      <c r="N36" s="326" t="str">
        <f ca="1">IF(C36="","",IF(IF(_xlfn.SINGLE(Elect)=1,(_xlfn.SINGLE(INDIRECT("Uncert!E"&amp;(((ROW()-17)*25)-20)))/_xlfn.SINGLE(INDIRECT("Uncert!K"&amp;(((ROW()-17)*25)-13))))*VLOOKUP(_xlfn.SINGLE(Units),'1Test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6" s="328" t="str">
        <f t="shared" si="5"/>
        <v/>
      </c>
      <c r="P36" s="329" t="str">
        <f t="shared" si="6"/>
        <v/>
      </c>
      <c r="Q36" s="330" t="str">
        <f ca="1">IF(A36="","",IF(_xlfn.SINGLE(Elect)=1,_xlfn.SINGLE(INDIRECT(AC36))*VLOOKUP(_xlfn.SINGLE(Units),'1Test Data'!$Y$3:$AB$22,4,0),_xlfn.SINGLE(INDIRECT(AA36))*VLOOKUP(_xlfn.SINGLE(Units),'1Test Data'!$Y$3:$AB$22,4,0)))</f>
        <v/>
      </c>
      <c r="R36" s="331" t="str">
        <f t="shared" ca="1" si="12"/>
        <v/>
      </c>
      <c r="S36" s="330" t="str">
        <f>IF($A36="","",IF(Elect=1,(($T36/Capacity)*100)/ElectMult,($T36/Capacity)*100))</f>
        <v/>
      </c>
      <c r="T36" s="332" t="str">
        <f>IF($A36="","",ABS(IF(Tolerance=$AK$5,IF(GaugeType="Test",(Capacity/100)*0.25,IF(GaugeType="B",(Capacity/100)*2,IF(GaugeLimitMSA2="Y",(Capacity/100)*3,IF(OR($C36&lt;10%*ABS(Capacity),$C36&gt;90%*ABS(Capacity)),(Capacity/100)*1.5,(Capacity/100)*1)))),IF(Tolerance=$AK$1,IF(Elect=1,(ABS(Capacity/100)*Range)*ElectMult,(ABS(Capacity/100)*Range)),IF(Tolerance=$AK$2,IF(Elect=1,IF($C36=0,Division*2,(ABS($C36/100)*Reading))*ElectMult,IF($C36=0,Division*2,(ABS($C36/100)*Reading))),IF(Tolerance=$AK$3,IF(Elect=1,(((Capacity/100)*Range)+(ABS($C36/100)*Reading))*ElectMult,(((Capacity/100)*Range)+(ABS($C36/100)*Reading))),IF(Elect=1,((Counts*Readability)+IF($C36&gt;ABS(ReadingCrossover*$C36),(($C36/100)*Reading),0)+ IF($C36&lt;0,IF(VacRR="Reading",ABS(($C36/100)*Vacuum),(($AL$21/100)*Vacuum)),IF($C36&lt;=((Capacity/100)*RangeCrossover),((Capacity/100)*Range),(($C36/100)*Reading))))*ElectMult,((Counts*Readability)+IF($C36&gt;ABS(ReadingCrossover*$C36),(($C36/100)*Reading),0)+ IF($C36&lt;0,IF(VacRR="Reading",ABS(($C36/100)*Vacuum),(($AL$21/100)*Vacuum)),IF($C36&lt;=((Capacity/100)*RangeCrossover),((Capacity/100)*Range),(($C36/100)*Reading)))))))))))</f>
        <v/>
      </c>
      <c r="U36" s="274"/>
      <c r="V36" s="310"/>
      <c r="W36" s="321" t="str">
        <f t="shared" ca="1" si="7"/>
        <v>---</v>
      </c>
      <c r="X36" s="322" t="str">
        <f t="shared" ca="1" si="8"/>
        <v>---</v>
      </c>
      <c r="Y36" s="322" t="str">
        <f t="shared" si="9"/>
        <v/>
      </c>
      <c r="Z36" s="333" t="e">
        <f ca="1">_xlfn.SINGLE(IF(_xlfn.SINGLE(Elect)=1,INDIRECT("Uncert!I"&amp;(((ROW()-17)*25)-2)),INDIRECT("Uncert!O"&amp;(((ROW()-17)*25)-1))))*VLOOKUP(_xlfn.SINGLE(Units),'1Test Data'!$Y$3:$AB$22,4,0)</f>
        <v>#NAME?</v>
      </c>
      <c r="AA36" s="333" t="str">
        <f t="shared" si="13"/>
        <v>Uncert!M474</v>
      </c>
      <c r="AB36" s="333" t="str">
        <f t="shared" si="14"/>
        <v>Uncert!M475</v>
      </c>
      <c r="AC36" s="333" t="str">
        <f t="shared" si="15"/>
        <v>Uncert!I474</v>
      </c>
      <c r="AZ36" s="102" t="e">
        <f ca="1">UnitConvert*($BA36*$A36^3+$BB36*$A36^2+$BC36*$A36+$BD36)</f>
        <v>#N/A</v>
      </c>
      <c r="BA36" s="335" t="e">
        <f ca="1">VLOOKUP($B36,'1Test Data'!$O$30:$AP$49,23,0)</f>
        <v>#N/A</v>
      </c>
      <c r="BB36" s="335" t="e">
        <f ca="1">VLOOKUP($B36,'1Test Data'!$O$30:$AP$49,24,0)</f>
        <v>#N/A</v>
      </c>
      <c r="BC36" s="335" t="e">
        <f ca="1">VLOOKUP($B36,'1Test Data'!$O$30:$AP$49,25,0)</f>
        <v>#N/A</v>
      </c>
      <c r="BD36" s="335" t="e">
        <f ca="1">VLOOKUP($B36,'1Test Data'!$O$30:$AP$49,26,0)</f>
        <v>#N/A</v>
      </c>
      <c r="BE36" s="335" t="e">
        <f ca="1">VLOOKUP($B36,'1Test Data'!$O$30:$AP$49,27,0)</f>
        <v>#N/A</v>
      </c>
      <c r="BF36" s="335" t="e">
        <f ca="1">VLOOKUP($B36,'1Test Data'!$O$30:$AP$49,28,0)</f>
        <v>#N/A</v>
      </c>
      <c r="BZ36" s="16"/>
      <c r="CA36" s="341" t="str">
        <f>""</f>
        <v/>
      </c>
      <c r="CB36" s="147" t="str">
        <f>""</f>
        <v/>
      </c>
      <c r="CC36" s="147" t="str">
        <f>""</f>
        <v/>
      </c>
      <c r="CD36" s="147" t="str">
        <f>""</f>
        <v/>
      </c>
      <c r="CE36" s="147" t="str">
        <f>""</f>
        <v/>
      </c>
      <c r="CF36" s="65" t="str">
        <f>""</f>
        <v/>
      </c>
      <c r="CG36" s="16"/>
      <c r="CH36" s="16"/>
      <c r="CI36" s="16"/>
      <c r="CJ36" s="16">
        <v>18</v>
      </c>
      <c r="CK36" s="342" t="e">
        <f ca="1">ROUND((($CK$39/19)*$CJ36)/'1Test Data'!$C$19,0)*'1Test Data'!$C$19</f>
        <v>#NAME?</v>
      </c>
      <c r="CL36" s="342" t="e">
        <f t="shared" ca="1" si="16"/>
        <v>#NAME?</v>
      </c>
      <c r="CM36" s="342" t="e">
        <f t="shared" ca="1" si="16"/>
        <v>#NAME?</v>
      </c>
      <c r="CN36" s="342" t="e">
        <f t="shared" ca="1" si="17"/>
        <v>#NAME?</v>
      </c>
      <c r="CO36" s="342" t="e">
        <f t="shared" ca="1" si="17"/>
        <v>#NAME?</v>
      </c>
      <c r="CP36" s="342" t="e">
        <f t="shared" ca="1" si="17"/>
        <v>#NAME?</v>
      </c>
      <c r="CQ36" s="16"/>
      <c r="CR36" s="16"/>
      <c r="CS36" s="16"/>
      <c r="CT36" s="16"/>
      <c r="CU36" s="340" t="e">
        <f t="shared" ca="1" si="24"/>
        <v>#NAME?</v>
      </c>
      <c r="CV36" s="340" t="e">
        <f t="shared" ca="1" si="27"/>
        <v>#NAME?</v>
      </c>
      <c r="CW36" s="340" t="e">
        <f t="shared" ca="1" si="27"/>
        <v>#NAME?</v>
      </c>
      <c r="CX36" s="340" t="e">
        <f t="shared" ca="1" si="27"/>
        <v>#NAME?</v>
      </c>
      <c r="CY36" s="340" t="e">
        <f t="shared" ca="1" si="27"/>
        <v>#NAME?</v>
      </c>
      <c r="CZ36" s="340" t="e">
        <f t="shared" ca="1" si="27"/>
        <v>#NAME?</v>
      </c>
      <c r="DP36" s="104" t="str">
        <f t="shared" ca="1" si="21"/>
        <v/>
      </c>
      <c r="DQ36" s="102" t="str">
        <f t="shared" si="22"/>
        <v/>
      </c>
      <c r="DT36" s="102"/>
    </row>
    <row r="37" spans="1:124" ht="15" customHeight="1" thickBot="1">
      <c r="A37" s="697"/>
      <c r="B37" s="691" t="str">
        <f t="shared" si="23"/>
        <v/>
      </c>
      <c r="C37" s="295" t="str">
        <f>IF(OR(B37="",A37=""),"",IF(Elect=1,$A37*ElectMult+Lower,IF(correction="Y",IF($A37=0,$A37,$A37+$AZ37),$A37)))</f>
        <v/>
      </c>
      <c r="D37" s="325">
        <v>0</v>
      </c>
      <c r="E37" s="324"/>
      <c r="F37" s="696"/>
      <c r="G37" s="696"/>
      <c r="H37" s="326" t="str">
        <f t="shared" si="3"/>
        <v/>
      </c>
      <c r="I37" s="694"/>
      <c r="J37" s="694"/>
      <c r="K37" s="326" t="str">
        <f t="shared" si="4"/>
        <v/>
      </c>
      <c r="L37" s="343" t="str">
        <f t="shared" si="10"/>
        <v/>
      </c>
      <c r="M37" s="343" t="str">
        <f t="shared" si="11"/>
        <v/>
      </c>
      <c r="N37" s="344" t="str">
        <f ca="1">IF(C37="","",IF(IF(_xlfn.SINGLE(Elect)=1,(_xlfn.SINGLE(INDIRECT("Uncert!E"&amp;(((ROW()-17)*25)-20)))/_xlfn.SINGLE(INDIRECT("Uncert!K"&amp;(((ROW()-17)*25)-13))))*VLOOKUP(_xlfn.SINGLE(Units),'1Test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7" s="344" t="str">
        <f t="shared" si="5"/>
        <v/>
      </c>
      <c r="P37" s="344" t="str">
        <f t="shared" si="6"/>
        <v/>
      </c>
      <c r="Q37" s="345" t="str">
        <f ca="1">IF(A37="","",IF(_xlfn.SINGLE(Elect)=1,_xlfn.SINGLE(INDIRECT(AC37))*VLOOKUP(_xlfn.SINGLE(Units),'1Test Data'!$Y$3:$AB$22,4,0),_xlfn.SINGLE(INDIRECT(AA37))*VLOOKUP(_xlfn.SINGLE(Units),'1Test Data'!$Y$3:$AB$22,4,0)))</f>
        <v/>
      </c>
      <c r="R37" s="346" t="str">
        <f t="shared" ca="1" si="12"/>
        <v/>
      </c>
      <c r="S37" s="345" t="str">
        <f>IF($A37="","",IF(Elect=1,(($T37/Capacity)*100)/ElectMult,($T37/Capacity)*100))</f>
        <v/>
      </c>
      <c r="T37" s="332" t="str">
        <f>IF($A37="","",ABS(IF(Tolerance=$AK$5,IF(GaugeType="Test",(Capacity/100)*0.25,IF(GaugeType="B",(Capacity/100)*2,IF(GaugeLimitMSA2="Y",(Capacity/100)*3,IF(OR($C37&lt;10%*ABS(Capacity),$C37&gt;90%*ABS(Capacity)),(Capacity/100)*1.5,(Capacity/100)*1)))),IF(Tolerance=$AK$1,IF(Elect=1,(ABS(Capacity/100)*Range)*ElectMult,(ABS(Capacity/100)*Range)),IF(Tolerance=$AK$2,IF(Elect=1,IF($C37=0,Division*2,(ABS($C37/100)*Reading))*ElectMult,IF($C37=0,Division*2,(ABS($C37/100)*Reading))),IF(Tolerance=$AK$3,IF(Elect=1,(((Capacity/100)*Range)+(ABS($C37/100)*Reading))*ElectMult,(((Capacity/100)*Range)+(ABS($C37/100)*Reading))),IF(Elect=1,((Counts*Readability)+IF($C37&gt;ABS(ReadingCrossover*$C37),(($C37/100)*Reading),0)+ IF($C37&lt;0,IF(VacRR="Reading",ABS(($C37/100)*Vacuum),(($AL$21/100)*Vacuum)),IF($C37&lt;=((Capacity/100)*RangeCrossover),((Capacity/100)*Range),(($C37/100)*Reading))))*ElectMult,((Counts*Readability)+IF($C37&gt;ABS(ReadingCrossover*$C37),(($C37/100)*Reading),0)+ IF($C37&lt;0,IF(VacRR="Reading",ABS(($C37/100)*Vacuum),(($AL$21/100)*Vacuum)),IF($C37&lt;=((Capacity/100)*RangeCrossover),((Capacity/100)*Range),(($C37/100)*Reading)))))))))))</f>
        <v/>
      </c>
      <c r="U37" s="274"/>
      <c r="V37" s="310"/>
      <c r="W37" s="321" t="str">
        <f t="shared" ca="1" si="7"/>
        <v>---</v>
      </c>
      <c r="X37" s="322" t="str">
        <f t="shared" ca="1" si="8"/>
        <v>---</v>
      </c>
      <c r="Y37" s="322" t="str">
        <f t="shared" si="9"/>
        <v/>
      </c>
      <c r="Z37" s="333" t="e">
        <f ca="1">_xlfn.SINGLE(IF(_xlfn.SINGLE(Elect)=1,INDIRECT("Uncert!I"&amp;(((ROW()-17)*25)-2)),INDIRECT("Uncert!O"&amp;(((ROW()-17)*25)-1))))*VLOOKUP(_xlfn.SINGLE(Units),'1Test Data'!$Y$3:$AB$22,4,0)</f>
        <v>#NAME?</v>
      </c>
      <c r="AA37" s="333" t="str">
        <f t="shared" si="13"/>
        <v>Uncert!M499</v>
      </c>
      <c r="AB37" s="333" t="str">
        <f t="shared" si="14"/>
        <v>Uncert!M500</v>
      </c>
      <c r="AC37" s="333" t="str">
        <f t="shared" si="15"/>
        <v>Uncert!I499</v>
      </c>
      <c r="AZ37" s="102" t="e">
        <f ca="1">UnitConvert*($BA37*$A37^3+$BB37*$A37^2+$BC37*$A37+$BD37)</f>
        <v>#N/A</v>
      </c>
      <c r="BA37" s="335" t="e">
        <f ca="1">VLOOKUP($B37,'1Test Data'!$O$30:$AP$49,23,0)</f>
        <v>#N/A</v>
      </c>
      <c r="BB37" s="335" t="e">
        <f ca="1">VLOOKUP($B37,'1Test Data'!$O$30:$AP$49,24,0)</f>
        <v>#N/A</v>
      </c>
      <c r="BC37" s="335" t="e">
        <f ca="1">VLOOKUP($B37,'1Test Data'!$O$30:$AP$49,25,0)</f>
        <v>#N/A</v>
      </c>
      <c r="BD37" s="335" t="e">
        <f ca="1">VLOOKUP($B37,'1Test Data'!$O$30:$AP$49,26,0)</f>
        <v>#N/A</v>
      </c>
      <c r="BE37" s="335" t="e">
        <f ca="1">VLOOKUP($B37,'1Test Data'!$O$30:$AP$49,27,0)</f>
        <v>#N/A</v>
      </c>
      <c r="BF37" s="335" t="e">
        <f ca="1">VLOOKUP($B37,'1Test Data'!$O$30:$AP$49,28,0)</f>
        <v>#N/A</v>
      </c>
      <c r="BZ37" s="16"/>
      <c r="CA37" s="347" t="str">
        <f>""</f>
        <v/>
      </c>
      <c r="CB37" s="348" t="str">
        <f>""</f>
        <v/>
      </c>
      <c r="CC37" s="348" t="str">
        <f>""</f>
        <v/>
      </c>
      <c r="CD37" s="348" t="str">
        <f>""</f>
        <v/>
      </c>
      <c r="CE37" s="348" t="str">
        <f>""</f>
        <v/>
      </c>
      <c r="CF37" s="82" t="str">
        <f>""</f>
        <v/>
      </c>
      <c r="CG37" s="16"/>
      <c r="CH37" s="16"/>
      <c r="CI37" s="16"/>
      <c r="CJ37" s="16">
        <v>19</v>
      </c>
      <c r="CK37" s="342" t="e">
        <f ca="1">ROUND((($CK$39/19)*$CJ37)/'1Test Data'!$C$19,0)*'1Test Data'!$C$19</f>
        <v>#NAME?</v>
      </c>
      <c r="CL37" s="342" t="e">
        <f t="shared" ca="1" si="16"/>
        <v>#NAME?</v>
      </c>
      <c r="CM37" s="342" t="e">
        <f t="shared" ca="1" si="16"/>
        <v>#NAME?</v>
      </c>
      <c r="CN37" s="342" t="e">
        <f t="shared" ca="1" si="17"/>
        <v>#NAME?</v>
      </c>
      <c r="CO37" s="342" t="e">
        <f t="shared" ca="1" si="17"/>
        <v>#NAME?</v>
      </c>
      <c r="CP37" s="342" t="e">
        <f t="shared" ca="1" si="17"/>
        <v>#NAME?</v>
      </c>
      <c r="CQ37" s="16"/>
      <c r="CR37" s="16"/>
      <c r="CS37" s="16"/>
      <c r="CT37" s="16"/>
      <c r="CU37" s="340" t="e">
        <f t="shared" ca="1" si="24"/>
        <v>#NAME?</v>
      </c>
      <c r="CV37" s="340" t="e">
        <f t="shared" ca="1" si="27"/>
        <v>#NAME?</v>
      </c>
      <c r="CW37" s="340" t="e">
        <f t="shared" ca="1" si="27"/>
        <v>#NAME?</v>
      </c>
      <c r="CX37" s="340" t="e">
        <f t="shared" ca="1" si="27"/>
        <v>#NAME?</v>
      </c>
      <c r="CY37" s="340" t="e">
        <f t="shared" ca="1" si="27"/>
        <v>#NAME?</v>
      </c>
      <c r="CZ37" s="340" t="e">
        <f t="shared" ca="1" si="27"/>
        <v>#NAME?</v>
      </c>
      <c r="DP37" s="104" t="str">
        <f t="shared" ca="1" si="21"/>
        <v/>
      </c>
      <c r="DQ37" s="102" t="str">
        <f t="shared" si="22"/>
        <v/>
      </c>
      <c r="DT37" s="102"/>
    </row>
    <row r="38" spans="1:124" ht="15" customHeight="1">
      <c r="A38" s="349"/>
      <c r="B38" s="306"/>
      <c r="C38" s="271"/>
      <c r="D38" s="309"/>
      <c r="E38" s="350" t="e">
        <f>#REF!</f>
        <v>#REF!</v>
      </c>
      <c r="F38" s="1007" t="str">
        <f ca="1">IF(GaugeType="B","Not Tested",IF(OR(W18="Fail",W19="Fail",W20="Fail",W21="Fail",W22="Fail",W23="Fail",W24="Fail",W25="Fail",W26="Fail",W27="Fail",W28="Fail",W29="Fail",W30="Fail",W31="Fail",W32="Fail",W33="Fail",W34="Fail",W35="Fail",W36="Fail",W37="Fail"),"Fail",IF(COUNTIF(W18:W37,"Data?")&gt;1,"Incomplete","Pass")))</f>
        <v>Pass</v>
      </c>
      <c r="G38" s="1008"/>
      <c r="H38" s="271"/>
      <c r="I38" s="1007" t="str">
        <f ca="1">IF(OR(X18="Fail",X19="Fail",X20="Fail",X21="Fail",X22="Fail",X23="Fail",X24="Fail",X25="Fail",X26="Fail",X27="Fail",X28="Fail",X29="Fail",X30="Fail",X31="Fail",X32="Fail",W33="Fail",W34="Fail",W35="Fail",W36="Fail",W37="Fail"),"Fail",IF(COUNTIF(X18:X37,"Data?")&gt;1,"Incomplete","Pass"))</f>
        <v>Pass</v>
      </c>
      <c r="J38" s="1008"/>
      <c r="K38" s="271"/>
      <c r="L38" s="271"/>
      <c r="M38" s="274"/>
      <c r="N38" s="274"/>
      <c r="O38" s="274"/>
      <c r="P38" s="274"/>
      <c r="Q38" s="274"/>
      <c r="R38" s="271"/>
      <c r="S38" s="274"/>
      <c r="T38" s="274"/>
      <c r="U38" s="274"/>
      <c r="V38" s="310"/>
      <c r="W38" s="83">
        <f ca="1">COUNTIF(W18:W37,"Fail")</f>
        <v>0</v>
      </c>
      <c r="X38" s="83">
        <f ca="1">COUNTIF(X18:X37,"Fail")</f>
        <v>0</v>
      </c>
      <c r="Y38" s="83">
        <f ca="1">W38+X38</f>
        <v>0</v>
      </c>
      <c r="Z38" s="16"/>
      <c r="AA38" s="16"/>
      <c r="AB38" s="16"/>
      <c r="AD38" s="102" t="str">
        <f>IF(AND($H$19&lt;&gt;"",$K$19&lt;&gt;""),"increasing &amp; decreasing ",IF($K$19&lt;&gt;"","decreasing ","increasing "))</f>
        <v xml:space="preserve">increasing </v>
      </c>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P38" s="104">
        <f ca="1">MAX(DP18:DP37)</f>
        <v>0</v>
      </c>
      <c r="DQ38" s="102">
        <f>ROUND(MAX(DQ18:DQ37),2)</f>
        <v>0</v>
      </c>
    </row>
    <row r="39" spans="1:124" ht="15" customHeight="1">
      <c r="A39" s="270"/>
      <c r="B39" s="271"/>
      <c r="C39" s="271"/>
      <c r="D39" s="271"/>
      <c r="E39" s="271"/>
      <c r="F39" s="271"/>
      <c r="G39" s="271"/>
      <c r="H39" s="271"/>
      <c r="I39" s="271"/>
      <c r="J39" s="271"/>
      <c r="K39" s="271"/>
      <c r="L39" s="271"/>
      <c r="M39" s="271"/>
      <c r="N39" s="271"/>
      <c r="O39" s="271"/>
      <c r="P39" s="271"/>
      <c r="Q39" s="271"/>
      <c r="R39" s="271"/>
      <c r="S39" s="271"/>
      <c r="T39" s="271"/>
      <c r="U39" s="271"/>
      <c r="V39" s="20"/>
      <c r="BZ39" s="16"/>
      <c r="CA39" s="16"/>
      <c r="CB39" s="16"/>
      <c r="CC39" s="16"/>
      <c r="CD39" s="16"/>
      <c r="CE39" s="16"/>
      <c r="CF39" s="16"/>
      <c r="CG39" s="16"/>
      <c r="CH39" s="16"/>
      <c r="CI39" s="1022" t="s">
        <v>69</v>
      </c>
      <c r="CJ39" s="1023"/>
      <c r="CK39" s="351" t="e">
        <f>Capacity</f>
        <v>#NAME?</v>
      </c>
      <c r="CL39" s="16"/>
      <c r="CM39" s="16"/>
      <c r="CN39" s="16"/>
      <c r="CO39" s="16"/>
      <c r="CP39" s="16"/>
      <c r="CQ39" s="16"/>
      <c r="CR39" s="16"/>
      <c r="CS39" s="1022" t="s">
        <v>69</v>
      </c>
      <c r="CT39" s="1023"/>
      <c r="CU39" s="147" t="e">
        <f>CK39</f>
        <v>#NAME?</v>
      </c>
      <c r="CV39" s="16"/>
      <c r="CW39" s="16"/>
      <c r="CX39" s="16"/>
      <c r="CY39" s="16"/>
      <c r="CZ39" s="16"/>
    </row>
    <row r="40" spans="1:124">
      <c r="A40" s="270"/>
      <c r="B40" s="271"/>
      <c r="C40" s="271"/>
      <c r="D40" s="271"/>
      <c r="E40" s="271"/>
      <c r="F40" s="1024" t="s">
        <v>307</v>
      </c>
      <c r="G40" s="1025"/>
      <c r="H40" s="352" t="str">
        <f ca="1">IF(OR($F$38="incomplete",$I$38="incomplete"),"Incomplete",IF(OR($F$38="Fail", $I$38="Fail", $F$38="Fail"),"FAIL","PASS"))</f>
        <v>PASS</v>
      </c>
      <c r="I40" s="271"/>
      <c r="J40" s="271"/>
      <c r="K40" s="271"/>
      <c r="L40" s="271"/>
      <c r="M40" s="271"/>
      <c r="N40" s="271"/>
      <c r="O40" s="271"/>
      <c r="P40" s="271"/>
      <c r="Q40" s="271"/>
      <c r="R40" s="271"/>
      <c r="S40" s="271"/>
      <c r="T40" s="271"/>
      <c r="U40" s="271"/>
      <c r="V40" s="20"/>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row>
    <row r="41" spans="1:124" ht="13.5" thickBot="1">
      <c r="A41" s="353"/>
      <c r="B41" s="354"/>
      <c r="C41" s="354"/>
      <c r="D41" s="354"/>
      <c r="E41" s="354"/>
      <c r="F41" s="354"/>
      <c r="G41" s="354"/>
      <c r="H41" s="354"/>
      <c r="I41" s="354"/>
      <c r="J41" s="354"/>
      <c r="K41" s="354"/>
      <c r="L41" s="354"/>
      <c r="M41" s="354"/>
      <c r="N41" s="354"/>
      <c r="O41" s="354"/>
      <c r="P41" s="354"/>
      <c r="Q41" s="354"/>
      <c r="R41" s="354"/>
      <c r="S41" s="354"/>
      <c r="T41" s="354"/>
      <c r="U41" s="354"/>
      <c r="V41" s="91"/>
    </row>
  </sheetData>
  <mergeCells count="45">
    <mergeCell ref="CI39:CJ39"/>
    <mergeCell ref="CS39:CT39"/>
    <mergeCell ref="F40:G40"/>
    <mergeCell ref="AD17:AJ17"/>
    <mergeCell ref="CA17:CF17"/>
    <mergeCell ref="CK17:CP17"/>
    <mergeCell ref="CU17:CZ17"/>
    <mergeCell ref="F38:G38"/>
    <mergeCell ref="I38:J38"/>
    <mergeCell ref="O15:P15"/>
    <mergeCell ref="Q15:R15"/>
    <mergeCell ref="CR15:CS15"/>
    <mergeCell ref="L16:L17"/>
    <mergeCell ref="M16:M17"/>
    <mergeCell ref="Q16:Q17"/>
    <mergeCell ref="R16:R17"/>
    <mergeCell ref="S16:S17"/>
    <mergeCell ref="T16:T17"/>
    <mergeCell ref="BA16:BF16"/>
    <mergeCell ref="R12:U13"/>
    <mergeCell ref="A15:A17"/>
    <mergeCell ref="B15:B17"/>
    <mergeCell ref="C15:C17"/>
    <mergeCell ref="D15:D17"/>
    <mergeCell ref="E15:E17"/>
    <mergeCell ref="F15:H15"/>
    <mergeCell ref="I15:K15"/>
    <mergeCell ref="L15:M15"/>
    <mergeCell ref="N15:N16"/>
    <mergeCell ref="B10:B11"/>
    <mergeCell ref="C10:C11"/>
    <mergeCell ref="E10:M10"/>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63" priority="10" stopIfTrue="1">
      <formula>ReferenceType ="Dead Weight Tester"</formula>
    </cfRule>
  </conditionalFormatting>
  <conditionalFormatting sqref="N15">
    <cfRule type="expression" dxfId="62" priority="11" stopIfTrue="1">
      <formula>ReferenceType ="Dead Weight Tester"</formula>
    </cfRule>
  </conditionalFormatting>
  <conditionalFormatting sqref="F38 I38">
    <cfRule type="cellIs" dxfId="61" priority="5" stopIfTrue="1" operator="equal">
      <formula>"Incomplete"</formula>
    </cfRule>
    <cfRule type="cellIs" dxfId="60" priority="12" stopIfTrue="1" operator="equal">
      <formula>"Pass"</formula>
    </cfRule>
    <cfRule type="cellIs" dxfId="59" priority="13" stopIfTrue="1" operator="equal">
      <formula>"Fail"</formula>
    </cfRule>
    <cfRule type="cellIs" dxfId="58" priority="14" stopIfTrue="1" operator="equal">
      <formula>"Incomplete"</formula>
    </cfRule>
  </conditionalFormatting>
  <conditionalFormatting sqref="H18:H37">
    <cfRule type="expression" dxfId="57" priority="3" stopIfTrue="1">
      <formula>W18="Pass Indeterminate"</formula>
    </cfRule>
    <cfRule type="expression" dxfId="56" priority="4" stopIfTrue="1">
      <formula>W18="Fail Indeterminate"</formula>
    </cfRule>
    <cfRule type="expression" dxfId="55" priority="15" stopIfTrue="1">
      <formula>W18="Fail"</formula>
    </cfRule>
  </conditionalFormatting>
  <conditionalFormatting sqref="K18:K37">
    <cfRule type="expression" dxfId="54" priority="1" stopIfTrue="1">
      <formula>X18="Fail Indeterminate"</formula>
    </cfRule>
    <cfRule type="expression" dxfId="53" priority="2" stopIfTrue="1">
      <formula>X18="Pass Indeterminate"</formula>
    </cfRule>
    <cfRule type="expression" dxfId="52" priority="9" stopIfTrue="1">
      <formula>X18="Fail"</formula>
    </cfRule>
  </conditionalFormatting>
  <conditionalFormatting sqref="E14">
    <cfRule type="expression" dxfId="51" priority="8">
      <formula>ReffTest="Indicated"</formula>
    </cfRule>
  </conditionalFormatting>
  <conditionalFormatting sqref="M8">
    <cfRule type="expression" dxfId="50" priority="7">
      <formula>$M$8="?"</formula>
    </cfRule>
  </conditionalFormatting>
  <conditionalFormatting sqref="M7">
    <cfRule type="expression" dxfId="49" priority="6">
      <formula>$M$7="?"</formula>
    </cfRule>
  </conditionalFormatting>
  <dataValidations count="2">
    <dataValidation type="list" allowBlank="1" showInputMessage="1" showErrorMessage="1" sqref="C2" xr:uid="{1493EE7A-CA69-4FDE-A21D-EBF46D4A32DD}">
      <formula1>$AC$5:$AC$7</formula1>
    </dataValidation>
    <dataValidation type="list" allowBlank="1" showInputMessage="1" showErrorMessage="1" sqref="C6:E6" xr:uid="{7F94969D-6DD0-4B53-AA1C-9E20A1BA61CB}">
      <formula1>$AC$9:$AC$17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TestData">
              <controlPr defaultSize="0" autoFill="0" autoPict="0" macro="[4]!TestData_Click">
                <anchor moveWithCells="1">
                  <from>
                    <xdr:col>0</xdr:col>
                    <xdr:colOff>133350</xdr:colOff>
                    <xdr:row>1</xdr:row>
                    <xdr:rowOff>57150</xdr:rowOff>
                  </from>
                  <to>
                    <xdr:col>1</xdr:col>
                    <xdr:colOff>419100</xdr:colOff>
                    <xdr:row>6</xdr:row>
                    <xdr:rowOff>38100</xdr:rowOff>
                  </to>
                </anchor>
              </controlPr>
            </control>
          </mc:Choice>
        </mc:AlternateContent>
        <mc:AlternateContent xmlns:mc="http://schemas.openxmlformats.org/markup-compatibility/2006">
          <mc:Choice Requires="x14">
            <control shapeId="22530" r:id="rId5" name="Zero">
              <controlPr defaultSize="0" print="0" autoFill="0" autoPict="0" macro="[4]!Zero_Click">
                <anchor moveWithCells="1" sizeWithCells="1">
                  <from>
                    <xdr:col>0</xdr:col>
                    <xdr:colOff>180975</xdr:colOff>
                    <xdr:row>2</xdr:row>
                    <xdr:rowOff>38100</xdr:rowOff>
                  </from>
                  <to>
                    <xdr:col>1</xdr:col>
                    <xdr:colOff>342900</xdr:colOff>
                    <xdr:row>3</xdr:row>
                    <xdr:rowOff>19050</xdr:rowOff>
                  </to>
                </anchor>
              </controlPr>
            </control>
          </mc:Choice>
        </mc:AlternateContent>
        <mc:AlternateContent xmlns:mc="http://schemas.openxmlformats.org/markup-compatibility/2006">
          <mc:Choice Requires="x14">
            <control shapeId="22531" r:id="rId6" name="Pass">
              <controlPr defaultSize="0" print="0" autoFill="0" autoPict="0" macro="[4]!Pass_Click">
                <anchor moveWithCells="1" sizeWithCells="1">
                  <from>
                    <xdr:col>0</xdr:col>
                    <xdr:colOff>180975</xdr:colOff>
                    <xdr:row>3</xdr:row>
                    <xdr:rowOff>95250</xdr:rowOff>
                  </from>
                  <to>
                    <xdr:col>1</xdr:col>
                    <xdr:colOff>352425</xdr:colOff>
                    <xdr:row>4</xdr:row>
                    <xdr:rowOff>66675</xdr:rowOff>
                  </to>
                </anchor>
              </controlPr>
            </control>
          </mc:Choice>
        </mc:AlternateContent>
        <mc:AlternateContent xmlns:mc="http://schemas.openxmlformats.org/markup-compatibility/2006">
          <mc:Choice Requires="x14">
            <control shapeId="22532" r:id="rId7" name="Fail">
              <controlPr defaultSize="0" print="0" autoFill="0" autoPict="0" macro="[4]!Fail_Click">
                <anchor moveWithCells="1" sizeWithCells="1">
                  <from>
                    <xdr:col>0</xdr:col>
                    <xdr:colOff>180975</xdr:colOff>
                    <xdr:row>4</xdr:row>
                    <xdr:rowOff>133350</xdr:rowOff>
                  </from>
                  <to>
                    <xdr:col>1</xdr:col>
                    <xdr:colOff>352425</xdr:colOff>
                    <xdr:row>5</xdr:row>
                    <xdr:rowOff>142875</xdr:rowOff>
                  </to>
                </anchor>
              </controlPr>
            </control>
          </mc:Choice>
        </mc:AlternateContent>
        <mc:AlternateContent xmlns:mc="http://schemas.openxmlformats.org/markup-compatibility/2006">
          <mc:Choice Requires="x14">
            <control shapeId="22533"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22534" r:id="rId9" name="retern">
              <controlPr defaultSize="0" print="0" autoFill="0" autoPict="0" macro="[0]!retern_Click">
                <anchor moveWithCells="1" sizeWithCells="1">
                  <from>
                    <xdr:col>14</xdr:col>
                    <xdr:colOff>95250</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22535" r:id="rId10" name="Reviewed">
              <controlPr defaultSize="0" print="0" autoFill="0" autoPict="0" macro="[0]!Reviewed_Click">
                <anchor moveWithCells="1" sizeWithCells="1">
                  <from>
                    <xdr:col>14</xdr:col>
                    <xdr:colOff>95250</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22536" r:id="rId11" name="NATAB">
              <controlPr defaultSize="0" print="0" autoFill="0" autoPict="0" macro="[0]!NATA_Click">
                <anchor moveWithCells="1" sizeWithCells="1">
                  <from>
                    <xdr:col>14</xdr:col>
                    <xdr:colOff>104775</xdr:colOff>
                    <xdr:row>1</xdr:row>
                    <xdr:rowOff>47625</xdr:rowOff>
                  </from>
                  <to>
                    <xdr:col>17</xdr:col>
                    <xdr:colOff>438150</xdr:colOff>
                    <xdr:row>2</xdr:row>
                    <xdr:rowOff>123825</xdr:rowOff>
                  </to>
                </anchor>
              </controlPr>
            </control>
          </mc:Choice>
        </mc:AlternateContent>
        <mc:AlternateContent xmlns:mc="http://schemas.openxmlformats.org/markup-compatibility/2006">
          <mc:Choice Requires="x14">
            <control shapeId="22537" r:id="rId12" name="Group Box 9">
              <controlPr defaultSize="0" autoFill="0" autoPict="0">
                <anchor moveWithCells="1">
                  <from>
                    <xdr:col>14</xdr:col>
                    <xdr:colOff>0</xdr:colOff>
                    <xdr:row>0</xdr:row>
                    <xdr:rowOff>142875</xdr:rowOff>
                  </from>
                  <to>
                    <xdr:col>17</xdr:col>
                    <xdr:colOff>495300</xdr:colOff>
                    <xdr:row>4</xdr:row>
                    <xdr:rowOff>114300</xdr:rowOff>
                  </to>
                </anchor>
              </controlPr>
            </control>
          </mc:Choice>
        </mc:AlternateContent>
        <mc:AlternateContent xmlns:mc="http://schemas.openxmlformats.org/markup-compatibility/2006">
          <mc:Choice Requires="x14">
            <control shapeId="22538" r:id="rId13" name="Norm">
              <controlPr defaultSize="0" print="0" autoFill="0" autoPict="0" macro="[0]!normalise_Click">
                <anchor moveWithCells="1" sizeWithCells="1">
                  <from>
                    <xdr:col>7</xdr:col>
                    <xdr:colOff>9525</xdr:colOff>
                    <xdr:row>13</xdr:row>
                    <xdr:rowOff>0</xdr:rowOff>
                  </from>
                  <to>
                    <xdr:col>7</xdr:col>
                    <xdr:colOff>590550</xdr:colOff>
                    <xdr:row>13</xdr:row>
                    <xdr:rowOff>171450</xdr:rowOff>
                  </to>
                </anchor>
              </controlPr>
            </control>
          </mc:Choice>
        </mc:AlternateContent>
        <mc:AlternateContent xmlns:mc="http://schemas.openxmlformats.org/markup-compatibility/2006">
          <mc:Choice Requires="x14">
            <control shapeId="22539" r:id="rId14" name="INorm">
              <controlPr defaultSize="0" print="0" autoFill="0" autoPict="0" macro="[4]!Indicated_Click">
                <anchor moveWithCells="1" sizeWithCells="1">
                  <from>
                    <xdr:col>6</xdr:col>
                    <xdr:colOff>209550</xdr:colOff>
                    <xdr:row>13</xdr:row>
                    <xdr:rowOff>19050</xdr:rowOff>
                  </from>
                  <to>
                    <xdr:col>9</xdr:col>
                    <xdr:colOff>161925</xdr:colOff>
                    <xdr:row>13</xdr:row>
                    <xdr:rowOff>171450</xdr:rowOff>
                  </to>
                </anchor>
              </controlPr>
            </control>
          </mc:Choice>
        </mc:AlternateContent>
        <mc:AlternateContent xmlns:mc="http://schemas.openxmlformats.org/markup-compatibility/2006">
          <mc:Choice Requires="x14">
            <control shapeId="22540" r:id="rId15" name="Trainee">
              <controlPr defaultSize="0" print="0" autoFill="0" autoPict="0" macro="[4]!Trainee_Click">
                <anchor moveWithCells="1" sizeWithCells="1">
                  <from>
                    <xdr:col>16</xdr:col>
                    <xdr:colOff>400050</xdr:colOff>
                    <xdr:row>6</xdr:row>
                    <xdr:rowOff>171450</xdr:rowOff>
                  </from>
                  <to>
                    <xdr:col>20</xdr:col>
                    <xdr:colOff>95250</xdr:colOff>
                    <xdr:row>8</xdr:row>
                    <xdr:rowOff>57150</xdr:rowOff>
                  </to>
                </anchor>
              </controlPr>
            </control>
          </mc:Choice>
        </mc:AlternateContent>
        <mc:AlternateContent xmlns:mc="http://schemas.openxmlformats.org/markup-compatibility/2006">
          <mc:Choice Requires="x14">
            <control shapeId="22541" r:id="rId16" name="Traceable">
              <controlPr defaultSize="0" print="0" autoFill="0" autoPict="0" macro="[0]!Traceable_Click">
                <anchor moveWithCells="1" sizeWithCells="1">
                  <from>
                    <xdr:col>14</xdr:col>
                    <xdr:colOff>95250</xdr:colOff>
                    <xdr:row>1</xdr:row>
                    <xdr:rowOff>19050</xdr:rowOff>
                  </from>
                  <to>
                    <xdr:col>17</xdr:col>
                    <xdr:colOff>428625</xdr:colOff>
                    <xdr:row>2</xdr:row>
                    <xdr:rowOff>95250</xdr:rowOff>
                  </to>
                </anchor>
              </controlPr>
            </control>
          </mc:Choice>
        </mc:AlternateContent>
        <mc:AlternateContent xmlns:mc="http://schemas.openxmlformats.org/markup-compatibility/2006">
          <mc:Choice Requires="x14">
            <control shapeId="22542" r:id="rId17" name="Button 14">
              <controlPr defaultSize="0" print="0" autoFill="0" autoPict="0" macro="[0]!StartTimer">
                <anchor moveWithCells="1" sizeWithCells="1">
                  <from>
                    <xdr:col>16</xdr:col>
                    <xdr:colOff>19050</xdr:colOff>
                    <xdr:row>11</xdr:row>
                    <xdr:rowOff>38100</xdr:rowOff>
                  </from>
                  <to>
                    <xdr:col>16</xdr:col>
                    <xdr:colOff>581025</xdr:colOff>
                    <xdr:row>11</xdr:row>
                    <xdr:rowOff>247650</xdr:rowOff>
                  </to>
                </anchor>
              </controlPr>
            </control>
          </mc:Choice>
        </mc:AlternateContent>
        <mc:AlternateContent xmlns:mc="http://schemas.openxmlformats.org/markup-compatibility/2006">
          <mc:Choice Requires="x14">
            <control shapeId="22543" r:id="rId18" name="Button 15">
              <controlPr defaultSize="0" print="0" autoFill="0" autoPict="0" macro="[0]!StopTimer">
                <anchor moveWithCells="1" sizeWithCells="1">
                  <from>
                    <xdr:col>16</xdr:col>
                    <xdr:colOff>19050</xdr:colOff>
                    <xdr:row>12</xdr:row>
                    <xdr:rowOff>28575</xdr:rowOff>
                  </from>
                  <to>
                    <xdr:col>16</xdr:col>
                    <xdr:colOff>581025</xdr:colOff>
                    <xdr:row>12</xdr:row>
                    <xdr:rowOff>238125</xdr:rowOff>
                  </to>
                </anchor>
              </controlPr>
            </control>
          </mc:Choice>
        </mc:AlternateContent>
        <mc:AlternateContent xmlns:mc="http://schemas.openxmlformats.org/markup-compatibility/2006">
          <mc:Choice Requires="x14">
            <control shapeId="22544" r:id="rId19" name="Button 16">
              <controlPr defaultSize="0" print="0" autoFill="0" autoPict="0" macro="[0]!Reset">
                <anchor moveWithCells="1" sizeWithCells="1">
                  <from>
                    <xdr:col>15</xdr:col>
                    <xdr:colOff>123825</xdr:colOff>
                    <xdr:row>11</xdr:row>
                    <xdr:rowOff>28575</xdr:rowOff>
                  </from>
                  <to>
                    <xdr:col>15</xdr:col>
                    <xdr:colOff>590550</xdr:colOff>
                    <xdr:row>12</xdr:row>
                    <xdr:rowOff>228600</xdr:rowOff>
                  </to>
                </anchor>
              </controlPr>
            </control>
          </mc:Choice>
        </mc:AlternateContent>
        <mc:AlternateContent xmlns:mc="http://schemas.openxmlformats.org/markup-compatibility/2006">
          <mc:Choice Requires="x14">
            <control shapeId="22545" r:id="rId20" name="Button 17">
              <controlPr defaultSize="0" print="0" autoFill="0" autoPict="0" macro="[0]!_xludf.Clear">
                <anchor moveWithCells="1" sizeWithCells="1">
                  <from>
                    <xdr:col>32</xdr:col>
                    <xdr:colOff>19050</xdr:colOff>
                    <xdr:row>31</xdr:row>
                    <xdr:rowOff>180975</xdr:rowOff>
                  </from>
                  <to>
                    <xdr:col>34</xdr:col>
                    <xdr:colOff>9525</xdr:colOff>
                    <xdr:row>33</xdr:row>
                    <xdr:rowOff>76200</xdr:rowOff>
                  </to>
                </anchor>
              </controlPr>
            </control>
          </mc:Choice>
        </mc:AlternateContent>
        <mc:AlternateContent xmlns:mc="http://schemas.openxmlformats.org/markup-compatibility/2006">
          <mc:Choice Requires="x14">
            <control shapeId="22546" r:id="rId21" name="Button 18">
              <controlPr defaultSize="0" print="0" autoFill="0" autoPict="0" macro="[0]!Button26_Click">
                <anchor moveWithCells="1" sizeWithCells="1">
                  <from>
                    <xdr:col>32</xdr:col>
                    <xdr:colOff>19050</xdr:colOff>
                    <xdr:row>34</xdr:row>
                    <xdr:rowOff>9525</xdr:rowOff>
                  </from>
                  <to>
                    <xdr:col>33</xdr:col>
                    <xdr:colOff>581025</xdr:colOff>
                    <xdr:row>35</xdr:row>
                    <xdr:rowOff>142875</xdr:rowOff>
                  </to>
                </anchor>
              </controlPr>
            </control>
          </mc:Choice>
        </mc:AlternateContent>
        <mc:AlternateContent xmlns:mc="http://schemas.openxmlformats.org/markup-compatibility/2006">
          <mc:Choice Requires="x14">
            <control shapeId="22547" r:id="rId22" name="Button 19">
              <controlPr defaultSize="0" print="0" autoFill="0" autoPict="0" macro="[0]!Button27_Click">
                <anchor moveWithCells="1" sizeWithCells="1">
                  <from>
                    <xdr:col>32</xdr:col>
                    <xdr:colOff>19050</xdr:colOff>
                    <xdr:row>36</xdr:row>
                    <xdr:rowOff>38100</xdr:rowOff>
                  </from>
                  <to>
                    <xdr:col>33</xdr:col>
                    <xdr:colOff>590550</xdr:colOff>
                    <xdr:row>38</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B078-E256-4C22-8468-0C97FD8E1297}">
  <sheetPr codeName="Sheet5"/>
  <dimension ref="A1:DB175"/>
  <sheetViews>
    <sheetView showGridLines="0" view="pageBreakPreview" topLeftCell="A98" zoomScaleNormal="100" zoomScaleSheetLayoutView="100" zoomScalePageLayoutView="85" workbookViewId="0">
      <selection activeCell="P19" sqref="P19"/>
    </sheetView>
  </sheetViews>
  <sheetFormatPr defaultColWidth="0" defaultRowHeight="12.75" customHeight="1" zeroHeight="1"/>
  <cols>
    <col min="1" max="1" width="7.5703125" style="356" customWidth="1"/>
    <col min="2" max="2" width="3.7109375" style="356" customWidth="1"/>
    <col min="3" max="3" width="7.28515625" style="356" customWidth="1"/>
    <col min="4" max="5" width="6.140625" style="356" customWidth="1"/>
    <col min="6" max="7" width="12.140625" style="356" customWidth="1"/>
    <col min="8" max="8" width="11" style="356" customWidth="1"/>
    <col min="9" max="9" width="10.42578125" style="356" customWidth="1"/>
    <col min="10" max="11" width="5.5703125" style="356" customWidth="1"/>
    <col min="12" max="12" width="17.85546875" style="356" customWidth="1"/>
    <col min="13" max="14" width="6.140625" style="357" customWidth="1"/>
    <col min="15" max="15" width="13.140625" style="357" bestFit="1" customWidth="1"/>
    <col min="16" max="16" width="15.140625" style="357" customWidth="1"/>
    <col min="17" max="23" width="9.140625" style="357" customWidth="1"/>
    <col min="24" max="24" width="12.42578125" style="357" bestFit="1" customWidth="1"/>
    <col min="25" max="25" width="9.140625" style="357" customWidth="1"/>
    <col min="26" max="26" width="20.28515625" style="357" bestFit="1" customWidth="1"/>
    <col min="27" max="27" width="6" style="357" customWidth="1"/>
    <col min="28" max="28" width="17.28515625" style="357" bestFit="1" customWidth="1"/>
    <col min="29" max="37" width="9.140625" style="357" customWidth="1"/>
    <col min="38" max="94" width="9.140625" style="356" customWidth="1"/>
    <col min="95" max="106" width="0" style="356" hidden="1" customWidth="1"/>
    <col min="107" max="16384" width="9.140625" style="356" hidden="1"/>
  </cols>
  <sheetData>
    <row r="1" spans="1:14" ht="13.9" hidden="1" customHeight="1">
      <c r="A1" s="355" t="s">
        <v>171</v>
      </c>
      <c r="B1" s="355"/>
      <c r="C1" s="355"/>
      <c r="D1" s="355"/>
    </row>
    <row r="2" spans="1:14" ht="15.75" customHeight="1">
      <c r="A2" s="358" t="s">
        <v>308</v>
      </c>
      <c r="B2" s="355"/>
      <c r="C2" s="355"/>
      <c r="D2" s="355"/>
      <c r="F2" s="1047" t="str">
        <f>IF(OR('Setup Data'!B3="Auckland", 'Setup Data'!B3="Christchurch"), "Tex Onsite", "Tex At Site Pty Ltd")</f>
        <v>Tex At Site Pty Ltd</v>
      </c>
      <c r="G2" s="1047"/>
      <c r="H2" s="1047"/>
    </row>
    <row r="3" spans="1:14" ht="15.75" customHeight="1">
      <c r="A3" s="358" t="s">
        <v>170</v>
      </c>
      <c r="B3" s="358" t="s">
        <v>171</v>
      </c>
      <c r="C3" s="355" t="s">
        <v>102</v>
      </c>
      <c r="D3" s="355" t="s">
        <v>172</v>
      </c>
      <c r="E3" s="359"/>
      <c r="F3" s="1047"/>
      <c r="G3" s="1047"/>
      <c r="H3" s="1047"/>
      <c r="I3" s="355"/>
      <c r="J3" s="355"/>
      <c r="K3" s="355"/>
      <c r="L3" s="355"/>
      <c r="M3" s="358"/>
    </row>
    <row r="4" spans="1:14" ht="15.75" customHeight="1">
      <c r="B4" s="355"/>
      <c r="C4" s="355"/>
      <c r="D4" s="355"/>
      <c r="F4" s="360" t="str">
        <f>IF(NATA="Y","Nunawading NATA Laboratory","Operations Group - "&amp;VLOOKUP(Lab,'Setup Data'!$AB$2:$AG$21,4,FALSE))</f>
        <v>Nunawading NATA Laboratory</v>
      </c>
      <c r="G4" s="360"/>
      <c r="H4" s="360"/>
    </row>
    <row r="5" spans="1:14" ht="15.75" customHeight="1">
      <c r="A5" s="355"/>
      <c r="B5" s="355"/>
      <c r="C5" s="355"/>
      <c r="D5" s="355"/>
      <c r="F5" s="360" t="str">
        <f>IF(NATA="Y","17 Ceylon Street",VLOOKUP(Lab,'Setup Data'!$AB$2:$AG$21,2,FALSE)) &amp; ", " &amp; IF(NATA="Y","Nunawading, Vic, 3131",VLOOKUP(Lab,'Setup Data'!$AB$2:$AG$21,4,FALSE)  &amp;  ", "   &amp;  VLOOKUP(Lab,'Setup Data'!$AB$2:$AG$21,6,FALSE) &amp;  ", " &amp; VLOOKUP(Lab,'Setup Data'!$AB$2:$AG$21,5,FALSE))</f>
        <v>17 Ceylon Street, Nunawading, Vic, 3131</v>
      </c>
      <c r="G5" s="361"/>
      <c r="H5" s="361"/>
    </row>
    <row r="6" spans="1:14" ht="15.75" customHeight="1">
      <c r="A6" s="355"/>
      <c r="B6" s="355"/>
      <c r="C6" s="355"/>
      <c r="D6" s="355"/>
      <c r="E6" s="361" t="str">
        <f>IF(NATA="Y","",VLOOKUP(Lab,'Setup Data'!$AB$2:$AG$21,3,FALSE))</f>
        <v/>
      </c>
      <c r="F6" s="361"/>
      <c r="G6" s="361"/>
      <c r="H6" s="362"/>
      <c r="I6" s="363"/>
      <c r="J6" s="363"/>
      <c r="K6" s="363"/>
      <c r="L6" s="363"/>
      <c r="M6" s="364"/>
    </row>
    <row r="7" spans="1:14" ht="5.25" customHeight="1">
      <c r="A7" s="365"/>
      <c r="B7" s="366"/>
      <c r="C7" s="366"/>
      <c r="D7" s="366"/>
      <c r="E7" s="366"/>
      <c r="F7" s="366"/>
      <c r="G7" s="366"/>
      <c r="H7" s="366"/>
      <c r="I7" s="366"/>
      <c r="J7" s="367"/>
      <c r="K7" s="367"/>
      <c r="L7" s="366"/>
      <c r="M7" s="368"/>
      <c r="N7" s="368"/>
    </row>
    <row r="8" spans="1:14" ht="31.5" customHeight="1">
      <c r="A8" s="1048" t="s">
        <v>309</v>
      </c>
      <c r="B8" s="1048"/>
      <c r="C8" s="1048"/>
      <c r="D8" s="1048"/>
      <c r="E8" s="1048"/>
      <c r="F8" s="1048"/>
      <c r="G8" s="1048"/>
      <c r="H8" s="1048"/>
      <c r="I8" s="1048"/>
      <c r="J8" s="1048"/>
      <c r="K8" s="1048"/>
      <c r="L8" s="1048"/>
      <c r="M8" s="1048"/>
      <c r="N8" s="1048"/>
    </row>
    <row r="9" spans="1:14" ht="31.5" customHeight="1">
      <c r="A9" s="1049"/>
      <c r="B9" s="1049"/>
      <c r="C9" s="1049"/>
      <c r="D9" s="1049"/>
      <c r="E9" s="1049"/>
      <c r="F9" s="1049"/>
      <c r="G9" s="1049"/>
      <c r="H9" s="1049"/>
      <c r="I9" s="1049"/>
      <c r="J9" s="1049"/>
      <c r="K9" s="1049"/>
      <c r="L9" s="1049"/>
      <c r="M9" s="1049"/>
      <c r="N9" s="1049"/>
    </row>
    <row r="10" spans="1:14" ht="6.75" customHeight="1">
      <c r="A10" s="369"/>
      <c r="B10" s="369"/>
      <c r="C10" s="369"/>
      <c r="D10" s="369"/>
      <c r="E10" s="369"/>
      <c r="F10" s="369"/>
      <c r="G10" s="369"/>
      <c r="H10" s="369"/>
      <c r="I10" s="369"/>
      <c r="J10" s="369"/>
      <c r="K10" s="369"/>
      <c r="L10" s="369"/>
      <c r="M10" s="370"/>
    </row>
    <row r="11" spans="1:14" ht="15.75" customHeight="1">
      <c r="B11" s="360"/>
      <c r="C11" s="360" t="s">
        <v>130</v>
      </c>
      <c r="D11" s="360"/>
      <c r="E11" s="360"/>
      <c r="F11" s="361" t="e">
        <f>UPPER(jobNumber &amp; "-" &amp; AN)</f>
        <v>#NAME?</v>
      </c>
      <c r="G11" s="360"/>
      <c r="H11" s="360"/>
      <c r="I11" s="360"/>
      <c r="J11" s="371"/>
      <c r="K11" s="371"/>
      <c r="L11" s="360"/>
    </row>
    <row r="12" spans="1:14" ht="6" customHeight="1">
      <c r="B12" s="360"/>
      <c r="C12" s="360"/>
      <c r="D12" s="360"/>
      <c r="E12" s="360"/>
      <c r="F12" s="360"/>
      <c r="G12" s="360"/>
      <c r="H12" s="360"/>
      <c r="I12" s="360"/>
      <c r="J12" s="371"/>
      <c r="K12" s="371"/>
      <c r="L12" s="360"/>
    </row>
    <row r="13" spans="1:14" ht="15.75" customHeight="1">
      <c r="B13" s="360"/>
      <c r="C13" s="360" t="s">
        <v>310</v>
      </c>
      <c r="D13" s="360"/>
      <c r="E13" s="360"/>
      <c r="F13" s="361" t="str">
        <f>customerName</f>
        <v>?</v>
      </c>
      <c r="G13" s="360"/>
      <c r="H13" s="360"/>
      <c r="I13" s="360"/>
      <c r="J13" s="371"/>
      <c r="K13" s="371"/>
      <c r="L13" s="360"/>
    </row>
    <row r="14" spans="1:14" ht="15.75" customHeight="1">
      <c r="B14" s="360"/>
      <c r="C14" s="360"/>
      <c r="D14" s="360"/>
      <c r="E14" s="360"/>
      <c r="F14" s="1050" t="str">
        <f>'Setup Data'!E6</f>
        <v>?</v>
      </c>
      <c r="G14" s="1050"/>
      <c r="H14" s="360"/>
      <c r="I14" s="360"/>
      <c r="J14" s="371"/>
      <c r="K14" s="371"/>
      <c r="L14" s="360"/>
    </row>
    <row r="15" spans="1:14" ht="15.75" customHeight="1">
      <c r="B15" s="360"/>
      <c r="C15" s="360"/>
      <c r="D15" s="360"/>
      <c r="E15" s="360"/>
      <c r="F15" s="1050"/>
      <c r="G15" s="1050"/>
      <c r="H15" s="360"/>
      <c r="I15" s="360"/>
      <c r="J15" s="371"/>
      <c r="K15" s="371"/>
      <c r="L15" s="360"/>
    </row>
    <row r="16" spans="1:14" ht="6" customHeight="1">
      <c r="B16" s="360"/>
      <c r="C16" s="360"/>
      <c r="D16" s="360"/>
      <c r="E16" s="360"/>
      <c r="F16" s="360"/>
      <c r="G16" s="360"/>
      <c r="H16" s="360"/>
      <c r="I16" s="360"/>
      <c r="J16" s="371"/>
      <c r="K16" s="371"/>
      <c r="L16" s="360"/>
    </row>
    <row r="17" spans="1:21" ht="14.25" customHeight="1">
      <c r="B17" s="360"/>
      <c r="C17" s="360" t="s">
        <v>311</v>
      </c>
      <c r="D17" s="360"/>
      <c r="E17" s="360"/>
      <c r="F17" s="363" t="str">
        <f>'Setup Data'!I4</f>
        <v>?</v>
      </c>
      <c r="G17" s="360"/>
      <c r="H17" s="360"/>
      <c r="I17" s="360"/>
      <c r="J17" s="371"/>
      <c r="K17" s="371"/>
      <c r="L17" s="360"/>
    </row>
    <row r="18" spans="1:21" ht="14.25" customHeight="1">
      <c r="B18" s="360"/>
      <c r="C18" s="360"/>
      <c r="D18" s="360"/>
      <c r="E18" s="360"/>
      <c r="F18" s="372" t="str">
        <f>'Setup Data'!I7</f>
        <v>?</v>
      </c>
      <c r="G18" s="360"/>
      <c r="H18" s="360"/>
      <c r="I18" s="360"/>
      <c r="J18" s="371"/>
      <c r="K18" s="371"/>
      <c r="L18" s="360"/>
    </row>
    <row r="19" spans="1:21" ht="14.25" customHeight="1">
      <c r="B19" s="360"/>
      <c r="C19" s="360"/>
      <c r="D19" s="360"/>
      <c r="E19" s="360"/>
      <c r="F19" s="360" t="str">
        <f>'Setup Data'!I8</f>
        <v>?</v>
      </c>
      <c r="G19" s="360"/>
      <c r="H19" s="360"/>
      <c r="I19" s="360"/>
      <c r="J19" s="371"/>
      <c r="K19" s="371"/>
      <c r="L19" s="360"/>
    </row>
    <row r="20" spans="1:21" ht="14.25" customHeight="1">
      <c r="B20" s="360"/>
      <c r="C20" s="360"/>
      <c r="D20" s="360"/>
      <c r="E20" s="360"/>
      <c r="F20" s="360" t="str">
        <f>IF('Setup Data'!I6="","",'Setup Data'!I6)</f>
        <v>?</v>
      </c>
      <c r="G20" s="360"/>
      <c r="H20" s="360"/>
      <c r="I20" s="360"/>
      <c r="J20" s="371"/>
      <c r="K20" s="371"/>
      <c r="L20" s="360"/>
    </row>
    <row r="21" spans="1:21" ht="7.5" customHeight="1">
      <c r="B21" s="360"/>
      <c r="C21" s="360"/>
      <c r="D21" s="360"/>
      <c r="E21" s="360"/>
      <c r="F21" s="360"/>
      <c r="G21" s="360"/>
      <c r="H21" s="360"/>
      <c r="I21" s="360"/>
      <c r="J21" s="371"/>
      <c r="K21" s="371"/>
      <c r="L21" s="360"/>
    </row>
    <row r="22" spans="1:21" ht="4.5" customHeight="1">
      <c r="A22" s="365"/>
      <c r="B22" s="365"/>
      <c r="C22" s="365"/>
      <c r="D22" s="365"/>
      <c r="E22" s="365"/>
      <c r="F22" s="365"/>
      <c r="G22" s="365"/>
      <c r="H22" s="366"/>
      <c r="I22" s="366"/>
      <c r="J22" s="367"/>
      <c r="K22" s="367"/>
      <c r="L22" s="366"/>
      <c r="M22" s="368"/>
      <c r="N22" s="368"/>
    </row>
    <row r="23" spans="1:21" ht="4.5" customHeight="1">
      <c r="H23" s="360"/>
      <c r="I23" s="360"/>
      <c r="J23" s="371"/>
      <c r="K23" s="371"/>
      <c r="L23" s="360"/>
    </row>
    <row r="24" spans="1:21" ht="6" customHeight="1">
      <c r="H24" s="360"/>
      <c r="I24" s="360"/>
      <c r="J24" s="371"/>
      <c r="K24" s="371"/>
      <c r="L24" s="360"/>
      <c r="R24" s="373"/>
    </row>
    <row r="25" spans="1:21" ht="14.25" customHeight="1">
      <c r="C25" s="356" t="s">
        <v>312</v>
      </c>
      <c r="F25" s="374" t="str">
        <f>'1Test Data'!$C$3</f>
        <v>?</v>
      </c>
      <c r="H25" s="360"/>
      <c r="I25" s="360"/>
      <c r="J25" s="371"/>
      <c r="K25" s="1051"/>
      <c r="L25" s="1051"/>
      <c r="O25" s="375"/>
      <c r="P25" s="375"/>
      <c r="Q25" s="375"/>
      <c r="R25" s="375"/>
      <c r="S25" s="375"/>
      <c r="T25" s="375"/>
      <c r="U25" s="375"/>
    </row>
    <row r="26" spans="1:21" ht="4.5" customHeight="1">
      <c r="H26" s="360"/>
      <c r="I26" s="360"/>
      <c r="J26" s="371"/>
      <c r="K26" s="371"/>
      <c r="L26" s="360"/>
      <c r="O26" s="1052" t="s">
        <v>313</v>
      </c>
      <c r="P26" s="1052"/>
      <c r="Q26" s="1052"/>
      <c r="R26" s="375"/>
      <c r="S26" s="375"/>
      <c r="T26" s="375"/>
      <c r="U26" s="375"/>
    </row>
    <row r="27" spans="1:21" ht="14.25" customHeight="1">
      <c r="C27" s="356" t="s">
        <v>112</v>
      </c>
      <c r="F27" s="376" t="e">
        <f>AN</f>
        <v>#NAME?</v>
      </c>
      <c r="H27" s="360"/>
      <c r="I27" s="360"/>
      <c r="J27" s="371"/>
      <c r="K27" s="371"/>
      <c r="L27" s="360"/>
      <c r="O27" s="1052"/>
      <c r="P27" s="1052"/>
      <c r="Q27" s="1052"/>
      <c r="R27" s="375"/>
      <c r="S27" s="375"/>
      <c r="T27" s="375"/>
      <c r="U27" s="375"/>
    </row>
    <row r="28" spans="1:21" ht="3.75" customHeight="1">
      <c r="H28" s="360"/>
      <c r="I28" s="360"/>
      <c r="J28" s="371"/>
      <c r="K28" s="371"/>
      <c r="L28" s="360"/>
      <c r="O28" s="1052"/>
      <c r="P28" s="1052"/>
      <c r="Q28" s="1052"/>
      <c r="R28" s="375"/>
      <c r="S28" s="375"/>
      <c r="T28" s="375"/>
      <c r="U28" s="375"/>
    </row>
    <row r="29" spans="1:21" ht="14.25" customHeight="1">
      <c r="C29" s="356" t="s">
        <v>109</v>
      </c>
      <c r="F29" s="376" t="str">
        <f>SN</f>
        <v>?</v>
      </c>
      <c r="H29" s="360"/>
      <c r="I29" s="360"/>
      <c r="J29" s="371"/>
      <c r="K29" s="371"/>
      <c r="L29" s="360"/>
      <c r="O29" s="1052"/>
      <c r="P29" s="1052"/>
      <c r="Q29" s="1052"/>
      <c r="R29" s="375"/>
      <c r="S29" s="375"/>
      <c r="T29" s="375"/>
      <c r="U29" s="375"/>
    </row>
    <row r="30" spans="1:21" ht="5.25" customHeight="1">
      <c r="H30" s="360"/>
      <c r="I30" s="360"/>
      <c r="J30" s="371"/>
      <c r="K30" s="371"/>
      <c r="L30" s="360"/>
      <c r="O30" s="375"/>
      <c r="P30" s="377" t="s">
        <v>314</v>
      </c>
      <c r="Q30" s="375"/>
      <c r="R30" s="375"/>
      <c r="S30" s="375" t="s">
        <v>315</v>
      </c>
      <c r="T30" s="375"/>
      <c r="U30" s="375"/>
    </row>
    <row r="31" spans="1:21" ht="14.25" customHeight="1">
      <c r="C31" s="356" t="s">
        <v>93</v>
      </c>
      <c r="F31" s="374" t="str">
        <f>make</f>
        <v>?</v>
      </c>
      <c r="H31" s="360"/>
      <c r="I31" s="360"/>
      <c r="J31" s="371"/>
      <c r="K31" s="371"/>
      <c r="L31" s="360"/>
      <c r="O31" s="375"/>
      <c r="P31" s="375"/>
      <c r="Q31" s="375"/>
      <c r="R31" s="375"/>
      <c r="S31" s="377" t="s">
        <v>316</v>
      </c>
      <c r="T31" s="375"/>
      <c r="U31" s="375"/>
    </row>
    <row r="32" spans="1:21" ht="4.5" customHeight="1">
      <c r="H32" s="360"/>
      <c r="I32" s="360"/>
      <c r="J32" s="371"/>
      <c r="K32" s="371"/>
      <c r="L32" s="360"/>
      <c r="O32" s="375"/>
      <c r="P32" s="375"/>
      <c r="Q32" s="375"/>
      <c r="R32" s="375"/>
      <c r="S32" s="375"/>
      <c r="T32" s="375"/>
      <c r="U32" s="375"/>
    </row>
    <row r="33" spans="1:21" ht="14.25" customHeight="1">
      <c r="C33" s="356" t="s">
        <v>99</v>
      </c>
      <c r="F33" s="374" t="str">
        <f>'1Test Data'!C5</f>
        <v>?</v>
      </c>
      <c r="H33" s="360"/>
      <c r="I33" s="360"/>
      <c r="J33" s="371"/>
      <c r="K33" s="371"/>
      <c r="L33" s="360"/>
      <c r="O33" s="375"/>
      <c r="P33" s="375"/>
      <c r="Q33" s="375"/>
      <c r="R33" s="375"/>
      <c r="S33" s="375" t="s">
        <v>317</v>
      </c>
      <c r="T33" s="375"/>
      <c r="U33" s="375"/>
    </row>
    <row r="34" spans="1:21" ht="4.5" customHeight="1">
      <c r="H34" s="360"/>
      <c r="I34" s="360"/>
      <c r="J34" s="371"/>
      <c r="K34" s="371"/>
      <c r="L34" s="360"/>
      <c r="O34" s="375"/>
      <c r="P34" s="375"/>
      <c r="Q34" s="375"/>
      <c r="R34" s="375"/>
      <c r="S34" s="375"/>
      <c r="T34" s="375"/>
      <c r="U34" s="375"/>
    </row>
    <row r="35" spans="1:21" ht="14.25" customHeight="1">
      <c r="C35" s="356" t="s">
        <v>318</v>
      </c>
      <c r="F35" s="355" t="str">
        <f>"±"&amp;'1Test Data'!$C$26</f>
        <v>±FALSE</v>
      </c>
      <c r="H35" s="360"/>
      <c r="I35" s="360"/>
      <c r="J35" s="371"/>
      <c r="K35" s="371"/>
      <c r="L35" s="360"/>
      <c r="O35" s="375"/>
      <c r="P35" s="375"/>
      <c r="Q35" s="375"/>
      <c r="R35" s="375"/>
      <c r="S35" s="375"/>
      <c r="T35" s="375"/>
      <c r="U35" s="375"/>
    </row>
    <row r="36" spans="1:21" ht="4.5" customHeight="1">
      <c r="H36" s="360"/>
      <c r="I36" s="360"/>
      <c r="J36" s="371"/>
      <c r="K36" s="371"/>
      <c r="L36" s="360"/>
      <c r="O36" s="375"/>
      <c r="P36" s="375"/>
      <c r="Q36" s="375"/>
      <c r="R36" s="375"/>
      <c r="S36" s="375"/>
      <c r="T36" s="375"/>
      <c r="U36" s="375"/>
    </row>
    <row r="37" spans="1:21" ht="14.25" customHeight="1">
      <c r="C37" s="356" t="s">
        <v>319</v>
      </c>
      <c r="F37" s="356" t="str">
        <f>'1Test Data'!H9</f>
        <v>mm</v>
      </c>
      <c r="H37" s="360"/>
      <c r="I37" s="360"/>
      <c r="J37" s="371"/>
      <c r="K37" s="371"/>
      <c r="L37" s="360"/>
      <c r="O37" s="375"/>
      <c r="P37" s="375"/>
      <c r="Q37" s="375"/>
      <c r="R37" s="375"/>
      <c r="S37" s="375"/>
      <c r="T37" s="375"/>
      <c r="U37" s="375"/>
    </row>
    <row r="38" spans="1:21" ht="4.5" customHeight="1">
      <c r="H38" s="360"/>
      <c r="I38" s="360"/>
      <c r="J38" s="371"/>
      <c r="K38" s="371"/>
      <c r="L38" s="360"/>
      <c r="O38" s="375"/>
      <c r="P38" s="375"/>
      <c r="Q38" s="375"/>
      <c r="R38" s="375"/>
      <c r="S38" s="375"/>
      <c r="T38" s="375"/>
      <c r="U38" s="375"/>
    </row>
    <row r="39" spans="1:21" ht="14.25" customHeight="1">
      <c r="C39" s="356" t="s">
        <v>320</v>
      </c>
      <c r="F39" s="356" t="e">
        <f>IF(_xlfn.SINGLE( Elect)=1,_xlfn.SINGLE(Division) &amp; " " &amp; ReadoutType,_xlfn.SINGLE(Division)&amp;" "&amp;_xlfn.SINGLE(Units))</f>
        <v>#NAME?</v>
      </c>
      <c r="H39" s="360"/>
      <c r="I39" s="360"/>
      <c r="J39" s="371"/>
      <c r="K39" s="371"/>
      <c r="L39" s="360"/>
      <c r="O39" s="375"/>
      <c r="P39" s="375"/>
      <c r="Q39" s="375"/>
      <c r="R39" s="375"/>
      <c r="S39" s="375"/>
      <c r="T39" s="375"/>
      <c r="U39" s="375"/>
    </row>
    <row r="40" spans="1:21" ht="4.5" customHeight="1">
      <c r="H40" s="360"/>
      <c r="I40" s="360"/>
      <c r="J40" s="371"/>
      <c r="K40" s="371"/>
      <c r="L40" s="360"/>
      <c r="O40" s="375"/>
      <c r="P40" s="377" t="s">
        <v>321</v>
      </c>
      <c r="Q40" s="375"/>
      <c r="R40" s="375"/>
      <c r="S40" s="377" t="s">
        <v>322</v>
      </c>
      <c r="T40" s="375"/>
      <c r="U40" s="375"/>
    </row>
    <row r="41" spans="1:21" ht="16.5" customHeight="1">
      <c r="A41" s="378"/>
      <c r="B41" s="378"/>
      <c r="C41" s="356" t="s">
        <v>323</v>
      </c>
      <c r="D41" s="374"/>
      <c r="E41" s="374"/>
      <c r="F41" s="376" t="e">
        <f>Capacity</f>
        <v>#NAME?</v>
      </c>
      <c r="G41" s="374"/>
      <c r="H41" s="379"/>
      <c r="I41" s="363"/>
      <c r="J41" s="363"/>
      <c r="K41" s="363"/>
      <c r="L41" s="363"/>
      <c r="M41" s="364"/>
      <c r="O41" s="375"/>
      <c r="P41" s="375"/>
      <c r="Q41" s="375"/>
      <c r="R41" s="375"/>
      <c r="S41" s="375"/>
      <c r="T41" s="375"/>
      <c r="U41" s="375"/>
    </row>
    <row r="42" spans="1:21" ht="5.25" customHeight="1">
      <c r="A42" s="380"/>
      <c r="B42" s="380"/>
      <c r="C42" s="380"/>
      <c r="D42" s="381"/>
      <c r="E42" s="381"/>
      <c r="F42" s="381"/>
      <c r="G42" s="381"/>
      <c r="H42" s="382"/>
      <c r="I42" s="383"/>
      <c r="J42" s="383"/>
      <c r="K42" s="383"/>
      <c r="L42" s="383"/>
      <c r="M42" s="384"/>
      <c r="N42" s="368"/>
      <c r="O42" s="375"/>
      <c r="P42" s="375"/>
      <c r="Q42" s="375"/>
      <c r="R42" s="375"/>
      <c r="S42" s="375"/>
      <c r="T42" s="375"/>
      <c r="U42" s="375"/>
    </row>
    <row r="43" spans="1:21" ht="4.9000000000000004" customHeight="1">
      <c r="A43" s="378"/>
      <c r="B43" s="378"/>
      <c r="C43" s="378"/>
      <c r="D43" s="374"/>
      <c r="E43" s="374"/>
      <c r="F43" s="374"/>
      <c r="G43" s="374"/>
      <c r="H43" s="385"/>
      <c r="I43" s="361"/>
      <c r="J43" s="361"/>
      <c r="K43" s="361"/>
      <c r="L43" s="361"/>
      <c r="M43" s="386"/>
      <c r="O43" s="375"/>
      <c r="P43" s="375"/>
      <c r="Q43" s="375"/>
      <c r="R43" s="375"/>
      <c r="S43" s="375"/>
      <c r="T43" s="375"/>
      <c r="U43" s="375"/>
    </row>
    <row r="44" spans="1:21" ht="16.5" customHeight="1">
      <c r="A44" s="378"/>
      <c r="B44" s="378"/>
      <c r="C44" s="378"/>
      <c r="D44" s="374"/>
      <c r="E44" s="374"/>
      <c r="F44" s="374"/>
      <c r="G44" s="374"/>
      <c r="H44" s="385"/>
      <c r="I44" s="361"/>
      <c r="J44" s="361"/>
      <c r="K44" s="361"/>
      <c r="L44" s="361"/>
      <c r="M44" s="386"/>
      <c r="O44" s="375"/>
      <c r="P44" s="375"/>
      <c r="Q44" s="375"/>
      <c r="R44" s="375"/>
      <c r="S44" s="375"/>
      <c r="T44" s="375"/>
      <c r="U44" s="375"/>
    </row>
    <row r="45" spans="1:21" ht="16.5" customHeight="1">
      <c r="A45" s="378"/>
      <c r="B45" s="378"/>
      <c r="C45" s="378"/>
      <c r="D45" s="374"/>
      <c r="E45" s="374"/>
      <c r="F45" s="374"/>
      <c r="G45" s="374"/>
      <c r="H45" s="385"/>
      <c r="I45" s="361"/>
      <c r="J45" s="361"/>
      <c r="K45" s="361"/>
      <c r="L45" s="361"/>
      <c r="M45" s="386"/>
      <c r="O45" s="375"/>
      <c r="P45" s="375"/>
      <c r="Q45" s="375"/>
      <c r="R45" s="375"/>
      <c r="S45" s="375"/>
      <c r="T45" s="375"/>
      <c r="U45" s="375"/>
    </row>
    <row r="46" spans="1:21" ht="16.5" customHeight="1">
      <c r="A46" s="378"/>
      <c r="B46" s="378"/>
      <c r="C46" s="378"/>
      <c r="D46" s="374"/>
      <c r="E46" s="374"/>
      <c r="F46" s="374"/>
      <c r="G46" s="374"/>
      <c r="H46" s="385"/>
      <c r="I46" s="361"/>
      <c r="J46" s="361"/>
      <c r="K46" s="361"/>
      <c r="L46" s="361"/>
      <c r="M46" s="386"/>
      <c r="O46" s="375"/>
      <c r="P46" s="375"/>
      <c r="Q46" s="375"/>
      <c r="R46" s="375"/>
      <c r="S46" s="375"/>
      <c r="T46" s="375"/>
      <c r="U46" s="375"/>
    </row>
    <row r="47" spans="1:21" ht="16.5" customHeight="1">
      <c r="A47" s="378"/>
      <c r="B47" s="378"/>
      <c r="C47" s="378"/>
      <c r="D47" s="374"/>
      <c r="E47" s="374"/>
      <c r="F47" s="374"/>
      <c r="G47" s="374"/>
      <c r="H47" s="385"/>
      <c r="I47" s="361"/>
      <c r="J47" s="361"/>
      <c r="K47" s="361"/>
      <c r="L47" s="361"/>
      <c r="M47" s="386"/>
      <c r="O47" s="375"/>
      <c r="P47" s="375"/>
      <c r="Q47" s="375"/>
      <c r="R47" s="375"/>
      <c r="S47" s="375"/>
      <c r="T47" s="375"/>
      <c r="U47" s="375"/>
    </row>
    <row r="48" spans="1:21" ht="16.5" customHeight="1">
      <c r="A48" s="378"/>
      <c r="B48" s="378"/>
      <c r="C48" s="378"/>
      <c r="D48" s="374"/>
      <c r="E48" s="374"/>
      <c r="F48" s="374"/>
      <c r="G48" s="374"/>
      <c r="H48" s="385"/>
      <c r="I48" s="361"/>
      <c r="J48" s="361"/>
      <c r="K48" s="361"/>
      <c r="L48" s="361"/>
      <c r="M48" s="386"/>
      <c r="O48" s="375"/>
      <c r="P48" s="375"/>
      <c r="Q48" s="375"/>
      <c r="R48" s="375"/>
      <c r="S48" s="375"/>
      <c r="T48" s="375"/>
      <c r="U48" s="375"/>
    </row>
    <row r="49" spans="1:21" ht="16.5" customHeight="1">
      <c r="A49" s="378"/>
      <c r="B49" s="378"/>
      <c r="C49" s="378"/>
      <c r="D49" s="374"/>
      <c r="E49" s="374"/>
      <c r="F49" s="374"/>
      <c r="G49" s="374"/>
      <c r="H49" s="385"/>
      <c r="I49" s="361"/>
      <c r="J49" s="361"/>
      <c r="K49" s="361"/>
      <c r="L49" s="361"/>
      <c r="M49" s="386"/>
      <c r="O49" s="375"/>
      <c r="P49" s="375"/>
      <c r="Q49" s="375"/>
      <c r="R49" s="375"/>
      <c r="S49" s="375"/>
      <c r="T49" s="375"/>
      <c r="U49" s="375"/>
    </row>
    <row r="50" spans="1:21" ht="16.5" customHeight="1">
      <c r="A50" s="378"/>
      <c r="B50" s="378"/>
      <c r="C50" s="378"/>
      <c r="D50" s="374"/>
      <c r="E50" s="374"/>
      <c r="F50" s="1059"/>
      <c r="G50" s="1059"/>
      <c r="H50" s="385"/>
      <c r="I50" s="361"/>
      <c r="J50" s="361"/>
      <c r="K50" s="361"/>
      <c r="L50" s="361"/>
      <c r="M50" s="386"/>
      <c r="O50" s="375"/>
      <c r="P50" s="375"/>
      <c r="Q50" s="375"/>
      <c r="R50" s="375"/>
      <c r="S50" s="375"/>
      <c r="T50" s="375"/>
      <c r="U50" s="375"/>
    </row>
    <row r="51" spans="1:21" ht="16.5" customHeight="1">
      <c r="A51" s="378"/>
      <c r="B51" s="378"/>
      <c r="C51" s="378"/>
      <c r="D51" s="374"/>
      <c r="E51" s="374"/>
      <c r="F51" s="1059"/>
      <c r="G51" s="1059"/>
      <c r="H51" s="385"/>
      <c r="I51" s="361"/>
      <c r="J51" s="361"/>
      <c r="K51" s="361"/>
      <c r="L51" s="361"/>
      <c r="M51" s="386"/>
      <c r="O51" s="375"/>
      <c r="P51" s="375"/>
      <c r="Q51" s="375"/>
      <c r="R51" s="375"/>
      <c r="S51" s="375"/>
      <c r="T51" s="375"/>
      <c r="U51" s="375"/>
    </row>
    <row r="52" spans="1:21" ht="4.5" customHeight="1">
      <c r="A52" s="378"/>
      <c r="B52" s="378"/>
      <c r="C52" s="378"/>
      <c r="D52" s="374"/>
      <c r="E52" s="374"/>
      <c r="F52" s="374"/>
      <c r="G52" s="374"/>
      <c r="H52" s="385"/>
      <c r="I52" s="361"/>
      <c r="J52" s="361"/>
      <c r="K52" s="361"/>
      <c r="L52" s="361"/>
      <c r="M52" s="386"/>
      <c r="O52" s="375"/>
      <c r="P52" s="375"/>
      <c r="Q52" s="375"/>
      <c r="R52" s="375"/>
      <c r="S52" s="375"/>
      <c r="T52" s="375"/>
      <c r="U52" s="375"/>
    </row>
    <row r="53" spans="1:21" ht="42.75" customHeight="1">
      <c r="A53" s="378"/>
      <c r="B53" s="378"/>
      <c r="F53" s="374"/>
      <c r="G53" s="374"/>
      <c r="H53" s="385"/>
      <c r="I53" s="361"/>
      <c r="J53" s="361"/>
      <c r="K53" s="361"/>
      <c r="L53" s="361"/>
      <c r="M53" s="386"/>
      <c r="O53" s="387" t="s">
        <v>324</v>
      </c>
      <c r="P53" s="388"/>
      <c r="Q53" s="375" t="s">
        <v>325</v>
      </c>
      <c r="R53" s="375"/>
      <c r="S53" s="375"/>
      <c r="T53" s="375"/>
      <c r="U53" s="375"/>
    </row>
    <row r="54" spans="1:21" ht="42.75" customHeight="1">
      <c r="A54" s="378"/>
      <c r="B54" s="378"/>
      <c r="F54" s="374"/>
      <c r="G54" s="374"/>
      <c r="H54" s="385"/>
      <c r="I54" s="361"/>
      <c r="J54" s="361"/>
      <c r="K54" s="361"/>
      <c r="L54" s="361"/>
      <c r="M54" s="386"/>
      <c r="O54" s="387"/>
      <c r="P54" s="388"/>
      <c r="Q54" s="375" t="s">
        <v>326</v>
      </c>
      <c r="R54" s="375"/>
      <c r="S54" s="375"/>
      <c r="T54" s="375"/>
      <c r="U54" s="375"/>
    </row>
    <row r="55" spans="1:21" ht="16.5" customHeight="1">
      <c r="A55" s="378"/>
      <c r="B55" s="378"/>
      <c r="D55" s="374"/>
      <c r="E55" s="374"/>
      <c r="F55" s="374"/>
      <c r="G55" s="374"/>
      <c r="H55" s="385"/>
      <c r="I55" s="361"/>
      <c r="J55" s="361"/>
      <c r="K55" s="361"/>
      <c r="L55" s="361"/>
      <c r="M55" s="386"/>
      <c r="O55" s="375"/>
      <c r="P55" s="375"/>
      <c r="Q55" s="375"/>
      <c r="R55" s="375"/>
      <c r="S55" s="375"/>
      <c r="T55" s="375"/>
      <c r="U55" s="375"/>
    </row>
    <row r="56" spans="1:21" ht="16.5" customHeight="1">
      <c r="A56" s="378"/>
      <c r="B56" s="378"/>
      <c r="C56" s="378"/>
      <c r="D56" s="374"/>
      <c r="E56" s="374"/>
      <c r="F56" s="374"/>
      <c r="G56" s="374"/>
      <c r="H56" s="385"/>
      <c r="I56" s="361"/>
      <c r="J56" s="361"/>
      <c r="K56" s="361"/>
      <c r="L56" s="361"/>
      <c r="M56" s="386"/>
      <c r="O56" s="375"/>
      <c r="P56" s="375"/>
      <c r="Q56" s="375"/>
      <c r="R56" s="375"/>
      <c r="S56" s="375"/>
      <c r="T56" s="375"/>
      <c r="U56" s="375"/>
    </row>
    <row r="57" spans="1:21" ht="16.5" customHeight="1">
      <c r="A57" s="378"/>
      <c r="B57" s="378"/>
      <c r="C57" s="356" t="s">
        <v>327</v>
      </c>
      <c r="D57" s="374"/>
      <c r="E57" s="374"/>
      <c r="F57" s="389">
        <f>'Setup Data'!E10</f>
        <v>45820</v>
      </c>
      <c r="G57" s="374"/>
      <c r="H57" s="385"/>
      <c r="I57" s="361"/>
      <c r="J57" s="361"/>
      <c r="K57" s="361"/>
      <c r="L57" s="361"/>
      <c r="M57" s="386"/>
      <c r="O57" s="375"/>
      <c r="P57" s="375"/>
      <c r="Q57" s="375"/>
      <c r="R57" s="375"/>
      <c r="S57" s="375"/>
      <c r="T57" s="375"/>
      <c r="U57" s="375"/>
    </row>
    <row r="58" spans="1:21" ht="16.5" customHeight="1">
      <c r="A58" s="378"/>
      <c r="B58" s="378"/>
      <c r="C58" s="356" t="s">
        <v>328</v>
      </c>
      <c r="D58" s="374"/>
      <c r="E58" s="374"/>
      <c r="F58" s="389">
        <f>IFERROR('Setup Data'!E11,"")</f>
        <v>46185</v>
      </c>
      <c r="G58" s="374"/>
      <c r="H58" s="385"/>
      <c r="I58" s="361"/>
      <c r="J58" s="361"/>
      <c r="K58" s="361"/>
      <c r="L58" s="361"/>
      <c r="M58" s="386"/>
      <c r="O58" s="375"/>
      <c r="P58" s="375"/>
      <c r="Q58" s="375"/>
      <c r="R58" s="375"/>
      <c r="S58" s="375"/>
      <c r="T58" s="375"/>
      <c r="U58" s="375"/>
    </row>
    <row r="59" spans="1:21" ht="16.5" customHeight="1">
      <c r="A59" s="378"/>
      <c r="B59" s="378"/>
      <c r="C59" s="378"/>
      <c r="D59" s="374"/>
      <c r="E59" s="374"/>
      <c r="F59" s="374"/>
      <c r="G59" s="374"/>
      <c r="H59" s="385"/>
      <c r="I59" s="361"/>
      <c r="J59" s="361"/>
      <c r="K59" s="361"/>
      <c r="L59" s="361"/>
      <c r="M59" s="386"/>
      <c r="O59" s="375"/>
      <c r="P59" s="375"/>
      <c r="Q59" s="375"/>
      <c r="R59" s="375"/>
      <c r="S59" s="375"/>
      <c r="T59" s="375"/>
      <c r="U59" s="375"/>
    </row>
    <row r="60" spans="1:21" ht="16.5" customHeight="1">
      <c r="A60" s="378"/>
      <c r="B60" s="378"/>
      <c r="C60" s="390" t="s">
        <v>329</v>
      </c>
      <c r="D60" s="374"/>
      <c r="E60" s="374"/>
      <c r="F60" s="39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60" s="360"/>
      <c r="H60" s="360"/>
      <c r="I60" s="360"/>
      <c r="J60" s="371"/>
      <c r="K60" s="371"/>
      <c r="L60" s="360"/>
      <c r="M60" s="386"/>
      <c r="O60" s="375"/>
      <c r="P60" s="375"/>
      <c r="Q60" s="375"/>
      <c r="R60" s="375"/>
      <c r="S60" s="375"/>
      <c r="T60" s="375"/>
      <c r="U60" s="375"/>
    </row>
    <row r="61" spans="1:21" ht="22.5" customHeight="1">
      <c r="A61" s="378"/>
      <c r="B61" s="378"/>
      <c r="C61" s="390" t="str">
        <f>IF(NATA="Y","17 Ceylon Street",VLOOKUP(Lab,'Setup Data'!$AB$2:$AG$21,2,FALSE))</f>
        <v>17 Ceylon Street</v>
      </c>
      <c r="D61" s="374"/>
      <c r="E61" s="374"/>
      <c r="F61" s="1054" t="e">
        <f>"Measurement results for Thread Gages are traceable to SI units. " &amp; IF(OR(_xlfn.SINGLE(Units)="kPa",_xlfn.SINGLE(Units)="?"),"","Conversion Factor from 1kPa to 1"&amp;_xlfn.SINGLE(Units)&amp;" = " &amp; '1Test Data'!$AB$23)</f>
        <v>#N/A</v>
      </c>
      <c r="G61" s="1054"/>
      <c r="H61" s="1054"/>
      <c r="I61" s="1054"/>
      <c r="J61" s="1054"/>
      <c r="K61" s="1054"/>
      <c r="L61" s="1054"/>
      <c r="M61" s="392"/>
      <c r="N61" s="392"/>
      <c r="O61" s="375"/>
      <c r="P61" s="375"/>
      <c r="Q61" s="375"/>
      <c r="R61" s="375"/>
      <c r="S61" s="375"/>
      <c r="T61" s="375"/>
      <c r="U61" s="375"/>
    </row>
    <row r="62" spans="1:21" ht="22.5" customHeight="1">
      <c r="A62" s="378"/>
      <c r="B62" s="378"/>
      <c r="C62" s="390" t="str">
        <f>IF(NATA="Y","Nunawading, Vic, 3131",VLOOKUP(Lab,'Setup Data'!$AB$2:$AG$21,4,FALSE)  &amp;  ", "   &amp;  VLOOKUP(Lab,'Setup Data'!$AB$2:$AG$21,6,FALSE) &amp;  ", " &amp; VLOOKUP(Lab,'Setup Data'!$AB$2:$AG$21,5,FALSE))</f>
        <v>Nunawading, Vic, 3131</v>
      </c>
      <c r="D62" s="374"/>
      <c r="E62" s="374"/>
      <c r="F62" s="1056"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62" s="1056"/>
      <c r="H62" s="1056"/>
      <c r="I62" s="1056"/>
      <c r="J62" s="1056"/>
      <c r="K62" s="1056"/>
      <c r="L62" s="1056"/>
      <c r="M62" s="1056"/>
      <c r="N62" s="1056"/>
      <c r="O62" s="375"/>
      <c r="P62" s="375"/>
      <c r="Q62" s="375"/>
      <c r="R62" s="375"/>
      <c r="S62" s="375"/>
      <c r="T62" s="375"/>
      <c r="U62" s="375"/>
    </row>
    <row r="63" spans="1:21" ht="16.149999999999999" customHeight="1">
      <c r="A63" s="378"/>
      <c r="B63" s="378"/>
      <c r="C63" s="393" t="s">
        <v>330</v>
      </c>
      <c r="D63" s="374"/>
      <c r="E63" s="374"/>
      <c r="F63" s="1056"/>
      <c r="G63" s="1056"/>
      <c r="H63" s="1056"/>
      <c r="I63" s="1056"/>
      <c r="J63" s="1056"/>
      <c r="K63" s="1056"/>
      <c r="L63" s="1056"/>
      <c r="M63" s="1056"/>
      <c r="N63" s="1056"/>
      <c r="O63" s="375"/>
      <c r="P63" s="375"/>
      <c r="Q63" s="375"/>
      <c r="R63" s="375"/>
      <c r="S63" s="375"/>
      <c r="T63" s="375"/>
      <c r="U63" s="375"/>
    </row>
    <row r="64" spans="1:21" ht="39.75" customHeight="1">
      <c r="A64" s="378"/>
      <c r="B64" s="378"/>
      <c r="C64" s="394" t="str">
        <f>IF(OR('Setup Data'!$B$3="Auckland",'Setup Data'!$B$3="Christchurch"),"texatsite.co.nz","www.texatsite.com.au")</f>
        <v>www.texatsite.com.au</v>
      </c>
      <c r="D64" s="374"/>
      <c r="E64" s="374"/>
      <c r="F64" s="1056"/>
      <c r="G64" s="1056"/>
      <c r="H64" s="1056"/>
      <c r="I64" s="1056"/>
      <c r="J64" s="1056"/>
      <c r="K64" s="1056"/>
      <c r="L64" s="1056"/>
      <c r="M64" s="1056"/>
      <c r="N64" s="1056"/>
      <c r="O64" s="375"/>
      <c r="P64" s="375"/>
      <c r="Q64" s="375"/>
      <c r="R64" s="375"/>
      <c r="S64" s="375"/>
      <c r="T64" s="375"/>
      <c r="U64" s="375"/>
    </row>
    <row r="65" spans="1:21" ht="6" customHeight="1">
      <c r="A65" s="378"/>
      <c r="B65" s="378"/>
      <c r="C65" s="378"/>
      <c r="D65" s="374"/>
      <c r="E65" s="374"/>
      <c r="F65" s="374"/>
      <c r="G65" s="374"/>
      <c r="H65" s="385"/>
      <c r="I65" s="361"/>
      <c r="J65" s="361"/>
      <c r="K65" s="361"/>
      <c r="L65" s="361"/>
      <c r="M65" s="386"/>
      <c r="O65" s="375"/>
      <c r="P65" s="375"/>
      <c r="Q65" s="375"/>
      <c r="R65" s="375"/>
      <c r="S65" s="375"/>
      <c r="T65" s="375"/>
      <c r="U65" s="375"/>
    </row>
    <row r="66" spans="1:21" ht="17.25" customHeight="1">
      <c r="H66" s="395"/>
      <c r="I66" s="396"/>
      <c r="J66" s="396"/>
      <c r="K66" s="396"/>
      <c r="L66" s="360"/>
      <c r="O66" s="375"/>
      <c r="P66" s="375"/>
      <c r="Q66" s="375"/>
      <c r="R66" s="375"/>
      <c r="S66" s="375"/>
      <c r="T66" s="375"/>
      <c r="U66" s="375"/>
    </row>
    <row r="67" spans="1:21" ht="16.5" customHeight="1">
      <c r="A67" s="1057"/>
      <c r="B67" s="1057"/>
      <c r="C67" s="1057"/>
      <c r="D67" s="1057"/>
      <c r="F67" s="1047" t="str">
        <f>IF(OR('Setup Data'!B78="Auckland", 'Setup Data'!B78="Christchurch"), "Tex Onsite", "Tex At Site Pty Ltd")</f>
        <v>Tex At Site Pty Ltd</v>
      </c>
      <c r="G67" s="1047"/>
      <c r="H67" s="1047"/>
      <c r="O67" s="375"/>
      <c r="P67" s="375"/>
      <c r="Q67" s="375"/>
      <c r="R67" s="375"/>
      <c r="S67" s="375"/>
      <c r="T67" s="375"/>
      <c r="U67" s="375"/>
    </row>
    <row r="68" spans="1:21" ht="16.5" customHeight="1">
      <c r="A68" s="1057"/>
      <c r="B68" s="1057"/>
      <c r="C68" s="1057"/>
      <c r="D68" s="1057"/>
      <c r="F68" s="1047"/>
      <c r="G68" s="1047"/>
      <c r="H68" s="1047"/>
      <c r="M68" s="397"/>
    </row>
    <row r="69" spans="1:21" ht="16.5" customHeight="1">
      <c r="A69" s="1057"/>
      <c r="B69" s="1057"/>
      <c r="C69" s="1057"/>
      <c r="D69" s="1057"/>
      <c r="E69" s="359"/>
      <c r="F69" s="360" t="str">
        <f>IF(NATA="Y","Nunawading NATA Laboratory","Operations Group - "&amp;VLOOKUP(Lab,'Setup Data'!$AB$2:$AG$21,4,FALSE))</f>
        <v>Nunawading NATA Laboratory</v>
      </c>
      <c r="G69" s="359"/>
      <c r="H69" s="359"/>
      <c r="I69" s="355"/>
      <c r="J69" s="355"/>
      <c r="K69" s="355"/>
      <c r="L69" s="355"/>
      <c r="M69" s="397"/>
    </row>
    <row r="70" spans="1:21" ht="16.5" customHeight="1">
      <c r="A70" s="1057"/>
      <c r="B70" s="1057"/>
      <c r="C70" s="1057"/>
      <c r="D70" s="1057"/>
      <c r="F70" s="356" t="str">
        <f>IF(NATA="Y","17 Ceylon Street",VLOOKUP(Lab,'Setup Data'!$AB$2:$AG$21,2,FALSE)) &amp; ", " &amp; IF(NATA="Y","Nunawading, Vic, 3131",VLOOKUP(Lab,'Setup Data'!$AB$2:$AG$21,4,FALSE)  &amp;  ", "   &amp;  VLOOKUP(Lab,'Setup Data'!$AB$2:$AG$21,6,FALSE) &amp;  ", " &amp; VLOOKUP(Lab,'Setup Data'!$AB$2:$AG$21,5,FALSE))</f>
        <v>17 Ceylon Street, Nunawading, Vic, 3131</v>
      </c>
      <c r="G70" s="360"/>
      <c r="H70" s="360"/>
      <c r="M70" s="397"/>
    </row>
    <row r="71" spans="1:21" ht="1.5" customHeight="1">
      <c r="A71" s="1057"/>
      <c r="B71" s="1057"/>
      <c r="C71" s="1057"/>
      <c r="D71" s="1057"/>
      <c r="E71" s="1058"/>
      <c r="F71" s="1058"/>
      <c r="G71" s="1058"/>
      <c r="H71" s="1058"/>
      <c r="M71" s="397"/>
    </row>
    <row r="72" spans="1:21" hidden="1">
      <c r="A72" s="365"/>
      <c r="B72" s="366"/>
      <c r="C72" s="365"/>
      <c r="D72" s="365"/>
      <c r="E72" s="365"/>
      <c r="F72" s="366"/>
      <c r="G72" s="366"/>
      <c r="H72" s="366"/>
      <c r="I72" s="366"/>
      <c r="J72" s="367" t="s">
        <v>331</v>
      </c>
      <c r="K72" s="367"/>
      <c r="L72" s="366"/>
      <c r="M72" s="368"/>
      <c r="N72" s="357" t="s">
        <v>150</v>
      </c>
    </row>
    <row r="73" spans="1:21" hidden="1">
      <c r="B73" s="360"/>
      <c r="F73" s="360"/>
      <c r="G73" s="360"/>
      <c r="H73" s="360"/>
      <c r="I73" s="360"/>
      <c r="J73" s="371"/>
      <c r="K73" s="371"/>
      <c r="L73" s="360"/>
    </row>
    <row r="74" spans="1:21" hidden="1">
      <c r="B74" s="360"/>
      <c r="C74" s="356" t="s">
        <v>332</v>
      </c>
      <c r="F74" s="361" t="e">
        <f>UPPER(jobNumber &amp; "-" &amp; AN)</f>
        <v>#NAME?</v>
      </c>
      <c r="G74" s="360"/>
      <c r="H74" s="360"/>
      <c r="I74" s="360"/>
      <c r="J74" s="371"/>
      <c r="K74" s="371"/>
      <c r="L74" s="360"/>
    </row>
    <row r="75" spans="1:21" ht="10.5" customHeight="1">
      <c r="A75" s="365"/>
      <c r="B75" s="366"/>
      <c r="C75" s="365"/>
      <c r="D75" s="365"/>
      <c r="E75" s="365"/>
      <c r="F75" s="366"/>
      <c r="G75" s="366"/>
      <c r="H75" s="366"/>
      <c r="I75" s="366"/>
      <c r="J75" s="367"/>
      <c r="K75" s="367"/>
      <c r="L75" s="366"/>
      <c r="M75" s="368"/>
      <c r="N75" s="368"/>
    </row>
    <row r="76" spans="1:21" ht="10.5" customHeight="1">
      <c r="B76" s="360"/>
      <c r="F76" s="360"/>
      <c r="G76" s="360"/>
      <c r="H76" s="360"/>
      <c r="I76" s="360"/>
      <c r="J76" s="371"/>
      <c r="K76" s="371"/>
      <c r="L76" s="360"/>
    </row>
    <row r="77" spans="1:21" ht="10.5" customHeight="1">
      <c r="B77" s="360"/>
      <c r="F77" s="360"/>
      <c r="G77" s="360"/>
      <c r="H77" s="360"/>
      <c r="I77" s="360"/>
      <c r="J77" s="371"/>
      <c r="K77" s="371"/>
      <c r="L77" s="360"/>
    </row>
    <row r="78" spans="1:21" ht="13.15" customHeight="1">
      <c r="B78" s="360"/>
      <c r="C78" s="356" t="s">
        <v>130</v>
      </c>
      <c r="F78" s="360" t="e">
        <f>F11</f>
        <v>#NAME?</v>
      </c>
      <c r="G78" s="360"/>
      <c r="H78" s="360"/>
      <c r="I78" s="360"/>
      <c r="J78" s="371"/>
      <c r="K78" s="371"/>
      <c r="L78" s="360"/>
    </row>
    <row r="79" spans="1:21" ht="5.45" customHeight="1">
      <c r="B79" s="360"/>
      <c r="F79" s="360"/>
      <c r="G79" s="360"/>
      <c r="H79" s="360"/>
      <c r="I79" s="360"/>
      <c r="J79" s="371"/>
      <c r="K79" s="371"/>
      <c r="L79" s="360"/>
    </row>
    <row r="80" spans="1:21" ht="16.149999999999999" customHeight="1">
      <c r="B80" s="360"/>
      <c r="C80" s="1053" t="s">
        <v>333</v>
      </c>
      <c r="D80" s="1053"/>
      <c r="E80" s="1053"/>
      <c r="F80" s="398" t="s">
        <v>255</v>
      </c>
      <c r="G80" s="1054" t="str">
        <f>aveTemp&amp;"°C &amp; (20±2°C)"</f>
        <v>°C &amp; (20±2°C)</v>
      </c>
      <c r="H80" s="1054"/>
      <c r="I80" s="360" t="s">
        <v>334</v>
      </c>
      <c r="J80" s="1051" t="e">
        <f>IF(EquipType="Process Calibrator", 60,15) &amp; " minutes"</f>
        <v>#NAME?</v>
      </c>
      <c r="K80" s="1051"/>
      <c r="L80" s="360"/>
    </row>
    <row r="81" spans="2:14" ht="16.149999999999999" customHeight="1">
      <c r="B81" s="360"/>
      <c r="C81" s="1053"/>
      <c r="D81" s="1053"/>
      <c r="E81" s="1053"/>
      <c r="F81" s="398" t="s">
        <v>335</v>
      </c>
      <c r="G81" s="360" t="str">
        <f>medium</f>
        <v>?</v>
      </c>
      <c r="H81" s="360"/>
      <c r="I81" s="360" t="s">
        <v>336</v>
      </c>
      <c r="J81" s="1051">
        <f>IFERROR(settlingTime,"")</f>
        <v>0</v>
      </c>
      <c r="K81" s="1051"/>
      <c r="L81" s="360"/>
    </row>
    <row r="82" spans="2:14" ht="16.149999999999999" customHeight="1">
      <c r="B82" s="360"/>
      <c r="C82" s="1053"/>
      <c r="D82" s="1053"/>
      <c r="E82" s="1053"/>
      <c r="F82" s="398" t="s">
        <v>337</v>
      </c>
      <c r="G82" s="398" t="s">
        <v>338</v>
      </c>
      <c r="H82" s="360"/>
      <c r="I82" s="398" t="str">
        <f>IF('Setup Data'!B11="Onsite","Van rego","")</f>
        <v/>
      </c>
      <c r="J82" s="1055" t="str">
        <f>IF(I82="","",'Setup Data'!B17)</f>
        <v/>
      </c>
      <c r="K82" s="1055"/>
      <c r="L82" s="360"/>
    </row>
    <row r="83" spans="2:14" ht="3" customHeight="1">
      <c r="B83" s="360"/>
      <c r="G83" s="398"/>
      <c r="H83" s="360"/>
      <c r="I83" s="360"/>
      <c r="J83" s="399"/>
      <c r="K83" s="399"/>
      <c r="L83" s="360"/>
    </row>
    <row r="84" spans="2:14" ht="3" customHeight="1">
      <c r="B84" s="360"/>
      <c r="G84" s="355"/>
      <c r="H84" s="360"/>
      <c r="I84" s="360"/>
      <c r="J84" s="399"/>
      <c r="K84" s="399"/>
      <c r="L84" s="360"/>
    </row>
    <row r="85" spans="2:14" ht="3" customHeight="1">
      <c r="B85" s="360"/>
      <c r="H85" s="360"/>
      <c r="I85" s="360"/>
      <c r="J85" s="399"/>
      <c r="K85" s="399"/>
      <c r="L85" s="360"/>
    </row>
    <row r="86" spans="2:14" ht="7.5" customHeight="1">
      <c r="B86" s="360"/>
      <c r="C86" s="355"/>
      <c r="D86" s="355"/>
      <c r="E86" s="355"/>
      <c r="F86" s="398"/>
      <c r="G86" s="398"/>
      <c r="H86" s="360"/>
      <c r="I86" s="360"/>
      <c r="J86" s="399"/>
      <c r="K86" s="399"/>
      <c r="L86" s="360"/>
    </row>
    <row r="87" spans="2:14" ht="16.149999999999999" customHeight="1">
      <c r="B87" s="360"/>
      <c r="C87" s="355" t="s">
        <v>339</v>
      </c>
      <c r="D87" s="355"/>
      <c r="E87" s="355"/>
      <c r="F87" s="398" t="e">
        <f>"This device was tested to " &amp;'1Test Data'!$I$12 &amp; " " &amp; IF(OR('1Test Data'!$F$45="A",'1Test Data'!$H$12="M2"),"""Calibration of Mechanical Pressure Gauges""",IF('1Test Data'!$H$12="M1","""Calibration of Pressure Calibrators, Indicators and Transducers""","""No Specification""")) &amp; "."</f>
        <v>#NAME?</v>
      </c>
      <c r="G87" s="398"/>
      <c r="H87" s="360"/>
      <c r="I87" s="360"/>
      <c r="J87" s="399"/>
      <c r="K87" s="399"/>
      <c r="L87" s="360"/>
    </row>
    <row r="88" spans="2:14" ht="16.149999999999999" customHeight="1">
      <c r="B88" s="360"/>
      <c r="C88" s="355"/>
      <c r="D88" s="355"/>
      <c r="E88" s="355"/>
      <c r="F88" s="398"/>
      <c r="G88" s="398"/>
      <c r="H88" s="360"/>
      <c r="I88" s="360"/>
      <c r="J88" s="399"/>
      <c r="K88" s="399"/>
      <c r="L88" s="360"/>
    </row>
    <row r="89" spans="2:14" ht="15.6" customHeight="1">
      <c r="B89" s="360"/>
      <c r="C89" s="1053" t="s">
        <v>340</v>
      </c>
      <c r="D89" s="1053"/>
      <c r="E89" s="1053"/>
      <c r="F89" s="1056" t="e">
        <f>"• The " &amp; EquipType &amp; " was " &amp;
IF('1Test Data'!$C$9="Y","vented and then ","") &amp; "calibrated in a "&amp; '1Test Data'!$H$5 &amp;" position with "&amp;Worksheet!$AD$32 &amp; IF(GaugeType="V","vacuum","pressure")&amp; ".    "&amp; (IF(OR(GaugeType="B",GaugeType="G",GaugeType="V",GaugeType="Test"),"• The case of the "&amp; IF(GaugeType="V","vacuum","pressure")&amp; " gauge was lightly tapped before each reading."," ")) &amp; "
• The corrections reported are to be added to the test instrument readings to obtain true pressure."</f>
        <v>#NAME?</v>
      </c>
      <c r="G89" s="1056"/>
      <c r="H89" s="1056"/>
      <c r="I89" s="1056"/>
      <c r="J89" s="1056"/>
      <c r="K89" s="1056"/>
      <c r="L89" s="1056"/>
      <c r="M89" s="1056"/>
      <c r="N89" s="1056"/>
    </row>
    <row r="90" spans="2:14" ht="15.6" customHeight="1">
      <c r="B90" s="360"/>
      <c r="C90" s="1053"/>
      <c r="D90" s="1053"/>
      <c r="E90" s="1053"/>
      <c r="F90" s="1056"/>
      <c r="G90" s="1056"/>
      <c r="H90" s="1056"/>
      <c r="I90" s="1056"/>
      <c r="J90" s="1056"/>
      <c r="K90" s="1056"/>
      <c r="L90" s="1056"/>
      <c r="M90" s="1056"/>
      <c r="N90" s="1056"/>
    </row>
    <row r="91" spans="2:14" ht="18" customHeight="1">
      <c r="B91" s="360"/>
      <c r="C91" s="1053"/>
      <c r="D91" s="1053"/>
      <c r="E91" s="1053"/>
      <c r="F91" s="1056"/>
      <c r="G91" s="1056"/>
      <c r="H91" s="1056"/>
      <c r="I91" s="1056"/>
      <c r="J91" s="1056"/>
      <c r="K91" s="1056"/>
      <c r="L91" s="1056"/>
      <c r="M91" s="1056"/>
      <c r="N91" s="1056"/>
    </row>
    <row r="92" spans="2:14" ht="5.25" customHeight="1">
      <c r="B92" s="360"/>
      <c r="C92" s="355"/>
      <c r="D92" s="355"/>
      <c r="E92" s="355"/>
      <c r="F92" s="398"/>
      <c r="G92" s="398"/>
      <c r="H92" s="360"/>
      <c r="I92" s="360"/>
      <c r="J92" s="399"/>
      <c r="K92" s="399"/>
      <c r="L92" s="360"/>
    </row>
    <row r="93" spans="2:14" ht="5.25" customHeight="1">
      <c r="B93" s="360"/>
      <c r="C93" s="355"/>
      <c r="D93" s="355"/>
      <c r="E93" s="355"/>
      <c r="F93" s="398"/>
      <c r="G93" s="398"/>
      <c r="H93" s="360"/>
      <c r="I93" s="360"/>
      <c r="J93" s="399"/>
      <c r="K93" s="399"/>
      <c r="L93" s="360"/>
    </row>
    <row r="94" spans="2:14" ht="15.6" customHeight="1">
      <c r="B94" s="360"/>
      <c r="C94" s="1053" t="s">
        <v>341</v>
      </c>
      <c r="D94" s="1053"/>
      <c r="E94" s="1053"/>
      <c r="F94" s="1056" t="str">
        <f>IF(Worksheet!$F$2="","",Worksheet!$F$2)&amp;CHAR(10)&amp;Worksheet!$C$3</f>
        <v xml:space="preserve">The Screw Plug Gauge was presented in a satisfactory operating condition.
</v>
      </c>
      <c r="G94" s="1056"/>
      <c r="H94" s="1056"/>
      <c r="I94" s="1056"/>
      <c r="J94" s="1056"/>
      <c r="K94" s="1056"/>
      <c r="L94" s="1056"/>
      <c r="M94" s="1056"/>
      <c r="N94" s="1056"/>
    </row>
    <row r="95" spans="2:14" ht="12" customHeight="1">
      <c r="B95" s="360"/>
      <c r="F95" s="1056"/>
      <c r="G95" s="1056"/>
      <c r="H95" s="1056"/>
      <c r="I95" s="1056"/>
      <c r="J95" s="1056"/>
      <c r="K95" s="1056"/>
      <c r="L95" s="1056"/>
      <c r="M95" s="1056"/>
      <c r="N95" s="1056"/>
    </row>
    <row r="96" spans="2:14" ht="8.25" customHeight="1">
      <c r="B96" s="360"/>
      <c r="F96" s="360"/>
      <c r="G96" s="360"/>
      <c r="H96" s="360"/>
      <c r="I96" s="360"/>
      <c r="J96" s="371"/>
      <c r="K96" s="360"/>
      <c r="L96" s="360"/>
    </row>
    <row r="97" spans="2:26" ht="19.5" customHeight="1">
      <c r="B97" s="360"/>
      <c r="C97" s="1053" t="s">
        <v>342</v>
      </c>
      <c r="D97" s="1053"/>
      <c r="E97" s="1053"/>
      <c r="F97" s="400" t="s">
        <v>343</v>
      </c>
      <c r="G97" s="1061" t="s">
        <v>344</v>
      </c>
      <c r="H97" s="1061"/>
      <c r="I97" s="1061" t="s">
        <v>345</v>
      </c>
      <c r="J97" s="1061"/>
      <c r="K97" s="1061"/>
      <c r="L97" s="391"/>
    </row>
    <row r="98" spans="2:26" ht="19.5" customHeight="1">
      <c r="B98" s="360"/>
      <c r="C98" s="1053"/>
      <c r="D98" s="1053"/>
      <c r="E98" s="1053"/>
      <c r="F98" s="401" t="str">
        <f>IFERROR(IF('1Test Data'!$O$28=20,RIGHT('1Test Data'!$L6,LEN('1Test Data'!$L6)-4) &amp;" kpa",'1Test Data'!$L6&amp;" kpa"),"")</f>
        <v>7000 kpa</v>
      </c>
      <c r="G98" s="1062">
        <f ca="1">IFERROR('1Test Data'!$M6,"")</f>
        <v>3189984</v>
      </c>
      <c r="H98" s="1062"/>
      <c r="I98" s="1062" t="str">
        <f ca="1">IFERROR('1Test Data'!$N6,"")</f>
        <v>APL256499</v>
      </c>
      <c r="J98" s="1062"/>
      <c r="K98" s="1062"/>
      <c r="L98" s="360"/>
    </row>
    <row r="99" spans="2:26" ht="19.5" customHeight="1">
      <c r="B99" s="360"/>
      <c r="C99" s="1053"/>
      <c r="D99" s="1053"/>
      <c r="E99" s="1053"/>
      <c r="F99" s="401" t="str">
        <f>IFERROR(IF('1Test Data'!$L7="",IF('1Test Data'!$L6&lt;&gt;"", IF(Elect=1, '1Test Data'!$O$3,""),""),IF('1Test Data'!$O$28=20,RIGHT('1Test Data'!$L7,LEN('1Test Data'!$L7)-4) &amp;" kpa",'1Test Data'!$L7&amp;" kpa")),"")</f>
        <v/>
      </c>
      <c r="G99" s="1062" t="str">
        <f>IFERROR(IF('1Test Data'!$L7="",IF('1Test Data'!$L6&lt;&gt;"", IF(Elect=1, '1Test Data'!$P$3,""),""),'1Test Data'!$M7),"")</f>
        <v/>
      </c>
      <c r="H99" s="1062"/>
      <c r="I99" s="1062" t="str">
        <f>IFERROR(IF('1Test Data'!$L7="",IF('1Test Data'!$L6&lt;&gt;"", IF(Elect=1, '1Test Data'!$Q$3,""),""),'1Test Data'!$N7),"")</f>
        <v/>
      </c>
      <c r="J99" s="1062"/>
      <c r="K99" s="1062"/>
      <c r="L99" s="360"/>
    </row>
    <row r="100" spans="2:26" ht="19.5" customHeight="1">
      <c r="B100" s="360"/>
      <c r="F100" s="401" t="str">
        <f>IF('1Test Data'!$L9="",IF('1Test Data'!$L8&lt;&gt;"", IF(Elect=1, '1Test Data'!$O$3,""),""),IF('1Test Data'!$O$28=20,RIGHT('1Test Data'!$L9,LEN('1Test Data'!$L9)-4) &amp;" kpa",'1Test Data'!$L9&amp;" kpa"))</f>
        <v/>
      </c>
      <c r="G100" s="1062" t="str">
        <f>IF('1Test Data'!$L9="",IF('1Test Data'!$L8&lt;&gt;"", IF(Elect=1, '1Test Data'!$P$3,""),""),'1Test Data'!$M9)</f>
        <v/>
      </c>
      <c r="H100" s="1062"/>
      <c r="I100" s="1062" t="str">
        <f>IF('1Test Data'!$L9="",IF('1Test Data'!$L8&lt;&gt;"", IF(Elect=1, '1Test Data'!$Q$3,""),""),'1Test Data'!$N9)</f>
        <v/>
      </c>
      <c r="J100" s="1062"/>
      <c r="K100" s="1062"/>
      <c r="L100" s="360"/>
    </row>
    <row r="101" spans="2:26" ht="19.5" customHeight="1">
      <c r="B101" s="360"/>
      <c r="F101" s="401" t="str">
        <f>IF('1Test Data'!$L8="",IF('1Test Data'!$L7&lt;&gt;"", IF(Elect=1, '1Test Data'!$O$3,""),""),IF('1Test Data'!$O$28=20,RIGHT('1Test Data'!$L8,LEN('1Test Data'!$L8)-4) &amp;" kpa",'1Test Data'!$L8&amp;" kpa"))</f>
        <v/>
      </c>
      <c r="G101" s="1062" t="str">
        <f>IF('1Test Data'!$L8="",IF('1Test Data'!$L7&lt;&gt;"", IF(Elect=1, '1Test Data'!$P$3,""),""),'1Test Data'!$M8)</f>
        <v/>
      </c>
      <c r="H101" s="1062"/>
      <c r="I101" s="1062" t="str">
        <f>IF('1Test Data'!$L8="",IF('1Test Data'!$L7&lt;&gt;"", IF(Elect=1, '1Test Data'!$Q$3,""),""),'1Test Data'!$N8)</f>
        <v/>
      </c>
      <c r="J101" s="1062"/>
      <c r="K101" s="1062"/>
      <c r="L101" s="360"/>
    </row>
    <row r="102" spans="2:26" ht="4.5" customHeight="1">
      <c r="B102" s="360"/>
      <c r="F102" s="401"/>
      <c r="G102" s="401"/>
      <c r="H102" s="401"/>
      <c r="I102" s="401"/>
      <c r="J102" s="401"/>
      <c r="K102" s="401"/>
      <c r="L102" s="360"/>
    </row>
    <row r="103" spans="2:26" ht="3.75" customHeight="1">
      <c r="B103" s="360"/>
      <c r="C103" s="402"/>
      <c r="F103" s="1060"/>
      <c r="G103" s="1060"/>
      <c r="H103" s="1060"/>
      <c r="I103" s="1060"/>
      <c r="J103" s="1060"/>
      <c r="K103" s="1060"/>
      <c r="L103" s="1060"/>
      <c r="M103" s="403"/>
    </row>
    <row r="104" spans="2:26" hidden="1">
      <c r="B104" s="360"/>
      <c r="C104" s="1053" t="s">
        <v>340</v>
      </c>
      <c r="D104" s="1053"/>
      <c r="E104" s="1053"/>
      <c r="F104" s="1063" t="e">
        <f>"This device was tested to " &amp;'1Test Data'!$I$12 &amp; " " &amp; IF(OR('1Test Data'!$F$45="A",'1Test Data'!$H$12="M2"),"""Calibration of Mechanical Pressure Gauges""",IF('1Test Data'!$H$12="M1","""Calibration of Pressure Calibrators, Indicators and Transducers""","""No Specification""")) &amp; "."</f>
        <v>#NAME?</v>
      </c>
      <c r="G104" s="1063"/>
      <c r="H104" s="1063"/>
      <c r="I104" s="1063"/>
      <c r="J104" s="1063"/>
      <c r="K104" s="1063"/>
      <c r="L104" s="1063"/>
    </row>
    <row r="105" spans="2:26" hidden="1">
      <c r="B105" s="360"/>
      <c r="C105" s="1053"/>
      <c r="D105" s="1053"/>
      <c r="E105" s="1053"/>
      <c r="F105" s="1063"/>
      <c r="G105" s="1063"/>
      <c r="H105" s="1063"/>
      <c r="I105" s="1063"/>
      <c r="J105" s="1063"/>
      <c r="K105" s="1063"/>
      <c r="L105" s="1063"/>
    </row>
    <row r="106" spans="2:26" ht="5.45" customHeight="1">
      <c r="B106" s="360"/>
      <c r="F106" s="360"/>
      <c r="G106" s="360"/>
      <c r="H106" s="360"/>
      <c r="I106" s="360"/>
      <c r="J106" s="360"/>
      <c r="K106" s="360"/>
      <c r="L106" s="360"/>
    </row>
    <row r="107" spans="2:26" ht="1.5" customHeight="1">
      <c r="B107" s="1059"/>
      <c r="C107" s="1059"/>
      <c r="D107" s="1059"/>
      <c r="E107" s="1059"/>
      <c r="F107" s="1059"/>
      <c r="G107" s="1059"/>
      <c r="H107" s="1059"/>
      <c r="I107" s="1059"/>
      <c r="J107" s="1059"/>
      <c r="K107" s="1059"/>
      <c r="L107" s="1059"/>
    </row>
    <row r="108" spans="2:26" ht="17.25" customHeight="1">
      <c r="B108" s="1064" t="s">
        <v>0</v>
      </c>
      <c r="C108" s="1064"/>
      <c r="D108" s="1064" t="s">
        <v>346</v>
      </c>
      <c r="E108" s="1064"/>
      <c r="F108" s="1064" t="e">
        <f>"As Left " &amp;_xlfn.SINGLE( IF(_xlfn.SINGLE(Elect)=1,ReadoutType,Units))</f>
        <v>#NAME?</v>
      </c>
      <c r="G108" s="1064"/>
      <c r="H108" s="1064"/>
      <c r="I108" s="1064"/>
      <c r="J108" s="1065" t="s">
        <v>292</v>
      </c>
      <c r="K108" s="1066"/>
      <c r="L108" s="404" t="str">
        <f>IF(shernof!A46="Alstom Transport Australia Pty Limited","Pass / Fail","Uncertainty")</f>
        <v>Uncertainty</v>
      </c>
      <c r="M108" s="405"/>
      <c r="T108" s="406"/>
      <c r="U108" s="407"/>
      <c r="V108" s="1067" t="s">
        <v>347</v>
      </c>
      <c r="W108" s="408" t="s">
        <v>170</v>
      </c>
      <c r="X108" s="407" t="s">
        <v>171</v>
      </c>
      <c r="Y108" s="407" t="s">
        <v>102</v>
      </c>
      <c r="Z108" s="409" t="s">
        <v>172</v>
      </c>
    </row>
    <row r="109" spans="2:26" ht="17.25" customHeight="1">
      <c r="B109" s="1070" t="str">
        <f>_xlfn.SINGLE(Units)</f>
        <v>mm</v>
      </c>
      <c r="C109" s="1070"/>
      <c r="D109" s="1070" t="e">
        <f>_xlfn.SINGLE(IF(GaugeType="PS","",IF(_xlfn.SINGLE(Elect)=1,ReadoutType,Units)))</f>
        <v>#NAME?</v>
      </c>
      <c r="E109" s="1070"/>
      <c r="F109" s="410" t="s">
        <v>348</v>
      </c>
      <c r="G109" s="410" t="s">
        <v>349</v>
      </c>
      <c r="H109" s="410" t="s">
        <v>350</v>
      </c>
      <c r="I109" s="410" t="s">
        <v>349</v>
      </c>
      <c r="J109" s="1071" t="e">
        <f>"± " &amp;_xlfn.SINGLE( IF(_xlfn.SINGLE(Elect)=1,ReadoutType,Units))</f>
        <v>#NAME?</v>
      </c>
      <c r="K109" s="1072"/>
      <c r="L109" s="411" t="e">
        <f>IF('1Test Data'!$H$9="?","?",IF('1Test Data'!$H$9="%","%","± " &amp;_xlfn.SINGLE( IF(_xlfn.SINGLE(Elect)=1,ReadoutType,Units))))</f>
        <v>#NAME?</v>
      </c>
      <c r="M109" s="405"/>
      <c r="T109" s="412"/>
      <c r="U109" s="375"/>
      <c r="V109" s="1068"/>
      <c r="W109" s="413" t="s">
        <v>351</v>
      </c>
      <c r="X109" s="375" t="s">
        <v>352</v>
      </c>
      <c r="Y109" s="375" t="s">
        <v>353</v>
      </c>
      <c r="Z109" s="414" t="s">
        <v>354</v>
      </c>
    </row>
    <row r="110" spans="2:26" ht="21" customHeight="1">
      <c r="B110" s="1073" t="e">
        <f>IF(Worksheet!$A18="","",IF(Elect=1,FIXED(Worksheet!$A18,testpointelect),FIXED(Worksheet!$C18,DecimalPlaces)))</f>
        <v>#NAME?</v>
      </c>
      <c r="C110" s="1073"/>
      <c r="D110" s="1073" t="str">
        <f>IFERROR(FIXED(IF(Worksheet!E18="",IF(Worksheet!F18="","",Worksheet!F18),Worksheet!E18),DecimalPlaces),"")</f>
        <v/>
      </c>
      <c r="E110" s="1073"/>
      <c r="F110" s="415" t="str">
        <f ca="1">IF(GaugeType="B","Not", IF(Worksheet!H18="","",FIXED(IF(correction="Y",Worksheet!$H18-(Worksheet!$C18-Worksheet!$A18),Worksheet!H18),DecimalPlaces))&amp;IF(GaugeType="PS","",IF(Worksheet!W18="Fail","*","  ")))&amp;"    "</f>
        <v xml:space="preserve">      </v>
      </c>
      <c r="G110" s="415" t="str">
        <f>IF(GaugeType="PS","",IF(GaugeType="B","Tested",IF(Worksheet!$O18="","",IF(Worksheet!$O18&gt;0,"+","")&amp;FIXED(IF(correction="Y",Worksheet!$O18-(Worksheet!$C18-Worksheet!$A18),Worksheet!O18),DecimalPlaces))))&amp;"    "</f>
        <v xml:space="preserve">    </v>
      </c>
      <c r="H110" s="415" t="e">
        <f ca="1">IF(Worksheet!K18="","",FIXED(IF(correction="Y",Worksheet!$K18-(Worksheet!$C18-Worksheet!$A18),Worksheet!K18),DecimalPlaces))&amp;IF(Worksheet!X18="Fail","*","  ")&amp;"    "</f>
        <v>#NAME?</v>
      </c>
      <c r="I110" s="415" t="str">
        <f>IF(GaugeType="PS","",IF(Worksheet!$P18="","",IF(Worksheet!$P18&gt;0,"+","")&amp;FIXED(IF(correction="Y",Worksheet!$P18-(Worksheet!$C18-Worksheet!$A18),Worksheet!P18),DecimalPlaces)))&amp;"    "</f>
        <v xml:space="preserve">    </v>
      </c>
      <c r="J110" s="1074" t="e">
        <f>IF(Worksheet!$A18="","",FIXED(Worksheet!$T18,DecimalPlaces))</f>
        <v>#NAME?</v>
      </c>
      <c r="K110" s="1074"/>
      <c r="L110" s="415" t="e">
        <f ca="1">IF(shernof!$A$46="Alstom Transport Australia Pty Limited",Worksheet!Y18,IF(Worksheet!$A18="","",IF(AND(Worksheet!$A1844=0,'1Test Data'!$H$9="%"),"#",IF('1Test Data'!$H$9="%",Worksheet!R18,
IF(Z110=1,
IF(Worksheet!A18="","",IF(X110=1,
ROUND(W110,2),
IF(X110=2,
ROUND(W110,1),
IF(X110=3,
ROUND(W110,0),
IF(X110=4,
ROUND(W110,0),ROUND(W110,0))
))))&amp;".0",
IF(AND(Z110=3,Y110="0"),
IF(Worksheet!A18="","",IF(X110=1,
ROUND(W110,2),
IF(X110=2,
ROUND(W110,1),
IF(X110=3,
ROUND(W110,0),
IF(X110=4,
ROUND(W110,0),ROUND(W110,0))
))))&amp;"0",
IF(Worksheet!A18="","",IF(X110=1,
ROUND(W110,2),
IF(X110=2,
ROUND(W110,1),
IF(X110=3,
ROUND(W110,0),
IF(X110=4,
ROUND(W110,0),ROUND(W110,0))
))
)))
)))))</f>
        <v>#NAME?</v>
      </c>
      <c r="M110" s="405"/>
      <c r="T110" s="412"/>
      <c r="U110" s="375"/>
      <c r="V110" s="1068"/>
      <c r="W110" s="375" t="e">
        <f ca="1">IF(B110="","",IF(_xlfn.SINGLE(Elect)=1,_xlfn.SINGLE(INDIRECT(Worksheet!AC18))*VLOOKUP(_xlfn.SINGLE(Units),'1Test Data'!$Y$3:$AB$22,4,0),_xlfn.SINGLE(INDIRECT(Worksheet!AA18))*VLOOKUP(_xlfn.SINGLE(Units),'1Test Data'!$Y$3:$AB$22,4,0)))</f>
        <v>#NAME?</v>
      </c>
      <c r="X110" s="375" t="e">
        <f>IF(B110="","",IF(Y110="0",1,IFERROR(FIND(".",W110),1)))</f>
        <v>#NAME?</v>
      </c>
      <c r="Y110" s="413" t="e">
        <f>IF(B110="","",LEFT(W110,1))</f>
        <v>#NAME?</v>
      </c>
      <c r="Z110" s="414" t="e" cm="1">
        <f t="array" aca="1" ref="Z110" ca="1">LEN(IF(shernof!$A$46="Alstom Transport Australia Pty Limited",Worksheet!Y18,IF(Worksheet!$A18="","",IF(AND(Worksheet!$A1844=0,'1Test Data'!$H$9="%"),"#",IF('1Test Data'!$H$9="%",Worksheet!R18,
IF(Worksheet!A18="","",IF(INDIRECT("$B$3")&amp;ROW()=3,
LEFT(ROUND(INDIRECT("$A$3")&amp;ROW(),0),2),
IF(INDIRECT("$B$3")&amp;ROW()=2,
LEFT(ROUND(INDIRECT("$A$3")&amp;ROW(),1),3),
IF(X110=4,
LEFT(ROUND(W110,6),3),
LEFT(ROUND(W110,2),4))
)))
)))))</f>
        <v>#NAME?</v>
      </c>
    </row>
    <row r="111" spans="2:26" ht="21" customHeight="1">
      <c r="B111" s="1074" t="e">
        <f>IF(Worksheet!$A19="","",IF(Elect=1,FIXED(Worksheet!$A19,testpointelect),FIXED(Worksheet!$C19,DecimalPlaces)))</f>
        <v>#NAME?</v>
      </c>
      <c r="C111" s="1074"/>
      <c r="D111" s="1074" t="str">
        <f>IFERROR(FIXED(IF(Worksheet!E19="",IF(Worksheet!F19="","",Worksheet!F19),Worksheet!E19),DecimalPlaces),"")</f>
        <v/>
      </c>
      <c r="E111" s="1074"/>
      <c r="F111" s="415" t="str">
        <f ca="1">IF(GaugeType="B","Not", IF(Worksheet!H19="","",FIXED(IF(correction="Y",Worksheet!$H19-(Worksheet!$C19-Worksheet!$A19),Worksheet!H19),DecimalPlaces))&amp;IF(GaugeType="PS","",IF(Worksheet!W19="Fail","*","  ")))&amp;"    "</f>
        <v xml:space="preserve">      </v>
      </c>
      <c r="G111" s="415" t="str">
        <f>IF(GaugeType="PS","",IF(GaugeType="B","Tested",IF(Worksheet!$O19="","",IF(Worksheet!$O19&gt;0,"+","")&amp;FIXED(IF(correction="Y",Worksheet!$O19-(Worksheet!$C19-Worksheet!$A19),Worksheet!O19),DecimalPlaces))))&amp;"    "</f>
        <v xml:space="preserve">    </v>
      </c>
      <c r="H111" s="415" t="e">
        <f ca="1">IF(Worksheet!K19="","",FIXED(IF(correction="Y",Worksheet!$K19-(Worksheet!$C19-Worksheet!$A19),Worksheet!K19),DecimalPlaces))&amp;IF(Worksheet!X19="Fail","*","  ")&amp;"    "</f>
        <v>#NAME?</v>
      </c>
      <c r="I111" s="415" t="str">
        <f>IF(GaugeType="PS","",IF(Worksheet!$P19="","",IF(Worksheet!$P19&gt;0,"+","")&amp;FIXED(IF(correction="Y",Worksheet!$P19-(Worksheet!$C19-Worksheet!$A19),Worksheet!P19),DecimalPlaces)))&amp;"    "</f>
        <v xml:space="preserve">    </v>
      </c>
      <c r="J111" s="1075" t="e">
        <f>IF(Worksheet!$A19="","",FIXED(Worksheet!$T19,DecimalPlaces))</f>
        <v>#NAME?</v>
      </c>
      <c r="K111" s="1075"/>
      <c r="L111" s="415" t="e">
        <f ca="1">IF(shernof!$A$46="Alstom Transport Australia Pty Limited",Worksheet!Y19,IF(Worksheet!$A19="","",IF(AND(Worksheet!$A1845=0,'1Test Data'!$H$9="%"),"#",IF('1Test Data'!$H$9="%",Worksheet!R19,
IF(Z111=1,
IF(Worksheet!A19="","",IF(X111=1,
ROUND(W111,2),
IF(X111=2,
ROUND(W111,1),
IF(X111=3,
ROUND(W111,0),
IF(X111=4,
ROUND(W111,0),ROUND(W111,0))
))))&amp;".0",
IF(AND(Z111=3,Y111="0"),
IF(Worksheet!A19="","",IF(X111=1,
ROUND(W111,2),
IF(X111=2,
ROUND(W111,1),
IF(X111=3,
ROUND(W111,0),
IF(X111=4,
ROUND(W111,0),ROUND(W111,0))
))))&amp;"0",
IF(Worksheet!A19="","",IF(X111=1,
ROUND(W111,2),
IF(X111=2,
ROUND(W111,1),
IF(X111=3,
ROUND(W111,0),
IF(X111=4,
ROUND(W111,0),ROUND(W111,0))
))
)))
)))))</f>
        <v>#NAME?</v>
      </c>
      <c r="M111" s="405"/>
      <c r="T111" s="412"/>
      <c r="U111" s="375"/>
      <c r="V111" s="1068"/>
      <c r="W111" s="375" t="e">
        <f ca="1">IF(B111="","",IF(_xlfn.SINGLE(Elect)=1,_xlfn.SINGLE(INDIRECT(Worksheet!AC19))*VLOOKUP(_xlfn.SINGLE(Units),'1Test Data'!$Y$3:$AB$22,4,0),_xlfn.SINGLE(INDIRECT(Worksheet!AA19))*VLOOKUP(_xlfn.SINGLE(Units),'1Test Data'!$Y$3:$AB$22,4,0)))</f>
        <v>#NAME?</v>
      </c>
      <c r="X111" s="375" t="e">
        <f t="shared" ref="X111:X121" si="0">IF(B111="","",IF(Y111="0",1,IFERROR(FIND(".",W111),1)))</f>
        <v>#NAME?</v>
      </c>
      <c r="Y111" s="413" t="e">
        <f t="shared" ref="Y111:Y121" si="1">IF(B111="","",LEFT(W111,1))</f>
        <v>#NAME?</v>
      </c>
      <c r="Z111" s="414" t="e" cm="1">
        <f t="array" aca="1" ref="Z111" ca="1">LEN(IF(shernof!$A$46="Alstom Transport Australia Pty Limited",Worksheet!Y19,IF(Worksheet!$A19="","",IF(AND(Worksheet!$A1845=0,'1Test Data'!$H$9="%"),"#",IF('1Test Data'!$H$9="%",Worksheet!R19,
IF(Worksheet!A19="","",IF(INDIRECT("$B$3")&amp;ROW()=3,
LEFT(ROUND(INDIRECT("$A$3")&amp;ROW(),0),2),
IF(INDIRECT("$B$3")&amp;ROW()=2,
LEFT(ROUND(INDIRECT("$A$3")&amp;ROW(),1),3),
IF(X111=4,
LEFT(ROUND(W111,6),3),
LEFT(ROUND(W111,2),4))
)))
)))))</f>
        <v>#NAME?</v>
      </c>
    </row>
    <row r="112" spans="2:26" ht="21" customHeight="1">
      <c r="B112" s="1074" t="e">
        <f>IF(Worksheet!$A20="","",IF(Elect=1,FIXED(Worksheet!$A20,testpointelect),FIXED(Worksheet!$C20,DecimalPlaces)))</f>
        <v>#NAME?</v>
      </c>
      <c r="C112" s="1074"/>
      <c r="D112" s="1074" t="str">
        <f>IFERROR(FIXED(IF(Worksheet!E20="",IF(Worksheet!F20="","",Worksheet!F20),Worksheet!E20),DecimalPlaces),"")</f>
        <v/>
      </c>
      <c r="E112" s="1074"/>
      <c r="F112" s="415" t="str">
        <f ca="1">IF(GaugeType="B","Not", IF(Worksheet!H20="","",FIXED(IF(correction="Y",Worksheet!$H20-(Worksheet!$C20-Worksheet!$A20),Worksheet!H20),DecimalPlaces))&amp;IF(GaugeType="PS","",IF(Worksheet!W20="Fail","*","  ")))&amp;"    "</f>
        <v xml:space="preserve">      </v>
      </c>
      <c r="G112" s="415" t="str">
        <f>IF(GaugeType="PS","",IF(GaugeType="B","Tested",IF(Worksheet!$O20="","",IF(Worksheet!$O20&gt;0,"+","")&amp;FIXED(IF(correction="Y",Worksheet!$O20-(Worksheet!$C20-Worksheet!$A20),Worksheet!O20),DecimalPlaces))))&amp;"    "</f>
        <v xml:space="preserve">    </v>
      </c>
      <c r="H112" s="415" t="e">
        <f ca="1">IF(Worksheet!K20="","",FIXED(IF(correction="Y",Worksheet!$K20-(Worksheet!$C20-Worksheet!$A20),Worksheet!K20),DecimalPlaces))&amp;IF(Worksheet!X20="Fail","*","  ")&amp;"    "</f>
        <v>#NAME?</v>
      </c>
      <c r="I112" s="415" t="str">
        <f>IF(GaugeType="PS","",IF(Worksheet!$P20="","",IF(Worksheet!$P20&gt;0,"+","")&amp;FIXED(IF(correction="Y",Worksheet!$P20-(Worksheet!$C20-Worksheet!$A20),Worksheet!P20),DecimalPlaces)))&amp;"    "</f>
        <v xml:space="preserve">    </v>
      </c>
      <c r="J112" s="1074" t="e">
        <f>IF(Worksheet!$A20="","",FIXED(Worksheet!$T20,DecimalPlaces))</f>
        <v>#NAME?</v>
      </c>
      <c r="K112" s="1074"/>
      <c r="L112" s="415" t="e">
        <f ca="1">IF(shernof!$A$46="Alstom Transport Australia Pty Limited",Worksheet!Y20,IF(Worksheet!$A20="","",IF(AND(Worksheet!$A1846=0,'1Test Data'!$H$9="%"),"#",IF('1Test Data'!$H$9="%",Worksheet!R20,
IF(Z112=1,
IF(Worksheet!A20="","",IF(X112=1,
ROUND(W112,2),
IF(X112=2,
ROUND(W112,1),
IF(X112=3,
ROUND(W112,0),
IF(X112=4,
ROUND(W112,0),ROUND(W112,0))
))))&amp;".0",
IF(AND(Z112=3,Y112="0"),
IF(Worksheet!A20="","",IF(X112=1,
ROUND(W112,2),
IF(X112=2,
ROUND(W112,1),
IF(X112=3,
ROUND(W112,0),
IF(X112=4,
ROUND(W112,0),ROUND(W112,0))
))))&amp;"0",
IF(Worksheet!A20="","",IF(X112=1,
ROUND(W112,2),
IF(X112=2,
ROUND(W112,1),
IF(X112=3,
ROUND(W112,0),
IF(X112=4,
ROUND(W112,0),ROUND(W112,0))
))
)))
)))))</f>
        <v>#NAME?</v>
      </c>
      <c r="T112" s="412"/>
      <c r="U112" s="375" t="s">
        <v>355</v>
      </c>
      <c r="V112" s="1068"/>
      <c r="W112" s="375" t="e">
        <f ca="1">IF(B112="","",IF(_xlfn.SINGLE(Elect)=1,_xlfn.SINGLE(INDIRECT(Worksheet!AC20))*VLOOKUP(_xlfn.SINGLE(Units),'1Test Data'!$Y$3:$AB$22,4,0),_xlfn.SINGLE(INDIRECT(Worksheet!AA20))*VLOOKUP(_xlfn.SINGLE(Units),'1Test Data'!$Y$3:$AB$22,4,0)))</f>
        <v>#NAME?</v>
      </c>
      <c r="X112" s="375" t="e">
        <f t="shared" si="0"/>
        <v>#NAME?</v>
      </c>
      <c r="Y112" s="413" t="e">
        <f t="shared" si="1"/>
        <v>#NAME?</v>
      </c>
      <c r="Z112" s="414" t="e" cm="1">
        <f t="array" aca="1" ref="Z112" ca="1">LEN(IF(shernof!$A$46="Alstom Transport Australia Pty Limited",Worksheet!Y20,IF(Worksheet!$A20="","",IF(AND(Worksheet!$A1846=0,'1Test Data'!$H$9="%"),"#",IF('1Test Data'!$H$9="%",Worksheet!R20,
IF(Worksheet!A20="","",IF(INDIRECT("$B$3")&amp;ROW()=3,
LEFT(ROUND(INDIRECT("$A$3")&amp;ROW(),0),2),
IF(INDIRECT("$B$3")&amp;ROW()=2,
LEFT(ROUND(INDIRECT("$A$3")&amp;ROW(),1),3),
IF(X112=4,
LEFT(ROUND(W112,6),3),
LEFT(ROUND(W112,2),4))
)))
)))))</f>
        <v>#NAME?</v>
      </c>
    </row>
    <row r="113" spans="2:26" ht="21" customHeight="1">
      <c r="B113" s="1074" t="str">
        <f>IF(Worksheet!$A21="","",IF(Elect=1,FIXED(Worksheet!$A21,testpointelect),FIXED(Worksheet!$C21,DecimalPlaces)))</f>
        <v/>
      </c>
      <c r="C113" s="1074"/>
      <c r="D113" s="1074" t="str">
        <f>IFERROR(FIXED(IF(Worksheet!E21="",IF(Worksheet!F21="","",Worksheet!F21),Worksheet!E21),DecimalPlaces),"")</f>
        <v/>
      </c>
      <c r="E113" s="1074"/>
      <c r="F113" s="415" t="str">
        <f ca="1">IF(GaugeType="B","Not", IF(Worksheet!H21="","",FIXED(IF(correction="Y",Worksheet!$H21-(Worksheet!$C21-Worksheet!$A21),Worksheet!H21),DecimalPlaces))&amp;IF(GaugeType="PS","",IF(Worksheet!W21="Fail","*","  ")))&amp;"    "</f>
        <v xml:space="preserve">      </v>
      </c>
      <c r="G113" s="415" t="str">
        <f>IF(GaugeType="PS","",IF(GaugeType="B","Tested",IF(Worksheet!$O21="","",IF(Worksheet!$O21&gt;0,"+","")&amp;FIXED(IF(correction="Y",Worksheet!$O21-(Worksheet!$C21-Worksheet!$A21),Worksheet!O21),DecimalPlaces))))&amp;"    "</f>
        <v xml:space="preserve">    </v>
      </c>
      <c r="H113" s="415" t="str">
        <f ca="1">IF(Worksheet!K21="","",FIXED(IF(correction="Y",Worksheet!$K21-(Worksheet!$C21-Worksheet!$A21),Worksheet!K21),DecimalPlaces))&amp;IF(Worksheet!X21="Fail","*","  ")&amp;"    "</f>
        <v xml:space="preserve">      </v>
      </c>
      <c r="I113" s="415" t="str">
        <f>IF(GaugeType="PS","",IF(Worksheet!$P21="","",IF(Worksheet!$P21&gt;0,"+","")&amp;FIXED(IF(correction="Y",Worksheet!$P21-(Worksheet!$C21-Worksheet!$A21),Worksheet!P21),DecimalPlaces)))&amp;"    "</f>
        <v xml:space="preserve">    </v>
      </c>
      <c r="J113" s="1074" t="str">
        <f>IF(Worksheet!$A21="","",FIXED(Worksheet!$T21,DecimalPlaces))</f>
        <v/>
      </c>
      <c r="K113" s="1074"/>
      <c r="L113" s="415" t="str">
        <f>IF(shernof!$A$46="Alstom Transport Australia Pty Limited",Worksheet!Y21,IF(Worksheet!$A21="","",IF(AND(Worksheet!$A1847=0,'1Test Data'!$H$9="%"),"#",IF('1Test Data'!$H$9="%",Worksheet!R21,
IF(Z113=1,
IF(Worksheet!A21="","",IF(X113=1,
ROUND(W113,2),
IF(X113=2,
ROUND(W113,1),
IF(X113=3,
ROUND(W113,0),
IF(X113=4,
ROUND(W113,0),ROUND(W113,0))
))))&amp;".0",
IF(AND(Z113=3,Y113="0"),
IF(Worksheet!A21="","",IF(X113=1,
ROUND(W113,2),
IF(X113=2,
ROUND(W113,1),
IF(X113=3,
ROUND(W113,0),
IF(X113=4,
ROUND(W113,0),ROUND(W113,0))
))))&amp;"0",
IF(Worksheet!A21="","",IF(X113=1,
ROUND(W113,2),
IF(X113=2,
ROUND(W113,1),
IF(X113=3,
ROUND(W113,0),
IF(X113=4,
ROUND(W113,0),ROUND(W113,0))
))
)))
)))))</f>
        <v/>
      </c>
      <c r="M113" s="416"/>
      <c r="T113" s="412" t="str">
        <f>_xlfn.SINGLE(Units)</f>
        <v>mm</v>
      </c>
      <c r="U113" s="375" t="e">
        <f ca="1">ROUND(MAX(U114:U132),2)</f>
        <v>#VALUE!</v>
      </c>
      <c r="V113" s="1068"/>
      <c r="W113" s="375" t="str">
        <f ca="1">IF(B113="","",IF(_xlfn.SINGLE(Elect)=1,_xlfn.SINGLE(INDIRECT(Worksheet!AC21))*VLOOKUP(_xlfn.SINGLE(Units),'1Test Data'!$Y$3:$AB$22,4,0),_xlfn.SINGLE(INDIRECT(Worksheet!AA21))*VLOOKUP(_xlfn.SINGLE(Units),'1Test Data'!$Y$3:$AB$22,4,0)))</f>
        <v/>
      </c>
      <c r="X113" s="375" t="str">
        <f t="shared" si="0"/>
        <v/>
      </c>
      <c r="Y113" s="413" t="str">
        <f t="shared" si="1"/>
        <v/>
      </c>
      <c r="Z113" s="414" cm="1">
        <f t="array" aca="1" ref="Z113" ca="1">LEN(IF(shernof!$A$46="Alstom Transport Australia Pty Limited",Worksheet!Y21,IF(Worksheet!$A21="","",IF(AND(Worksheet!$A1847=0,'1Test Data'!$H$9="%"),"#",IF('1Test Data'!$H$9="%",Worksheet!R21,
IF(Worksheet!A21="","",IF(INDIRECT("$B$3")&amp;ROW()=3,
LEFT(ROUND(INDIRECT("$A$3")&amp;ROW(),0),2),
IF(INDIRECT("$B$3")&amp;ROW()=2,
LEFT(ROUND(INDIRECT("$A$3")&amp;ROW(),1),3),
IF(X113=4,
LEFT(ROUND(W113,6),3),
LEFT(ROUND(W113,2),4))
)))
)))))</f>
        <v>0</v>
      </c>
    </row>
    <row r="114" spans="2:26" ht="21" customHeight="1">
      <c r="B114" s="1074" t="str">
        <f>IF(Worksheet!$A22="","",IF(Elect=1,FIXED(Worksheet!$A22,testpointelect),FIXED(Worksheet!$C22,DecimalPlaces)))</f>
        <v/>
      </c>
      <c r="C114" s="1074"/>
      <c r="D114" s="1074" t="str">
        <f>IFERROR(FIXED(IF(Worksheet!E22="",IF(Worksheet!F22="","",Worksheet!F22),Worksheet!E22),DecimalPlaces),"")</f>
        <v/>
      </c>
      <c r="E114" s="1074"/>
      <c r="F114" s="415" t="str">
        <f ca="1">IF(GaugeType="B","Not", IF(Worksheet!H22="","",FIXED(IF(correction="Y",Worksheet!$H22-(Worksheet!$C22-Worksheet!$A22),Worksheet!H22),DecimalPlaces))&amp;IF(GaugeType="PS","",IF(Worksheet!W22="Fail","*","  ")))&amp;"    "</f>
        <v xml:space="preserve">      </v>
      </c>
      <c r="G114" s="415" t="str">
        <f>IF(GaugeType="PS","",IF(GaugeType="B","Tested",IF(Worksheet!$O22="","",IF(Worksheet!$O22&gt;0,"+","")&amp;FIXED(IF(correction="Y",Worksheet!$O22-(Worksheet!$C22-Worksheet!$A22),Worksheet!O22),DecimalPlaces))))&amp;"    "</f>
        <v xml:space="preserve">    </v>
      </c>
      <c r="H114" s="415" t="str">
        <f ca="1">IF(Worksheet!K22="","",FIXED(IF(correction="Y",Worksheet!$K22-(Worksheet!$C22-Worksheet!$A22),Worksheet!K22),DecimalPlaces))&amp;IF(Worksheet!X22="Fail","*","  ")&amp;"    "</f>
        <v xml:space="preserve">      </v>
      </c>
      <c r="I114" s="415" t="str">
        <f>IF(GaugeType="PS","",IF(Worksheet!$P22="","",IF(Worksheet!$P22&gt;0,"+","")&amp;FIXED(IF(correction="Y",Worksheet!$P22-(Worksheet!$C22-Worksheet!$A22),Worksheet!P22),DecimalPlaces)))&amp;"    "</f>
        <v xml:space="preserve">    </v>
      </c>
      <c r="J114" s="1074" t="str">
        <f>IF(Worksheet!$A22="","",FIXED(Worksheet!$T22,DecimalPlaces))</f>
        <v/>
      </c>
      <c r="K114" s="1074"/>
      <c r="L114" s="415" t="str">
        <f>IF(shernof!$A$46="Alstom Transport Australia Pty Limited",Worksheet!Y22,IF(Worksheet!$A22="","",IF(AND(Worksheet!$A1848=0,'1Test Data'!$H$9="%"),"#",IF('1Test Data'!$H$9="%",Worksheet!R22,
IF(Z114=1,
IF(Worksheet!A22="","",IF(X114=1,
ROUND(W114,2),
IF(X114=2,
ROUND(W114,1),
IF(X114=3,
ROUND(W114,0),
IF(X114=4,
ROUND(W114,0),ROUND(W114,0))
))))&amp;".0",
IF(AND(Z114=3,Y114="0"),
IF(Worksheet!A22="","",IF(X114=1,
ROUND(W114,2),
IF(X114=2,
ROUND(W114,1),
IF(X114=3,
ROUND(W114,0),
IF(X114=4,
ROUND(W114,0),ROUND(W114,0))
))))&amp;"0",
IF(Worksheet!A22="","",IF(X114=1,
ROUND(W114,2),
IF(X114=2,
ROUND(W114,1),
IF(X114=3,
ROUND(W114,0),
IF(X114=4,
ROUND(W114,0),ROUND(W114,0))
))
)))
)))))</f>
        <v/>
      </c>
      <c r="M114" s="417"/>
      <c r="T114" s="412"/>
      <c r="U114" s="375" t="e">
        <f ca="1">IF(Worksheet!$R18="N/A",Worksheet!$Q18,0)</f>
        <v>#VALUE!</v>
      </c>
      <c r="V114" s="1068"/>
      <c r="W114" s="375" t="str">
        <f ca="1">IF(B114="","",IF(_xlfn.SINGLE(Elect)=1,_xlfn.SINGLE(INDIRECT(Worksheet!AC22))*VLOOKUP(_xlfn.SINGLE(Units),'1Test Data'!$Y$3:$AB$22,4,0),_xlfn.SINGLE(INDIRECT(Worksheet!AA22))*VLOOKUP(_xlfn.SINGLE(Units),'1Test Data'!$Y$3:$AB$22,4,0)))</f>
        <v/>
      </c>
      <c r="X114" s="375" t="str">
        <f t="shared" si="0"/>
        <v/>
      </c>
      <c r="Y114" s="413" t="str">
        <f t="shared" si="1"/>
        <v/>
      </c>
      <c r="Z114" s="414" cm="1">
        <f t="array" aca="1" ref="Z114" ca="1">LEN(IF(shernof!$A$46="Alstom Transport Australia Pty Limited",Worksheet!Y22,IF(Worksheet!$A22="","",IF(AND(Worksheet!$A1848=0,'1Test Data'!$H$9="%"),"#",IF('1Test Data'!$H$9="%",Worksheet!R22,
IF(Worksheet!A22="","",IF(INDIRECT("$B$3")&amp;ROW()=3,
LEFT(ROUND(INDIRECT("$A$3")&amp;ROW(),0),2),
IF(INDIRECT("$B$3")&amp;ROW()=2,
LEFT(ROUND(INDIRECT("$A$3")&amp;ROW(),1),3),
IF(X114=4,
LEFT(ROUND(W114,6),3),
LEFT(ROUND(W114,2),4))
)))
)))))</f>
        <v>0</v>
      </c>
    </row>
    <row r="115" spans="2:26" ht="21" customHeight="1">
      <c r="B115" s="1074" t="str">
        <f>IF(Worksheet!$A23="","",IF(Elect=1,FIXED(Worksheet!$A23,testpointelect),FIXED(Worksheet!$C23,DecimalPlaces)))</f>
        <v/>
      </c>
      <c r="C115" s="1074"/>
      <c r="D115" s="1074" t="str">
        <f>IFERROR(FIXED(IF(Worksheet!E23="",IF(Worksheet!F23="","",Worksheet!F23),Worksheet!E23),DecimalPlaces),"")</f>
        <v/>
      </c>
      <c r="E115" s="1074"/>
      <c r="F115" s="415" t="str">
        <f ca="1">IF(GaugeType="B","Not", IF(Worksheet!H23="","",FIXED(IF(correction="Y",Worksheet!$H23-(Worksheet!$C23-Worksheet!$A23),Worksheet!H23),DecimalPlaces))&amp;IF(GaugeType="PS","",IF(Worksheet!W23="Fail","*","  ")))&amp;"    "</f>
        <v xml:space="preserve">      </v>
      </c>
      <c r="G115" s="415" t="str">
        <f>IF(GaugeType="PS","",IF(GaugeType="B","Tested",IF(Worksheet!$O23="","",IF(Worksheet!$O23&gt;0,"+","")&amp;FIXED(IF(correction="Y",Worksheet!$O23-(Worksheet!$C23-Worksheet!$A23),Worksheet!O23),DecimalPlaces))))&amp;"    "</f>
        <v xml:space="preserve">    </v>
      </c>
      <c r="H115" s="415" t="str">
        <f ca="1">IF(Worksheet!K23="","",FIXED(IF(correction="Y",Worksheet!$K23-(Worksheet!$C23-Worksheet!$A23),Worksheet!K23),DecimalPlaces))&amp;IF(Worksheet!X23="Fail","*","  ")&amp;"    "</f>
        <v xml:space="preserve">      </v>
      </c>
      <c r="I115" s="415" t="str">
        <f>IF(GaugeType="PS","",IF(Worksheet!$P23="","",IF(Worksheet!$P23&gt;0,"+","")&amp;FIXED(IF(correction="Y",Worksheet!$P23-(Worksheet!$C23-Worksheet!$A23),Worksheet!P23),DecimalPlaces)))&amp;"    "</f>
        <v xml:space="preserve">    </v>
      </c>
      <c r="J115" s="1074" t="str">
        <f>IF(Worksheet!$A23="","",FIXED(Worksheet!$T23,DecimalPlaces))</f>
        <v/>
      </c>
      <c r="K115" s="1074"/>
      <c r="L115" s="415" t="str">
        <f>IF(shernof!$A$46="Alstom Transport Australia Pty Limited",Worksheet!Y23,IF(Worksheet!$A23="","",IF(AND(Worksheet!$A1849=0,'1Test Data'!$H$9="%"),"#",IF('1Test Data'!$H$9="%",Worksheet!R23,
IF(Z115=1,
IF(Worksheet!A23="","",IF(X115=1,
ROUND(W115,2),
IF(X115=2,
ROUND(W115,1),
IF(X115=3,
ROUND(W115,0),
IF(X115=4,
ROUND(W115,0),ROUND(W115,0))
))))&amp;".0",
IF(AND(Z115=3,Y115="0"),
IF(Worksheet!A23="","",IF(X115=1,
ROUND(W115,2),
IF(X115=2,
ROUND(W115,1),
IF(X115=3,
ROUND(W115,0),
IF(X115=4,
ROUND(W115,0),ROUND(W115,0))
))))&amp;"0",
IF(Worksheet!A23="","",IF(X115=1,
ROUND(W115,2),
IF(X115=2,
ROUND(W115,1),
IF(X115=3,
ROUND(W115,0),
IF(X115=4,
ROUND(W115,0),ROUND(W115,0))
))
)))
)))))</f>
        <v/>
      </c>
      <c r="M115" s="417"/>
      <c r="T115" s="412"/>
      <c r="U115" s="375" t="e">
        <f ca="1">IF(Worksheet!$R19="N/A",Worksheet!$Q19,0)</f>
        <v>#VALUE!</v>
      </c>
      <c r="V115" s="1068"/>
      <c r="W115" s="375" t="str">
        <f ca="1">IF(B115="","",IF(_xlfn.SINGLE(Elect)=1,_xlfn.SINGLE(INDIRECT(Worksheet!AC23))*VLOOKUP(_xlfn.SINGLE(Units),'1Test Data'!$Y$3:$AB$22,4,0),_xlfn.SINGLE(INDIRECT(Worksheet!AA23))*VLOOKUP(_xlfn.SINGLE(Units),'1Test Data'!$Y$3:$AB$22,4,0)))</f>
        <v/>
      </c>
      <c r="X115" s="375" t="str">
        <f t="shared" si="0"/>
        <v/>
      </c>
      <c r="Y115" s="413" t="str">
        <f t="shared" si="1"/>
        <v/>
      </c>
      <c r="Z115" s="414" cm="1">
        <f t="array" aca="1" ref="Z115" ca="1">LEN(IF(shernof!$A$46="Alstom Transport Australia Pty Limited",Worksheet!Y23,IF(Worksheet!$A23="","",IF(AND(Worksheet!$A1849=0,'1Test Data'!$H$9="%"),"#",IF('1Test Data'!$H$9="%",Worksheet!R23,
IF(Worksheet!A23="","",IF(INDIRECT("$B$3")&amp;ROW()=3,
LEFT(ROUND(INDIRECT("$A$3")&amp;ROW(),0),2),
IF(INDIRECT("$B$3")&amp;ROW()=2,
LEFT(ROUND(INDIRECT("$A$3")&amp;ROW(),1),3),
IF(X115=4,
LEFT(ROUND(W115,6),3),
LEFT(ROUND(W115,2),4))
)))
)))))</f>
        <v>0</v>
      </c>
    </row>
    <row r="116" spans="2:26" ht="21" customHeight="1">
      <c r="B116" s="1074" t="str">
        <f>IF(Worksheet!$A24="","",IF(Elect=1,FIXED(Worksheet!$A24,testpointelect),FIXED(Worksheet!#REF!,DecimalPlaces)))</f>
        <v/>
      </c>
      <c r="C116" s="1074"/>
      <c r="D116" s="1074" t="str">
        <f>IFERROR(FIXED(IF(Worksheet!E24="",IF(Worksheet!F24="","",Worksheet!F24),Worksheet!E24),DecimalPlaces),"")</f>
        <v/>
      </c>
      <c r="E116" s="1074"/>
      <c r="F116" s="415" t="str">
        <f ca="1">IF(GaugeType="B","Not", IF(Worksheet!H24="","",FIXED(IF(correction="Y",Worksheet!$H24-(Worksheet!#REF!-Worksheet!$A24),Worksheet!H24),DecimalPlaces))&amp;IF(GaugeType="PS","",IF(Worksheet!W24="Fail","*","  ")))&amp;"    "</f>
        <v xml:space="preserve">      </v>
      </c>
      <c r="G116" s="415" t="str">
        <f>IF(GaugeType="PS","",IF(GaugeType="B","Tested",IF(Worksheet!$O24="","",IF(Worksheet!$O24&gt;0,"+","")&amp;FIXED(IF(correction="Y",Worksheet!$O24-(Worksheet!#REF!-Worksheet!$A24),Worksheet!O24),DecimalPlaces))))&amp;"    "</f>
        <v xml:space="preserve">    </v>
      </c>
      <c r="H116" s="415" t="str">
        <f ca="1">IF(Worksheet!K24="","",FIXED(IF(correction="Y",Worksheet!$K24-(Worksheet!#REF!-Worksheet!$A24),Worksheet!K24),DecimalPlaces))&amp;IF(Worksheet!X24="Fail","*","  ")&amp;"    "</f>
        <v xml:space="preserve">      </v>
      </c>
      <c r="I116" s="415" t="str">
        <f>IF(GaugeType="PS","",IF(Worksheet!$P24="","",IF(Worksheet!$P24&gt;0,"+","")&amp;FIXED(IF(correction="Y",Worksheet!$P24-(Worksheet!#REF!-Worksheet!$A24),Worksheet!P24),DecimalPlaces)))&amp;"    "</f>
        <v xml:space="preserve">    </v>
      </c>
      <c r="J116" s="1074" t="str">
        <f>IF(Worksheet!$A24="","",FIXED(Worksheet!$T24,DecimalPlaces))</f>
        <v/>
      </c>
      <c r="K116" s="1074"/>
      <c r="L116" s="415" t="str">
        <f>IF(shernof!$A$46="Alstom Transport Australia Pty Limited",Worksheet!Y24,IF(Worksheet!$A24="","",IF(AND(Worksheet!$A1850=0,'1Test Data'!$H$9="%"),"#",IF('1Test Data'!$H$9="%",Worksheet!R24,
IF(Z116=1,
IF(Worksheet!A24="","",IF(X116=1,
ROUND(W116,2),
IF(X116=2,
ROUND(W116,1),
IF(X116=3,
ROUND(W116,0),
IF(X116=4,
ROUND(W116,0),ROUND(W116,0))
))))&amp;".0",
IF(AND(Z116=3,Y116="0"),
IF(Worksheet!A24="","",IF(X116=1,
ROUND(W116,2),
IF(X116=2,
ROUND(W116,1),
IF(X116=3,
ROUND(W116,0),
IF(X116=4,
ROUND(W116,0),ROUND(W116,0))
))))&amp;"0",
IF(Worksheet!A24="","",IF(X116=1,
ROUND(W116,2),
IF(X116=2,
ROUND(W116,1),
IF(X116=3,
ROUND(W116,0),
IF(X116=4,
ROUND(W116,0),ROUND(W116,0))
))
)))
)))))</f>
        <v/>
      </c>
      <c r="T116" s="412"/>
      <c r="U116" s="375" t="e">
        <f ca="1">IF(Worksheet!$R20="N/A",Worksheet!$Q20,0)</f>
        <v>#VALUE!</v>
      </c>
      <c r="V116" s="1068"/>
      <c r="W116" s="375" t="str">
        <f ca="1">IF(B116="","",IF(_xlfn.SINGLE(Elect)=1,_xlfn.SINGLE(INDIRECT(Worksheet!AC24))*VLOOKUP(_xlfn.SINGLE(Units),'1Test Data'!$Y$3:$AB$22,4,0),_xlfn.SINGLE(INDIRECT(Worksheet!AA24))*VLOOKUP(_xlfn.SINGLE(Units),'1Test Data'!$Y$3:$AB$22,4,0)))</f>
        <v/>
      </c>
      <c r="X116" s="375" t="str">
        <f t="shared" si="0"/>
        <v/>
      </c>
      <c r="Y116" s="413" t="str">
        <f t="shared" si="1"/>
        <v/>
      </c>
      <c r="Z116" s="414" cm="1">
        <f t="array" aca="1" ref="Z116" ca="1">LEN(IF(shernof!$A$46="Alstom Transport Australia Pty Limited",Worksheet!Y24,IF(Worksheet!$A24="","",IF(AND(Worksheet!$A1850=0,'1Test Data'!$H$9="%"),"#",IF('1Test Data'!$H$9="%",Worksheet!R24,
IF(Worksheet!A24="","",IF(INDIRECT("$B$3")&amp;ROW()=3,
LEFT(ROUND(INDIRECT("$A$3")&amp;ROW(),0),2),
IF(INDIRECT("$B$3")&amp;ROW()=2,
LEFT(ROUND(INDIRECT("$A$3")&amp;ROW(),1),3),
IF(X116=4,
LEFT(ROUND(W116,6),3),
LEFT(ROUND(W116,2),4))
)))
)))))</f>
        <v>0</v>
      </c>
    </row>
    <row r="117" spans="2:26" ht="21" customHeight="1">
      <c r="B117" s="1074" t="str">
        <f>IF(Worksheet!$A25="","",IF(Elect=1,FIXED(Worksheet!$A25,testpointelect),FIXED(Worksheet!#REF!,DecimalPlaces)))</f>
        <v/>
      </c>
      <c r="C117" s="1074"/>
      <c r="D117" s="1074" t="str">
        <f>IFERROR(FIXED(IF(Worksheet!E25="",IF(Worksheet!F25="","",Worksheet!F25),Worksheet!E25),DecimalPlaces),"")</f>
        <v/>
      </c>
      <c r="E117" s="1074"/>
      <c r="F117" s="415" t="str">
        <f ca="1">IF(GaugeType="B","Not", IF(Worksheet!H25="","",FIXED(IF(correction="Y",Worksheet!$H25-(Worksheet!#REF!-Worksheet!$A25),Worksheet!H25),DecimalPlaces))&amp;IF(GaugeType="PS","",IF(Worksheet!W25="Fail","*","  ")))&amp;"    "</f>
        <v xml:space="preserve">      </v>
      </c>
      <c r="G117" s="415" t="str">
        <f>IF(GaugeType="PS","",IF(GaugeType="B","Tested",IF(Worksheet!$O25="","",IF(Worksheet!$O25&gt;0,"+","")&amp;FIXED(IF(correction="Y",Worksheet!$O25-(Worksheet!#REF!-Worksheet!$A25),Worksheet!O25),DecimalPlaces))))&amp;"    "</f>
        <v xml:space="preserve">    </v>
      </c>
      <c r="H117" s="415" t="str">
        <f ca="1">IF(Worksheet!K25="","",FIXED(IF(correction="Y",Worksheet!$K25-(Worksheet!#REF!-Worksheet!$A25),Worksheet!K25),DecimalPlaces))&amp;IF(Worksheet!X25="Fail","*","  ")&amp;"    "</f>
        <v xml:space="preserve">      </v>
      </c>
      <c r="I117" s="415" t="str">
        <f>IF(GaugeType="PS","",IF(Worksheet!$P25="","",IF(Worksheet!$P25&gt;0,"+","")&amp;FIXED(IF(correction="Y",Worksheet!$P25-(Worksheet!#REF!-Worksheet!$A25),Worksheet!P25),DecimalPlaces)))&amp;"    "</f>
        <v xml:space="preserve">    </v>
      </c>
      <c r="J117" s="1074" t="str">
        <f>IF(Worksheet!$A25="","",FIXED(Worksheet!$T25,DecimalPlaces))</f>
        <v/>
      </c>
      <c r="K117" s="1074"/>
      <c r="L117" s="415" t="str">
        <f>IF(shernof!$A$46="Alstom Transport Australia Pty Limited",Worksheet!Y25,IF(Worksheet!$A25="","",IF(AND(Worksheet!$A1851=0,'1Test Data'!$H$9="%"),"#",IF('1Test Data'!$H$9="%",Worksheet!R25,
IF(Z117=1,
IF(Worksheet!A25="","",IF(X117=1,
ROUND(W117,2),
IF(X117=2,
ROUND(W117,1),
IF(X117=3,
ROUND(W117,0),
IF(X117=4,
ROUND(W117,0),ROUND(W117,0))
))))&amp;".0",
IF(AND(Z117=3,Y117="0"),
IF(Worksheet!A25="","",IF(X117=1,
ROUND(W117,2),
IF(X117=2,
ROUND(W117,1),
IF(X117=3,
ROUND(W117,0),
IF(X117=4,
ROUND(W117,0),ROUND(W117,0))
))))&amp;"0",
IF(Worksheet!A25="","",IF(X117=1,
ROUND(W117,2),
IF(X117=2,
ROUND(W117,1),
IF(X117=3,
ROUND(W117,0),
IF(X117=4,
ROUND(W117,0),ROUND(W117,0))
))
)))
)))))</f>
        <v/>
      </c>
      <c r="T117" s="412"/>
      <c r="U117" s="375">
        <f ca="1">IF(Worksheet!$R21="N/A",Worksheet!$Q21,0)</f>
        <v>0</v>
      </c>
      <c r="V117" s="1068"/>
      <c r="W117" s="375" t="str">
        <f ca="1">IF(B117="","",IF(_xlfn.SINGLE(Elect)=1,_xlfn.SINGLE(INDIRECT(Worksheet!AC25))*VLOOKUP(_xlfn.SINGLE(Units),'1Test Data'!$Y$3:$AB$22,4,0),_xlfn.SINGLE(INDIRECT(Worksheet!AA25))*VLOOKUP(_xlfn.SINGLE(Units),'1Test Data'!$Y$3:$AB$22,4,0)))</f>
        <v/>
      </c>
      <c r="X117" s="375" t="str">
        <f t="shared" si="0"/>
        <v/>
      </c>
      <c r="Y117" s="413" t="str">
        <f t="shared" si="1"/>
        <v/>
      </c>
      <c r="Z117" s="414" cm="1">
        <f t="array" aca="1" ref="Z117" ca="1">LEN(IF(shernof!$A$46="Alstom Transport Australia Pty Limited",Worksheet!Y25,IF(Worksheet!$A25="","",IF(AND(Worksheet!$A1851=0,'1Test Data'!$H$9="%"),"#",IF('1Test Data'!$H$9="%",Worksheet!R25,
IF(Worksheet!A25="","",IF(INDIRECT("$B$3")&amp;ROW()=3,
LEFT(ROUND(INDIRECT("$A$3")&amp;ROW(),0),2),
IF(INDIRECT("$B$3")&amp;ROW()=2,
LEFT(ROUND(INDIRECT("$A$3")&amp;ROW(),1),3),
IF(X117=4,
LEFT(ROUND(W117,6),3),
LEFT(ROUND(W117,2),4))
)))
)))))</f>
        <v>0</v>
      </c>
    </row>
    <row r="118" spans="2:26" ht="21" customHeight="1">
      <c r="B118" s="1074" t="str">
        <f>IF(Worksheet!$A26="","",IF(Elect=1,FIXED(Worksheet!$A26,testpointelect),FIXED(Worksheet!#REF!,DecimalPlaces)))</f>
        <v/>
      </c>
      <c r="C118" s="1074"/>
      <c r="D118" s="1074" t="str">
        <f>IFERROR(FIXED(IF(Worksheet!E26="",IF(Worksheet!F26="","",Worksheet!F26),Worksheet!E26),DecimalPlaces),"")</f>
        <v/>
      </c>
      <c r="E118" s="1074"/>
      <c r="F118" s="415" t="str">
        <f ca="1">IF(GaugeType="B","Not", IF(Worksheet!H26="","",FIXED(IF(correction="Y",Worksheet!$H26-(Worksheet!#REF!-Worksheet!$A26),Worksheet!H26),DecimalPlaces))&amp;IF(GaugeType="PS","",IF(Worksheet!W26="Fail","*","  ")))&amp;"    "</f>
        <v xml:space="preserve">      </v>
      </c>
      <c r="G118" s="415" t="str">
        <f>IF(GaugeType="PS","",IF(GaugeType="B","Tested",IF(Worksheet!$O26="","",IF(Worksheet!$O26&gt;0,"+","")&amp;FIXED(IF(correction="Y",Worksheet!$O26-(Worksheet!#REF!-Worksheet!$A26),Worksheet!O26),DecimalPlaces))))&amp;"    "</f>
        <v xml:space="preserve">    </v>
      </c>
      <c r="H118" s="415" t="str">
        <f ca="1">IF(Worksheet!K26="","",FIXED(IF(correction="Y",Worksheet!$K26-(Worksheet!#REF!-Worksheet!$A26),Worksheet!K26),DecimalPlaces))&amp;IF(Worksheet!X26="Fail","*","  ")&amp;"    "</f>
        <v xml:space="preserve">      </v>
      </c>
      <c r="I118" s="415" t="str">
        <f>IF(GaugeType="PS","",IF(Worksheet!$P26="","",IF(Worksheet!$P26&gt;0,"+","")&amp;FIXED(IF(correction="Y",Worksheet!$P26-(Worksheet!#REF!-Worksheet!$A26),Worksheet!P26),DecimalPlaces)))&amp;"    "</f>
        <v xml:space="preserve">    </v>
      </c>
      <c r="J118" s="1074" t="str">
        <f>IF(Worksheet!$A26="","",FIXED(Worksheet!$T26,DecimalPlaces))</f>
        <v/>
      </c>
      <c r="K118" s="1074"/>
      <c r="L118" s="415" t="str">
        <f>IF(shernof!$A$46="Alstom Transport Australia Pty Limited",Worksheet!Y26,IF(Worksheet!$A26="","",IF(AND(Worksheet!$A1852=0,'1Test Data'!$H$9="%"),"#",IF('1Test Data'!$H$9="%",Worksheet!R26,
IF(Z118=1,
IF(Worksheet!A26="","",IF(X118=1,
ROUND(W118,2),
IF(X118=2,
ROUND(W118,1),
IF(X118=3,
ROUND(W118,0),
IF(X118=4,
ROUND(W118,0),ROUND(W118,0))
))))&amp;".0",
IF(AND(Z118=3,Y118="0"),
IF(Worksheet!A26="","",IF(X118=1,
ROUND(W118,2),
IF(X118=2,
ROUND(W118,1),
IF(X118=3,
ROUND(W118,0),
IF(X118=4,
ROUND(W118,0),ROUND(W118,0))
))))&amp;"0",
IF(Worksheet!A26="","",IF(X118=1,
ROUND(W118,2),
IF(X118=2,
ROUND(W118,1),
IF(X118=3,
ROUND(W118,0),
IF(X118=4,
ROUND(W118,0),ROUND(W118,0))
))
)))
)))))</f>
        <v/>
      </c>
      <c r="T118" s="412"/>
      <c r="U118" s="375">
        <f ca="1">IF(Worksheet!$R22="N/A",Worksheet!$Q22,0)</f>
        <v>0</v>
      </c>
      <c r="V118" s="1068"/>
      <c r="W118" s="375" t="str">
        <f ca="1">IF(B118="","",IF(_xlfn.SINGLE(Elect)=1,_xlfn.SINGLE(INDIRECT(Worksheet!AC26))*VLOOKUP(_xlfn.SINGLE(Units),'1Test Data'!$Y$3:$AB$22,4,0),_xlfn.SINGLE(INDIRECT(Worksheet!AA26))*VLOOKUP(_xlfn.SINGLE(Units),'1Test Data'!$Y$3:$AB$22,4,0)))</f>
        <v/>
      </c>
      <c r="X118" s="375" t="str">
        <f t="shared" si="0"/>
        <v/>
      </c>
      <c r="Y118" s="413" t="str">
        <f t="shared" si="1"/>
        <v/>
      </c>
      <c r="Z118" s="414" cm="1">
        <f t="array" aca="1" ref="Z118" ca="1">LEN(IF(shernof!$A$46="Alstom Transport Australia Pty Limited",Worksheet!Y26,IF(Worksheet!$A26="","",IF(AND(Worksheet!$A1852=0,'1Test Data'!$H$9="%"),"#",IF('1Test Data'!$H$9="%",Worksheet!R26,
IF(Worksheet!A26="","",IF(INDIRECT("$B$3")&amp;ROW()=3,
LEFT(ROUND(INDIRECT("$A$3")&amp;ROW(),0),2),
IF(INDIRECT("$B$3")&amp;ROW()=2,
LEFT(ROUND(INDIRECT("$A$3")&amp;ROW(),1),3),
IF(X118=4,
LEFT(ROUND(W118,6),3),
LEFT(ROUND(W118,2),4))
)))
)))))</f>
        <v>0</v>
      </c>
    </row>
    <row r="119" spans="2:26" ht="21" customHeight="1">
      <c r="B119" s="1074" t="str">
        <f>IF(Worksheet!$A27="","",IF(Elect=1,FIXED(Worksheet!$A27,testpointelect),FIXED(Worksheet!$C27,DecimalPlaces)))</f>
        <v/>
      </c>
      <c r="C119" s="1074"/>
      <c r="D119" s="1074" t="str">
        <f>IFERROR(FIXED(IF(Worksheet!E27="",IF(Worksheet!F27="","",Worksheet!F27),Worksheet!E27),DecimalPlaces),"")</f>
        <v/>
      </c>
      <c r="E119" s="1074"/>
      <c r="F119" s="415" t="str">
        <f ca="1">IF(GaugeType="B","Not", IF(Worksheet!H27="","",FIXED(IF(correction="Y",Worksheet!$H27-(Worksheet!$C27-Worksheet!$A27),Worksheet!H27),DecimalPlaces))&amp;IF(GaugeType="PS","",IF(Worksheet!W27="Fail","*","  ")))&amp;"    "</f>
        <v xml:space="preserve">      </v>
      </c>
      <c r="G119" s="415" t="str">
        <f>IF(GaugeType="PS","",IF(GaugeType="B","Tested",IF(Worksheet!$O27="","",IF(Worksheet!$O27&gt;0,"+","")&amp;FIXED(IF(correction="Y",Worksheet!$O27-(Worksheet!$C27-Worksheet!$A27),Worksheet!O27),DecimalPlaces))))&amp;"    "</f>
        <v xml:space="preserve">    </v>
      </c>
      <c r="H119" s="415" t="str">
        <f ca="1">IF(Worksheet!K27="","",FIXED(IF(correction="Y",Worksheet!$K27-(Worksheet!$C27-Worksheet!$A27),Worksheet!K27),DecimalPlaces))&amp;IF(Worksheet!X27="Fail","*","  ")&amp;"    "</f>
        <v xml:space="preserve">      </v>
      </c>
      <c r="I119" s="415" t="str">
        <f>IF(GaugeType="PS","",IF(Worksheet!$P27="","",IF(Worksheet!$P27&gt;0,"+","")&amp;FIXED(IF(correction="Y",Worksheet!$P27-(Worksheet!$C27-Worksheet!$A27),Worksheet!P27),DecimalPlaces)))&amp;"    "</f>
        <v xml:space="preserve">    </v>
      </c>
      <c r="J119" s="1074" t="str">
        <f>IF(Worksheet!$A27="","",FIXED(Worksheet!$T27,DecimalPlaces))</f>
        <v/>
      </c>
      <c r="K119" s="1074"/>
      <c r="L119" s="415" t="str">
        <f>IF(shernof!$A$46="Alstom Transport Australia Pty Limited",Worksheet!Y27,IF(Worksheet!$A27="","",IF(AND(Worksheet!$A1853=0,'1Test Data'!$H$9="%"),"#",IF('1Test Data'!$H$9="%",Worksheet!R27,
IF(Z119=1,
IF(Worksheet!A27="","",IF(X119=1,
ROUND(W119,2),
IF(X119=2,
ROUND(W119,1),
IF(X119=3,
ROUND(W119,0),
IF(X119=4,
ROUND(W119,0),ROUND(W119,0))
))))&amp;".0",
IF(AND(Z119=3,Y119="0"),
IF(Worksheet!A27="","",IF(X119=1,
ROUND(W119,2),
IF(X119=2,
ROUND(W119,1),
IF(X119=3,
ROUND(W119,0),
IF(X119=4,
ROUND(W119,0),ROUND(W119,0))
))))&amp;"0",
IF(Worksheet!A27="","",IF(X119=1,
ROUND(W119,2),
IF(X119=2,
ROUND(W119,1),
IF(X119=3,
ROUND(W119,0),
IF(X119=4,
ROUND(W119,0),ROUND(W119,0))
))
)))
)))))</f>
        <v/>
      </c>
      <c r="T119" s="412"/>
      <c r="U119" s="375">
        <f ca="1">IF(Worksheet!$R23="N/A",Worksheet!$Q23,0)</f>
        <v>0</v>
      </c>
      <c r="V119" s="1068"/>
      <c r="W119" s="375" t="str">
        <f ca="1">IF(B119="","",IF(_xlfn.SINGLE(Elect)=1,_xlfn.SINGLE(INDIRECT(Worksheet!AC27))*VLOOKUP(_xlfn.SINGLE(Units),'1Test Data'!$Y$3:$AB$22,4,0),_xlfn.SINGLE(INDIRECT(Worksheet!AA27))*VLOOKUP(_xlfn.SINGLE(Units),'1Test Data'!$Y$3:$AB$22,4,0)))</f>
        <v/>
      </c>
      <c r="X119" s="375" t="str">
        <f t="shared" si="0"/>
        <v/>
      </c>
      <c r="Y119" s="413" t="str">
        <f t="shared" si="1"/>
        <v/>
      </c>
      <c r="Z119" s="414" cm="1">
        <f t="array" aca="1" ref="Z119" ca="1">LEN(IF(shernof!$A$46="Alstom Transport Australia Pty Limited",Worksheet!Y27,IF(Worksheet!$A27="","",IF(AND(Worksheet!$A1853=0,'1Test Data'!$H$9="%"),"#",IF('1Test Data'!$H$9="%",Worksheet!R27,
IF(Worksheet!A27="","",IF(INDIRECT("$B$3")&amp;ROW()=3,
LEFT(ROUND(INDIRECT("$A$3")&amp;ROW(),0),2),
IF(INDIRECT("$B$3")&amp;ROW()=2,
LEFT(ROUND(INDIRECT("$A$3")&amp;ROW(),1),3),
IF(X119=4,
LEFT(ROUND(W119,6),3),
LEFT(ROUND(W119,2),4))
)))
)))))</f>
        <v>0</v>
      </c>
    </row>
    <row r="120" spans="2:26" ht="21" customHeight="1">
      <c r="B120" s="1074" t="str">
        <f>IF(Worksheet!$A28="","",IF(Elect=1,FIXED(Worksheet!$A28,testpointelect),FIXED(Worksheet!$C28,DecimalPlaces)))</f>
        <v/>
      </c>
      <c r="C120" s="1074"/>
      <c r="D120" s="1074" t="str">
        <f>IFERROR(FIXED(IF(Worksheet!E28="",IF(Worksheet!F28="","",Worksheet!F28),Worksheet!E28),DecimalPlaces),"")</f>
        <v/>
      </c>
      <c r="E120" s="1074"/>
      <c r="F120" s="415" t="str">
        <f ca="1">IF(GaugeType="B","Not", IF(Worksheet!H28="","",FIXED(IF(correction="Y",Worksheet!$H28-(Worksheet!$C28-Worksheet!$A28),Worksheet!H28),DecimalPlaces))&amp;IF(GaugeType="PS","",IF(Worksheet!W28="Fail","*","  ")))&amp;"    "</f>
        <v xml:space="preserve">      </v>
      </c>
      <c r="G120" s="415" t="str">
        <f>IF(GaugeType="PS","",IF(GaugeType="B","Tested",IF(Worksheet!$O28="","",IF(Worksheet!$O28&gt;0,"+","")&amp;FIXED(IF(correction="Y",Worksheet!$O28-(Worksheet!$C28-Worksheet!$A28),Worksheet!O28),DecimalPlaces))))&amp;"    "</f>
        <v xml:space="preserve">    </v>
      </c>
      <c r="H120" s="415" t="str">
        <f ca="1">IF(Worksheet!K28="","",FIXED(IF(correction="Y",Worksheet!$K28-(Worksheet!$C28-Worksheet!$A28),Worksheet!K28),DecimalPlaces))&amp;IF(Worksheet!X28="Fail","*","  ")&amp;"    "</f>
        <v xml:space="preserve">      </v>
      </c>
      <c r="I120" s="415" t="str">
        <f>IF(GaugeType="PS","",IF(Worksheet!$P28="","",IF(Worksheet!$P28&gt;0,"+","")&amp;FIXED(IF(correction="Y",Worksheet!$P28-(Worksheet!$C28-Worksheet!$A28),Worksheet!P28),DecimalPlaces)))&amp;"    "</f>
        <v xml:space="preserve">    </v>
      </c>
      <c r="J120" s="1074" t="str">
        <f>IF(Worksheet!$A28="","",FIXED(Worksheet!$T28,DecimalPlaces))</f>
        <v/>
      </c>
      <c r="K120" s="1074"/>
      <c r="L120" s="415" t="str">
        <f>IF(shernof!$A$46="Alstom Transport Australia Pty Limited",Worksheet!Y28,IF(Worksheet!$A28="","",IF(AND(Worksheet!$A1854=0,'1Test Data'!$H$9="%"),"#",IF('1Test Data'!$H$9="%",Worksheet!R28,
IF(Z120=1,
IF(Worksheet!A28="","",IF(X120=1,
ROUND(W120,2),
IF(X120=2,
ROUND(W120,1),
IF(X120=3,
ROUND(W120,0),
IF(X120=4,
ROUND(W120,0),ROUND(W120,0))
))))&amp;".0",
IF(AND(Z120=3,Y120="0"),
IF(Worksheet!A28="","",IF(X120=1,
ROUND(W120,2),
IF(X120=2,
ROUND(W120,1),
IF(X120=3,
ROUND(W120,0),
IF(X120=4,
ROUND(W120,0),ROUND(W120,0))
))))&amp;"0",
IF(Worksheet!A28="","",IF(X120=1,
ROUND(W120,2),
IF(X120=2,
ROUND(W120,1),
IF(X120=3,
ROUND(W120,0),
IF(X120=4,
ROUND(W120,0),ROUND(W120,0))
))
)))
)))))</f>
        <v/>
      </c>
      <c r="T120" s="412"/>
      <c r="U120" s="375">
        <f ca="1">IF(Worksheet!$R24="N/A",Worksheet!$Q24,0)</f>
        <v>0</v>
      </c>
      <c r="V120" s="1068"/>
      <c r="W120" s="375" t="str">
        <f ca="1">IF(B120="","",IF(_xlfn.SINGLE(Elect)=1,_xlfn.SINGLE(INDIRECT(Worksheet!AC28))*VLOOKUP(_xlfn.SINGLE(Units),'1Test Data'!$Y$3:$AB$22,4,0),_xlfn.SINGLE(INDIRECT(Worksheet!AA28))*VLOOKUP(_xlfn.SINGLE(Units),'1Test Data'!$Y$3:$AB$22,4,0)))</f>
        <v/>
      </c>
      <c r="X120" s="375" t="str">
        <f t="shared" si="0"/>
        <v/>
      </c>
      <c r="Y120" s="413" t="str">
        <f t="shared" si="1"/>
        <v/>
      </c>
      <c r="Z120" s="414" cm="1">
        <f t="array" aca="1" ref="Z120" ca="1">LEN(IF(shernof!$A$46="Alstom Transport Australia Pty Limited",Worksheet!Y28,IF(Worksheet!$A28="","",IF(AND(Worksheet!$A1854=0,'1Test Data'!$H$9="%"),"#",IF('1Test Data'!$H$9="%",Worksheet!R28,
IF(Worksheet!A28="","",IF(INDIRECT("$B$3")&amp;ROW()=3,
LEFT(ROUND(INDIRECT("$A$3")&amp;ROW(),0),2),
IF(INDIRECT("$B$3")&amp;ROW()=2,
LEFT(ROUND(INDIRECT("$A$3")&amp;ROW(),1),3),
IF(X120=4,
LEFT(ROUND(W120,6),3),
LEFT(ROUND(W120,2),4))
)))
)))))</f>
        <v>0</v>
      </c>
    </row>
    <row r="121" spans="2:26" ht="24.75" customHeight="1">
      <c r="B121" s="1074" t="str">
        <f>IF(Worksheet!$A29="","",IF(Elect=1,FIXED(Worksheet!$A29,testpointelect),FIXED(Worksheet!$C29,DecimalPlaces)))</f>
        <v/>
      </c>
      <c r="C121" s="1074"/>
      <c r="D121" s="1074"/>
      <c r="E121" s="1074"/>
      <c r="F121" s="415" t="str">
        <f ca="1">IF(GaugeType="B","Not", IF(Worksheet!H29="","",FIXED(IF(correction="Y",Worksheet!$H29-(Worksheet!$C29-Worksheet!$A29),Worksheet!H29),DecimalPlaces))&amp;IF(GaugeType="PS","",IF(Worksheet!W29="Fail","*","  ")))&amp;"    "</f>
        <v xml:space="preserve">      </v>
      </c>
      <c r="G121" s="415" t="str">
        <f>IF(GaugeType="PS","",IF(GaugeType="B","Tested",IF(Worksheet!$O29="","",IF(Worksheet!$O29&gt;0,"+","")&amp;FIXED(IF(correction="Y",Worksheet!$O29-(Worksheet!$C29-Worksheet!$A29),Worksheet!O29),DecimalPlaces))))&amp;"    "</f>
        <v xml:space="preserve">    </v>
      </c>
      <c r="H121" s="415" t="str">
        <f ca="1">IF(Worksheet!K29="","",FIXED(IF(correction="Y",Worksheet!$K29-(Worksheet!$C29-Worksheet!$A29),Worksheet!K29),DecimalPlaces))&amp;IF(Worksheet!X29="Fail","*","  ")&amp;"    "</f>
        <v xml:space="preserve">      </v>
      </c>
      <c r="I121" s="415" t="str">
        <f>IF(GaugeType="PS","",IF(Worksheet!$P29="","",IF(Worksheet!$P29&gt;0,"+","")&amp;FIXED(IF(correction="Y",Worksheet!$P29-(Worksheet!$C29-Worksheet!$A29),Worksheet!P29),DecimalPlaces)))&amp;"    "</f>
        <v xml:space="preserve">    </v>
      </c>
      <c r="J121" s="1074" t="str">
        <f>IF(Worksheet!$A29="","",FIXED(Worksheet!$T29,DecimalPlaces))</f>
        <v/>
      </c>
      <c r="K121" s="1074"/>
      <c r="L121" s="415" t="str">
        <f>IF(shernof!$A$46="Alstom Transport Australia Pty Limited",Worksheet!Y29,IF(Worksheet!$A29="","",IF(AND(Worksheet!$A1855=0,'1Test Data'!$H$9="%"),"#",IF('1Test Data'!$H$9="%",Worksheet!R29,FIXED(Worksheet!$Q29,DecimalPlaces+1)))))</f>
        <v/>
      </c>
      <c r="T121" s="412"/>
      <c r="U121" s="375">
        <f ca="1">IF(Worksheet!$R25="N/A",Worksheet!$Q25,0)</f>
        <v>0</v>
      </c>
      <c r="V121" s="1068"/>
      <c r="W121" s="375" t="str">
        <f ca="1">IF(B121="","",IF(_xlfn.SINGLE(Elect)=1,_xlfn.SINGLE(INDIRECT(Worksheet!AC29))*VLOOKUP(_xlfn.SINGLE(Units),'1Test Data'!$Y$3:$AB$22,4,0),_xlfn.SINGLE(INDIRECT(Worksheet!AA29))*VLOOKUP(_xlfn.SINGLE(Units),'1Test Data'!$Y$3:$AB$22,4,0)))</f>
        <v/>
      </c>
      <c r="X121" s="375" t="str">
        <f t="shared" si="0"/>
        <v/>
      </c>
      <c r="Y121" s="413" t="str">
        <f t="shared" si="1"/>
        <v/>
      </c>
      <c r="Z121" s="414" cm="1">
        <f t="array" aca="1" ref="Z121" ca="1">LEN(IF(shernof!$A$46="Alstom Transport Australia Pty Limited",Worksheet!Y29,IF(Worksheet!$A29="","",IF(AND(Worksheet!$A1855=0,'1Test Data'!$H$9="%"),"#",IF('1Test Data'!$H$9="%",Worksheet!R29,
IF(Worksheet!A29="","",IF(INDIRECT("$B$3")&amp;ROW()=3,
LEFT(ROUND(INDIRECT("$A$3")&amp;ROW(),0),2),
IF(INDIRECT("$B$3")&amp;ROW()=2,
LEFT(ROUND(INDIRECT("$A$3")&amp;ROW(),1),3),
IF(X121=4,
LEFT(ROUND(W121,6),3),
LEFT(ROUND(W121,2),4))
)))
)))))</f>
        <v>0</v>
      </c>
    </row>
    <row r="122" spans="2:26" ht="14.25" customHeight="1">
      <c r="B122" s="1076" t="s">
        <v>356</v>
      </c>
      <c r="C122" s="1076"/>
      <c r="D122" s="1076"/>
      <c r="E122" s="1076"/>
      <c r="F122" s="1077" t="e">
        <f ca="1">IF(Worksheet!$F$6="","",Worksheet!$F$6 &amp; CHAR(10)) &amp; IF(Worksheet!$C$7="","",Worksheet!$C$7 &amp; CHAR(10) ) &amp; IF(Worksheet!$H$34="Incomplete", "The testing was not completed.", IF(Worksheet!$H$34="PASS", "The ","At "&amp;IF(Failure_Count=1,"the point", "those points")&amp;" marked with an asterisk (*), the ")&amp;EquipType&amp;IF(Worksheet!$H$34="PASS"," complied with "," did not comply with ")&amp;'1Test Data'!$C$26)&amp;CHAR(10)&amp;IF(AND('1Test Data'!$H$9="%",'1Test Data'!$H$10="Y"),"The # denotes that no percentage uncertainty could be reported at Zero."&amp;CHAR(10)&amp;"The absolute uncertainty at zero is "&amp;Report!U113&amp;" "&amp;T113&amp;".","")</f>
        <v>#REF!</v>
      </c>
      <c r="G122" s="1077"/>
      <c r="H122" s="1077"/>
      <c r="I122" s="1077"/>
      <c r="J122" s="1077"/>
      <c r="K122" s="1077"/>
      <c r="L122" s="1077"/>
      <c r="M122" s="418"/>
      <c r="T122" s="419"/>
      <c r="U122" s="420">
        <f ca="1">IF(Worksheet!$R27="N/A",Worksheet!$Q27,0)</f>
        <v>0</v>
      </c>
      <c r="V122" s="1069"/>
      <c r="W122" s="420"/>
      <c r="X122" s="420"/>
      <c r="Y122" s="420"/>
      <c r="Z122" s="421"/>
    </row>
    <row r="123" spans="2:26" ht="12.75" customHeight="1">
      <c r="B123" s="1076"/>
      <c r="C123" s="1076"/>
      <c r="D123" s="1076"/>
      <c r="E123" s="1076"/>
      <c r="F123" s="1077"/>
      <c r="G123" s="1077"/>
      <c r="H123" s="1077"/>
      <c r="I123" s="1077"/>
      <c r="J123" s="1077"/>
      <c r="K123" s="1077"/>
      <c r="L123" s="1077"/>
      <c r="M123" s="418"/>
      <c r="U123" s="375">
        <f ca="1">IF(Worksheet!$R28="N/A",Worksheet!$Q28,0)</f>
        <v>0</v>
      </c>
    </row>
    <row r="124" spans="2:26" ht="12.75" customHeight="1">
      <c r="B124" s="1076"/>
      <c r="C124" s="1076"/>
      <c r="D124" s="1076"/>
      <c r="E124" s="1076"/>
      <c r="F124" s="1077"/>
      <c r="G124" s="1077"/>
      <c r="H124" s="1077"/>
      <c r="I124" s="1077"/>
      <c r="J124" s="1077"/>
      <c r="K124" s="1077"/>
      <c r="L124" s="1077"/>
      <c r="M124" s="418"/>
      <c r="U124" s="375">
        <f ca="1">IF(Worksheet!$R29="N/A",Worksheet!$Q29,0)</f>
        <v>0</v>
      </c>
    </row>
    <row r="125" spans="2:26" ht="24" customHeight="1">
      <c r="B125" s="422"/>
      <c r="C125" s="422"/>
      <c r="D125" s="422"/>
      <c r="E125" s="422"/>
      <c r="F125" s="1077"/>
      <c r="G125" s="1077"/>
      <c r="H125" s="1077"/>
      <c r="I125" s="1077"/>
      <c r="J125" s="1077"/>
      <c r="K125" s="1077"/>
      <c r="L125" s="1077"/>
      <c r="M125" s="423"/>
      <c r="U125" s="375">
        <f ca="1">IF(Worksheet!$R30="N/A",Worksheet!$Q30,0)</f>
        <v>0</v>
      </c>
    </row>
    <row r="126" spans="2:26" ht="3" customHeight="1">
      <c r="B126" s="422"/>
      <c r="C126" s="422"/>
      <c r="D126" s="422"/>
      <c r="E126" s="422"/>
      <c r="F126" s="424"/>
      <c r="G126" s="422"/>
      <c r="H126" s="422"/>
      <c r="I126" s="422"/>
      <c r="J126" s="422"/>
      <c r="K126" s="422"/>
      <c r="L126" s="422"/>
      <c r="M126" s="423"/>
      <c r="U126" s="375" t="e">
        <f>IF(Worksheet!#REF!="N/A",Worksheet!#REF!,0)</f>
        <v>#REF!</v>
      </c>
    </row>
    <row r="127" spans="2:26" ht="39" customHeight="1">
      <c r="B127" s="356" t="s">
        <v>324</v>
      </c>
      <c r="F127" s="424"/>
      <c r="G127" s="415"/>
      <c r="H127" s="415"/>
      <c r="I127" s="415"/>
      <c r="J127" s="1074"/>
      <c r="K127" s="1074"/>
      <c r="L127" s="415"/>
      <c r="U127" s="375" t="e">
        <f>IF(Worksheet!#REF!="N/A",Worksheet!#REF!,0)</f>
        <v>#REF!</v>
      </c>
    </row>
    <row r="128" spans="2:26" ht="6.75" customHeight="1">
      <c r="B128" s="1078"/>
      <c r="C128" s="1078"/>
      <c r="D128" s="1078"/>
      <c r="E128" s="1078"/>
      <c r="F128" s="1079"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128" s="1079"/>
      <c r="H128" s="1079"/>
      <c r="I128" s="1079"/>
      <c r="J128" s="1079"/>
      <c r="K128" s="1079"/>
      <c r="L128" s="1079"/>
      <c r="M128" s="1079"/>
      <c r="N128" s="1079"/>
      <c r="U128" s="375">
        <f ca="1">IF(Worksheet!$R31="N/A",Worksheet!$Q31,0)</f>
        <v>0</v>
      </c>
    </row>
    <row r="129" spans="2:21" ht="18.75" customHeight="1">
      <c r="B129" s="390" t="s">
        <v>329</v>
      </c>
      <c r="F129" s="1079"/>
      <c r="G129" s="1079"/>
      <c r="H129" s="1079"/>
      <c r="I129" s="1079"/>
      <c r="J129" s="1079"/>
      <c r="K129" s="1079"/>
      <c r="L129" s="1079"/>
      <c r="M129" s="1079"/>
      <c r="N129" s="1079"/>
      <c r="U129" s="375">
        <f>IF(Worksheet!$R32="N/A",Worksheet!$Q32,0)</f>
        <v>0</v>
      </c>
    </row>
    <row r="130" spans="2:21" ht="21.75" customHeight="1">
      <c r="B130" s="390" t="str">
        <f>IF(NATA="Y","17 Ceylon Street",VLOOKUP(Lab,'Setup Data'!$AB$2:$AG$21,2,FALSE))</f>
        <v>17 Ceylon Street</v>
      </c>
      <c r="F130" s="1054" t="e">
        <f>"Measurement results for pressure are traceable to SI units. " &amp; IF(OR(_xlfn.SINGLE(Units)="kPa",_xlfn.SINGLE(Units)="?"),"","Conversion Factor from 1kPa to 1"&amp;_xlfn.SINGLE(Units)&amp;" = " &amp; '1Test Data'!$AB$23)</f>
        <v>#N/A</v>
      </c>
      <c r="G130" s="1054"/>
      <c r="H130" s="1054"/>
      <c r="I130" s="1054"/>
      <c r="J130" s="1054"/>
      <c r="K130" s="1054"/>
      <c r="L130" s="1054"/>
      <c r="M130" s="392"/>
      <c r="N130" s="392"/>
      <c r="U130" s="375">
        <f>IF(Worksheet!$R33="N/A",Worksheet!$Q33,0)</f>
        <v>0</v>
      </c>
    </row>
    <row r="131" spans="2:21" ht="21.75" customHeight="1">
      <c r="B131" s="390" t="str">
        <f>IF(NATA="Y","Nunawading, Vic, 3131",VLOOKUP(Lab,'Setup Data'!$AB$2:$AG$21,4,FALSE)  &amp;  ", "   &amp;  VLOOKUP(Lab,'Setup Data'!$AB$2:$AG$21,6,FALSE) &amp;  ", " &amp; VLOOKUP(Lab,'Setup Data'!$AB$2:$AG$21,5,FALSE))</f>
        <v>Nunawading, Vic, 3131</v>
      </c>
      <c r="F131" s="1056"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131" s="1056"/>
      <c r="H131" s="1056"/>
      <c r="I131" s="1056"/>
      <c r="J131" s="1056"/>
      <c r="K131" s="1056"/>
      <c r="L131" s="1056"/>
      <c r="M131" s="1056"/>
      <c r="N131" s="1056"/>
      <c r="U131" s="375">
        <f>IF(Worksheet!$R34="N/A",Worksheet!$Q34,0)</f>
        <v>0</v>
      </c>
    </row>
    <row r="132" spans="2:21" ht="15.6" customHeight="1">
      <c r="B132" s="425" t="s">
        <v>330</v>
      </c>
      <c r="C132" s="426"/>
      <c r="F132" s="1056"/>
      <c r="G132" s="1056"/>
      <c r="H132" s="1056"/>
      <c r="I132" s="1056"/>
      <c r="J132" s="1056"/>
      <c r="K132" s="1056"/>
      <c r="L132" s="1056"/>
      <c r="M132" s="1056"/>
      <c r="N132" s="1056"/>
      <c r="U132" s="375">
        <f>IF(Worksheet!$R35="N/A",Worksheet!$Q35,0)</f>
        <v>0</v>
      </c>
    </row>
    <row r="133" spans="2:21" ht="37.5" customHeight="1">
      <c r="B133" s="394" t="str">
        <f>IF(OR('Setup Data'!$B$3="Auckland",'Setup Data'!$B$3="Christchurch"),"texatsite.co.nz","www.texatsite.com.au")</f>
        <v>www.texatsite.com.au</v>
      </c>
      <c r="F133" s="1056"/>
      <c r="G133" s="1056"/>
      <c r="H133" s="1056"/>
      <c r="I133" s="1056"/>
      <c r="J133" s="1056"/>
      <c r="K133" s="1056"/>
      <c r="L133" s="1056"/>
      <c r="M133" s="1056"/>
      <c r="N133" s="1056"/>
    </row>
    <row r="134" spans="2:21" ht="6.75" customHeight="1">
      <c r="M134" s="427"/>
    </row>
    <row r="135" spans="2:21" ht="8.25" customHeight="1"/>
    <row r="136" spans="2:21" ht="12.75" customHeight="1"/>
    <row r="137" spans="2:21" ht="12.75" customHeight="1"/>
    <row r="138" spans="2:21" ht="12.75" customHeight="1"/>
    <row r="139" spans="2:21" ht="12.75" customHeight="1"/>
    <row r="140" spans="2:21"/>
    <row r="141" spans="2:21" ht="15" customHeight="1"/>
    <row r="142" spans="2:21" ht="15" customHeight="1"/>
    <row r="143" spans="2:21" ht="15" customHeight="1"/>
    <row r="144" spans="2:21" ht="15" customHeight="1"/>
    <row r="145" spans="26:29" ht="15" customHeight="1"/>
    <row r="146" spans="26:29" ht="56.25" customHeight="1">
      <c r="Z146" s="357" t="e">
        <f>#REF!</f>
        <v>#REF!</v>
      </c>
    </row>
    <row r="147" spans="26:29" ht="66.75" customHeight="1">
      <c r="Z147" s="357" t="s">
        <v>357</v>
      </c>
      <c r="AB147" s="357" t="s">
        <v>357</v>
      </c>
      <c r="AC147" s="357" t="s">
        <v>358</v>
      </c>
    </row>
    <row r="148" spans="26:29" ht="66.75" customHeight="1">
      <c r="Z148" s="357" t="s">
        <v>359</v>
      </c>
      <c r="AB148" s="357" t="s">
        <v>359</v>
      </c>
      <c r="AC148" s="357" t="s">
        <v>360</v>
      </c>
    </row>
    <row r="149" spans="26:29" ht="66.75" customHeight="1">
      <c r="Z149" s="357" t="s">
        <v>361</v>
      </c>
      <c r="AB149" s="357" t="s">
        <v>361</v>
      </c>
      <c r="AC149" s="357" t="s">
        <v>362</v>
      </c>
    </row>
    <row r="150" spans="26:29" ht="66.75" customHeight="1">
      <c r="Z150" s="357" t="s">
        <v>363</v>
      </c>
      <c r="AB150" s="357" t="s">
        <v>363</v>
      </c>
      <c r="AC150" s="357" t="s">
        <v>364</v>
      </c>
    </row>
    <row r="151" spans="26:29" ht="66.75" customHeight="1">
      <c r="Z151" s="357" t="s">
        <v>365</v>
      </c>
      <c r="AB151" s="357" t="s">
        <v>365</v>
      </c>
      <c r="AC151" s="357" t="s">
        <v>366</v>
      </c>
    </row>
    <row r="152" spans="26:29" ht="66.599999999999994" customHeight="1">
      <c r="Z152" s="357" t="s">
        <v>367</v>
      </c>
      <c r="AB152" s="357" t="s">
        <v>367</v>
      </c>
      <c r="AC152" s="357" t="s">
        <v>368</v>
      </c>
    </row>
    <row r="153" spans="26:29" ht="15.6" customHeight="1">
      <c r="Z153" s="357" t="s">
        <v>369</v>
      </c>
      <c r="AB153" s="357" t="s">
        <v>369</v>
      </c>
      <c r="AC153" s="357" t="s">
        <v>370</v>
      </c>
    </row>
    <row r="154" spans="26:29"/>
    <row r="155" spans="26:29"/>
    <row r="156" spans="26:29"/>
    <row r="157" spans="26:29"/>
    <row r="158" spans="26:29"/>
    <row r="159" spans="26:29"/>
    <row r="160" spans="26:29"/>
    <row r="161"/>
    <row r="162"/>
    <row r="163"/>
    <row r="164"/>
    <row r="165"/>
    <row r="166"/>
    <row r="167"/>
    <row r="168"/>
    <row r="169"/>
    <row r="170"/>
    <row r="171"/>
    <row r="172"/>
    <row r="173"/>
    <row r="174"/>
    <row r="175"/>
  </sheetData>
  <mergeCells count="86">
    <mergeCell ref="F131:N133"/>
    <mergeCell ref="B122:E124"/>
    <mergeCell ref="F122:L125"/>
    <mergeCell ref="J127:K127"/>
    <mergeCell ref="B128:E128"/>
    <mergeCell ref="F128:N129"/>
    <mergeCell ref="F130:L130"/>
    <mergeCell ref="B120:C120"/>
    <mergeCell ref="D120:E120"/>
    <mergeCell ref="J120:K120"/>
    <mergeCell ref="B121:C121"/>
    <mergeCell ref="D121:E121"/>
    <mergeCell ref="J121:K121"/>
    <mergeCell ref="B118:C118"/>
    <mergeCell ref="D118:E118"/>
    <mergeCell ref="J118:K118"/>
    <mergeCell ref="B119:C119"/>
    <mergeCell ref="D119:E119"/>
    <mergeCell ref="J119:K119"/>
    <mergeCell ref="B116:C116"/>
    <mergeCell ref="D116:E116"/>
    <mergeCell ref="J116:K116"/>
    <mergeCell ref="B117:C117"/>
    <mergeCell ref="D117:E117"/>
    <mergeCell ref="J117:K117"/>
    <mergeCell ref="B114:C114"/>
    <mergeCell ref="D114:E114"/>
    <mergeCell ref="J114:K114"/>
    <mergeCell ref="B115:C115"/>
    <mergeCell ref="D115:E115"/>
    <mergeCell ref="J115:K115"/>
    <mergeCell ref="V108:V122"/>
    <mergeCell ref="B109:C109"/>
    <mergeCell ref="D109:E109"/>
    <mergeCell ref="J109:K109"/>
    <mergeCell ref="B110:C110"/>
    <mergeCell ref="D110:E110"/>
    <mergeCell ref="J110:K110"/>
    <mergeCell ref="B111:C111"/>
    <mergeCell ref="D111:E111"/>
    <mergeCell ref="J111:K111"/>
    <mergeCell ref="B112:C112"/>
    <mergeCell ref="D112:E112"/>
    <mergeCell ref="J112:K112"/>
    <mergeCell ref="B113:C113"/>
    <mergeCell ref="D113:E113"/>
    <mergeCell ref="J113:K113"/>
    <mergeCell ref="I101:K101"/>
    <mergeCell ref="C104:E105"/>
    <mergeCell ref="F104:L105"/>
    <mergeCell ref="B107:L107"/>
    <mergeCell ref="B108:C108"/>
    <mergeCell ref="D108:E108"/>
    <mergeCell ref="F108:I108"/>
    <mergeCell ref="J108:K108"/>
    <mergeCell ref="F50:G51"/>
    <mergeCell ref="F103:L103"/>
    <mergeCell ref="C89:E91"/>
    <mergeCell ref="F89:N91"/>
    <mergeCell ref="C94:E94"/>
    <mergeCell ref="F94:N95"/>
    <mergeCell ref="C97:E99"/>
    <mergeCell ref="G97:H97"/>
    <mergeCell ref="I97:K97"/>
    <mergeCell ref="G98:H98"/>
    <mergeCell ref="I98:K98"/>
    <mergeCell ref="G99:H99"/>
    <mergeCell ref="I99:K99"/>
    <mergeCell ref="G100:H100"/>
    <mergeCell ref="I100:K100"/>
    <mergeCell ref="G101:H101"/>
    <mergeCell ref="F61:L61"/>
    <mergeCell ref="F62:N64"/>
    <mergeCell ref="A67:D71"/>
    <mergeCell ref="F67:H68"/>
    <mergeCell ref="E71:H71"/>
    <mergeCell ref="C80:E82"/>
    <mergeCell ref="G80:H80"/>
    <mergeCell ref="J80:K80"/>
    <mergeCell ref="J81:K81"/>
    <mergeCell ref="J82:K82"/>
    <mergeCell ref="F2:H3"/>
    <mergeCell ref="A8:N9"/>
    <mergeCell ref="F14:G15"/>
    <mergeCell ref="K25:L25"/>
    <mergeCell ref="O26:Q29"/>
  </mergeCells>
  <conditionalFormatting sqref="L108">
    <cfRule type="expression" dxfId="48" priority="2">
      <formula>NATA="Y"</formula>
    </cfRule>
  </conditionalFormatting>
  <conditionalFormatting sqref="L109">
    <cfRule type="expression" dxfId="47" priority="3">
      <formula>NATA="Y"</formula>
    </cfRule>
  </conditionalFormatting>
  <conditionalFormatting sqref="L110:M120">
    <cfRule type="expression" dxfId="46" priority="1">
      <formula>NATA="N"</formula>
    </cfRule>
  </conditionalFormatting>
  <conditionalFormatting sqref="B128 G127:L127">
    <cfRule type="expression" dxfId="45" priority="4">
      <formula>#REF!=""</formula>
    </cfRule>
  </conditionalFormatting>
  <printOptions horizontalCentered="1" verticalCentered="1"/>
  <pageMargins left="0.23622047244094491" right="0.23622047244094491" top="0.39370078740157483" bottom="0.39370078740157483" header="0.31496062992125984" footer="0.31496062992125984"/>
  <pageSetup paperSize="9" scale="84" orientation="portrait" r:id="rId1"/>
  <headerFooter>
    <oddFooter>&amp;RPage &amp;P of &amp;N</oddFooter>
  </headerFooter>
  <rowBreaks count="1" manualBreakCount="1">
    <brk id="65"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4]!hideSign">
                <anchor moveWithCells="1" sizeWithCells="1">
                  <from>
                    <xdr:col>21</xdr:col>
                    <xdr:colOff>333375</xdr:colOff>
                    <xdr:row>38</xdr:row>
                    <xdr:rowOff>123825</xdr:rowOff>
                  </from>
                  <to>
                    <xdr:col>23</xdr:col>
                    <xdr:colOff>19050</xdr:colOff>
                    <xdr:row>40</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4]!show">
                <anchor moveWithCells="1" sizeWithCells="1">
                  <from>
                    <xdr:col>21</xdr:col>
                    <xdr:colOff>333375</xdr:colOff>
                    <xdr:row>41</xdr:row>
                    <xdr:rowOff>38100</xdr:rowOff>
                  </from>
                  <to>
                    <xdr:col>23</xdr:col>
                    <xdr:colOff>19050</xdr:colOff>
                    <xdr:row>44</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8A79-C9E7-4943-9BEB-152EC12BAFE1}">
  <sheetPr codeName="Sheet13"/>
  <dimension ref="A1:EG205"/>
  <sheetViews>
    <sheetView showGridLines="0" zoomScale="85" zoomScaleNormal="85" workbookViewId="0">
      <selection activeCell="Q20" sqref="Q20"/>
    </sheetView>
  </sheetViews>
  <sheetFormatPr defaultColWidth="9.140625" defaultRowHeight="15" outlineLevelCol="1"/>
  <cols>
    <col min="1" max="1" width="9.140625" style="102"/>
    <col min="2" max="2" width="2" style="102" customWidth="1"/>
    <col min="3" max="3" width="25.85546875" style="102" bestFit="1" customWidth="1"/>
    <col min="4" max="4" width="22.28515625" style="102" bestFit="1" customWidth="1"/>
    <col min="5" max="5" width="22.140625" style="102" customWidth="1"/>
    <col min="6" max="6" width="1.85546875" style="102" customWidth="1"/>
    <col min="7" max="7" width="2" style="102" customWidth="1"/>
    <col min="8" max="8" width="15.28515625" style="102" customWidth="1"/>
    <col min="9" max="9" width="10.7109375" style="102" customWidth="1"/>
    <col min="10" max="10" width="18.140625" style="102" customWidth="1"/>
    <col min="11" max="11" width="12.28515625" style="102" customWidth="1"/>
    <col min="12" max="12" width="7.5703125" style="102" hidden="1" customWidth="1"/>
    <col min="13" max="13" width="13.42578125" style="102" customWidth="1"/>
    <col min="14" max="14" width="0.140625" style="102" hidden="1" customWidth="1"/>
    <col min="15" max="15" width="17.7109375" style="102" customWidth="1"/>
    <col min="16" max="16" width="6.7109375" style="102" customWidth="1"/>
    <col min="17" max="17" width="9.85546875" style="102" customWidth="1"/>
    <col min="18" max="18" width="20.85546875" style="102" bestFit="1" customWidth="1"/>
    <col min="19" max="19" width="38.28515625" style="102" bestFit="1" customWidth="1"/>
    <col min="20" max="20" width="9.140625" style="102" customWidth="1"/>
    <col min="21" max="22" width="9.140625" style="102" hidden="1" customWidth="1" outlineLevel="1"/>
    <col min="23" max="24" width="11.42578125" style="102" hidden="1" customWidth="1" outlineLevel="1"/>
    <col min="25" max="25" width="18.7109375" style="102" hidden="1" customWidth="1" outlineLevel="1"/>
    <col min="26" max="26" width="17.85546875" style="102" hidden="1" customWidth="1" outlineLevel="1"/>
    <col min="27" max="27" width="9.140625" style="102" hidden="1" customWidth="1" outlineLevel="1"/>
    <col min="28" max="28" width="12" style="102" hidden="1" customWidth="1" outlineLevel="1"/>
    <col min="29" max="29" width="9.140625" style="102" hidden="1" customWidth="1" outlineLevel="1"/>
    <col min="30" max="30" width="14" style="102" hidden="1" customWidth="1" outlineLevel="1"/>
    <col min="31" max="32" width="9.140625" style="102" hidden="1" customWidth="1" outlineLevel="1"/>
    <col min="33" max="33" width="8.42578125" style="102" hidden="1" customWidth="1" outlineLevel="1"/>
    <col min="34" max="34" width="9" style="102" hidden="1" customWidth="1" outlineLevel="1"/>
    <col min="35" max="38" width="9.140625" style="102" hidden="1" customWidth="1" outlineLevel="1"/>
    <col min="39" max="39" width="11.42578125" style="102" hidden="1" customWidth="1" outlineLevel="1"/>
    <col min="40" max="40" width="47.85546875" style="102" hidden="1" customWidth="1" outlineLevel="1"/>
    <col min="41" max="41" width="60" style="102" hidden="1" customWidth="1" outlineLevel="1"/>
    <col min="42" max="42" width="11.7109375" style="102" hidden="1" customWidth="1" outlineLevel="1"/>
    <col min="43" max="43" width="17.5703125" style="102" hidden="1" customWidth="1" outlineLevel="1"/>
    <col min="44" max="50" width="9.140625" style="102" hidden="1" customWidth="1" outlineLevel="1"/>
    <col min="51" max="51" width="10.42578125" style="102" customWidth="1" collapsed="1"/>
    <col min="52" max="52" width="14.28515625" style="102" customWidth="1"/>
    <col min="53" max="56" width="9.140625" style="102" customWidth="1"/>
    <col min="57" max="57" width="13.28515625" style="102" customWidth="1"/>
    <col min="58" max="62" width="9.140625" style="102" customWidth="1"/>
    <col min="63" max="63" width="11.85546875" style="102" customWidth="1"/>
    <col min="64" max="81" width="9.140625" style="102" customWidth="1"/>
    <col min="82" max="82" width="10.85546875" style="102" bestFit="1" customWidth="1"/>
    <col min="83" max="83" width="9.28515625" style="102" bestFit="1" customWidth="1"/>
    <col min="84" max="84" width="10.42578125" style="102" bestFit="1" customWidth="1"/>
    <col min="85" max="85" width="9.28515625" style="102" bestFit="1" customWidth="1"/>
    <col min="86" max="130" width="9.140625" style="102"/>
    <col min="131" max="136" width="9.140625" style="609"/>
    <col min="137" max="16384" width="9.140625" style="102"/>
  </cols>
  <sheetData>
    <row r="1" spans="2:137" ht="18">
      <c r="W1" s="608"/>
      <c r="X1" s="608"/>
      <c r="Y1" s="608"/>
      <c r="Z1" s="608"/>
      <c r="AA1" s="608"/>
      <c r="AB1" s="608"/>
      <c r="AC1" s="608"/>
      <c r="AD1" s="608"/>
      <c r="AE1" s="608"/>
      <c r="AF1" s="608"/>
      <c r="AG1" s="608"/>
      <c r="AH1" s="608"/>
      <c r="AJ1" s="608"/>
      <c r="AK1" s="608"/>
      <c r="AL1" s="608"/>
      <c r="AM1" s="608"/>
      <c r="AN1" s="608"/>
      <c r="AO1" s="608"/>
      <c r="DY1" s="102">
        <v>1</v>
      </c>
      <c r="DZ1" s="5"/>
      <c r="EA1" s="15" t="s">
        <v>7</v>
      </c>
      <c r="EB1" s="5"/>
      <c r="EC1" s="5"/>
      <c r="ED1" s="5"/>
      <c r="EE1" s="16"/>
      <c r="EG1" s="609"/>
    </row>
    <row r="2" spans="2:137">
      <c r="W2" s="608"/>
      <c r="X2" s="608"/>
      <c r="Y2" s="608"/>
      <c r="Z2" s="608"/>
      <c r="AA2" s="608"/>
      <c r="AB2" s="608"/>
      <c r="AC2" s="608"/>
      <c r="AD2" s="608"/>
      <c r="AE2" s="608"/>
      <c r="AF2" s="608"/>
      <c r="AG2" s="608"/>
      <c r="AH2" s="608"/>
      <c r="AJ2" s="608"/>
      <c r="AK2" s="608"/>
      <c r="AL2" s="608"/>
      <c r="AM2" s="608"/>
      <c r="AN2" s="608"/>
      <c r="AO2" s="608"/>
      <c r="DZ2" s="16"/>
      <c r="EA2" s="102" t="s">
        <v>80</v>
      </c>
      <c r="EB2" s="16"/>
      <c r="EC2" s="16"/>
      <c r="ED2" s="16"/>
      <c r="EE2" s="16" t="s">
        <v>81</v>
      </c>
      <c r="EG2" s="609"/>
    </row>
    <row r="3" spans="2:137" ht="31.15" customHeight="1">
      <c r="B3" s="610" t="s">
        <v>167</v>
      </c>
      <c r="C3" s="611"/>
      <c r="D3" s="611"/>
      <c r="E3" s="611"/>
      <c r="F3" s="611"/>
      <c r="G3" s="611"/>
      <c r="H3" s="611"/>
      <c r="I3" s="611"/>
      <c r="J3" s="611"/>
      <c r="K3" s="611"/>
      <c r="L3" s="611"/>
      <c r="M3" s="611"/>
      <c r="N3" s="611"/>
      <c r="O3" s="611"/>
      <c r="P3" s="611"/>
      <c r="Q3" s="612"/>
      <c r="R3" s="613"/>
      <c r="S3" s="613"/>
      <c r="T3" s="613"/>
      <c r="U3" s="613"/>
      <c r="V3" s="613"/>
      <c r="W3" s="614"/>
      <c r="X3" s="614"/>
      <c r="Y3" s="615" t="s">
        <v>666</v>
      </c>
      <c r="Z3" s="615" t="s">
        <v>667</v>
      </c>
      <c r="AA3" s="615" t="s">
        <v>668</v>
      </c>
      <c r="AB3" s="616" t="s">
        <v>381</v>
      </c>
      <c r="AC3" s="616" t="s">
        <v>669</v>
      </c>
      <c r="AD3" s="617" t="s">
        <v>670</v>
      </c>
      <c r="AE3" s="618">
        <v>25</v>
      </c>
      <c r="AF3" s="619">
        <v>150</v>
      </c>
      <c r="AG3" s="619">
        <v>400</v>
      </c>
      <c r="AH3" s="619">
        <v>1500</v>
      </c>
      <c r="AI3" s="83" t="str">
        <f>Units</f>
        <v>mm</v>
      </c>
      <c r="AJ3" s="614"/>
      <c r="AK3" s="614"/>
      <c r="AL3" s="614"/>
      <c r="AM3" s="614">
        <v>25</v>
      </c>
      <c r="AN3" s="614">
        <v>4</v>
      </c>
      <c r="AO3" s="614"/>
      <c r="AP3" s="613"/>
      <c r="AQ3" s="613"/>
      <c r="AR3" s="613"/>
      <c r="AS3" s="613"/>
      <c r="AT3" s="613"/>
      <c r="AU3" s="613"/>
      <c r="AV3" s="613"/>
      <c r="AW3" s="613"/>
      <c r="AX3" s="613"/>
      <c r="AY3" s="613"/>
      <c r="AZ3" s="620"/>
      <c r="BA3" s="620"/>
      <c r="DY3" s="102">
        <v>1</v>
      </c>
      <c r="DZ3" s="16">
        <v>1</v>
      </c>
      <c r="EA3" s="600">
        <v>1</v>
      </c>
      <c r="EB3" s="600"/>
      <c r="EC3" s="600"/>
      <c r="ED3" s="600"/>
      <c r="EE3" s="600"/>
      <c r="EG3" s="609"/>
    </row>
    <row r="4" spans="2:137" ht="18" customHeight="1">
      <c r="B4" s="621"/>
      <c r="C4" s="845" t="s">
        <v>904</v>
      </c>
      <c r="D4" s="845"/>
      <c r="E4" s="845"/>
      <c r="F4" s="768"/>
      <c r="G4" s="769"/>
      <c r="H4" s="846" t="s">
        <v>72</v>
      </c>
      <c r="I4" s="847"/>
      <c r="J4" s="847"/>
      <c r="K4" s="848"/>
      <c r="L4" s="769"/>
      <c r="M4" s="769"/>
      <c r="N4" s="769"/>
      <c r="O4" s="769"/>
      <c r="P4" s="769"/>
      <c r="Q4" s="622"/>
      <c r="R4" s="781"/>
      <c r="S4" s="781"/>
      <c r="T4" s="781"/>
      <c r="U4" s="781"/>
      <c r="V4" s="781"/>
      <c r="W4" s="614"/>
      <c r="X4" s="614"/>
      <c r="Y4" s="615">
        <v>25</v>
      </c>
      <c r="Z4" s="615" t="e">
        <f>LEFT(AA4*VLOOKUP(Units,$AB$4:$AD$11,2,FALSE),4)</f>
        <v>#N/A</v>
      </c>
      <c r="AA4" s="615">
        <v>0.1</v>
      </c>
      <c r="AB4" s="623" t="s">
        <v>671</v>
      </c>
      <c r="AC4" s="623">
        <v>100</v>
      </c>
      <c r="AD4" s="623">
        <f>1/AC4</f>
        <v>0.01</v>
      </c>
      <c r="AE4" s="618">
        <v>1</v>
      </c>
      <c r="AF4" s="619">
        <v>0</v>
      </c>
      <c r="AG4" s="619">
        <v>0</v>
      </c>
      <c r="AH4" s="619">
        <v>0</v>
      </c>
      <c r="AI4" s="83" t="s">
        <v>78</v>
      </c>
      <c r="AJ4" s="614"/>
      <c r="AK4" s="614"/>
      <c r="AL4" s="614"/>
      <c r="AM4" s="614">
        <v>150</v>
      </c>
      <c r="AN4" s="614">
        <v>5</v>
      </c>
      <c r="AO4" s="614"/>
      <c r="AP4" s="613"/>
      <c r="AQ4" s="613"/>
      <c r="AR4" s="613"/>
      <c r="AS4" s="613"/>
      <c r="AT4" s="613"/>
      <c r="AU4" s="613"/>
      <c r="AV4" s="613"/>
      <c r="AW4" s="613"/>
      <c r="AX4" s="613"/>
      <c r="AY4" s="613"/>
      <c r="AZ4" s="620"/>
      <c r="BA4" s="620"/>
      <c r="DZ4" s="16"/>
      <c r="EA4" s="16" t="s">
        <v>672</v>
      </c>
      <c r="EB4" s="16"/>
      <c r="EC4" s="16"/>
      <c r="ED4" s="16"/>
      <c r="EE4" s="16"/>
      <c r="EG4" s="609"/>
    </row>
    <row r="5" spans="2:137" ht="18" customHeight="1">
      <c r="B5" s="621"/>
      <c r="C5" s="624" t="s">
        <v>178</v>
      </c>
      <c r="D5" s="625" t="s">
        <v>905</v>
      </c>
      <c r="E5" s="626"/>
      <c r="F5" s="768"/>
      <c r="G5" s="769"/>
      <c r="H5" s="624" t="s">
        <v>85</v>
      </c>
      <c r="I5" s="849">
        <v>1</v>
      </c>
      <c r="J5" s="849"/>
      <c r="K5" s="850"/>
      <c r="L5" s="769"/>
      <c r="M5" s="769"/>
      <c r="N5" s="769"/>
      <c r="O5" s="769"/>
      <c r="P5" s="769"/>
      <c r="Q5" s="622"/>
      <c r="R5" s="781"/>
      <c r="S5" s="781"/>
      <c r="T5" s="781"/>
      <c r="U5" s="781"/>
      <c r="V5" s="781"/>
      <c r="W5" s="614"/>
      <c r="X5" s="614"/>
      <c r="Y5" s="615">
        <v>150</v>
      </c>
      <c r="Z5" s="615" t="e">
        <f>LEFT(AA5*VLOOKUP(Units,$AB$4:$AD$11,2,FALSE),4)</f>
        <v>#N/A</v>
      </c>
      <c r="AA5" s="615">
        <v>0.76</v>
      </c>
      <c r="AB5" s="627" t="s">
        <v>673</v>
      </c>
      <c r="AC5" s="627">
        <v>10</v>
      </c>
      <c r="AD5" s="623">
        <f t="shared" ref="AD5:AD14" si="0">1/AC5</f>
        <v>0.1</v>
      </c>
      <c r="AE5" s="618">
        <v>2</v>
      </c>
      <c r="AF5" s="619">
        <v>1</v>
      </c>
      <c r="AG5" s="619">
        <v>1</v>
      </c>
      <c r="AH5" s="619">
        <v>0</v>
      </c>
      <c r="AI5" s="83" t="s">
        <v>10</v>
      </c>
      <c r="AJ5" s="614"/>
      <c r="AK5" s="614"/>
      <c r="AL5" s="614"/>
      <c r="AM5" s="614">
        <f>IF(Kit=33,600,400)</f>
        <v>400</v>
      </c>
      <c r="AN5" s="614">
        <f>IF(Kit=33,4,5)</f>
        <v>5</v>
      </c>
      <c r="AO5" s="614"/>
      <c r="AP5" s="613"/>
      <c r="AQ5" s="613"/>
      <c r="AR5" s="613"/>
      <c r="AS5" s="613"/>
      <c r="AT5" s="613"/>
      <c r="AU5" s="613"/>
      <c r="AV5" s="613"/>
      <c r="AW5" s="613"/>
      <c r="AX5" s="613"/>
      <c r="AY5" s="613"/>
      <c r="AZ5" s="620"/>
      <c r="BA5" s="620"/>
      <c r="DZ5" s="16"/>
      <c r="EA5" s="16" t="str">
        <f>SUBSTITUTE(EA4,CHAR(11),CHAR(10))</f>
        <v>3 GIBBENS RD, WEST GOSFORD, 2250</v>
      </c>
      <c r="EB5" s="16"/>
      <c r="EC5" s="16"/>
      <c r="ED5" s="16"/>
      <c r="EE5" s="16"/>
      <c r="EG5" s="609"/>
    </row>
    <row r="6" spans="2:137" ht="18" customHeight="1">
      <c r="B6" s="621"/>
      <c r="C6" s="624" t="s">
        <v>674</v>
      </c>
      <c r="D6" s="628" t="s">
        <v>675</v>
      </c>
      <c r="E6" s="629"/>
      <c r="F6" s="768"/>
      <c r="G6" s="769"/>
      <c r="H6" s="769"/>
      <c r="I6" s="769"/>
      <c r="J6" s="769"/>
      <c r="K6" s="769"/>
      <c r="L6" s="769"/>
      <c r="M6" s="769"/>
      <c r="N6" s="769"/>
      <c r="O6" s="769"/>
      <c r="P6" s="769"/>
      <c r="Q6" s="622"/>
      <c r="R6" s="781"/>
      <c r="S6" s="781"/>
      <c r="T6" s="781"/>
      <c r="U6" s="781"/>
      <c r="V6" s="781"/>
      <c r="W6" s="614"/>
      <c r="X6" s="614"/>
      <c r="Y6" s="615">
        <v>1500</v>
      </c>
      <c r="Z6" s="615" t="e">
        <f>LEFT(AA6*VLOOKUP(Units,$AB$4:$AD$11,2,FALSE),4)</f>
        <v>#N/A</v>
      </c>
      <c r="AA6" s="615">
        <v>2.09</v>
      </c>
      <c r="AB6" s="623" t="s">
        <v>676</v>
      </c>
      <c r="AC6" s="627">
        <v>1</v>
      </c>
      <c r="AD6" s="623">
        <f t="shared" si="0"/>
        <v>1</v>
      </c>
      <c r="AE6" s="619">
        <v>3</v>
      </c>
      <c r="AF6" s="619">
        <v>2</v>
      </c>
      <c r="AG6" s="619">
        <v>2</v>
      </c>
      <c r="AH6" s="619">
        <v>1</v>
      </c>
      <c r="AI6" s="102" t="e">
        <f>IF(TestType="Applied",VLOOKUP(IF(Setability&gt;1,1,IF(Setability&gt;0.1,0.1,IF(Setability&gt;0.01,0.01,IF(Setability&gt;0.001,0.001,IF(Setability&gt;0.0001,0.0001))))),AJ7:AK11,2,0),VLOOKUP(#REF!,AM8:AN11,2,0))</f>
        <v>#NAME?</v>
      </c>
      <c r="AJ6" s="851" t="s">
        <v>97</v>
      </c>
      <c r="AK6" s="851"/>
      <c r="AL6" s="614"/>
      <c r="AM6" s="614">
        <v>1500</v>
      </c>
      <c r="AN6" s="614">
        <v>6</v>
      </c>
      <c r="AO6" s="614"/>
      <c r="AP6" s="613"/>
      <c r="AQ6" s="613"/>
      <c r="AR6" s="613"/>
      <c r="AS6" s="613"/>
      <c r="AT6" s="613"/>
      <c r="AU6" s="613"/>
      <c r="AV6" s="613"/>
      <c r="AW6" s="613"/>
      <c r="AX6" s="613"/>
      <c r="AY6" s="613"/>
      <c r="AZ6" s="620"/>
      <c r="BA6" s="620"/>
      <c r="DZ6" s="16"/>
      <c r="EA6" s="16"/>
      <c r="EB6" s="16"/>
      <c r="EC6" s="16"/>
      <c r="ED6" s="16"/>
      <c r="EE6" s="16"/>
      <c r="EG6" s="609"/>
    </row>
    <row r="7" spans="2:137" ht="18" customHeight="1">
      <c r="B7" s="621"/>
      <c r="C7" s="624" t="s">
        <v>674</v>
      </c>
      <c r="D7" s="628" t="s">
        <v>677</v>
      </c>
      <c r="E7" s="630"/>
      <c r="F7" s="768"/>
      <c r="G7" s="769"/>
      <c r="H7" s="852" t="s">
        <v>678</v>
      </c>
      <c r="I7" s="853"/>
      <c r="J7" s="631" t="s">
        <v>194</v>
      </c>
      <c r="K7" s="789" t="s">
        <v>679</v>
      </c>
      <c r="L7" s="789"/>
      <c r="M7" s="789" t="s">
        <v>105</v>
      </c>
      <c r="N7" s="789"/>
      <c r="O7" s="789" t="s">
        <v>680</v>
      </c>
      <c r="P7" s="769"/>
      <c r="Q7" s="622"/>
      <c r="R7" s="781"/>
      <c r="S7" s="781"/>
      <c r="T7" s="781"/>
      <c r="U7" s="781"/>
      <c r="V7" s="781"/>
      <c r="W7" s="854" t="s">
        <v>681</v>
      </c>
      <c r="X7" s="776"/>
      <c r="Y7" s="836" t="s">
        <v>682</v>
      </c>
      <c r="Z7" s="836" t="s">
        <v>683</v>
      </c>
      <c r="AA7" s="633"/>
      <c r="AB7" s="623" t="s">
        <v>684</v>
      </c>
      <c r="AC7" s="627">
        <v>0.101971621</v>
      </c>
      <c r="AD7" s="623">
        <f t="shared" si="0"/>
        <v>9.8066500286388507</v>
      </c>
      <c r="AE7" s="619">
        <v>4</v>
      </c>
      <c r="AF7" s="619">
        <v>3</v>
      </c>
      <c r="AG7" s="619">
        <v>3</v>
      </c>
      <c r="AH7" s="619">
        <v>2</v>
      </c>
      <c r="AJ7" s="608">
        <v>1</v>
      </c>
      <c r="AK7" s="608">
        <v>0</v>
      </c>
      <c r="AL7" s="614"/>
      <c r="AM7" s="844" t="s">
        <v>685</v>
      </c>
      <c r="AN7" s="844"/>
      <c r="AO7" s="635" t="s">
        <v>686</v>
      </c>
      <c r="AQ7" s="613"/>
      <c r="AR7" s="613"/>
      <c r="AS7" s="613"/>
      <c r="AT7" s="613"/>
      <c r="AU7" s="613"/>
      <c r="AV7" s="613"/>
      <c r="AW7" s="613"/>
      <c r="AX7" s="613"/>
      <c r="AY7" s="613"/>
      <c r="AZ7" s="620"/>
      <c r="BA7" s="620"/>
      <c r="DZ7" s="16"/>
      <c r="EA7" s="102" t="s">
        <v>80</v>
      </c>
      <c r="EB7" s="16"/>
      <c r="EC7" s="16"/>
      <c r="ED7" s="16"/>
      <c r="EE7" s="16" t="s">
        <v>81</v>
      </c>
      <c r="EG7" s="609"/>
    </row>
    <row r="8" spans="2:137" ht="18" customHeight="1">
      <c r="B8" s="621"/>
      <c r="C8" s="624" t="s">
        <v>109</v>
      </c>
      <c r="D8" s="636" t="s">
        <v>674</v>
      </c>
      <c r="E8" s="630"/>
      <c r="F8" s="768"/>
      <c r="G8" s="769"/>
      <c r="H8" s="838" t="s">
        <v>909</v>
      </c>
      <c r="I8" s="839"/>
      <c r="J8" s="637" t="str">
        <f ca="1">IF(H8="","",VLOOKUP($H$8,$AZ$17:$BN$26,5,FALSE))</f>
        <v>N76060882</v>
      </c>
      <c r="K8" s="786" t="str">
        <f ca="1">IF(H8="","",VLOOKUP($H$8,$AZ$17:$BN$26,4,FALSE))</f>
        <v>723 3578/25</v>
      </c>
      <c r="L8" s="786"/>
      <c r="M8" s="786">
        <f ca="1">IF(H8="","",VLOOKUP($H$8,$AZ$17:$BN$26,6,FALSE))</f>
        <v>45803</v>
      </c>
      <c r="N8" s="786"/>
      <c r="O8" s="786">
        <f ca="1">IF(H8="","",VLOOKUP($H$8,$AZ$17:$BN$26,7,FALSE))</f>
        <v>47628</v>
      </c>
      <c r="P8" s="769"/>
      <c r="Q8" s="622"/>
      <c r="R8" s="781"/>
      <c r="S8" s="781"/>
      <c r="T8" s="781"/>
      <c r="U8" s="781"/>
      <c r="V8" s="781"/>
      <c r="W8" s="854"/>
      <c r="X8" s="776"/>
      <c r="Y8" s="836"/>
      <c r="Z8" s="836"/>
      <c r="AA8" s="633"/>
      <c r="AB8" s="623" t="s">
        <v>687</v>
      </c>
      <c r="AC8" s="627">
        <v>10.196999999999999</v>
      </c>
      <c r="AD8" s="623">
        <f t="shared" si="0"/>
        <v>9.8068059233107782E-2</v>
      </c>
      <c r="AE8" s="619">
        <v>2</v>
      </c>
      <c r="AF8" s="619">
        <v>1</v>
      </c>
      <c r="AG8" s="619">
        <v>1</v>
      </c>
      <c r="AH8" s="619">
        <v>0</v>
      </c>
      <c r="AJ8" s="608">
        <v>0.1</v>
      </c>
      <c r="AK8" s="608">
        <v>1</v>
      </c>
      <c r="AL8" s="614"/>
      <c r="AM8" s="635" t="s">
        <v>686</v>
      </c>
      <c r="AN8" s="638">
        <v>0</v>
      </c>
      <c r="AO8" s="639" t="s">
        <v>688</v>
      </c>
      <c r="AQ8" s="613"/>
      <c r="AR8" s="613"/>
      <c r="AS8" s="613"/>
      <c r="AT8" s="613"/>
      <c r="AU8" s="613"/>
      <c r="AV8" s="613"/>
      <c r="AW8" s="613"/>
      <c r="AX8" s="613"/>
      <c r="AY8" s="613"/>
      <c r="AZ8" s="620"/>
      <c r="BA8" s="620"/>
      <c r="DZ8" s="16"/>
      <c r="EA8" s="15" t="s">
        <v>689</v>
      </c>
      <c r="EB8" s="16"/>
      <c r="EC8" s="16"/>
      <c r="ED8" s="16"/>
      <c r="EE8" s="16"/>
      <c r="EG8" s="609"/>
    </row>
    <row r="9" spans="2:137" ht="18" customHeight="1">
      <c r="B9" s="621"/>
      <c r="C9" s="624" t="s">
        <v>112</v>
      </c>
      <c r="D9" s="636" t="s">
        <v>674</v>
      </c>
      <c r="E9" s="640"/>
      <c r="F9" s="768"/>
      <c r="G9" s="769"/>
      <c r="H9" s="838" t="s">
        <v>910</v>
      </c>
      <c r="I9" s="839"/>
      <c r="J9" s="637">
        <f ca="1">VLOOKUP($H$9,$AZ$17:$BN$26,5,FALSE)</f>
        <v>76181446</v>
      </c>
      <c r="K9" s="786" t="str">
        <f ca="1">VLOOKUP($H$9,$AZ$17:$BN$26,4,FALSE)</f>
        <v>723 3575A/25</v>
      </c>
      <c r="L9" s="786"/>
      <c r="M9" s="786">
        <f ca="1">VLOOKUP($H$9,$AZ$17:$BN$26,6,FALSE)</f>
        <v>45798</v>
      </c>
      <c r="N9" s="786"/>
      <c r="O9" s="786">
        <f ca="1">VLOOKUP($H$9,$AZ$17:$BN$26,7,FALSE)</f>
        <v>47623</v>
      </c>
      <c r="P9" s="769"/>
      <c r="Q9" s="622"/>
      <c r="R9" s="781"/>
      <c r="S9" s="781"/>
      <c r="T9" s="781"/>
      <c r="U9" s="781"/>
      <c r="V9" s="781"/>
      <c r="W9" s="777">
        <v>1</v>
      </c>
      <c r="X9" s="777"/>
      <c r="Y9" s="641" t="s">
        <v>172</v>
      </c>
      <c r="Z9" s="638" t="str">
        <f>IFERROR(VLOOKUP(ROW()-6,$W$9:$Y$15,2,FALSE),"")</f>
        <v/>
      </c>
      <c r="AA9" s="633"/>
      <c r="AB9" s="623" t="s">
        <v>690</v>
      </c>
      <c r="AC9" s="627">
        <v>0.73756200000000005</v>
      </c>
      <c r="AD9" s="623">
        <f t="shared" si="0"/>
        <v>1.3558182227392408</v>
      </c>
      <c r="AE9" s="619">
        <v>3</v>
      </c>
      <c r="AF9" s="619">
        <v>2</v>
      </c>
      <c r="AG9" s="619">
        <v>2</v>
      </c>
      <c r="AH9" s="619">
        <v>1</v>
      </c>
      <c r="AJ9" s="608">
        <v>0.01</v>
      </c>
      <c r="AK9" s="608">
        <v>2</v>
      </c>
      <c r="AL9" s="614"/>
      <c r="AM9" s="639" t="s">
        <v>688</v>
      </c>
      <c r="AN9" s="638">
        <v>1</v>
      </c>
      <c r="AO9" s="639" t="s">
        <v>691</v>
      </c>
      <c r="AQ9" s="613"/>
      <c r="AR9" s="613"/>
      <c r="AS9" s="613"/>
      <c r="AT9" s="613"/>
      <c r="AU9" s="613"/>
      <c r="AV9" s="613"/>
      <c r="AW9" s="613"/>
      <c r="AX9" s="613"/>
      <c r="AY9" s="613"/>
      <c r="AZ9" s="620"/>
      <c r="BA9" s="620"/>
      <c r="DZ9" s="16"/>
      <c r="EA9" s="16"/>
      <c r="EB9" s="16"/>
      <c r="EC9" s="16"/>
      <c r="ED9" s="16"/>
      <c r="EE9" s="16"/>
      <c r="EG9" s="609"/>
    </row>
    <row r="10" spans="2:137" ht="18" customHeight="1">
      <c r="B10" s="621"/>
      <c r="C10" s="642" t="s">
        <v>132</v>
      </c>
      <c r="D10" s="643" t="s">
        <v>128</v>
      </c>
      <c r="E10" s="642" t="s">
        <v>10</v>
      </c>
      <c r="F10" s="768"/>
      <c r="G10" s="769"/>
      <c r="H10" s="838" t="s">
        <v>911</v>
      </c>
      <c r="I10" s="839"/>
      <c r="J10" s="637" t="str">
        <f ca="1">VLOOKUP($H$10,$AZ$17:$BN$26,5,FALSE)</f>
        <v>631-0812</v>
      </c>
      <c r="K10" s="786" t="str">
        <f ca="1">VLOOKUP($H$10,$AZ$17:$BN$26,4,FALSE)</f>
        <v>723 5429/21</v>
      </c>
      <c r="L10" s="786"/>
      <c r="M10" s="786">
        <f ca="1">VLOOKUP($H$10,$AZ$17:$BN$26,6,FALSE)</f>
        <v>44533</v>
      </c>
      <c r="N10" s="786"/>
      <c r="O10" s="786">
        <f ca="1">VLOOKUP($H$10,$AZ$17:$BN$26,7,FALSE)</f>
        <v>46358</v>
      </c>
      <c r="P10" s="769"/>
      <c r="Q10" s="622"/>
      <c r="R10" s="781"/>
      <c r="S10" s="781"/>
      <c r="T10" s="781"/>
      <c r="U10" s="781"/>
      <c r="V10" s="781"/>
      <c r="W10" s="778">
        <f>IF(COUNTIF($Y$9:Y10,Y10)=1,W9+1,W9)</f>
        <v>1</v>
      </c>
      <c r="X10" s="778"/>
      <c r="Y10" s="644" t="str">
        <f>IF(COUNTIF(Worksheet!$B$16:$B$25,H8),H8,"Z")</f>
        <v>Z</v>
      </c>
      <c r="Z10" s="638" t="str">
        <f t="shared" ref="Z10:Z15" si="1">IFERROR(VLOOKUP(ROW()-6,$W$9:$Y$15,2,FALSE),"")</f>
        <v/>
      </c>
      <c r="AA10" s="633"/>
      <c r="AB10" s="623" t="s">
        <v>692</v>
      </c>
      <c r="AC10" s="627">
        <v>8.8507440000000006</v>
      </c>
      <c r="AD10" s="623">
        <f t="shared" si="0"/>
        <v>0.11298485189493673</v>
      </c>
      <c r="AE10" s="619">
        <v>2</v>
      </c>
      <c r="AF10" s="619">
        <v>1</v>
      </c>
      <c r="AG10" s="619">
        <v>1</v>
      </c>
      <c r="AH10" s="619">
        <v>0</v>
      </c>
      <c r="AJ10" s="608">
        <v>1E-3</v>
      </c>
      <c r="AK10" s="608">
        <v>3</v>
      </c>
      <c r="AL10" s="614"/>
      <c r="AM10" s="639" t="s">
        <v>691</v>
      </c>
      <c r="AN10" s="638">
        <v>2</v>
      </c>
      <c r="AO10" s="639" t="s">
        <v>693</v>
      </c>
      <c r="AQ10" s="613"/>
      <c r="AR10" s="613"/>
      <c r="AS10" s="613"/>
      <c r="AT10" s="613"/>
      <c r="AU10" s="613"/>
      <c r="AV10" s="613"/>
      <c r="AW10" s="613"/>
      <c r="AX10" s="613"/>
      <c r="AY10" s="613"/>
      <c r="AZ10" s="620"/>
      <c r="BA10" s="620"/>
      <c r="DZ10" s="16"/>
      <c r="EA10" s="16" t="s">
        <v>35</v>
      </c>
      <c r="EB10" s="16"/>
      <c r="EC10" s="16"/>
      <c r="ED10" s="16"/>
      <c r="EE10" s="16"/>
      <c r="EG10" s="609"/>
    </row>
    <row r="11" spans="2:137" ht="18" customHeight="1">
      <c r="B11" s="621"/>
      <c r="C11" s="624" t="s">
        <v>694</v>
      </c>
      <c r="D11" s="643" t="s">
        <v>916</v>
      </c>
      <c r="E11" s="642" t="s">
        <v>10</v>
      </c>
      <c r="F11" s="768"/>
      <c r="G11" s="769"/>
      <c r="H11" s="838"/>
      <c r="I11" s="839"/>
      <c r="J11" s="645" t="str">
        <f t="shared" ref="J11:J13" ca="1" si="2">VLOOKUP($H$8,$AZ$17:$BN$26,5,FALSE)</f>
        <v>N76060882</v>
      </c>
      <c r="K11" s="785" t="str">
        <f t="shared" ref="K11:K13" ca="1" si="3">VLOOKUP($H$8,$AZ$17:$BN$26,4,FALSE)</f>
        <v>723 3578/25</v>
      </c>
      <c r="L11" s="785"/>
      <c r="M11" s="785">
        <f t="shared" ref="M11:M13" ca="1" si="4">VLOOKUP($H$8,$AZ$17:$BN$26,6,FALSE)</f>
        <v>45803</v>
      </c>
      <c r="N11" s="785"/>
      <c r="O11" s="785">
        <f t="shared" ref="O11:O13" ca="1" si="5">VLOOKUP($H$8,$AZ$17:$BN$26,7,FALSE)</f>
        <v>47628</v>
      </c>
      <c r="P11" s="769"/>
      <c r="Q11" s="622"/>
      <c r="R11" s="781"/>
      <c r="S11" s="614" t="str">
        <f>Range &amp; " / "  &amp; features</f>
        <v>Go / Pitch Diameter</v>
      </c>
      <c r="T11" s="614">
        <f>VLOOKUP(S11,S12:T15,2,FALSE)</f>
        <v>1</v>
      </c>
      <c r="U11" s="781"/>
      <c r="V11" s="781"/>
      <c r="W11" s="778">
        <f>IF(COUNTIF($Y$9:Y11,Y11)=1,W10+1,W10)</f>
        <v>1</v>
      </c>
      <c r="X11" s="778"/>
      <c r="Y11" s="644" t="str">
        <f>IF(COUNTIF(Worksheet!$B$16:$B$25,H9),H9,"Z")</f>
        <v>Z</v>
      </c>
      <c r="Z11" s="638" t="str">
        <f t="shared" si="1"/>
        <v/>
      </c>
      <c r="AA11" s="633"/>
      <c r="AB11" s="623" t="s">
        <v>696</v>
      </c>
      <c r="AC11" s="623">
        <v>141.6</v>
      </c>
      <c r="AD11" s="623">
        <f t="shared" si="0"/>
        <v>7.0621468926553672E-3</v>
      </c>
      <c r="AE11" s="619">
        <v>1</v>
      </c>
      <c r="AF11" s="619">
        <v>0</v>
      </c>
      <c r="AG11" s="619">
        <v>0</v>
      </c>
      <c r="AH11" s="619">
        <v>0</v>
      </c>
      <c r="AJ11" s="608">
        <v>1E-4</v>
      </c>
      <c r="AK11" s="608">
        <v>4</v>
      </c>
      <c r="AL11" s="614"/>
      <c r="AM11" s="639" t="s">
        <v>693</v>
      </c>
      <c r="AN11" s="638">
        <v>3</v>
      </c>
      <c r="AO11" s="639" t="s">
        <v>697</v>
      </c>
      <c r="AP11" s="613"/>
      <c r="AQ11" s="613"/>
      <c r="AR11" s="613"/>
      <c r="AS11" s="613"/>
      <c r="AT11" s="613"/>
      <c r="AU11" s="613"/>
      <c r="AV11" s="613"/>
      <c r="AW11" s="613"/>
      <c r="AX11" s="613"/>
      <c r="AY11" s="613"/>
      <c r="AZ11" s="620"/>
      <c r="BA11" s="620"/>
      <c r="DZ11" s="16"/>
      <c r="EA11" s="16"/>
      <c r="EB11" s="16" t="s">
        <v>38</v>
      </c>
      <c r="EC11" s="16"/>
      <c r="ED11" s="16"/>
      <c r="EE11" s="16"/>
      <c r="EG11" s="609"/>
    </row>
    <row r="12" spans="2:137" ht="18" customHeight="1">
      <c r="B12" s="621"/>
      <c r="C12" s="642" t="s">
        <v>698</v>
      </c>
      <c r="D12" s="646" t="s">
        <v>699</v>
      </c>
      <c r="E12" s="642" t="str">
        <f>Units</f>
        <v>mm</v>
      </c>
      <c r="F12" s="768"/>
      <c r="G12" s="769"/>
      <c r="H12" s="838"/>
      <c r="I12" s="839"/>
      <c r="J12" s="645" t="str">
        <f t="shared" ca="1" si="2"/>
        <v>N76060882</v>
      </c>
      <c r="K12" s="785" t="str">
        <f t="shared" ca="1" si="3"/>
        <v>723 3578/25</v>
      </c>
      <c r="L12" s="785"/>
      <c r="M12" s="785">
        <f t="shared" ca="1" si="4"/>
        <v>45803</v>
      </c>
      <c r="N12" s="785"/>
      <c r="O12" s="785">
        <f t="shared" ca="1" si="5"/>
        <v>47628</v>
      </c>
      <c r="P12" s="769"/>
      <c r="Q12" s="622"/>
      <c r="R12" s="782"/>
      <c r="S12" s="614" t="s">
        <v>897</v>
      </c>
      <c r="T12" s="614">
        <v>1</v>
      </c>
      <c r="U12" s="781"/>
      <c r="V12" s="781"/>
      <c r="W12" s="778">
        <f>IF(COUNTIF($Y$9:Y12,Y12)=1,W11+1,W11)</f>
        <v>1</v>
      </c>
      <c r="X12" s="778"/>
      <c r="Y12" s="644" t="str">
        <f>IF(COUNTIF(Worksheet!$B$16:$B$25,H10),H10,"Z")</f>
        <v>Z</v>
      </c>
      <c r="Z12" s="638" t="str">
        <f t="shared" si="1"/>
        <v/>
      </c>
      <c r="AA12" s="633"/>
      <c r="AB12" s="623"/>
      <c r="AC12" s="623"/>
      <c r="AD12" s="623" t="e">
        <f t="shared" si="0"/>
        <v>#DIV/0!</v>
      </c>
      <c r="AE12" s="619"/>
      <c r="AF12" s="619"/>
      <c r="AG12" s="619"/>
      <c r="AH12" s="619"/>
      <c r="AI12" s="620"/>
      <c r="AJ12" s="614"/>
      <c r="AK12" s="614"/>
      <c r="AL12" s="614"/>
      <c r="AM12" s="638" t="s">
        <v>10</v>
      </c>
      <c r="AN12" s="608">
        <v>4</v>
      </c>
      <c r="AO12" s="614"/>
      <c r="AP12" s="613"/>
      <c r="AQ12" s="613"/>
      <c r="AR12" s="613"/>
      <c r="AS12" s="613"/>
      <c r="AT12" s="613"/>
      <c r="AU12" s="613"/>
      <c r="AV12" s="613"/>
      <c r="AW12" s="613"/>
      <c r="AX12" s="613"/>
      <c r="AY12" s="613"/>
      <c r="AZ12" s="620"/>
      <c r="BA12" s="620"/>
      <c r="DZ12" s="16"/>
      <c r="EA12" s="16"/>
      <c r="EB12" s="16" t="s">
        <v>35</v>
      </c>
      <c r="EC12" s="16"/>
      <c r="ED12" s="16"/>
      <c r="EE12" s="16"/>
      <c r="EG12" s="609"/>
    </row>
    <row r="13" spans="2:137" ht="18" customHeight="1">
      <c r="B13" s="621"/>
      <c r="C13" s="642" t="s">
        <v>887</v>
      </c>
      <c r="D13" s="646" t="s">
        <v>888</v>
      </c>
      <c r="E13" s="642"/>
      <c r="F13" s="768"/>
      <c r="G13" s="769"/>
      <c r="H13" s="838"/>
      <c r="I13" s="839"/>
      <c r="J13" s="645" t="str">
        <f t="shared" ca="1" si="2"/>
        <v>N76060882</v>
      </c>
      <c r="K13" s="785" t="str">
        <f t="shared" ca="1" si="3"/>
        <v>723 3578/25</v>
      </c>
      <c r="L13" s="785"/>
      <c r="M13" s="785">
        <f t="shared" ca="1" si="4"/>
        <v>45803</v>
      </c>
      <c r="N13" s="785"/>
      <c r="O13" s="785">
        <f t="shared" ca="1" si="5"/>
        <v>47628</v>
      </c>
      <c r="P13" s="769"/>
      <c r="Q13" s="622"/>
      <c r="R13" s="782"/>
      <c r="S13" s="614" t="s">
        <v>896</v>
      </c>
      <c r="T13" s="614">
        <v>2</v>
      </c>
      <c r="U13" s="781"/>
      <c r="V13" s="781"/>
      <c r="W13" s="778">
        <f>IF(COUNTIF($Y$9:Y13,Y13)=1,W12+1,W12)</f>
        <v>1</v>
      </c>
      <c r="X13" s="778"/>
      <c r="Y13" s="644" t="str">
        <f>IF(COUNTIF(Worksheet!$B$29:$B$38,H11),H11,"Z")</f>
        <v>Z</v>
      </c>
      <c r="Z13" s="638" t="str">
        <f t="shared" si="1"/>
        <v/>
      </c>
      <c r="AA13" s="633"/>
      <c r="AB13" s="623"/>
      <c r="AC13" s="623"/>
      <c r="AD13" s="623" t="e">
        <f t="shared" si="0"/>
        <v>#DIV/0!</v>
      </c>
      <c r="AE13" s="619"/>
      <c r="AF13" s="619"/>
      <c r="AG13" s="619"/>
      <c r="AH13" s="619"/>
      <c r="AI13" s="620"/>
      <c r="AJ13" s="614"/>
      <c r="AK13" s="614"/>
      <c r="AL13" s="614"/>
      <c r="AM13" s="614"/>
      <c r="AN13" s="614"/>
      <c r="AO13" s="614"/>
      <c r="AP13" s="613"/>
      <c r="AQ13" s="613"/>
      <c r="AR13" s="613"/>
      <c r="AS13" s="613"/>
      <c r="AT13" s="613"/>
      <c r="AU13" s="613"/>
      <c r="AV13" s="613"/>
      <c r="AW13" s="613"/>
      <c r="AX13" s="613"/>
      <c r="AY13" s="614"/>
      <c r="AZ13" s="620"/>
      <c r="BA13" s="620">
        <v>1</v>
      </c>
      <c r="BB13" s="102">
        <f>BA13+1</f>
        <v>2</v>
      </c>
      <c r="BC13" s="102">
        <f t="shared" ref="BC13:CG13" si="6">BB13+1</f>
        <v>3</v>
      </c>
      <c r="BD13" s="102">
        <f t="shared" si="6"/>
        <v>4</v>
      </c>
      <c r="BE13" s="102">
        <f t="shared" si="6"/>
        <v>5</v>
      </c>
      <c r="BF13" s="102">
        <f t="shared" si="6"/>
        <v>6</v>
      </c>
      <c r="BG13" s="102">
        <f t="shared" si="6"/>
        <v>7</v>
      </c>
      <c r="BH13" s="102">
        <f t="shared" si="6"/>
        <v>8</v>
      </c>
      <c r="BI13" s="102">
        <f t="shared" si="6"/>
        <v>9</v>
      </c>
      <c r="BJ13" s="102">
        <f t="shared" si="6"/>
        <v>10</v>
      </c>
      <c r="BK13" s="102">
        <f t="shared" si="6"/>
        <v>11</v>
      </c>
      <c r="BL13" s="102">
        <f t="shared" si="6"/>
        <v>12</v>
      </c>
      <c r="BM13" s="102">
        <f t="shared" si="6"/>
        <v>13</v>
      </c>
      <c r="BN13" s="102">
        <f t="shared" si="6"/>
        <v>14</v>
      </c>
      <c r="BO13" s="102">
        <f t="shared" si="6"/>
        <v>15</v>
      </c>
      <c r="BP13" s="102">
        <f t="shared" si="6"/>
        <v>16</v>
      </c>
      <c r="BQ13" s="102">
        <f t="shared" si="6"/>
        <v>17</v>
      </c>
      <c r="BR13" s="102">
        <f t="shared" si="6"/>
        <v>18</v>
      </c>
      <c r="BS13" s="102">
        <f t="shared" si="6"/>
        <v>19</v>
      </c>
      <c r="BT13" s="102">
        <f t="shared" si="6"/>
        <v>20</v>
      </c>
      <c r="BU13" s="102">
        <f t="shared" si="6"/>
        <v>21</v>
      </c>
      <c r="BV13" s="102">
        <f t="shared" si="6"/>
        <v>22</v>
      </c>
      <c r="BW13" s="102">
        <f t="shared" si="6"/>
        <v>23</v>
      </c>
      <c r="BX13" s="102">
        <f t="shared" si="6"/>
        <v>24</v>
      </c>
      <c r="BY13" s="102">
        <f t="shared" si="6"/>
        <v>25</v>
      </c>
      <c r="BZ13" s="102">
        <f t="shared" si="6"/>
        <v>26</v>
      </c>
      <c r="CA13" s="102">
        <f t="shared" si="6"/>
        <v>27</v>
      </c>
      <c r="CB13" s="102">
        <f t="shared" si="6"/>
        <v>28</v>
      </c>
      <c r="CC13" s="102">
        <f t="shared" si="6"/>
        <v>29</v>
      </c>
      <c r="CD13" s="102">
        <f t="shared" si="6"/>
        <v>30</v>
      </c>
      <c r="CE13" s="102">
        <f t="shared" si="6"/>
        <v>31</v>
      </c>
      <c r="CF13" s="102">
        <f t="shared" si="6"/>
        <v>32</v>
      </c>
      <c r="CG13" s="102">
        <f t="shared" si="6"/>
        <v>33</v>
      </c>
      <c r="DZ13" s="16"/>
      <c r="EA13" s="16"/>
      <c r="EB13" s="16" t="s">
        <v>45</v>
      </c>
      <c r="EC13" s="16"/>
      <c r="ED13" s="16"/>
      <c r="EE13" s="16"/>
      <c r="EG13" s="609"/>
    </row>
    <row r="14" spans="2:137" ht="18" customHeight="1">
      <c r="B14" s="621"/>
      <c r="C14" s="642" t="s">
        <v>700</v>
      </c>
      <c r="D14" s="647" t="s">
        <v>102</v>
      </c>
      <c r="E14" s="642" t="str">
        <f>IF(NATA="Y","NATA Report",(IF(NATA="N","Non-NATA Report","Enter Y, or N")))</f>
        <v>NATA Report</v>
      </c>
      <c r="F14" s="768"/>
      <c r="G14" s="769"/>
      <c r="H14" s="770"/>
      <c r="I14" s="770"/>
      <c r="J14" s="770"/>
      <c r="K14" s="770"/>
      <c r="L14" s="770"/>
      <c r="M14" s="770"/>
      <c r="N14" s="770"/>
      <c r="O14" s="770"/>
      <c r="P14" s="769"/>
      <c r="Q14" s="622"/>
      <c r="R14" s="781"/>
      <c r="S14" s="614" t="s">
        <v>898</v>
      </c>
      <c r="T14" s="614">
        <v>3</v>
      </c>
      <c r="U14" s="781"/>
      <c r="V14" s="781"/>
      <c r="W14" s="778">
        <f>IF(COUNTIF($Y$9:Y14,Y14)=1,W13+1,W13)</f>
        <v>1</v>
      </c>
      <c r="X14" s="778"/>
      <c r="Y14" s="644" t="str">
        <f>IF(COUNTIF(Worksheet!$B$29:$B$38,H12),H12,"Z")</f>
        <v>Z</v>
      </c>
      <c r="Z14" s="638" t="str">
        <f t="shared" si="1"/>
        <v/>
      </c>
      <c r="AA14" s="633"/>
      <c r="AB14" s="623" t="s">
        <v>10</v>
      </c>
      <c r="AC14" s="623"/>
      <c r="AD14" s="623" t="e">
        <f t="shared" si="0"/>
        <v>#DIV/0!</v>
      </c>
      <c r="AE14" s="619"/>
      <c r="AF14" s="619"/>
      <c r="AG14" s="619"/>
      <c r="AH14" s="619"/>
      <c r="AI14" s="620"/>
      <c r="AJ14" s="614"/>
      <c r="AK14" s="614"/>
      <c r="AL14" s="614"/>
      <c r="AM14" s="614"/>
      <c r="AN14" s="614"/>
      <c r="AO14" s="614"/>
      <c r="AP14" s="613"/>
      <c r="AQ14" s="613"/>
      <c r="AR14" s="613"/>
      <c r="AS14" s="613"/>
      <c r="AT14" s="613"/>
      <c r="AU14" s="613"/>
      <c r="AV14" s="613"/>
      <c r="AW14" s="613"/>
      <c r="AX14" s="613"/>
      <c r="AY14" s="614"/>
      <c r="AZ14" s="620"/>
      <c r="BC14" s="102" t="s">
        <v>54</v>
      </c>
      <c r="BD14" s="102" t="s">
        <v>55</v>
      </c>
      <c r="BE14" s="102" t="s">
        <v>56</v>
      </c>
      <c r="BF14" s="102" t="s">
        <v>57</v>
      </c>
      <c r="BG14" s="102" t="s">
        <v>58</v>
      </c>
      <c r="BH14" s="102" t="s">
        <v>59</v>
      </c>
      <c r="BI14" s="102" t="s">
        <v>60</v>
      </c>
      <c r="BJ14" s="102" t="s">
        <v>157</v>
      </c>
      <c r="BK14" s="102" t="s">
        <v>158</v>
      </c>
      <c r="BL14" s="102" t="s">
        <v>159</v>
      </c>
      <c r="BM14" s="102" t="s">
        <v>160</v>
      </c>
      <c r="BN14" s="102" t="s">
        <v>161</v>
      </c>
      <c r="BO14" s="102" t="s">
        <v>162</v>
      </c>
      <c r="BP14" s="102" t="s">
        <v>16</v>
      </c>
      <c r="BQ14" s="102" t="s">
        <v>163</v>
      </c>
      <c r="BR14" s="102" t="s">
        <v>164</v>
      </c>
      <c r="BS14" s="102" t="s">
        <v>165</v>
      </c>
      <c r="BT14" s="102" t="s">
        <v>166</v>
      </c>
      <c r="BU14" s="102" t="s">
        <v>167</v>
      </c>
      <c r="BV14" s="102" t="s">
        <v>20</v>
      </c>
      <c r="BW14" s="102" t="s">
        <v>168</v>
      </c>
      <c r="BX14" s="102" t="s">
        <v>169</v>
      </c>
      <c r="BY14" s="102" t="s">
        <v>170</v>
      </c>
      <c r="BZ14" s="102" t="s">
        <v>171</v>
      </c>
      <c r="CA14" s="102" t="s">
        <v>102</v>
      </c>
      <c r="CB14" s="102" t="s">
        <v>172</v>
      </c>
      <c r="CC14" s="102" t="s">
        <v>173</v>
      </c>
      <c r="CD14" s="102" t="s">
        <v>174</v>
      </c>
      <c r="CE14" s="102" t="s">
        <v>175</v>
      </c>
      <c r="CF14" s="102" t="s">
        <v>701</v>
      </c>
      <c r="CG14" s="102" t="s">
        <v>702</v>
      </c>
      <c r="DZ14" s="16"/>
      <c r="EA14" s="16"/>
      <c r="EB14" s="16"/>
      <c r="EC14" s="16"/>
      <c r="ED14" s="16"/>
      <c r="EE14" s="16"/>
      <c r="EG14" s="609"/>
    </row>
    <row r="15" spans="2:137" ht="18" customHeight="1">
      <c r="B15" s="621"/>
      <c r="C15" s="642" t="s">
        <v>255</v>
      </c>
      <c r="D15" s="646" t="s">
        <v>10</v>
      </c>
      <c r="E15" s="642" t="s">
        <v>84</v>
      </c>
      <c r="F15" s="771"/>
      <c r="G15" s="769"/>
      <c r="H15" s="840" t="s">
        <v>130</v>
      </c>
      <c r="I15" s="841"/>
      <c r="J15" s="842" t="str">
        <f>'Setup Data'!$J$2 &amp; "-" &amp;$D$9</f>
        <v>?-MSA1-NATA</v>
      </c>
      <c r="K15" s="842"/>
      <c r="L15" s="842"/>
      <c r="M15" s="842"/>
      <c r="N15" s="842"/>
      <c r="O15" s="843"/>
      <c r="P15" s="769"/>
      <c r="Q15" s="622"/>
      <c r="R15" s="781"/>
      <c r="S15" s="614" t="s">
        <v>899</v>
      </c>
      <c r="T15" s="614">
        <v>4</v>
      </c>
      <c r="U15" s="781"/>
      <c r="V15" s="781"/>
      <c r="W15" s="778">
        <f>IF(COUNTIF($Y$9:Y15,Y15)=1,W14+1,W14)</f>
        <v>1</v>
      </c>
      <c r="X15" s="778"/>
      <c r="Y15" s="644" t="str">
        <f>IF(COUNTIF(Worksheet!$B$29:$B$38,H13),H13,"Z")</f>
        <v>Z</v>
      </c>
      <c r="Z15" s="638" t="str">
        <f t="shared" si="1"/>
        <v/>
      </c>
      <c r="AA15" s="633"/>
      <c r="AB15" s="633"/>
      <c r="AC15" s="648" t="e">
        <f>FIXED(UnitTo,2)</f>
        <v>#NAME?</v>
      </c>
      <c r="AD15" s="649" t="e">
        <f>FIXED(UnitFrom,2)</f>
        <v>#NAME?</v>
      </c>
      <c r="AE15" s="614"/>
      <c r="AF15" s="614"/>
      <c r="AG15" s="614"/>
      <c r="AH15" s="614"/>
      <c r="AI15" s="620"/>
      <c r="AJ15" s="614"/>
      <c r="AK15" s="614"/>
      <c r="AL15" s="614"/>
      <c r="AM15" s="614"/>
      <c r="AN15" s="614"/>
      <c r="AO15" s="614"/>
      <c r="AP15" s="613"/>
      <c r="AQ15" s="613"/>
      <c r="AR15" s="613"/>
      <c r="AS15" s="613"/>
      <c r="AT15" s="613"/>
      <c r="AU15" s="613"/>
      <c r="AV15" s="613"/>
      <c r="AW15" s="613"/>
      <c r="AX15" s="613"/>
      <c r="AY15" s="614"/>
      <c r="BC15" s="830" t="s">
        <v>704</v>
      </c>
      <c r="BD15" s="830"/>
      <c r="BE15" s="555">
        <f>Kit</f>
        <v>1</v>
      </c>
      <c r="BF15" s="102">
        <f>BE15*10</f>
        <v>10</v>
      </c>
      <c r="BO15" s="831" t="s">
        <v>705</v>
      </c>
      <c r="BP15" s="831"/>
      <c r="BQ15" s="831"/>
      <c r="BR15" s="831"/>
      <c r="BS15" s="831"/>
      <c r="BT15" s="831"/>
      <c r="BU15" s="831" t="s">
        <v>706</v>
      </c>
      <c r="BV15" s="831"/>
      <c r="BW15" s="831"/>
      <c r="BX15" s="831"/>
      <c r="BY15" s="831"/>
      <c r="BZ15" s="831"/>
      <c r="CA15" s="831" t="s">
        <v>707</v>
      </c>
      <c r="CB15" s="831"/>
      <c r="CC15" s="831"/>
      <c r="CD15" s="831"/>
      <c r="CE15" s="831"/>
      <c r="CF15" s="831"/>
      <c r="CG15" s="832" t="s">
        <v>708</v>
      </c>
      <c r="DZ15" s="16"/>
      <c r="EA15" s="16" t="s">
        <v>50</v>
      </c>
      <c r="EB15" s="83"/>
      <c r="EC15" s="83"/>
      <c r="ED15" s="16"/>
      <c r="EE15" s="16"/>
      <c r="EG15" s="609"/>
    </row>
    <row r="16" spans="2:137" ht="18" customHeight="1">
      <c r="B16" s="621"/>
      <c r="C16" s="642" t="s">
        <v>703</v>
      </c>
      <c r="D16" s="647" t="s">
        <v>16</v>
      </c>
      <c r="E16" s="642"/>
      <c r="F16" s="772"/>
      <c r="G16" s="769"/>
      <c r="H16" s="773"/>
      <c r="I16" s="773"/>
      <c r="J16" s="773"/>
      <c r="K16" s="773"/>
      <c r="L16" s="773"/>
      <c r="M16" s="773"/>
      <c r="N16" s="773"/>
      <c r="O16" s="773"/>
      <c r="P16" s="769"/>
      <c r="Q16" s="622"/>
      <c r="R16" s="781"/>
      <c r="S16" s="781"/>
      <c r="T16" s="781"/>
      <c r="U16" s="781"/>
      <c r="V16" s="781"/>
      <c r="W16" s="620"/>
      <c r="X16" s="620"/>
      <c r="Y16" s="633"/>
      <c r="Z16" s="633"/>
      <c r="AA16" s="633"/>
      <c r="AB16" s="616" t="s">
        <v>178</v>
      </c>
      <c r="AC16" s="617" t="s">
        <v>711</v>
      </c>
      <c r="AD16" s="835" t="s">
        <v>185</v>
      </c>
      <c r="AE16" s="835"/>
      <c r="AF16" s="632" t="s">
        <v>178</v>
      </c>
      <c r="AG16" s="632" t="s">
        <v>185</v>
      </c>
      <c r="AH16" s="632" t="s">
        <v>712</v>
      </c>
      <c r="AI16" s="836" t="s">
        <v>713</v>
      </c>
      <c r="AJ16" s="836"/>
      <c r="AK16" s="836"/>
      <c r="AL16" s="632" t="s">
        <v>714</v>
      </c>
      <c r="AM16" s="632" t="s">
        <v>715</v>
      </c>
      <c r="AN16" s="651" t="s">
        <v>906</v>
      </c>
      <c r="AO16" s="614" t="s">
        <v>716</v>
      </c>
      <c r="AP16" s="613"/>
      <c r="AQ16" s="613"/>
      <c r="AR16" s="613"/>
      <c r="AS16" s="613"/>
      <c r="AT16" s="613"/>
      <c r="AU16" s="613"/>
      <c r="AV16" s="613"/>
      <c r="AW16" s="613"/>
      <c r="AX16" s="613"/>
      <c r="AY16" s="614"/>
      <c r="BB16" s="650" t="s">
        <v>717</v>
      </c>
      <c r="BC16" s="652" t="s">
        <v>718</v>
      </c>
      <c r="BD16" s="652" t="s">
        <v>719</v>
      </c>
      <c r="BE16" s="652" t="s">
        <v>105</v>
      </c>
      <c r="BF16" s="652" t="s">
        <v>106</v>
      </c>
      <c r="BG16" s="652" t="s">
        <v>720</v>
      </c>
      <c r="BH16" s="652" t="s">
        <v>185</v>
      </c>
      <c r="BI16" s="652" t="s">
        <v>721</v>
      </c>
      <c r="BJ16" s="652" t="s">
        <v>722</v>
      </c>
      <c r="BK16" s="652" t="s">
        <v>723</v>
      </c>
      <c r="BL16" s="652" t="s">
        <v>724</v>
      </c>
      <c r="BM16" s="652" t="s">
        <v>725</v>
      </c>
      <c r="BN16" s="652" t="s">
        <v>726</v>
      </c>
      <c r="BO16" s="555" t="s">
        <v>727</v>
      </c>
      <c r="BP16" s="650" t="s">
        <v>728</v>
      </c>
      <c r="BQ16" s="650" t="s">
        <v>171</v>
      </c>
      <c r="BR16" s="650" t="s">
        <v>56</v>
      </c>
      <c r="BS16" s="555" t="s">
        <v>729</v>
      </c>
      <c r="BT16" s="555" t="s">
        <v>203</v>
      </c>
      <c r="BU16" s="555" t="s">
        <v>727</v>
      </c>
      <c r="BV16" s="555" t="s">
        <v>728</v>
      </c>
      <c r="BW16" s="555" t="s">
        <v>171</v>
      </c>
      <c r="BX16" s="555" t="s">
        <v>56</v>
      </c>
      <c r="BY16" s="555" t="s">
        <v>729</v>
      </c>
      <c r="BZ16" s="555" t="s">
        <v>203</v>
      </c>
      <c r="CA16" s="555" t="s">
        <v>727</v>
      </c>
      <c r="CB16" s="555" t="s">
        <v>728</v>
      </c>
      <c r="CC16" s="555" t="s">
        <v>171</v>
      </c>
      <c r="CD16" s="555" t="s">
        <v>56</v>
      </c>
      <c r="CE16" s="555" t="s">
        <v>729</v>
      </c>
      <c r="CF16" s="555" t="s">
        <v>203</v>
      </c>
      <c r="CG16" s="832"/>
      <c r="DZ16" s="16"/>
      <c r="EA16" s="16"/>
      <c r="EB16" s="83"/>
      <c r="EC16" s="83"/>
      <c r="ED16" s="16"/>
      <c r="EE16" s="16"/>
      <c r="EG16" s="609"/>
    </row>
    <row r="17" spans="1:137" ht="18" customHeight="1">
      <c r="B17" s="621"/>
      <c r="C17" s="833" t="s">
        <v>709</v>
      </c>
      <c r="D17" s="647" t="s">
        <v>710</v>
      </c>
      <c r="E17" s="642"/>
      <c r="F17" s="772"/>
      <c r="G17" s="769"/>
      <c r="H17" s="653"/>
      <c r="I17" s="837" t="s">
        <v>136</v>
      </c>
      <c r="J17" s="837"/>
      <c r="K17" s="837"/>
      <c r="L17" s="837"/>
      <c r="M17" s="837"/>
      <c r="N17" s="837"/>
      <c r="O17" s="654"/>
      <c r="P17" s="769"/>
      <c r="Q17" s="622"/>
      <c r="R17" s="781"/>
      <c r="S17" s="781"/>
      <c r="T17" s="781"/>
      <c r="U17" s="781"/>
      <c r="V17" s="781"/>
      <c r="W17" s="620"/>
      <c r="X17" s="620"/>
      <c r="Y17" s="633"/>
      <c r="Z17" s="633"/>
      <c r="AA17" s="633"/>
      <c r="AB17" s="638" t="s">
        <v>158</v>
      </c>
      <c r="AC17" s="634" t="e">
        <f>_xlfn.IFS(Type="I",$AD17, Type="II",$AE17, Type="III",$AD25, Type="Electronic",AE26)</f>
        <v>#NAME?</v>
      </c>
      <c r="AD17" s="634" t="s">
        <v>54</v>
      </c>
      <c r="AE17" s="634" t="s">
        <v>54</v>
      </c>
      <c r="AF17" s="634" t="s">
        <v>158</v>
      </c>
      <c r="AG17" s="634" t="s">
        <v>54</v>
      </c>
      <c r="AH17" s="638">
        <v>3</v>
      </c>
      <c r="AI17" s="655">
        <v>0.2</v>
      </c>
      <c r="AJ17" s="656">
        <v>0.6</v>
      </c>
      <c r="AK17" s="656">
        <v>1</v>
      </c>
      <c r="AL17" s="638">
        <v>5</v>
      </c>
      <c r="AM17" s="657">
        <v>0.04</v>
      </c>
      <c r="AN17" s="658" t="s">
        <v>732</v>
      </c>
      <c r="AO17" s="614" t="s">
        <v>16</v>
      </c>
      <c r="AP17" s="613"/>
      <c r="AQ17" s="613"/>
      <c r="AR17" s="613"/>
      <c r="AS17" s="613"/>
      <c r="AT17" s="613"/>
      <c r="AU17" s="613"/>
      <c r="AV17" s="613"/>
      <c r="AW17" s="613"/>
      <c r="AX17" s="613"/>
      <c r="AY17" s="614" t="str">
        <f ca="1">AZ17</f>
        <v>100 mm</v>
      </c>
      <c r="AZ17" s="102" t="str">
        <f ca="1">BJ17&amp;BK17</f>
        <v>100 mm</v>
      </c>
      <c r="BA17" s="102">
        <v>0</v>
      </c>
      <c r="BB17" s="659">
        <f ca="1">IF(INDIRECT("[" &amp; 'Setup Data'!$A$3&amp; "]Dimensional!" &amp;BC$14&amp;$BF$15+$BA17)="","",INDIRECT("[" &amp; 'Setup Data'!$A$3&amp; "]Dimensional!" &amp;BC$14&amp;$BF$15+$BA17) )</f>
        <v>1</v>
      </c>
      <c r="BC17" s="659" t="str">
        <f ca="1">IF(INDIRECT("[" &amp; 'Setup Data'!$A$3&amp; "]Dimensional!" &amp;BD$14&amp;$BF$15+$BA17)="","",INDIRECT("[" &amp; 'Setup Data'!$A$3&amp; "]Dimensional!" &amp;BD$14&amp;$BF$15+$BA17) )</f>
        <v>723 5430/21</v>
      </c>
      <c r="BD17" s="659" t="str">
        <f ca="1">IF(INDIRECT("[" &amp; 'Setup Data'!$A$3&amp; "]Dimensional!" &amp;BE$14&amp;$BF$15+$BA17)="","",INDIRECT("[" &amp; 'Setup Data'!$A$3&amp; "]Dimensional!" &amp;BE$14&amp;$BF$15+$BA17) )</f>
        <v xml:space="preserve"> 631-1220</v>
      </c>
      <c r="BE17" s="787">
        <f ca="1">IF(INDIRECT("[" &amp; 'Setup Data'!$A$3&amp; "]Dimensional!" &amp;BF$14&amp;$BF$15+$BA17)="","",INDIRECT("[" &amp; 'Setup Data'!$A$3&amp; "]Dimensional!" &amp;BF$14&amp;$BF$15+$BA17) )</f>
        <v>44532</v>
      </c>
      <c r="BF17" s="787">
        <f ca="1">IF(INDIRECT("[" &amp; 'Setup Data'!$A$3&amp; "]Dimensional!" &amp;BG$14&amp;$BF$15+$BA17)="","",INDIRECT("[" &amp; 'Setup Data'!$A$3&amp; "]Dimensional!" &amp;BG$14&amp;$BF$15+$BA17) )</f>
        <v>46357</v>
      </c>
      <c r="BG17" s="659" t="str">
        <f ca="1">IF(INDIRECT("[" &amp; 'Setup Data'!$A$3&amp; "]Dimensional!" &amp;BH$14&amp;$BF$15+$BA17)="","",INDIRECT("[" &amp; 'Setup Data'!$A$3&amp; "]Dimensional!" &amp;BH$14&amp;$BF$15+$BA17) )</f>
        <v/>
      </c>
      <c r="BH17" s="659" t="str">
        <f ca="1">IF(INDIRECT("[" &amp; 'Setup Data'!$A$3&amp; "]Dimensional!" &amp;BI$14&amp;$BF$15+$BA17)="","",INDIRECT("[" &amp; 'Setup Data'!$A$3&amp; "]Dimensional!" &amp;BI$14&amp;$BF$15+$BA17) )</f>
        <v/>
      </c>
      <c r="BI17" s="659" t="str">
        <f ca="1">IF(INDIRECT("[" &amp; 'Setup Data'!$A$3&amp; "]Dimensional!" &amp;BJ$14&amp;$BF$15+$BA17)="","",INDIRECT("[" &amp; 'Setup Data'!$A$3&amp; "]Dimensional!" &amp;BJ$14&amp;$BF$15+$BA17) )</f>
        <v>0.5mm</v>
      </c>
      <c r="BJ17" s="659" t="str">
        <f ca="1">IF(INDIRECT("[" &amp; 'Setup Data'!$A$3&amp; "]Dimensional!" &amp;BK$14&amp;$BF$15+$BA17)="","",INDIRECT("[" &amp; 'Setup Data'!$A$3&amp; "]Dimensional!" &amp;BK$14&amp;$BF$15+$BA17) )</f>
        <v>100 mm</v>
      </c>
      <c r="BK17" s="659" t="str">
        <f ca="1">IF(INDIRECT("[" &amp; 'Setup Data'!$A$3&amp; "]Dimensional!" &amp;BL$14&amp;$BF$15+$BA17)="","",INDIRECT("[" &amp; 'Setup Data'!$A$3&amp; "]Dimensional!" &amp;BL$14&amp;$BF$15+$BA17) )</f>
        <v/>
      </c>
      <c r="BL17" s="659">
        <f ca="1">IF(INDIRECT("[" &amp; 'Setup Data'!$A$3&amp; "]Dimensional!" &amp;BM$14&amp;$BF$15+$BA17)="","",INDIRECT("[" &amp; 'Setup Data'!$A$3&amp; "]Dimensional!" &amp;BM$14&amp;$BF$15+$BA17) )</f>
        <v>3.5E-4</v>
      </c>
      <c r="BM17" s="659">
        <f ca="1">IF(INDIRECT("[" &amp; 'Setup Data'!$A$3&amp; "]Dimensional!" &amp;BN$14&amp;$BF$15+$BA17)="","",INDIRECT("[" &amp; 'Setup Data'!$A$3&amp; "]Dimensional!" &amp;BN$14&amp;$BF$15+$BA17) )</f>
        <v>2.9999999999999997E-4</v>
      </c>
      <c r="BN17" s="659">
        <f ca="1">IF(INDIRECT("[" &amp; 'Setup Data'!$A$3&amp; "]Dimensional!" &amp;BO$14&amp;$BF$15+$BA17)="","",INDIRECT("[" &amp; 'Setup Data'!$A$3&amp; "]Dimensional!" &amp;BO$14&amp;$BF$15+$BA17) )</f>
        <v>3.5E-4</v>
      </c>
      <c r="BO17" s="659">
        <f ca="1">IF(INDIRECT("[" &amp; 'Setup Data'!$A$3&amp; "]Dimensional!" &amp;BP$14&amp;$BF$15+$BA17)="","",INDIRECT("[" &amp; 'Setup Data'!$A$3&amp; "]Dimensional!" &amp;BP$14&amp;$BF$15+$BA17) )</f>
        <v>-2.7771811574617438E-10</v>
      </c>
      <c r="BP17" s="659">
        <f ca="1">IF(INDIRECT("[" &amp; 'Setup Data'!$A$3&amp; "]Dimensional!" &amp;BQ$14&amp;$BF$15+$BA17)="","",INDIRECT("[" &amp; 'Setup Data'!$A$3&amp; "]Dimensional!" &amp;BQ$14&amp;$BF$15+$BA17) )</f>
        <v>4.1472775772253082E-8</v>
      </c>
      <c r="BQ17" s="659">
        <f ca="1">IF(INDIRECT("[" &amp; 'Setup Data'!$A$3&amp; "]Dimensional!" &amp;BR$14&amp;$BF$15+$BA17)="","",INDIRECT("[" &amp; 'Setup Data'!$A$3&amp; "]Dimensional!" &amp;BR$14&amp;$BF$15+$BA17) )</f>
        <v>4.732458013316027E-7</v>
      </c>
      <c r="BR17" s="659">
        <f ca="1">IF(INDIRECT("[" &amp; 'Setup Data'!$A$3&amp; "]Dimensional!" &amp;BS$14&amp;$BF$15+$BA17)="","",INDIRECT("[" &amp; 'Setup Data'!$A$3&amp; "]Dimensional!" &amp;BS$14&amp;$BF$15+$BA17) )</f>
        <v>1.1920042812097224E-4</v>
      </c>
      <c r="BS17" s="659">
        <f ca="1">IF(INDIRECT("[" &amp; 'Setup Data'!$A$3&amp; "]Dimensional!" &amp;BT$14&amp;$BF$15+$BA17)="","",INDIRECT("[" &amp; 'Setup Data'!$A$3&amp; "]Dimensional!" &amp;BT$14&amp;$BF$15+$BA17) )</f>
        <v>0.96928898931144214</v>
      </c>
      <c r="BT17" s="659">
        <f ca="1">IF(INDIRECT("[" &amp; 'Setup Data'!$A$3&amp; "]Dimensional!" &amp;BU$14&amp;$BF$15+$BA17)="","",INDIRECT("[" &amp; 'Setup Data'!$A$3&amp; "]Dimensional!" &amp;BU$14&amp;$BF$15+$BA17) )</f>
        <v>6.31899099139045E-6</v>
      </c>
      <c r="BU17" s="659">
        <f ca="1">IF(INDIRECT("[" &amp; 'Setup Data'!$A$3&amp; "]Dimensional!" &amp;BV$14&amp;$BF$15+$BA17)="","",INDIRECT("[" &amp; 'Setup Data'!$A$3&amp; "]Dimensional!" &amp;BV$14&amp;$BF$15+$BA17) )</f>
        <v>-5.5797106904975176E-10</v>
      </c>
      <c r="BV17" s="659">
        <f ca="1">IF(INDIRECT("[" &amp; 'Setup Data'!$A$3&amp; "]Dimensional!" &amp;BW$14&amp;$BF$15+$BA17)="","",INDIRECT("[" &amp; 'Setup Data'!$A$3&amp; "]Dimensional!" &amp;BW$14&amp;$BF$15+$BA17) )</f>
        <v>6.1748973123150319E-8</v>
      </c>
      <c r="BW17" s="659">
        <f ca="1">IF(INDIRECT("[" &amp; 'Setup Data'!$A$3&amp; "]Dimensional!" &amp;BX$14&amp;$BF$15+$BA17)="","",INDIRECT("[" &amp; 'Setup Data'!$A$3&amp; "]Dimensional!" &amp;BX$14&amp;$BF$15+$BA17) )</f>
        <v>-1.2397883419536321E-7</v>
      </c>
      <c r="BX17" s="659">
        <f ca="1">IF(INDIRECT("[" &amp; 'Setup Data'!$A$3&amp; "]Dimensional!" &amp;BY$14&amp;$BF$15+$BA17)="","",INDIRECT("[" &amp; 'Setup Data'!$A$3&amp; "]Dimensional!" &amp;BY$14&amp;$BF$15+$BA17) )</f>
        <v>3.9849073257023824E-5</v>
      </c>
      <c r="BY17" s="659">
        <f ca="1">IF(INDIRECT("[" &amp; 'Setup Data'!$A$3&amp; "]Dimensional!" &amp;BZ$14&amp;$BF$15+$BA17)="","",INDIRECT("[" &amp; 'Setup Data'!$A$3&amp; "]Dimensional!" &amp;BZ$14&amp;$BF$15+$BA17) )</f>
        <v>6.7013498274958547E-2</v>
      </c>
      <c r="BZ17" s="659">
        <f ca="1">IF(INDIRECT("[" &amp; 'Setup Data'!$A$3&amp; "]Dimensional!" &amp;CA$14&amp;$BF$15+$BA17)="","",INDIRECT("[" &amp; 'Setup Data'!$A$3&amp; "]Dimensional!" &amp;CA$14&amp;$BF$15+$BA17) )</f>
        <v>8.1605554916146849E-5</v>
      </c>
      <c r="CA17" s="659">
        <f ca="1">IF(INDIRECT("[" &amp; 'Setup Data'!$A$3&amp; "]Dimensional!" &amp;CB$14&amp;$BF$15+$BA17)="","",INDIRECT("[" &amp; 'Setup Data'!$A$3&amp; "]Dimensional!" &amp;CB$14&amp;$BF$15+$BA17) )</f>
        <v>-7.3083693142391047E-10</v>
      </c>
      <c r="CB17" s="659">
        <f ca="1">IF(INDIRECT("[" &amp; 'Setup Data'!$A$3&amp; "]Dimensional!" &amp;CC$14&amp;$BF$15+$BA17)="","",INDIRECT("[" &amp; 'Setup Data'!$A$3&amp; "]Dimensional!" &amp;CC$14&amp;$BF$15+$BA17) )</f>
        <v>9.3707038055953778E-8</v>
      </c>
      <c r="CC17" s="659">
        <f ca="1">IF(INDIRECT("[" &amp; 'Setup Data'!$A$3&amp; "]Dimensional!" &amp;CD$14&amp;$BF$15+$BA17)="","",INDIRECT("[" &amp; 'Setup Data'!$A$3&amp; "]Dimensional!" &amp;CD$14&amp;$BF$15+$BA17) )</f>
        <v>-1.837860224066906E-6</v>
      </c>
      <c r="CD17" s="659">
        <f ca="1">IF(INDIRECT("[" &amp; 'Setup Data'!$A$3&amp; "]Dimensional!" &amp;CE$14&amp;$BF$15+$BA17)="","",INDIRECT("[" &amp; 'Setup Data'!$A$3&amp; "]Dimensional!" &amp;CE$14&amp;$BF$15+$BA17) )</f>
        <v>6.2928372836557137E-5</v>
      </c>
      <c r="CE17" s="659">
        <f ca="1">IF(INDIRECT("[" &amp; 'Setup Data'!$A$3&amp; "]Dimensional!" &amp;CF$14&amp;$BF$15+$BA17)="","",INDIRECT("[" &amp; 'Setup Data'!$A$3&amp; "]Dimensional!" &amp;CF$14&amp;$BF$15+$BA17) )</f>
        <v>4.818107858969501E-2</v>
      </c>
      <c r="CF17" s="659">
        <f ca="1">IF(INDIRECT("[" &amp; 'Setup Data'!$A$3&amp; "]Dimensional!" &amp;CG$14&amp;$BF$15+$BA17)="","",INDIRECT("[" &amp; 'Setup Data'!$A$3&amp; "]Dimensional!" &amp;CG$14&amp;$BF$15+$BA17) )</f>
        <v>7.5924835316433441E-5</v>
      </c>
      <c r="CG17" s="102" t="str">
        <f t="shared" ref="CG17:CG26" ca="1" si="7">IF(BJ17="","",IF(BJ17&lt;100,"0.000",IF(BJ17&lt;1000,"0.00","0.0")))</f>
        <v>0.0</v>
      </c>
      <c r="DZ17" s="16"/>
      <c r="EA17" s="16"/>
      <c r="EB17" s="83"/>
      <c r="EC17" s="83"/>
      <c r="ED17" s="16"/>
      <c r="EE17" s="16"/>
      <c r="EG17" s="609"/>
    </row>
    <row r="18" spans="1:137" ht="18" customHeight="1">
      <c r="B18" s="621"/>
      <c r="C18" s="834"/>
      <c r="D18" s="647" t="s">
        <v>730</v>
      </c>
      <c r="E18" s="642" t="s">
        <v>731</v>
      </c>
      <c r="F18" s="772"/>
      <c r="G18" s="769"/>
      <c r="H18" s="662"/>
      <c r="I18" s="773"/>
      <c r="J18" s="773"/>
      <c r="K18" s="826"/>
      <c r="L18" s="826"/>
      <c r="M18" s="826"/>
      <c r="N18" s="826"/>
      <c r="O18" s="663"/>
      <c r="P18" s="769"/>
      <c r="Q18" s="622"/>
      <c r="R18" s="781"/>
      <c r="S18" s="781"/>
      <c r="T18" s="781"/>
      <c r="U18" s="781"/>
      <c r="V18" s="781"/>
      <c r="W18" s="620"/>
      <c r="X18" s="620"/>
      <c r="Y18" s="633"/>
      <c r="Z18" s="633"/>
      <c r="AA18" s="633"/>
      <c r="AB18" s="638" t="s">
        <v>734</v>
      </c>
      <c r="AC18" s="634" t="e">
        <f>_xlfn.IFS(Type="I",$AD18, Type="II",$AE18, Type="III",$AD26, Type="Electronic",AE27)</f>
        <v>#NAME?</v>
      </c>
      <c r="AD18" s="634" t="s">
        <v>55</v>
      </c>
      <c r="AE18" s="634" t="s">
        <v>55</v>
      </c>
      <c r="AF18" s="634" t="s">
        <v>158</v>
      </c>
      <c r="AG18" s="634" t="s">
        <v>55</v>
      </c>
      <c r="AH18" s="638">
        <v>3</v>
      </c>
      <c r="AI18" s="655">
        <v>0.2</v>
      </c>
      <c r="AJ18" s="656">
        <v>0.6</v>
      </c>
      <c r="AK18" s="656">
        <v>1</v>
      </c>
      <c r="AL18" s="638">
        <v>5</v>
      </c>
      <c r="AM18" s="638">
        <v>0.04</v>
      </c>
      <c r="AN18" s="658" t="s">
        <v>735</v>
      </c>
      <c r="AO18" s="614" t="s">
        <v>16</v>
      </c>
      <c r="AP18" s="613"/>
      <c r="AQ18" s="613"/>
      <c r="AR18" s="613"/>
      <c r="AS18" s="613"/>
      <c r="AT18" s="613"/>
      <c r="AU18" s="613"/>
      <c r="AV18" s="613"/>
      <c r="AW18" s="613"/>
      <c r="AX18" s="613"/>
      <c r="AY18" s="614" t="str">
        <f t="shared" ref="AY18:AY26" ca="1" si="8">AZ18</f>
        <v>25 mm</v>
      </c>
      <c r="AZ18" s="102" t="str">
        <f t="shared" ref="AZ18:AZ26" ca="1" si="9">BJ18&amp;BK18</f>
        <v>25 mm</v>
      </c>
      <c r="BA18" s="102">
        <v>1</v>
      </c>
      <c r="BB18" s="659">
        <f ca="1">IF(INDIRECT("[" &amp; 'Setup Data'!$A$3&amp; "]Dimensional!" &amp;BC$14&amp;$BF$15+$BA18)="","",INDIRECT("[" &amp; 'Setup Data'!$A$3&amp; "]Dimensional!" &amp;BC$14&amp;$BF$15+$BA18) )</f>
        <v>1</v>
      </c>
      <c r="BC18" s="659" t="str">
        <f ca="1">IF(INDIRECT("[" &amp; 'Setup Data'!$A$3&amp; "]Dimensional!" &amp;BD$14&amp;$BF$15+$BA18)="","",INDIRECT("[" &amp; 'Setup Data'!$A$3&amp; "]Dimensional!" &amp;BD$14&amp;$BF$15+$BA18) )</f>
        <v>723 5061/23</v>
      </c>
      <c r="BD18" s="659">
        <f ca="1">IF(INDIRECT("[" &amp; 'Setup Data'!$A$3&amp; "]Dimensional!" &amp;BE$14&amp;$BF$15+$BA18)="","",INDIRECT("[" &amp; 'Setup Data'!$A$3&amp; "]Dimensional!" &amp;BE$14&amp;$BF$15+$BA18) )</f>
        <v>180046</v>
      </c>
      <c r="BE18" s="787">
        <f ca="1">IF(INDIRECT("[" &amp; 'Setup Data'!$A$3&amp; "]Dimensional!" &amp;BF$14&amp;$BF$15+$BA18)="","",INDIRECT("[" &amp; 'Setup Data'!$A$3&amp; "]Dimensional!" &amp;BF$14&amp;$BF$15+$BA18) )</f>
        <v>45161</v>
      </c>
      <c r="BF18" s="787">
        <f ca="1">IF(INDIRECT("[" &amp; 'Setup Data'!$A$3&amp; "]Dimensional!" &amp;BG$14&amp;$BF$15+$BA18)="","",INDIRECT("[" &amp; 'Setup Data'!$A$3&amp; "]Dimensional!" &amp;BG$14&amp;$BF$15+$BA18) )</f>
        <v>46987</v>
      </c>
      <c r="BG18" s="659" t="str">
        <f ca="1">IF(INDIRECT("[" &amp; 'Setup Data'!$A$3&amp; "]Dimensional!" &amp;BH$14&amp;$BF$15+$BA18)="","",INDIRECT("[" &amp; 'Setup Data'!$A$3&amp; "]Dimensional!" &amp;BH$14&amp;$BF$15+$BA18) )</f>
        <v/>
      </c>
      <c r="BH18" s="659" t="str">
        <f ca="1">IF(INDIRECT("[" &amp; 'Setup Data'!$A$3&amp; "]Dimensional!" &amp;BI$14&amp;$BF$15+$BA18)="","",INDIRECT("[" &amp; 'Setup Data'!$A$3&amp; "]Dimensional!" &amp;BI$14&amp;$BF$15+$BA18) )</f>
        <v/>
      </c>
      <c r="BI18" s="659" t="str">
        <f ca="1">IF(INDIRECT("[" &amp; 'Setup Data'!$A$3&amp; "]Dimensional!" &amp;BJ$14&amp;$BF$15+$BA18)="","",INDIRECT("[" &amp; 'Setup Data'!$A$3&amp; "]Dimensional!" &amp;BJ$14&amp;$BF$15+$BA18) )</f>
        <v>2.5 mm</v>
      </c>
      <c r="BJ18" s="659" t="str">
        <f ca="1">IF(INDIRECT("[" &amp; 'Setup Data'!$A$3&amp; "]Dimensional!" &amp;BK$14&amp;$BF$15+$BA18)="","",INDIRECT("[" &amp; 'Setup Data'!$A$3&amp; "]Dimensional!" &amp;BK$14&amp;$BF$15+$BA18) )</f>
        <v>25 mm</v>
      </c>
      <c r="BK18" s="659" t="str">
        <f ca="1">IF(INDIRECT("[" &amp; 'Setup Data'!$A$3&amp; "]Dimensional!" &amp;BL$14&amp;$BF$15+$BA18)="","",INDIRECT("[" &amp; 'Setup Data'!$A$3&amp; "]Dimensional!" &amp;BL$14&amp;$BF$15+$BA18) )</f>
        <v/>
      </c>
      <c r="BL18" s="659">
        <f ca="1">IF(INDIRECT("[" &amp; 'Setup Data'!$A$3&amp; "]Dimensional!" &amp;BM$14&amp;$BF$15+$BA18)="","",INDIRECT("[" &amp; 'Setup Data'!$A$3&amp; "]Dimensional!" &amp;BM$14&amp;$BF$15+$BA18) )</f>
        <v>3.5999999999999997E-4</v>
      </c>
      <c r="BM18" s="659">
        <f ca="1">IF(INDIRECT("[" &amp; 'Setup Data'!$A$3&amp; "]Dimensional!" &amp;BN$14&amp;$BF$15+$BA18)="","",INDIRECT("[" &amp; 'Setup Data'!$A$3&amp; "]Dimensional!" &amp;BN$14&amp;$BF$15+$BA18) )</f>
        <v>1.6000000000000001E-4</v>
      </c>
      <c r="BN18" s="659">
        <f ca="1">IF(INDIRECT("[" &amp; 'Setup Data'!$A$3&amp; "]Dimensional!" &amp;BO$14&amp;$BF$15+$BA18)="","",INDIRECT("[" &amp; 'Setup Data'!$A$3&amp; "]Dimensional!" &amp;BO$14&amp;$BF$15+$BA18) )</f>
        <v>9.0000000000000006E-5</v>
      </c>
      <c r="BO18" s="659">
        <f ca="1">IF(INDIRECT("[" &amp; 'Setup Data'!$A$3&amp; "]Dimensional!" &amp;BP$14&amp;$BF$15+$BA18)="","",INDIRECT("[" &amp; 'Setup Data'!$A$3&amp; "]Dimensional!" &amp;BP$14&amp;$BF$15+$BA18) )</f>
        <v>-2.3824053256338615E-9</v>
      </c>
      <c r="BP18" s="659">
        <f ca="1">IF(INDIRECT("[" &amp; 'Setup Data'!$A$3&amp; "]Dimensional!" &amp;BQ$14&amp;$BF$15+$BA18)="","",INDIRECT("[" &amp; 'Setup Data'!$A$3&amp; "]Dimensional!" &amp;BQ$14&amp;$BF$15+$BA18) )</f>
        <v>2.7162445889969279E-7</v>
      </c>
      <c r="BQ18" s="659">
        <f ca="1">IF(INDIRECT("[" &amp; 'Setup Data'!$A$3&amp; "]Dimensional!" &amp;BR$14&amp;$BF$15+$BA18)="","",INDIRECT("[" &amp; 'Setup Data'!$A$3&amp; "]Dimensional!" &amp;BR$14&amp;$BF$15+$BA18) )</f>
        <v>-3.8903528134276846E-6</v>
      </c>
      <c r="BR18" s="659">
        <f ca="1">IF(INDIRECT("[" &amp; 'Setup Data'!$A$3&amp; "]Dimensional!" &amp;BS$14&amp;$BF$15+$BA18)="","",INDIRECT("[" &amp; 'Setup Data'!$A$3&amp; "]Dimensional!" &amp;BS$14&amp;$BF$15+$BA18) )</f>
        <v>1.3104955134258785E-4</v>
      </c>
      <c r="BS18" s="659">
        <f ca="1">IF(INDIRECT("[" &amp; 'Setup Data'!$A$3&amp; "]Dimensional!" &amp;BT$14&amp;$BF$15+$BA18)="","",INDIRECT("[" &amp; 'Setup Data'!$A$3&amp; "]Dimensional!" &amp;BT$14&amp;$BF$15+$BA18) )</f>
        <v>0.82507030948181614</v>
      </c>
      <c r="BT18" s="659">
        <f ca="1">IF(INDIRECT("[" &amp; 'Setup Data'!$A$3&amp; "]Dimensional!" &amp;BU$14&amp;$BF$15+$BA18)="","",INDIRECT("[" &amp; 'Setup Data'!$A$3&amp; "]Dimensional!" &amp;BU$14&amp;$BF$15+$BA18) )</f>
        <v>9.8975060843721212E-6</v>
      </c>
      <c r="BU18" s="659">
        <f ca="1">IF(INDIRECT("[" &amp; 'Setup Data'!$A$3&amp; "]Dimensional!" &amp;BV$14&amp;$BF$15+$BA18)="","",INDIRECT("[" &amp; 'Setup Data'!$A$3&amp; "]Dimensional!" &amp;BV$14&amp;$BF$15+$BA18) )</f>
        <v>8.5937273155064E-8</v>
      </c>
      <c r="BV18" s="659">
        <f ca="1">IF(INDIRECT("[" &amp; 'Setup Data'!$A$3&amp; "]Dimensional!" &amp;BW$14&amp;$BF$15+$BA18)="","",INDIRECT("[" &amp; 'Setup Data'!$A$3&amp; "]Dimensional!" &amp;BW$14&amp;$BF$15+$BA18) )</f>
        <v>-3.4068915957255155E-6</v>
      </c>
      <c r="BW18" s="659">
        <f ca="1">IF(INDIRECT("[" &amp; 'Setup Data'!$A$3&amp; "]Dimensional!" &amp;BX$14&amp;$BF$15+$BA18)="","",INDIRECT("[" &amp; 'Setup Data'!$A$3&amp; "]Dimensional!" &amp;BX$14&amp;$BF$15+$BA18) )</f>
        <v>2.9445875840210839E-5</v>
      </c>
      <c r="BX18" s="659">
        <f ca="1">IF(INDIRECT("[" &amp; 'Setup Data'!$A$3&amp; "]Dimensional!" &amp;BY$14&amp;$BF$15+$BA18)="","",INDIRECT("[" &amp; 'Setup Data'!$A$3&amp; "]Dimensional!" &amp;BY$14&amp;$BF$15+$BA18) )</f>
        <v>-3.0184931928745593E-5</v>
      </c>
      <c r="BY18" s="659">
        <f ca="1">IF(INDIRECT("[" &amp; 'Setup Data'!$A$3&amp; "]Dimensional!" &amp;BZ$14&amp;$BF$15+$BA18)="","",INDIRECT("[" &amp; 'Setup Data'!$A$3&amp; "]Dimensional!" &amp;BZ$14&amp;$BF$15+$BA18) )</f>
        <v>0.53526869878429872</v>
      </c>
      <c r="BZ18" s="659">
        <f ca="1">IF(INDIRECT("[" &amp; 'Setup Data'!$A$3&amp; "]Dimensional!" &amp;CA$14&amp;$BF$15+$BA18)="","",INDIRECT("[" &amp; 'Setup Data'!$A$3&amp; "]Dimensional!" &amp;CA$14&amp;$BF$15+$BA18) )</f>
        <v>7.1390148269903861E-5</v>
      </c>
      <c r="CA18" s="659">
        <f ca="1">IF(INDIRECT("[" &amp; 'Setup Data'!$A$3&amp; "]Dimensional!" &amp;CB$14&amp;$BF$15+$BA18)="","",INDIRECT("[" &amp; 'Setup Data'!$A$3&amp; "]Dimensional!" &amp;CB$14&amp;$BF$15+$BA18) )</f>
        <v>8.5937273155064E-8</v>
      </c>
      <c r="CB18" s="659">
        <f ca="1">IF(INDIRECT("[" &amp; 'Setup Data'!$A$3&amp; "]Dimensional!" &amp;CC$14&amp;$BF$15+$BA18)="","",INDIRECT("[" &amp; 'Setup Data'!$A$3&amp; "]Dimensional!" &amp;CC$14&amp;$BF$15+$BA18) )</f>
        <v>-3.4068915957255155E-6</v>
      </c>
      <c r="CC18" s="659">
        <f ca="1">IF(INDIRECT("[" &amp; 'Setup Data'!$A$3&amp; "]Dimensional!" &amp;CD$14&amp;$BF$15+$BA18)="","",INDIRECT("[" &amp; 'Setup Data'!$A$3&amp; "]Dimensional!" &amp;CD$14&amp;$BF$15+$BA18) )</f>
        <v>2.9445875840210839E-5</v>
      </c>
      <c r="CD18" s="659">
        <f ca="1">IF(INDIRECT("[" &amp; 'Setup Data'!$A$3&amp; "]Dimensional!" &amp;CE$14&amp;$BF$15+$BA18)="","",INDIRECT("[" &amp; 'Setup Data'!$A$3&amp; "]Dimensional!" &amp;CE$14&amp;$BF$15+$BA18) )</f>
        <v>-3.0184931928745593E-5</v>
      </c>
      <c r="CE18" s="659">
        <f ca="1">IF(INDIRECT("[" &amp; 'Setup Data'!$A$3&amp; "]Dimensional!" &amp;CF$14&amp;$BF$15+$BA18)="","",INDIRECT("[" &amp; 'Setup Data'!$A$3&amp; "]Dimensional!" &amp;CF$14&amp;$BF$15+$BA18) )</f>
        <v>0.53526869878429872</v>
      </c>
      <c r="CF18" s="659">
        <f ca="1">IF(INDIRECT("[" &amp; 'Setup Data'!$A$3&amp; "]Dimensional!" &amp;CG$14&amp;$BF$15+$BA18)="","",INDIRECT("[" &amp; 'Setup Data'!$A$3&amp; "]Dimensional!" &amp;CG$14&amp;$BF$15+$BA18) )</f>
        <v>7.1390148269903861E-5</v>
      </c>
      <c r="CG18" s="102" t="str">
        <f t="shared" ca="1" si="7"/>
        <v>0.0</v>
      </c>
      <c r="DZ18" s="16"/>
      <c r="EA18" s="16"/>
      <c r="EB18" s="83"/>
      <c r="EC18" s="83"/>
      <c r="ED18" s="16"/>
      <c r="EE18" s="16"/>
      <c r="EG18" s="609"/>
    </row>
    <row r="19" spans="1:137" ht="18" customHeight="1">
      <c r="B19" s="621"/>
      <c r="C19" s="660" t="s">
        <v>733</v>
      </c>
      <c r="D19" s="661">
        <v>3</v>
      </c>
      <c r="E19" s="770"/>
      <c r="F19" s="772"/>
      <c r="G19" s="769"/>
      <c r="H19" s="827"/>
      <c r="I19" s="828"/>
      <c r="J19" s="774" t="s">
        <v>144</v>
      </c>
      <c r="K19" s="826"/>
      <c r="L19" s="826"/>
      <c r="M19" s="826"/>
      <c r="N19" s="826"/>
      <c r="O19" s="663"/>
      <c r="P19" s="769"/>
      <c r="Q19" s="622"/>
      <c r="R19" s="781"/>
      <c r="S19" s="781"/>
      <c r="T19" s="781"/>
      <c r="U19" s="781"/>
      <c r="V19" s="781"/>
      <c r="W19" s="620"/>
      <c r="X19" s="620"/>
      <c r="Y19" s="633"/>
      <c r="Z19" s="633"/>
      <c r="AA19" s="633"/>
      <c r="AB19" s="638" t="s">
        <v>738</v>
      </c>
      <c r="AC19" s="634" t="e">
        <f>_xlfn.IFS(Type="I",$AD19, Type="II",$AE19, Type="III",$AD27, Type="Electronic",AE28)</f>
        <v>#NAME?</v>
      </c>
      <c r="AD19" s="634" t="s">
        <v>56</v>
      </c>
      <c r="AE19" s="634" t="s">
        <v>739</v>
      </c>
      <c r="AF19" s="634" t="s">
        <v>158</v>
      </c>
      <c r="AG19" s="634" t="s">
        <v>56</v>
      </c>
      <c r="AH19" s="638">
        <v>3</v>
      </c>
      <c r="AI19" s="655">
        <v>0.2</v>
      </c>
      <c r="AJ19" s="656">
        <v>0.6</v>
      </c>
      <c r="AK19" s="656">
        <v>1</v>
      </c>
      <c r="AL19" s="638">
        <v>5</v>
      </c>
      <c r="AM19" s="638">
        <v>0.04</v>
      </c>
      <c r="AN19" s="658" t="s">
        <v>740</v>
      </c>
      <c r="AO19" s="614" t="s">
        <v>16</v>
      </c>
      <c r="AP19" s="613"/>
      <c r="AQ19" s="613"/>
      <c r="AR19" s="613"/>
      <c r="AS19" s="613"/>
      <c r="AT19" s="613"/>
      <c r="AU19" s="613"/>
      <c r="AV19" s="613"/>
      <c r="AW19" s="613"/>
      <c r="AX19" s="613"/>
      <c r="AY19" s="614" t="str">
        <f t="shared" ca="1" si="8"/>
        <v>500 mm</v>
      </c>
      <c r="AZ19" s="102" t="str">
        <f t="shared" ca="1" si="9"/>
        <v>500 mm</v>
      </c>
      <c r="BA19" s="102">
        <v>2</v>
      </c>
      <c r="BB19" s="659">
        <f ca="1">IF(INDIRECT("[" &amp; 'Setup Data'!$A$3&amp; "]Dimensional!" &amp;BC$14&amp;$BF$15+$BA19)="","",INDIRECT("[" &amp; 'Setup Data'!$A$3&amp; "]Dimensional!" &amp;BC$14&amp;$BF$15+$BA19) )</f>
        <v>1</v>
      </c>
      <c r="BC19" s="659" t="str">
        <f ca="1">IF(INDIRECT("[" &amp; 'Setup Data'!$A$3&amp; "]Dimensional!" &amp;BD$14&amp;$BF$15+$BA19)="","",INDIRECT("[" &amp; 'Setup Data'!$A$3&amp; "]Dimensional!" &amp;BD$14&amp;$BF$15+$BA19) )</f>
        <v>723 5427/21</v>
      </c>
      <c r="BD19" s="659" t="str">
        <f ca="1">IF(INDIRECT("[" &amp; 'Setup Data'!$A$3&amp; "]Dimensional!" &amp;BE$14&amp;$BF$15+$BA19)="","",INDIRECT("[" &amp; 'Setup Data'!$A$3&amp; "]Dimensional!" &amp;BE$14&amp;$BF$15+$BA19) )</f>
        <v>630-8000</v>
      </c>
      <c r="BE19" s="787">
        <f ca="1">IF(INDIRECT("[" &amp; 'Setup Data'!$A$3&amp; "]Dimensional!" &amp;BF$14&amp;$BF$15+$BA19)="","",INDIRECT("[" &amp; 'Setup Data'!$A$3&amp; "]Dimensional!" &amp;BF$14&amp;$BF$15+$BA19) )</f>
        <v>44535</v>
      </c>
      <c r="BF19" s="787">
        <f ca="1">IF(INDIRECT("[" &amp; 'Setup Data'!$A$3&amp; "]Dimensional!" &amp;BG$14&amp;$BF$15+$BA19)="","",INDIRECT("[" &amp; 'Setup Data'!$A$3&amp; "]Dimensional!" &amp;BG$14&amp;$BF$15+$BA19) )</f>
        <v>46360</v>
      </c>
      <c r="BG19" s="659" t="str">
        <f ca="1">IF(INDIRECT("[" &amp; 'Setup Data'!$A$3&amp; "]Dimensional!" &amp;BH$14&amp;$BF$15+$BA19)="","",INDIRECT("[" &amp; 'Setup Data'!$A$3&amp; "]Dimensional!" &amp;BH$14&amp;$BF$15+$BA19) )</f>
        <v/>
      </c>
      <c r="BH19" s="659" t="str">
        <f ca="1">IF(INDIRECT("[" &amp; 'Setup Data'!$A$3&amp; "]Dimensional!" &amp;BI$14&amp;$BF$15+$BA19)="","",INDIRECT("[" &amp; 'Setup Data'!$A$3&amp; "]Dimensional!" &amp;BI$14&amp;$BF$15+$BA19) )</f>
        <v/>
      </c>
      <c r="BI19" s="659" t="str">
        <f ca="1">IF(INDIRECT("[" &amp; 'Setup Data'!$A$3&amp; "]Dimensional!" &amp;BJ$14&amp;$BF$15+$BA19)="","",INDIRECT("[" &amp; 'Setup Data'!$A$3&amp; "]Dimensional!" &amp;BJ$14&amp;$BF$15+$BA19) )</f>
        <v>125 mm</v>
      </c>
      <c r="BJ19" s="659" t="str">
        <f ca="1">IF(INDIRECT("[" &amp; 'Setup Data'!$A$3&amp; "]Dimensional!" &amp;BK$14&amp;$BF$15+$BA19)="","",INDIRECT("[" &amp; 'Setup Data'!$A$3&amp; "]Dimensional!" &amp;BK$14&amp;$BF$15+$BA19) )</f>
        <v>500 mm</v>
      </c>
      <c r="BK19" s="659" t="str">
        <f ca="1">IF(INDIRECT("[" &amp; 'Setup Data'!$A$3&amp; "]Dimensional!" &amp;BL$14&amp;$BF$15+$BA19)="","",INDIRECT("[" &amp; 'Setup Data'!$A$3&amp; "]Dimensional!" &amp;BL$14&amp;$BF$15+$BA19) )</f>
        <v/>
      </c>
      <c r="BL19" s="659">
        <f ca="1">IF(INDIRECT("[" &amp; 'Setup Data'!$A$3&amp; "]Dimensional!" &amp;BM$14&amp;$BF$15+$BA19)="","",INDIRECT("[" &amp; 'Setup Data'!$A$3&amp; "]Dimensional!" &amp;BM$14&amp;$BF$15+$BA19) )</f>
        <v>4.6E-5</v>
      </c>
      <c r="BM19" s="659">
        <f ca="1">IF(INDIRECT("[" &amp; 'Setup Data'!$A$3&amp; "]Dimensional!" &amp;BN$14&amp;$BF$15+$BA19)="","",INDIRECT("[" &amp; 'Setup Data'!$A$3&amp; "]Dimensional!" &amp;BN$14&amp;$BF$15+$BA19) )</f>
        <v>1.1000000000000001E-3</v>
      </c>
      <c r="BN19" s="659">
        <f ca="1">IF(INDIRECT("[" &amp; 'Setup Data'!$A$3&amp; "]Dimensional!" &amp;BO$14&amp;$BF$15+$BA19)="","",INDIRECT("[" &amp; 'Setup Data'!$A$3&amp; "]Dimensional!" &amp;BO$14&amp;$BF$15+$BA19) )</f>
        <v>2.3000000000000001E-4</v>
      </c>
      <c r="BO19" s="659">
        <f ca="1">IF(INDIRECT("[" &amp; 'Setup Data'!$A$3&amp; "]Dimensional!" &amp;BP$14&amp;$BF$15+$BA19)="","",INDIRECT("[" &amp; 'Setup Data'!$A$3&amp; "]Dimensional!" &amp;BP$14&amp;$BF$15+$BA19) )</f>
        <v>1.2579128982753016E-11</v>
      </c>
      <c r="BP19" s="659">
        <f ca="1">IF(INDIRECT("[" &amp; 'Setup Data'!$A$3&amp; "]Dimensional!" &amp;BQ$14&amp;$BF$15+$BA19)="","",INDIRECT("[" &amp; 'Setup Data'!$A$3&amp; "]Dimensional!" &amp;BQ$14&amp;$BF$15+$BA19) )</f>
        <v>-1.314457934032626E-8</v>
      </c>
      <c r="BQ19" s="659">
        <f ca="1">IF(INDIRECT("[" &amp; 'Setup Data'!$A$3&amp; "]Dimensional!" &amp;BR$14&amp;$BF$15+$BA19)="","",INDIRECT("[" &amp; 'Setup Data'!$A$3&amp; "]Dimensional!" &amp;BR$14&amp;$BF$15+$BA19) )</f>
        <v>5.9484219667665597E-6</v>
      </c>
      <c r="BR19" s="659">
        <f ca="1">IF(INDIRECT("[" &amp; 'Setup Data'!$A$3&amp; "]Dimensional!" &amp;BS$14&amp;$BF$15+$BA19)="","",INDIRECT("[" &amp; 'Setup Data'!$A$3&amp; "]Dimensional!" &amp;BS$14&amp;$BF$15+$BA19) )</f>
        <v>-1.6463755893889211E-4</v>
      </c>
      <c r="BS19" s="659">
        <f ca="1">IF(INDIRECT("[" &amp; 'Setup Data'!$A$3&amp; "]Dimensional!" &amp;BT$14&amp;$BF$15+$BA19)="","",INDIRECT("[" &amp; 'Setup Data'!$A$3&amp; "]Dimensional!" &amp;BT$14&amp;$BF$15+$BA19) )</f>
        <v>0.99173446184105207</v>
      </c>
      <c r="BT19" s="659">
        <f ca="1">IF(INDIRECT("[" &amp; 'Setup Data'!$A$3&amp; "]Dimensional!" &amp;BU$14&amp;$BF$15+$BA19)="","",INDIRECT("[" &amp; 'Setup Data'!$A$3&amp; "]Dimensional!" &amp;BU$14&amp;$BF$15+$BA19) )</f>
        <v>2.8342670830794282E-5</v>
      </c>
      <c r="BU19" s="659">
        <f ca="1">IF(INDIRECT("[" &amp; 'Setup Data'!$A$3&amp; "]Dimensional!" &amp;BV$14&amp;$BF$15+$BA19)="","",INDIRECT("[" &amp; 'Setup Data'!$A$3&amp; "]Dimensional!" &amp;BV$14&amp;$BF$15+$BA19) )</f>
        <v>2.2708381656950076E-10</v>
      </c>
      <c r="BV19" s="659">
        <f ca="1">IF(INDIRECT("[" &amp; 'Setup Data'!$A$3&amp; "]Dimensional!" &amp;BW$14&amp;$BF$15+$BA19)="","",INDIRECT("[" &amp; 'Setup Data'!$A$3&amp; "]Dimensional!" &amp;BW$14&amp;$BF$15+$BA19) )</f>
        <v>-2.0296765909657894E-7</v>
      </c>
      <c r="BW19" s="659">
        <f ca="1">IF(INDIRECT("[" &amp; 'Setup Data'!$A$3&amp; "]Dimensional!" &amp;BX$14&amp;$BF$15+$BA19)="","",INDIRECT("[" &amp; 'Setup Data'!$A$3&amp; "]Dimensional!" &amp;BX$14&amp;$BF$15+$BA19) )</f>
        <v>5.2837166865812247E-5</v>
      </c>
      <c r="BX19" s="659">
        <f ca="1">IF(INDIRECT("[" &amp; 'Setup Data'!$A$3&amp; "]Dimensional!" &amp;BY$14&amp;$BF$15+$BA19)="","",INDIRECT("[" &amp; 'Setup Data'!$A$3&amp; "]Dimensional!" &amp;BY$14&amp;$BF$15+$BA19) )</f>
        <v>-4.1759908855850351E-3</v>
      </c>
      <c r="BY19" s="659">
        <f ca="1">IF(INDIRECT("[" &amp; 'Setup Data'!$A$3&amp; "]Dimensional!" &amp;BZ$14&amp;$BF$15+$BA19)="","",INDIRECT("[" &amp; 'Setup Data'!$A$3&amp; "]Dimensional!" &amp;BZ$14&amp;$BF$15+$BA19) )</f>
        <v>0.73515894987248442</v>
      </c>
      <c r="BZ19" s="659">
        <f ca="1">IF(INDIRECT("[" &amp; 'Setup Data'!$A$3&amp; "]Dimensional!" &amp;CA$14&amp;$BF$15+$BA19)="","",INDIRECT("[" &amp; 'Setup Data'!$A$3&amp; "]Dimensional!" &amp;CA$14&amp;$BF$15+$BA19) )</f>
        <v>2.8134239145315371E-4</v>
      </c>
      <c r="CA19" s="659">
        <f ca="1">IF(INDIRECT("[" &amp; 'Setup Data'!$A$3&amp; "]Dimensional!" &amp;CB$14&amp;$BF$15+$BA19)="","",INDIRECT("[" &amp; 'Setup Data'!$A$3&amp; "]Dimensional!" &amp;CB$14&amp;$BF$15+$BA19) )</f>
        <v>2.2708381656950076E-10</v>
      </c>
      <c r="CB19" s="659">
        <f ca="1">IF(INDIRECT("[" &amp; 'Setup Data'!$A$3&amp; "]Dimensional!" &amp;CC$14&amp;$BF$15+$BA19)="","",INDIRECT("[" &amp; 'Setup Data'!$A$3&amp; "]Dimensional!" &amp;CC$14&amp;$BF$15+$BA19) )</f>
        <v>-2.0296765909657894E-7</v>
      </c>
      <c r="CC19" s="659">
        <f ca="1">IF(INDIRECT("[" &amp; 'Setup Data'!$A$3&amp; "]Dimensional!" &amp;CD$14&amp;$BF$15+$BA19)="","",INDIRECT("[" &amp; 'Setup Data'!$A$3&amp; "]Dimensional!" &amp;CD$14&amp;$BF$15+$BA19) )</f>
        <v>5.2837166865812247E-5</v>
      </c>
      <c r="CD19" s="659">
        <f ca="1">IF(INDIRECT("[" &amp; 'Setup Data'!$A$3&amp; "]Dimensional!" &amp;CE$14&amp;$BF$15+$BA19)="","",INDIRECT("[" &amp; 'Setup Data'!$A$3&amp; "]Dimensional!" &amp;CE$14&amp;$BF$15+$BA19) )</f>
        <v>-4.1759908855850351E-3</v>
      </c>
      <c r="CE19" s="659">
        <f ca="1">IF(INDIRECT("[" &amp; 'Setup Data'!$A$3&amp; "]Dimensional!" &amp;CF$14&amp;$BF$15+$BA19)="","",INDIRECT("[" &amp; 'Setup Data'!$A$3&amp; "]Dimensional!" &amp;CF$14&amp;$BF$15+$BA19) )</f>
        <v>0.73515894987248442</v>
      </c>
      <c r="CF19" s="659">
        <f ca="1">IF(INDIRECT("[" &amp; 'Setup Data'!$A$3&amp; "]Dimensional!" &amp;CG$14&amp;$BF$15+$BA19)="","",INDIRECT("[" &amp; 'Setup Data'!$A$3&amp; "]Dimensional!" &amp;CG$14&amp;$BF$15+$BA19) )</f>
        <v>2.8134239145315371E-4</v>
      </c>
      <c r="CG19" s="102" t="str">
        <f t="shared" ca="1" si="7"/>
        <v>0.0</v>
      </c>
      <c r="DZ19" s="16"/>
      <c r="EA19" s="16"/>
      <c r="EB19" s="16"/>
      <c r="EC19" s="16"/>
      <c r="ED19" s="16"/>
      <c r="EE19" s="16"/>
      <c r="EG19" s="609"/>
    </row>
    <row r="20" spans="1:137" ht="18" customHeight="1">
      <c r="A20" s="102" t="s">
        <v>886</v>
      </c>
      <c r="B20" s="621"/>
      <c r="C20" s="642" t="s">
        <v>736</v>
      </c>
      <c r="D20" s="664" t="s">
        <v>699</v>
      </c>
      <c r="E20" s="664" t="s">
        <v>737</v>
      </c>
      <c r="F20" s="772"/>
      <c r="G20" s="769"/>
      <c r="H20" s="662"/>
      <c r="I20" s="773"/>
      <c r="J20" s="773"/>
      <c r="K20" s="826"/>
      <c r="L20" s="826"/>
      <c r="M20" s="826"/>
      <c r="N20" s="826"/>
      <c r="O20" s="663"/>
      <c r="P20" s="769"/>
      <c r="Q20" s="622"/>
      <c r="R20" s="613"/>
      <c r="S20" s="620"/>
      <c r="T20" s="620"/>
      <c r="U20" s="620"/>
      <c r="V20" s="620"/>
      <c r="W20" s="620"/>
      <c r="X20" s="620"/>
      <c r="Y20" s="779"/>
      <c r="Z20" s="633"/>
      <c r="AA20" s="633"/>
      <c r="AB20" s="638" t="s">
        <v>10</v>
      </c>
      <c r="AC20" s="634" t="e">
        <f>_xlfn.IFS(Type="I",$AD20, Type="II",$AE20, Type="III",$AD28, Type="Electronic",AE29)</f>
        <v>#NAME?</v>
      </c>
      <c r="AD20" s="634" t="s">
        <v>57</v>
      </c>
      <c r="AE20" s="634"/>
      <c r="AF20" s="634" t="s">
        <v>158</v>
      </c>
      <c r="AG20" s="634" t="s">
        <v>57</v>
      </c>
      <c r="AH20" s="638">
        <v>3</v>
      </c>
      <c r="AI20" s="655">
        <v>0.2</v>
      </c>
      <c r="AJ20" s="656">
        <v>0.6</v>
      </c>
      <c r="AK20" s="656">
        <v>1</v>
      </c>
      <c r="AL20" s="638">
        <v>5</v>
      </c>
      <c r="AM20" s="657">
        <v>0.04</v>
      </c>
      <c r="AN20" s="658" t="s">
        <v>741</v>
      </c>
      <c r="AO20" s="614" t="s">
        <v>16</v>
      </c>
      <c r="AP20" s="613"/>
      <c r="AQ20" s="613"/>
      <c r="AR20" s="613"/>
      <c r="AS20" s="613"/>
      <c r="AT20" s="613"/>
      <c r="AU20" s="613"/>
      <c r="AV20" s="613"/>
      <c r="AW20" s="613"/>
      <c r="AX20" s="613"/>
      <c r="AY20" s="614" t="str">
        <f t="shared" ca="1" si="8"/>
        <v>20 in</v>
      </c>
      <c r="AZ20" s="102" t="str">
        <f t="shared" ca="1" si="9"/>
        <v>20 in</v>
      </c>
      <c r="BA20" s="102">
        <v>3</v>
      </c>
      <c r="BB20" s="659">
        <f ca="1">IF(INDIRECT("[" &amp; 'Setup Data'!$A$3&amp; "]Dimensional!" &amp;BC$14&amp;$BF$15+$BA20)="","",INDIRECT("[" &amp; 'Setup Data'!$A$3&amp; "]Dimensional!" &amp;BC$14&amp;$BF$15+$BA20) )</f>
        <v>1</v>
      </c>
      <c r="BC20" s="659" t="str">
        <f ca="1">IF(INDIRECT("[" &amp; 'Setup Data'!$A$3&amp; "]Dimensional!" &amp;BD$14&amp;$BF$15+$BA20)="","",INDIRECT("[" &amp; 'Setup Data'!$A$3&amp; "]Dimensional!" &amp;BD$14&amp;$BF$15+$BA20) )</f>
        <v>723 5428/21</v>
      </c>
      <c r="BD20" s="659" t="str">
        <f ca="1">IF(INDIRECT("[" &amp; 'Setup Data'!$A$3&amp; "]Dimensional!" &amp;BE$14&amp;$BF$15+$BA20)="","",INDIRECT("[" &amp; 'Setup Data'!$A$3&amp; "]Dimensional!" &amp;BE$14&amp;$BF$15+$BA20) )</f>
        <v>630-8100</v>
      </c>
      <c r="BE20" s="787">
        <f ca="1">IF(INDIRECT("[" &amp; 'Setup Data'!$A$3&amp; "]Dimensional!" &amp;BF$14&amp;$BF$15+$BA20)="","",INDIRECT("[" &amp; 'Setup Data'!$A$3&amp; "]Dimensional!" &amp;BF$14&amp;$BF$15+$BA20) )</f>
        <v>44535</v>
      </c>
      <c r="BF20" s="787">
        <f ca="1">IF(INDIRECT("[" &amp; 'Setup Data'!$A$3&amp; "]Dimensional!" &amp;BG$14&amp;$BF$15+$BA20)="","",INDIRECT("[" &amp; 'Setup Data'!$A$3&amp; "]Dimensional!" &amp;BG$14&amp;$BF$15+$BA20) )</f>
        <v>46360</v>
      </c>
      <c r="BG20" s="659" t="str">
        <f ca="1">IF(INDIRECT("[" &amp; 'Setup Data'!$A$3&amp; "]Dimensional!" &amp;BH$14&amp;$BF$15+$BA20)="","",INDIRECT("[" &amp; 'Setup Data'!$A$3&amp; "]Dimensional!" &amp;BH$14&amp;$BF$15+$BA20) )</f>
        <v/>
      </c>
      <c r="BH20" s="659" t="str">
        <f ca="1">IF(INDIRECT("[" &amp; 'Setup Data'!$A$3&amp; "]Dimensional!" &amp;BI$14&amp;$BF$15+$BA20)="","",INDIRECT("[" &amp; 'Setup Data'!$A$3&amp; "]Dimensional!" &amp;BI$14&amp;$BF$15+$BA20) )</f>
        <v/>
      </c>
      <c r="BI20" s="659" t="str">
        <f ca="1">IF(INDIRECT("[" &amp; 'Setup Data'!$A$3&amp; "]Dimensional!" &amp;BJ$14&amp;$BF$15+$BA20)="","",INDIRECT("[" &amp; 'Setup Data'!$A$3&amp; "]Dimensional!" &amp;BJ$14&amp;$BF$15+$BA20) )</f>
        <v>5 in</v>
      </c>
      <c r="BJ20" s="659" t="str">
        <f ca="1">IF(INDIRECT("[" &amp; 'Setup Data'!$A$3&amp; "]Dimensional!" &amp;BK$14&amp;$BF$15+$BA20)="","",INDIRECT("[" &amp; 'Setup Data'!$A$3&amp; "]Dimensional!" &amp;BK$14&amp;$BF$15+$BA20) )</f>
        <v>20 in</v>
      </c>
      <c r="BK20" s="659" t="str">
        <f ca="1">IF(INDIRECT("[" &amp; 'Setup Data'!$A$3&amp; "]Dimensional!" &amp;BL$14&amp;$BF$15+$BA20)="","",INDIRECT("[" &amp; 'Setup Data'!$A$3&amp; "]Dimensional!" &amp;BL$14&amp;$BF$15+$BA20) )</f>
        <v/>
      </c>
      <c r="BL20" s="659">
        <f ca="1">IF(INDIRECT("[" &amp; 'Setup Data'!$A$3&amp; "]Dimensional!" &amp;BM$14&amp;$BF$15+$BA20)="","",INDIRECT("[" &amp; 'Setup Data'!$A$3&amp; "]Dimensional!" &amp;BM$14&amp;$BF$15+$BA20) )</f>
        <v>1.3999999999999998E-5</v>
      </c>
      <c r="BM20" s="659">
        <f ca="1">IF(INDIRECT("[" &amp; 'Setup Data'!$A$3&amp; "]Dimensional!" &amp;BN$14&amp;$BF$15+$BA20)="","",INDIRECT("[" &amp; 'Setup Data'!$A$3&amp; "]Dimensional!" &amp;BN$14&amp;$BF$15+$BA20) )</f>
        <v>2E-3</v>
      </c>
      <c r="BN20" s="659">
        <f ca="1">IF(INDIRECT("[" &amp; 'Setup Data'!$A$3&amp; "]Dimensional!" &amp;BO$14&amp;$BF$15+$BA20)="","",INDIRECT("[" &amp; 'Setup Data'!$A$3&amp; "]Dimensional!" &amp;BO$14&amp;$BF$15+$BA20) )</f>
        <v>3.0000000000000001E-6</v>
      </c>
      <c r="BO20" s="659">
        <f ca="1">IF(INDIRECT("[" &amp; 'Setup Data'!$A$3&amp; "]Dimensional!" &amp;BP$14&amp;$BF$15+$BA20)="","",INDIRECT("[" &amp; 'Setup Data'!$A$3&amp; "]Dimensional!" &amp;BP$14&amp;$BF$15+$BA20) )</f>
        <v>0</v>
      </c>
      <c r="BP20" s="659">
        <f ca="1">IF(INDIRECT("[" &amp; 'Setup Data'!$A$3&amp; "]Dimensional!" &amp;BQ$14&amp;$BF$15+$BA20)="","",INDIRECT("[" &amp; 'Setup Data'!$A$3&amp; "]Dimensional!" &amp;BQ$14&amp;$BF$15+$BA20) )</f>
        <v>0</v>
      </c>
      <c r="BQ20" s="659">
        <f ca="1">IF(INDIRECT("[" &amp; 'Setup Data'!$A$3&amp; "]Dimensional!" &amp;BR$14&amp;$BF$15+$BA20)="","",INDIRECT("[" &amp; 'Setup Data'!$A$3&amp; "]Dimensional!" &amp;BR$14&amp;$BF$15+$BA20) )</f>
        <v>0</v>
      </c>
      <c r="BR20" s="659">
        <f ca="1">IF(INDIRECT("[" &amp; 'Setup Data'!$A$3&amp; "]Dimensional!" &amp;BS$14&amp;$BF$15+$BA20)="","",INDIRECT("[" &amp; 'Setup Data'!$A$3&amp; "]Dimensional!" &amp;BS$14&amp;$BF$15+$BA20) )</f>
        <v>2E-3</v>
      </c>
      <c r="BS20" s="659">
        <f ca="1">IF(INDIRECT("[" &amp; 'Setup Data'!$A$3&amp; "]Dimensional!" &amp;BT$14&amp;$BF$15+$BA20)="","",INDIRECT("[" &amp; 'Setup Data'!$A$3&amp; "]Dimensional!" &amp;BT$14&amp;$BF$15+$BA20) )</f>
        <v>1</v>
      </c>
      <c r="BT20" s="659">
        <f ca="1">IF(INDIRECT("[" &amp; 'Setup Data'!$A$3&amp; "]Dimensional!" &amp;BU$14&amp;$BF$15+$BA20)="","",INDIRECT("[" &amp; 'Setup Data'!$A$3&amp; "]Dimensional!" &amp;BU$14&amp;$BF$15+$BA20) )</f>
        <v>0</v>
      </c>
      <c r="BU20" s="659">
        <f ca="1">IF(INDIRECT("[" &amp; 'Setup Data'!$A$3&amp; "]Dimensional!" &amp;BV$14&amp;$BF$15+$BA20)="","",INDIRECT("[" &amp; 'Setup Data'!$A$3&amp; "]Dimensional!" &amp;BV$14&amp;$BF$15+$BA20) )</f>
        <v>0</v>
      </c>
      <c r="BV20" s="659">
        <f ca="1">IF(INDIRECT("[" &amp; 'Setup Data'!$A$3&amp; "]Dimensional!" &amp;BW$14&amp;$BF$15+$BA20)="","",INDIRECT("[" &amp; 'Setup Data'!$A$3&amp; "]Dimensional!" &amp;BW$14&amp;$BF$15+$BA20) )</f>
        <v>0</v>
      </c>
      <c r="BW20" s="659">
        <f ca="1">IF(INDIRECT("[" &amp; 'Setup Data'!$A$3&amp; "]Dimensional!" &amp;BX$14&amp;$BF$15+$BA20)="","",INDIRECT("[" &amp; 'Setup Data'!$A$3&amp; "]Dimensional!" &amp;BX$14&amp;$BF$15+$BA20) )</f>
        <v>0</v>
      </c>
      <c r="BX20" s="659">
        <f ca="1">IF(INDIRECT("[" &amp; 'Setup Data'!$A$3&amp; "]Dimensional!" &amp;BY$14&amp;$BF$15+$BA20)="","",INDIRECT("[" &amp; 'Setup Data'!$A$3&amp; "]Dimensional!" &amp;BY$14&amp;$BF$15+$BA20) )</f>
        <v>2.7999999999999999E-6</v>
      </c>
      <c r="BY20" s="659">
        <f ca="1">IF(INDIRECT("[" &amp; 'Setup Data'!$A$3&amp; "]Dimensional!" &amp;BZ$14&amp;$BF$15+$BA20)="","",INDIRECT("[" &amp; 'Setup Data'!$A$3&amp; "]Dimensional!" &amp;BZ$14&amp;$BF$15+$BA20) )</f>
        <v>1</v>
      </c>
      <c r="BZ20" s="659">
        <f ca="1">IF(INDIRECT("[" &amp; 'Setup Data'!$A$3&amp; "]Dimensional!" &amp;CA$14&amp;$BF$15+$BA20)="","",INDIRECT("[" &amp; 'Setup Data'!$A$3&amp; "]Dimensional!" &amp;CA$14&amp;$BF$15+$BA20) )</f>
        <v>0</v>
      </c>
      <c r="CA20" s="659">
        <f ca="1">IF(INDIRECT("[" &amp; 'Setup Data'!$A$3&amp; "]Dimensional!" &amp;CB$14&amp;$BF$15+$BA20)="","",INDIRECT("[" &amp; 'Setup Data'!$A$3&amp; "]Dimensional!" &amp;CB$14&amp;$BF$15+$BA20) )</f>
        <v>0</v>
      </c>
      <c r="CB20" s="659">
        <f ca="1">IF(INDIRECT("[" &amp; 'Setup Data'!$A$3&amp; "]Dimensional!" &amp;CC$14&amp;$BF$15+$BA20)="","",INDIRECT("[" &amp; 'Setup Data'!$A$3&amp; "]Dimensional!" &amp;CC$14&amp;$BF$15+$BA20) )</f>
        <v>0</v>
      </c>
      <c r="CC20" s="659">
        <f ca="1">IF(INDIRECT("[" &amp; 'Setup Data'!$A$3&amp; "]Dimensional!" &amp;CD$14&amp;$BF$15+$BA20)="","",INDIRECT("[" &amp; 'Setup Data'!$A$3&amp; "]Dimensional!" &amp;CD$14&amp;$BF$15+$BA20) )</f>
        <v>0</v>
      </c>
      <c r="CD20" s="659">
        <f ca="1">IF(INDIRECT("[" &amp; 'Setup Data'!$A$3&amp; "]Dimensional!" &amp;CE$14&amp;$BF$15+$BA20)="","",INDIRECT("[" &amp; 'Setup Data'!$A$3&amp; "]Dimensional!" &amp;CE$14&amp;$BF$15+$BA20) )</f>
        <v>2.7999999999999999E-6</v>
      </c>
      <c r="CE20" s="659">
        <f ca="1">IF(INDIRECT("[" &amp; 'Setup Data'!$A$3&amp; "]Dimensional!" &amp;CF$14&amp;$BF$15+$BA20)="","",INDIRECT("[" &amp; 'Setup Data'!$A$3&amp; "]Dimensional!" &amp;CF$14&amp;$BF$15+$BA20) )</f>
        <v>1</v>
      </c>
      <c r="CF20" s="659">
        <f ca="1">IF(INDIRECT("[" &amp; 'Setup Data'!$A$3&amp; "]Dimensional!" &amp;CG$14&amp;$BF$15+$BA20)="","",INDIRECT("[" &amp; 'Setup Data'!$A$3&amp; "]Dimensional!" &amp;CG$14&amp;$BF$15+$BA20) )</f>
        <v>0</v>
      </c>
      <c r="CG20" s="102" t="str">
        <f t="shared" ca="1" si="7"/>
        <v>0.0</v>
      </c>
      <c r="DZ20" s="16"/>
      <c r="EA20" s="16"/>
      <c r="EB20" s="16"/>
      <c r="EC20" s="16"/>
      <c r="ED20" s="16"/>
      <c r="EE20" s="16"/>
      <c r="EG20" s="609"/>
    </row>
    <row r="21" spans="1:137" ht="18" customHeight="1">
      <c r="B21" s="621"/>
      <c r="C21" s="642" t="s">
        <v>146</v>
      </c>
      <c r="D21" s="664"/>
      <c r="E21" s="664"/>
      <c r="F21" s="772"/>
      <c r="G21" s="769"/>
      <c r="H21" s="827"/>
      <c r="I21" s="828"/>
      <c r="J21" s="774" t="s">
        <v>150</v>
      </c>
      <c r="K21" s="826"/>
      <c r="L21" s="826"/>
      <c r="M21" s="826"/>
      <c r="N21" s="826"/>
      <c r="O21" s="663"/>
      <c r="P21" s="769"/>
      <c r="Q21" s="622"/>
      <c r="R21" s="613"/>
      <c r="S21" s="620"/>
      <c r="T21" s="620"/>
      <c r="U21" s="620"/>
      <c r="V21" s="620"/>
      <c r="W21" s="620"/>
      <c r="X21" s="620"/>
      <c r="Y21" s="779"/>
      <c r="Z21" s="633"/>
      <c r="AA21" s="633"/>
      <c r="AB21" s="638"/>
      <c r="AC21" s="634" t="e">
        <f>_xlfn.IFS(Type="I",$AD21, Type="II",$AE21, Type="III",$AD30, Type="Electronic",AE30)</f>
        <v>#NAME?</v>
      </c>
      <c r="AD21" s="634" t="s">
        <v>58</v>
      </c>
      <c r="AE21" s="634"/>
      <c r="AF21" s="634" t="s">
        <v>158</v>
      </c>
      <c r="AG21" s="634" t="s">
        <v>58</v>
      </c>
      <c r="AH21" s="638">
        <v>3</v>
      </c>
      <c r="AI21" s="655">
        <v>0.2</v>
      </c>
      <c r="AJ21" s="656">
        <v>0.6</v>
      </c>
      <c r="AK21" s="656">
        <v>1</v>
      </c>
      <c r="AL21" s="638">
        <v>5</v>
      </c>
      <c r="AM21" s="638">
        <v>0.04</v>
      </c>
      <c r="AN21" s="658" t="s">
        <v>743</v>
      </c>
      <c r="AO21" s="614" t="s">
        <v>16</v>
      </c>
      <c r="AP21" s="613"/>
      <c r="AQ21" s="613"/>
      <c r="AR21" s="613"/>
      <c r="AS21" s="613"/>
      <c r="AT21" s="613"/>
      <c r="AU21" s="613"/>
      <c r="AV21" s="613"/>
      <c r="AW21" s="613"/>
      <c r="AX21" s="613"/>
      <c r="AY21" s="614" t="str">
        <f t="shared" ca="1" si="8"/>
        <v>1 in</v>
      </c>
      <c r="AZ21" s="102" t="str">
        <f t="shared" ca="1" si="9"/>
        <v>1 in</v>
      </c>
      <c r="BA21" s="102">
        <v>4</v>
      </c>
      <c r="BB21" s="659">
        <f ca="1">IF(INDIRECT("[" &amp; 'Setup Data'!$A$3&amp; "]Dimensional!" &amp;BC$14&amp;$BF$15+$BA21)="","",INDIRECT("[" &amp; 'Setup Data'!$A$3&amp; "]Dimensional!" &amp;BC$14&amp;$BF$15+$BA21) )</f>
        <v>1</v>
      </c>
      <c r="BC21" s="659" t="str">
        <f ca="1">IF(INDIRECT("[" &amp; 'Setup Data'!$A$3&amp; "]Dimensional!" &amp;BD$14&amp;$BF$15+$BA21)="","",INDIRECT("[" &amp; 'Setup Data'!$A$3&amp; "]Dimensional!" &amp;BD$14&amp;$BF$15+$BA21) )</f>
        <v>723 5968/23</v>
      </c>
      <c r="BD21" s="659">
        <f ca="1">IF(INDIRECT("[" &amp; 'Setup Data'!$A$3&amp; "]Dimensional!" &amp;BE$14&amp;$BF$15+$BA21)="","",INDIRECT("[" &amp; 'Setup Data'!$A$3&amp; "]Dimensional!" &amp;BE$14&amp;$BF$15+$BA21) )</f>
        <v>150011</v>
      </c>
      <c r="BE21" s="787">
        <f ca="1">IF(INDIRECT("[" &amp; 'Setup Data'!$A$3&amp; "]Dimensional!" &amp;BF$14&amp;$BF$15+$BA21)="","",INDIRECT("[" &amp; 'Setup Data'!$A$3&amp; "]Dimensional!" &amp;BF$14&amp;$BF$15+$BA21) )</f>
        <v>45194</v>
      </c>
      <c r="BF21" s="787">
        <f ca="1">IF(INDIRECT("[" &amp; 'Setup Data'!$A$3&amp; "]Dimensional!" &amp;BG$14&amp;$BF$15+$BA21)="","",INDIRECT("[" &amp; 'Setup Data'!$A$3&amp; "]Dimensional!" &amp;BG$14&amp;$BF$15+$BA21) )</f>
        <v>47020</v>
      </c>
      <c r="BG21" s="659" t="str">
        <f ca="1">IF(INDIRECT("[" &amp; 'Setup Data'!$A$3&amp; "]Dimensional!" &amp;BH$14&amp;$BF$15+$BA21)="","",INDIRECT("[" &amp; 'Setup Data'!$A$3&amp; "]Dimensional!" &amp;BH$14&amp;$BF$15+$BA21) )</f>
        <v/>
      </c>
      <c r="BH21" s="659" t="str">
        <f ca="1">IF(INDIRECT("[" &amp; 'Setup Data'!$A$3&amp; "]Dimensional!" &amp;BI$14&amp;$BF$15+$BA21)="","",INDIRECT("[" &amp; 'Setup Data'!$A$3&amp; "]Dimensional!" &amp;BI$14&amp;$BF$15+$BA21) )</f>
        <v/>
      </c>
      <c r="BI21" s="659" t="str">
        <f ca="1">IF(INDIRECT("[" &amp; 'Setup Data'!$A$3&amp; "]Dimensional!" &amp;BJ$14&amp;$BF$15+$BA21)="","",INDIRECT("[" &amp; 'Setup Data'!$A$3&amp; "]Dimensional!" &amp;BJ$14&amp;$BF$15+$BA21) )</f>
        <v>0.105 in</v>
      </c>
      <c r="BJ21" s="659" t="str">
        <f ca="1">IF(INDIRECT("[" &amp; 'Setup Data'!$A$3&amp; "]Dimensional!" &amp;BK$14&amp;$BF$15+$BA21)="","",INDIRECT("[" &amp; 'Setup Data'!$A$3&amp; "]Dimensional!" &amp;BK$14&amp;$BF$15+$BA21) )</f>
        <v>1 in</v>
      </c>
      <c r="BK21" s="659" t="str">
        <f ca="1">IF(INDIRECT("[" &amp; 'Setup Data'!$A$3&amp; "]Dimensional!" &amp;BL$14&amp;$BF$15+$BA21)="","",INDIRECT("[" &amp; 'Setup Data'!$A$3&amp; "]Dimensional!" &amp;BL$14&amp;$BF$15+$BA21) )</f>
        <v/>
      </c>
      <c r="BL21" s="659">
        <f ca="1">IF(INDIRECT("[" &amp; 'Setup Data'!$A$3&amp; "]Dimensional!" &amp;BM$14&amp;$BF$15+$BA21)="","",INDIRECT("[" &amp; 'Setup Data'!$A$3&amp; "]Dimensional!" &amp;BM$14&amp;$BF$15+$BA21) )</f>
        <v>1.1000000000000001E-3</v>
      </c>
      <c r="BM21" s="659">
        <f ca="1">IF(INDIRECT("[" &amp; 'Setup Data'!$A$3&amp; "]Dimensional!" &amp;BN$14&amp;$BF$15+$BA21)="","",INDIRECT("[" &amp; 'Setup Data'!$A$3&amp; "]Dimensional!" &amp;BN$14&amp;$BF$15+$BA21) )</f>
        <v>2E-3</v>
      </c>
      <c r="BN21" s="659">
        <f ca="1">IF(INDIRECT("[" &amp; 'Setup Data'!$A$3&amp; "]Dimensional!" &amp;BO$14&amp;$BF$15+$BA21)="","",INDIRECT("[" &amp; 'Setup Data'!$A$3&amp; "]Dimensional!" &amp;BO$14&amp;$BF$15+$BA21) )</f>
        <v>1.1E-5</v>
      </c>
      <c r="BO21" s="659">
        <f ca="1">IF(INDIRECT("[" &amp; 'Setup Data'!$A$3&amp; "]Dimensional!" &amp;BP$14&amp;$BF$15+$BA21)="","",INDIRECT("[" &amp; 'Setup Data'!$A$3&amp; "]Dimensional!" &amp;BP$14&amp;$BF$15+$BA21) )</f>
        <v>4.6442252922717175E-34</v>
      </c>
      <c r="BP21" s="659">
        <f ca="1">IF(INDIRECT("[" &amp; 'Setup Data'!$A$3&amp; "]Dimensional!" &amp;BQ$14&amp;$BF$15+$BA21)="","",INDIRECT("[" &amp; 'Setup Data'!$A$3&amp; "]Dimensional!" &amp;BQ$14&amp;$BF$15+$BA21) )</f>
        <v>7.7610916897512751E-34</v>
      </c>
      <c r="BQ21" s="659">
        <f ca="1">IF(INDIRECT("[" &amp; 'Setup Data'!$A$3&amp; "]Dimensional!" &amp;BR$14&amp;$BF$15+$BA21)="","",INDIRECT("[" &amp; 'Setup Data'!$A$3&amp; "]Dimensional!" &amp;BR$14&amp;$BF$15+$BA21) )</f>
        <v>3.7704162990193076E-34</v>
      </c>
      <c r="BR21" s="659">
        <f ca="1">IF(INDIRECT("[" &amp; 'Setup Data'!$A$3&amp; "]Dimensional!" &amp;BS$14&amp;$BF$15+$BA21)="","",INDIRECT("[" &amp; 'Setup Data'!$A$3&amp; "]Dimensional!" &amp;BS$14&amp;$BF$15+$BA21) )</f>
        <v>5.0787621070137715E-35</v>
      </c>
      <c r="BS21" s="659" t="str">
        <f ca="1">IF(INDIRECT("[" &amp; 'Setup Data'!$A$3&amp; "]Dimensional!" &amp;BT$14&amp;$BF$15+$BA21)="","",INDIRECT("[" &amp; 'Setup Data'!$A$3&amp; "]Dimensional!" &amp;BT$14&amp;$BF$15+$BA21) )</f>
        <v>Uncertainty Calculator No: 10.6</v>
      </c>
      <c r="BT21" s="659">
        <f ca="1">IF(INDIRECT("[" &amp; 'Setup Data'!$A$3&amp; "]Dimensional!" &amp;BU$14&amp;$BF$15+$BA21)="","",INDIRECT("[" &amp; 'Setup Data'!$A$3&amp; "]Dimensional!" &amp;BU$14&amp;$BF$15+$BA21) )</f>
        <v>0</v>
      </c>
      <c r="BU21" s="659">
        <f ca="1">IF(INDIRECT("[" &amp; 'Setup Data'!$A$3&amp; "]Dimensional!" &amp;BV$14&amp;$BF$15+$BA21)="","",INDIRECT("[" &amp; 'Setup Data'!$A$3&amp; "]Dimensional!" &amp;BV$14&amp;$BF$15+$BA21) )</f>
        <v>9.1996093500328172E-5</v>
      </c>
      <c r="BV21" s="659">
        <f ca="1">IF(INDIRECT("[" &amp; 'Setup Data'!$A$3&amp; "]Dimensional!" &amp;BW$14&amp;$BF$15+$BA21)="","",INDIRECT("[" &amp; 'Setup Data'!$A$3&amp; "]Dimensional!" &amp;BW$14&amp;$BF$15+$BA21) )</f>
        <v>1.5373718366830795E-4</v>
      </c>
      <c r="BW21" s="659">
        <f ca="1">IF(INDIRECT("[" &amp; 'Setup Data'!$A$3&amp; "]Dimensional!" &amp;BX$14&amp;$BF$15+$BA21)="","",INDIRECT("[" &amp; 'Setup Data'!$A$3&amp; "]Dimensional!" &amp;BX$14&amp;$BF$15+$BA21) )</f>
        <v>7.4687068036286767E-5</v>
      </c>
      <c r="BX21" s="659">
        <f ca="1">IF(INDIRECT("[" &amp; 'Setup Data'!$A$3&amp; "]Dimensional!" &amp;BY$14&amp;$BF$15+$BA21)="","",INDIRECT("[" &amp; 'Setup Data'!$A$3&amp; "]Dimensional!" &amp;BY$14&amp;$BF$15+$BA21) )</f>
        <v>1.0060370551795947E-5</v>
      </c>
      <c r="BY21" s="659" t="str">
        <f ca="1">IF(INDIRECT("[" &amp; 'Setup Data'!$A$3&amp; "]Dimensional!" &amp;BZ$14&amp;$BF$15+$BA21)="","",INDIRECT("[" &amp; 'Setup Data'!$A$3&amp; "]Dimensional!" &amp;BZ$14&amp;$BF$15+$BA21) )</f>
        <v>Drift Calculator No: 10.6</v>
      </c>
      <c r="BZ21" s="659">
        <f ca="1">IF(INDIRECT("[" &amp; 'Setup Data'!$A$3&amp; "]Dimensional!" &amp;CA$14&amp;$BF$15+$BA21)="","",INDIRECT("[" &amp; 'Setup Data'!$A$3&amp; "]Dimensional!" &amp;CA$14&amp;$BF$15+$BA21) )</f>
        <v>0</v>
      </c>
      <c r="CA21" s="659">
        <f ca="1">IF(INDIRECT("[" &amp; 'Setup Data'!$A$3&amp; "]Dimensional!" &amp;CB$14&amp;$BF$15+$BA21)="","",INDIRECT("[" &amp; 'Setup Data'!$A$3&amp; "]Dimensional!" &amp;CB$14&amp;$BF$15+$BA21) )</f>
        <v>9.1996093500328172E-5</v>
      </c>
      <c r="CB21" s="659">
        <f ca="1">IF(INDIRECT("[" &amp; 'Setup Data'!$A$3&amp; "]Dimensional!" &amp;CC$14&amp;$BF$15+$BA21)="","",INDIRECT("[" &amp; 'Setup Data'!$A$3&amp; "]Dimensional!" &amp;CC$14&amp;$BF$15+$BA21) )</f>
        <v>1.5373718366830795E-4</v>
      </c>
      <c r="CC21" s="659">
        <f ca="1">IF(INDIRECT("[" &amp; 'Setup Data'!$A$3&amp; "]Dimensional!" &amp;CD$14&amp;$BF$15+$BA21)="","",INDIRECT("[" &amp; 'Setup Data'!$A$3&amp; "]Dimensional!" &amp;CD$14&amp;$BF$15+$BA21) )</f>
        <v>7.4687068036286767E-5</v>
      </c>
      <c r="CD21" s="659">
        <f ca="1">IF(INDIRECT("[" &amp; 'Setup Data'!$A$3&amp; "]Dimensional!" &amp;CE$14&amp;$BF$15+$BA21)="","",INDIRECT("[" &amp; 'Setup Data'!$A$3&amp; "]Dimensional!" &amp;CE$14&amp;$BF$15+$BA21) )</f>
        <v>1.0060370551795947E-5</v>
      </c>
      <c r="CE21" s="659" t="str">
        <f ca="1">IF(INDIRECT("[" &amp; 'Setup Data'!$A$3&amp; "]Dimensional!" &amp;CF$14&amp;$BF$15+$BA21)="","",INDIRECT("[" &amp; 'Setup Data'!$A$3&amp; "]Dimensional!" &amp;CF$14&amp;$BF$15+$BA21) )</f>
        <v>Accuracy Calculator No: 10.6</v>
      </c>
      <c r="CF21" s="659">
        <f ca="1">IF(INDIRECT("[" &amp; 'Setup Data'!$A$3&amp; "]Dimensional!" &amp;CG$14&amp;$BF$15+$BA21)="","",INDIRECT("[" &amp; 'Setup Data'!$A$3&amp; "]Dimensional!" &amp;CG$14&amp;$BF$15+$BA21) )</f>
        <v>0</v>
      </c>
      <c r="CG21" s="102" t="str">
        <f t="shared" ca="1" si="7"/>
        <v>0.0</v>
      </c>
      <c r="DZ21" s="16"/>
      <c r="EA21" s="16"/>
      <c r="EB21" s="16"/>
      <c r="EC21" s="16"/>
      <c r="ED21" s="16"/>
      <c r="EE21" s="16"/>
      <c r="EG21" s="609"/>
    </row>
    <row r="22" spans="1:137" ht="18" customHeight="1">
      <c r="B22" s="621"/>
      <c r="C22" s="642" t="s">
        <v>742</v>
      </c>
      <c r="D22" s="664"/>
      <c r="E22" s="664"/>
      <c r="F22" s="772"/>
      <c r="G22" s="769"/>
      <c r="H22" s="732"/>
      <c r="I22" s="769"/>
      <c r="J22" s="769"/>
      <c r="K22" s="113"/>
      <c r="L22" s="113"/>
      <c r="M22" s="113"/>
      <c r="N22" s="113"/>
      <c r="O22" s="733"/>
      <c r="P22" s="769"/>
      <c r="Q22" s="622"/>
      <c r="R22" s="613"/>
      <c r="S22" s="620"/>
      <c r="T22" s="620"/>
      <c r="U22" s="620"/>
      <c r="V22" s="620"/>
      <c r="W22" s="620"/>
      <c r="X22" s="620"/>
      <c r="Y22" s="779"/>
      <c r="Z22" s="633"/>
      <c r="AA22" s="633"/>
      <c r="AB22" s="638"/>
      <c r="AC22" s="634"/>
      <c r="AD22" s="634"/>
      <c r="AE22" s="634"/>
      <c r="AF22" s="634" t="s">
        <v>158</v>
      </c>
      <c r="AG22" s="634" t="s">
        <v>739</v>
      </c>
      <c r="AH22" s="638">
        <v>3</v>
      </c>
      <c r="AI22" s="655">
        <v>0.2</v>
      </c>
      <c r="AJ22" s="656">
        <v>0.6</v>
      </c>
      <c r="AK22" s="656">
        <v>1</v>
      </c>
      <c r="AL22" s="638">
        <v>5</v>
      </c>
      <c r="AM22" s="657">
        <v>0.04</v>
      </c>
      <c r="AN22" s="658" t="s">
        <v>744</v>
      </c>
      <c r="AO22" s="614" t="s">
        <v>16</v>
      </c>
      <c r="AP22" s="613"/>
      <c r="AQ22" s="613"/>
      <c r="AR22" s="613"/>
      <c r="AS22" s="613"/>
      <c r="AT22" s="613"/>
      <c r="AU22" s="613"/>
      <c r="AV22" s="613"/>
      <c r="AW22" s="613"/>
      <c r="AX22" s="613"/>
      <c r="AY22" s="614" t="str">
        <f t="shared" ca="1" si="8"/>
        <v>4 in</v>
      </c>
      <c r="AZ22" s="102" t="str">
        <f t="shared" ca="1" si="9"/>
        <v>4 in</v>
      </c>
      <c r="BA22" s="102">
        <v>5</v>
      </c>
      <c r="BB22" s="659">
        <f ca="1">IF(INDIRECT("[" &amp; 'Setup Data'!$A$3&amp; "]Dimensional!" &amp;BC$14&amp;$BF$15+$BA22)="","",INDIRECT("[" &amp; 'Setup Data'!$A$3&amp; "]Dimensional!" &amp;BC$14&amp;$BF$15+$BA22) )</f>
        <v>1</v>
      </c>
      <c r="BC22" s="659" t="str">
        <f ca="1">IF(INDIRECT("[" &amp; 'Setup Data'!$A$3&amp; "]Dimensional!" &amp;BD$14&amp;$BF$15+$BA22)="","",INDIRECT("[" &amp; 'Setup Data'!$A$3&amp; "]Dimensional!" &amp;BD$14&amp;$BF$15+$BA22) )</f>
        <v>723 5429/21</v>
      </c>
      <c r="BD22" s="659" t="str">
        <f ca="1">IF(INDIRECT("[" &amp; 'Setup Data'!$A$3&amp; "]Dimensional!" &amp;BE$14&amp;$BF$15+$BA22)="","",INDIRECT("[" &amp; 'Setup Data'!$A$3&amp; "]Dimensional!" &amp;BE$14&amp;$BF$15+$BA22) )</f>
        <v>631-0812</v>
      </c>
      <c r="BE22" s="787">
        <f ca="1">IF(INDIRECT("[" &amp; 'Setup Data'!$A$3&amp; "]Dimensional!" &amp;BF$14&amp;$BF$15+$BA22)="","",INDIRECT("[" &amp; 'Setup Data'!$A$3&amp; "]Dimensional!" &amp;BF$14&amp;$BF$15+$BA22) )</f>
        <v>44533</v>
      </c>
      <c r="BF22" s="787">
        <f ca="1">IF(INDIRECT("[" &amp; 'Setup Data'!$A$3&amp; "]Dimensional!" &amp;BG$14&amp;$BF$15+$BA22)="","",INDIRECT("[" &amp; 'Setup Data'!$A$3&amp; "]Dimensional!" &amp;BG$14&amp;$BF$15+$BA22) )</f>
        <v>46358</v>
      </c>
      <c r="BG22" s="659" t="str">
        <f ca="1">IF(INDIRECT("[" &amp; 'Setup Data'!$A$3&amp; "]Dimensional!" &amp;BH$14&amp;$BF$15+$BA22)="","",INDIRECT("[" &amp; 'Setup Data'!$A$3&amp; "]Dimensional!" &amp;BH$14&amp;$BF$15+$BA22) )</f>
        <v/>
      </c>
      <c r="BH22" s="659" t="str">
        <f ca="1">IF(INDIRECT("[" &amp; 'Setup Data'!$A$3&amp; "]Dimensional!" &amp;BI$14&amp;$BF$15+$BA22)="","",INDIRECT("[" &amp; 'Setup Data'!$A$3&amp; "]Dimensional!" &amp;BI$14&amp;$BF$15+$BA22) )</f>
        <v/>
      </c>
      <c r="BI22" s="659" t="str">
        <f ca="1">IF(INDIRECT("[" &amp; 'Setup Data'!$A$3&amp; "]Dimensional!" &amp;BJ$14&amp;$BF$15+$BA22)="","",INDIRECT("[" &amp; 'Setup Data'!$A$3&amp; "]Dimensional!" &amp;BJ$14&amp;$BF$15+$BA22) )</f>
        <v>0.05 in</v>
      </c>
      <c r="BJ22" s="659" t="str">
        <f ca="1">IF(INDIRECT("[" &amp; 'Setup Data'!$A$3&amp; "]Dimensional!" &amp;BK$14&amp;$BF$15+$BA22)="","",INDIRECT("[" &amp; 'Setup Data'!$A$3&amp; "]Dimensional!" &amp;BK$14&amp;$BF$15+$BA22) )</f>
        <v>4 in</v>
      </c>
      <c r="BK22" s="659" t="str">
        <f ca="1">IF(INDIRECT("[" &amp; 'Setup Data'!$A$3&amp; "]Dimensional!" &amp;BL$14&amp;$BF$15+$BA22)="","",INDIRECT("[" &amp; 'Setup Data'!$A$3&amp; "]Dimensional!" &amp;BL$14&amp;$BF$15+$BA22) )</f>
        <v/>
      </c>
      <c r="BL22" s="659">
        <f ca="1">IF(INDIRECT("[" &amp; 'Setup Data'!$A$3&amp; "]Dimensional!" &amp;BM$14&amp;$BF$15+$BA22)="","",INDIRECT("[" &amp; 'Setup Data'!$A$3&amp; "]Dimensional!" &amp;BM$14&amp;$BF$15+$BA22) )</f>
        <v>3.5E-4</v>
      </c>
      <c r="BM22" s="659">
        <f ca="1">IF(INDIRECT("[" &amp; 'Setup Data'!$A$3&amp; "]Dimensional!" &amp;BN$14&amp;$BF$15+$BA22)="","",INDIRECT("[" &amp; 'Setup Data'!$A$3&amp; "]Dimensional!" &amp;BN$14&amp;$BF$15+$BA22) )</f>
        <v>8.0000000000000002E-3</v>
      </c>
      <c r="BN22" s="659">
        <f ca="1">IF(INDIRECT("[" &amp; 'Setup Data'!$A$3&amp; "]Dimensional!" &amp;BO$14&amp;$BF$15+$BA22)="","",INDIRECT("[" &amp; 'Setup Data'!$A$3&amp; "]Dimensional!" &amp;BO$14&amp;$BF$15+$BA22) )</f>
        <v>1.4E-5</v>
      </c>
      <c r="BO22" s="659">
        <f ca="1">IF(INDIRECT("[" &amp; 'Setup Data'!$A$3&amp; "]Dimensional!" &amp;BP$14&amp;$BF$15+$BA22)="","",INDIRECT("[" &amp; 'Setup Data'!$A$3&amp; "]Dimensional!" &amp;BP$14&amp;$BF$15+$BA22) )</f>
        <v>-1.1129100468301972E-5</v>
      </c>
      <c r="BP22" s="659">
        <f ca="1">IF(INDIRECT("[" &amp; 'Setup Data'!$A$3&amp; "]Dimensional!" &amp;BQ$14&amp;$BF$15+$BA22)="","",INDIRECT("[" &amp; 'Setup Data'!$A$3&amp; "]Dimensional!" &amp;BQ$14&amp;$BF$15+$BA22) )</f>
        <v>4.7424520623781132E-4</v>
      </c>
      <c r="BQ22" s="659">
        <f ca="1">IF(INDIRECT("[" &amp; 'Setup Data'!$A$3&amp; "]Dimensional!" &amp;BR$14&amp;$BF$15+$BA22)="","",INDIRECT("[" &amp; 'Setup Data'!$A$3&amp; "]Dimensional!" &amp;BR$14&amp;$BF$15+$BA22) )</f>
        <v>-1.7067282399805814E-3</v>
      </c>
      <c r="BR22" s="659">
        <f ca="1">IF(INDIRECT("[" &amp; 'Setup Data'!$A$3&amp; "]Dimensional!" &amp;BS$14&amp;$BF$15+$BA22)="","",INDIRECT("[" &amp; 'Setup Data'!$A$3&amp; "]Dimensional!" &amp;BS$14&amp;$BF$15+$BA22) )</f>
        <v>8.233040894478039E-3</v>
      </c>
      <c r="BS22" s="659">
        <f ca="1">IF(INDIRECT("[" &amp; 'Setup Data'!$A$3&amp; "]Dimensional!" &amp;BT$14&amp;$BF$15+$BA22)="","",INDIRECT("[" &amp; 'Setup Data'!$A$3&amp; "]Dimensional!" &amp;BT$14&amp;$BF$15+$BA22) )</f>
        <v>0.48434812503975644</v>
      </c>
      <c r="BT22" s="659">
        <f ca="1">IF(INDIRECT("[" &amp; 'Setup Data'!$A$3&amp; "]Dimensional!" &amp;BU$14&amp;$BF$15+$BA22)="","",INDIRECT("[" &amp; 'Setup Data'!$A$3&amp; "]Dimensional!" &amp;BU$14&amp;$BF$15+$BA22) )</f>
        <v>3.5449672110599706E-4</v>
      </c>
      <c r="BU22" s="659">
        <f ca="1">IF(INDIRECT("[" &amp; 'Setup Data'!$A$3&amp; "]Dimensional!" &amp;BV$14&amp;$BF$15+$BA22)="","",INDIRECT("[" &amp; 'Setup Data'!$A$3&amp; "]Dimensional!" &amp;BV$14&amp;$BF$15+$BA22) )</f>
        <v>2.5501366850282883E-6</v>
      </c>
      <c r="BV22" s="659">
        <f ca="1">IF(INDIRECT("[" &amp; 'Setup Data'!$A$3&amp; "]Dimensional!" &amp;BW$14&amp;$BF$15+$BA22)="","",INDIRECT("[" &amp; 'Setup Data'!$A$3&amp; "]Dimensional!" &amp;BW$14&amp;$BF$15+$BA22) )</f>
        <v>-1.1633400005758504E-5</v>
      </c>
      <c r="BW22" s="659">
        <f ca="1">IF(INDIRECT("[" &amp; 'Setup Data'!$A$3&amp; "]Dimensional!" &amp;BX$14&amp;$BF$15+$BA22)="","",INDIRECT("[" &amp; 'Setup Data'!$A$3&amp; "]Dimensional!" &amp;BX$14&amp;$BF$15+$BA22) )</f>
        <v>8.5025435263028897E-6</v>
      </c>
      <c r="BX22" s="659">
        <f ca="1">IF(INDIRECT("[" &amp; 'Setup Data'!$A$3&amp; "]Dimensional!" &amp;BY$14&amp;$BF$15+$BA22)="","",INDIRECT("[" &amp; 'Setup Data'!$A$3&amp; "]Dimensional!" &amp;BY$14&amp;$BF$15+$BA22) )</f>
        <v>1.8833391279261805E-6</v>
      </c>
      <c r="BY22" s="659">
        <f ca="1">IF(INDIRECT("[" &amp; 'Setup Data'!$A$3&amp; "]Dimensional!" &amp;BZ$14&amp;$BF$15+$BA22)="","",INDIRECT("[" &amp; 'Setup Data'!$A$3&amp; "]Dimensional!" &amp;BZ$14&amp;$BF$15+$BA22) )</f>
        <v>0.20614334043835705</v>
      </c>
      <c r="BZ22" s="659">
        <f ca="1">IF(INDIRECT("[" &amp; 'Setup Data'!$A$3&amp; "]Dimensional!" &amp;CA$14&amp;$BF$15+$BA22)="","",INDIRECT("[" &amp; 'Setup Data'!$A$3&amp; "]Dimensional!" &amp;CA$14&amp;$BF$15+$BA22) )</f>
        <v>4.1152277713473234E-6</v>
      </c>
      <c r="CA22" s="659">
        <f ca="1">IF(INDIRECT("[" &amp; 'Setup Data'!$A$3&amp; "]Dimensional!" &amp;CB$14&amp;$BF$15+$BA22)="","",INDIRECT("[" &amp; 'Setup Data'!$A$3&amp; "]Dimensional!" &amp;CB$14&amp;$BF$15+$BA22) )</f>
        <v>2.5501366850282883E-6</v>
      </c>
      <c r="CB22" s="659">
        <f ca="1">IF(INDIRECT("[" &amp; 'Setup Data'!$A$3&amp; "]Dimensional!" &amp;CC$14&amp;$BF$15+$BA22)="","",INDIRECT("[" &amp; 'Setup Data'!$A$3&amp; "]Dimensional!" &amp;CC$14&amp;$BF$15+$BA22) )</f>
        <v>-1.1633400005758504E-5</v>
      </c>
      <c r="CC22" s="659">
        <f ca="1">IF(INDIRECT("[" &amp; 'Setup Data'!$A$3&amp; "]Dimensional!" &amp;CD$14&amp;$BF$15+$BA22)="","",INDIRECT("[" &amp; 'Setup Data'!$A$3&amp; "]Dimensional!" &amp;CD$14&amp;$BF$15+$BA22) )</f>
        <v>8.5025435263028897E-6</v>
      </c>
      <c r="CD22" s="659">
        <f ca="1">IF(INDIRECT("[" &amp; 'Setup Data'!$A$3&amp; "]Dimensional!" &amp;CE$14&amp;$BF$15+$BA22)="","",INDIRECT("[" &amp; 'Setup Data'!$A$3&amp; "]Dimensional!" &amp;CE$14&amp;$BF$15+$BA22) )</f>
        <v>1.8833391279261805E-6</v>
      </c>
      <c r="CE22" s="659">
        <f ca="1">IF(INDIRECT("[" &amp; 'Setup Data'!$A$3&amp; "]Dimensional!" &amp;CF$14&amp;$BF$15+$BA22)="","",INDIRECT("[" &amp; 'Setup Data'!$A$3&amp; "]Dimensional!" &amp;CF$14&amp;$BF$15+$BA22) )</f>
        <v>0.20614334043835705</v>
      </c>
      <c r="CF22" s="659">
        <f ca="1">IF(INDIRECT("[" &amp; 'Setup Data'!$A$3&amp; "]Dimensional!" &amp;CG$14&amp;$BF$15+$BA22)="","",INDIRECT("[" &amp; 'Setup Data'!$A$3&amp; "]Dimensional!" &amp;CG$14&amp;$BF$15+$BA22) )</f>
        <v>4.1152277713473234E-6</v>
      </c>
      <c r="CG22" s="102" t="str">
        <f t="shared" ca="1" si="7"/>
        <v>0.0</v>
      </c>
      <c r="DZ22" s="16"/>
      <c r="EA22" s="16" t="s">
        <v>13</v>
      </c>
      <c r="EB22" s="16"/>
      <c r="EC22" s="16"/>
      <c r="ED22" s="16"/>
      <c r="EE22" s="16"/>
      <c r="EG22" s="609"/>
    </row>
    <row r="23" spans="1:137" ht="18" customHeight="1">
      <c r="B23" s="621"/>
      <c r="C23" s="642"/>
      <c r="D23" s="664"/>
      <c r="E23" s="664"/>
      <c r="F23" s="775"/>
      <c r="G23" s="775"/>
      <c r="H23" s="735"/>
      <c r="I23" s="734"/>
      <c r="J23" s="734"/>
      <c r="K23" s="734"/>
      <c r="L23" s="734"/>
      <c r="M23" s="734"/>
      <c r="N23" s="734"/>
      <c r="O23" s="736"/>
      <c r="P23" s="775"/>
      <c r="Q23" s="622"/>
      <c r="R23" s="613"/>
      <c r="S23" s="620"/>
      <c r="T23" s="620"/>
      <c r="U23" s="620"/>
      <c r="V23" s="620"/>
      <c r="W23" s="620"/>
      <c r="X23" s="620"/>
      <c r="Y23" s="779"/>
      <c r="Z23" s="633"/>
      <c r="AA23" s="633"/>
      <c r="AB23" s="638"/>
      <c r="AC23" s="634" t="e">
        <f>_xlfn.IFS(Type="I",$AD23, Type="II",$AE23, Type="III",$AD31, Type="Electronic",AE31)</f>
        <v>#NAME?</v>
      </c>
      <c r="AD23" s="638"/>
      <c r="AE23" s="634"/>
      <c r="AF23" s="634" t="s">
        <v>734</v>
      </c>
      <c r="AG23" s="634" t="s">
        <v>54</v>
      </c>
      <c r="AH23" s="638">
        <v>3</v>
      </c>
      <c r="AI23" s="655">
        <v>0.2</v>
      </c>
      <c r="AJ23" s="656">
        <v>0.6</v>
      </c>
      <c r="AK23" s="656">
        <v>1</v>
      </c>
      <c r="AL23" s="638">
        <v>5</v>
      </c>
      <c r="AM23" s="638">
        <f>IF($D$18="A",0.06,0.04)</f>
        <v>0.04</v>
      </c>
      <c r="AN23" s="658" t="s">
        <v>745</v>
      </c>
      <c r="AO23" s="614" t="s">
        <v>16</v>
      </c>
      <c r="AP23" s="613"/>
      <c r="AQ23" s="613"/>
      <c r="AR23" s="613"/>
      <c r="AS23" s="613"/>
      <c r="AT23" s="613"/>
      <c r="AU23" s="613"/>
      <c r="AV23" s="613"/>
      <c r="AW23" s="613"/>
      <c r="AX23" s="613"/>
      <c r="AY23" s="614" t="str">
        <f t="shared" ca="1" si="8"/>
        <v>25 mm TG</v>
      </c>
      <c r="AZ23" s="102" t="str">
        <f t="shared" ca="1" si="9"/>
        <v>25 mm TG</v>
      </c>
      <c r="BA23" s="102">
        <v>6</v>
      </c>
      <c r="BB23" s="659">
        <f ca="1">IF(INDIRECT("[" &amp; 'Setup Data'!$A$3&amp; "]Dimensional!" &amp;BC$14&amp;$BF$15+$BA23)="","",INDIRECT("[" &amp; 'Setup Data'!$A$3&amp; "]Dimensional!" &amp;BC$14&amp;$BF$15+$BA23) )</f>
        <v>1</v>
      </c>
      <c r="BC23" s="659" t="str">
        <f ca="1">IF(INDIRECT("[" &amp; 'Setup Data'!$A$3&amp; "]Dimensional!" &amp;BD$14&amp;$BF$15+$BA23)="","",INDIRECT("[" &amp; 'Setup Data'!$A$3&amp; "]Dimensional!" &amp;BD$14&amp;$BF$15+$BA23) )</f>
        <v>723 3578/25</v>
      </c>
      <c r="BD23" s="659" t="str">
        <f ca="1">IF(INDIRECT("[" &amp; 'Setup Data'!$A$3&amp; "]Dimensional!" &amp;BE$14&amp;$BF$15+$BA23)="","",INDIRECT("[" &amp; 'Setup Data'!$A$3&amp; "]Dimensional!" &amp;BE$14&amp;$BF$15+$BA23) )</f>
        <v>N76060882</v>
      </c>
      <c r="BE23" s="787">
        <f ca="1">IF(INDIRECT("[" &amp; 'Setup Data'!$A$3&amp; "]Dimensional!" &amp;BF$14&amp;$BF$15+$BA23)="","",INDIRECT("[" &amp; 'Setup Data'!$A$3&amp; "]Dimensional!" &amp;BF$14&amp;$BF$15+$BA23) )</f>
        <v>45803</v>
      </c>
      <c r="BF23" s="787">
        <f ca="1">IF(INDIRECT("[" &amp; 'Setup Data'!$A$3&amp; "]Dimensional!" &amp;BG$14&amp;$BF$15+$BA23)="","",INDIRECT("[" &amp; 'Setup Data'!$A$3&amp; "]Dimensional!" &amp;BG$14&amp;$BF$15+$BA23) )</f>
        <v>47628</v>
      </c>
      <c r="BG23" s="659" t="str">
        <f ca="1">IF(INDIRECT("[" &amp; 'Setup Data'!$A$3&amp; "]Dimensional!" &amp;BH$14&amp;$BF$15+$BA23)="","",INDIRECT("[" &amp; 'Setup Data'!$A$3&amp; "]Dimensional!" &amp;BH$14&amp;$BF$15+$BA23) )</f>
        <v/>
      </c>
      <c r="BH23" s="659" t="str">
        <f ca="1">IF(INDIRECT("[" &amp; 'Setup Data'!$A$3&amp; "]Dimensional!" &amp;BI$14&amp;$BF$15+$BA23)="","",INDIRECT("[" &amp; 'Setup Data'!$A$3&amp; "]Dimensional!" &amp;BI$14&amp;$BF$15+$BA23) )</f>
        <v/>
      </c>
      <c r="BI23" s="659">
        <f ca="1">IF(INDIRECT("[" &amp; 'Setup Data'!$A$3&amp; "]Dimensional!" &amp;BJ$14&amp;$BF$15+$BA23)="","",INDIRECT("[" &amp; 'Setup Data'!$A$3&amp; "]Dimensional!" &amp;BJ$14&amp;$BF$15+$BA23) )</f>
        <v>0</v>
      </c>
      <c r="BJ23" s="659" t="str">
        <f ca="1">IF(INDIRECT("[" &amp; 'Setup Data'!$A$3&amp; "]Dimensional!" &amp;BK$14&amp;$BF$15+$BA23)="","",INDIRECT("[" &amp; 'Setup Data'!$A$3&amp; "]Dimensional!" &amp;BK$14&amp;$BF$15+$BA23) )</f>
        <v>25 mm TG</v>
      </c>
      <c r="BK23" s="659" t="str">
        <f ca="1">IF(INDIRECT("[" &amp; 'Setup Data'!$A$3&amp; "]Dimensional!" &amp;BL$14&amp;$BF$15+$BA23)="","",INDIRECT("[" &amp; 'Setup Data'!$A$3&amp; "]Dimensional!" &amp;BL$14&amp;$BF$15+$BA23) )</f>
        <v/>
      </c>
      <c r="BL23" s="659">
        <f ca="1">IF(INDIRECT("[" &amp; 'Setup Data'!$A$3&amp; "]Dimensional!" &amp;BM$14&amp;$BF$15+$BA23)="","",INDIRECT("[" &amp; 'Setup Data'!$A$3&amp; "]Dimensional!" &amp;BM$14&amp;$BF$15+$BA23) )</f>
        <v>1.2E-4</v>
      </c>
      <c r="BM23" s="659">
        <f ca="1">IF(INDIRECT("[" &amp; 'Setup Data'!$A$3&amp; "]Dimensional!" &amp;BN$14&amp;$BF$15+$BA23)="","",INDIRECT("[" &amp; 'Setup Data'!$A$3&amp; "]Dimensional!" &amp;BN$14&amp;$BF$15+$BA23) )</f>
        <v>1E-3</v>
      </c>
      <c r="BN23" s="659">
        <f ca="1">IF(INDIRECT("[" &amp; 'Setup Data'!$A$3&amp; "]Dimensional!" &amp;BO$14&amp;$BF$15+$BA23)="","",INDIRECT("[" &amp; 'Setup Data'!$A$3&amp; "]Dimensional!" &amp;BO$14&amp;$BF$15+$BA23) )</f>
        <v>3.0000000000000001E-3</v>
      </c>
      <c r="BO23" s="659">
        <f ca="1">IF(INDIRECT("[" &amp; 'Setup Data'!$A$3&amp; "]Dimensional!" &amp;BP$14&amp;$BF$15+$BA23)="","",INDIRECT("[" &amp; 'Setup Data'!$A$3&amp; "]Dimensional!" &amp;BP$14&amp;$BF$15+$BA23) )</f>
        <v>0</v>
      </c>
      <c r="BP23" s="659">
        <f ca="1">IF(INDIRECT("[" &amp; 'Setup Data'!$A$3&amp; "]Dimensional!" &amp;BQ$14&amp;$BF$15+$BA23)="","",INDIRECT("[" &amp; 'Setup Data'!$A$3&amp; "]Dimensional!" &amp;BQ$14&amp;$BF$15+$BA23) )</f>
        <v>0</v>
      </c>
      <c r="BQ23" s="659">
        <f ca="1">IF(INDIRECT("[" &amp; 'Setup Data'!$A$3&amp; "]Dimensional!" &amp;BR$14&amp;$BF$15+$BA23)="","",INDIRECT("[" &amp; 'Setup Data'!$A$3&amp; "]Dimensional!" &amp;BR$14&amp;$BF$15+$BA23) )</f>
        <v>0</v>
      </c>
      <c r="BR23" s="659">
        <f ca="1">IF(INDIRECT("[" &amp; 'Setup Data'!$A$3&amp; "]Dimensional!" &amp;BS$14&amp;$BF$15+$BA23)="","",INDIRECT("[" &amp; 'Setup Data'!$A$3&amp; "]Dimensional!" &amp;BS$14&amp;$BF$15+$BA23) )</f>
        <v>1E-3</v>
      </c>
      <c r="BS23" s="659">
        <f ca="1">IF(INDIRECT("[" &amp; 'Setup Data'!$A$3&amp; "]Dimensional!" &amp;BT$14&amp;$BF$15+$BA23)="","",INDIRECT("[" &amp; 'Setup Data'!$A$3&amp; "]Dimensional!" &amp;BT$14&amp;$BF$15+$BA23) )</f>
        <v>1</v>
      </c>
      <c r="BT23" s="659">
        <f ca="1">IF(INDIRECT("[" &amp; 'Setup Data'!$A$3&amp; "]Dimensional!" &amp;BU$14&amp;$BF$15+$BA23)="","",INDIRECT("[" &amp; 'Setup Data'!$A$3&amp; "]Dimensional!" &amp;BU$14&amp;$BF$15+$BA23) )</f>
        <v>0</v>
      </c>
      <c r="BU23" s="659" t="e">
        <f ca="1">IF(INDIRECT("[" &amp; 'Setup Data'!$A$3&amp; "]Dimensional!" &amp;BV$14&amp;$BF$15+$BA23)="","",INDIRECT("[" &amp; 'Setup Data'!$A$3&amp; "]Dimensional!" &amp;BV$14&amp;$BF$15+$BA23) )</f>
        <v>#REF!</v>
      </c>
      <c r="BV23" s="659" t="e">
        <f ca="1">IF(INDIRECT("[" &amp; 'Setup Data'!$A$3&amp; "]Dimensional!" &amp;BW$14&amp;$BF$15+$BA23)="","",INDIRECT("[" &amp; 'Setup Data'!$A$3&amp; "]Dimensional!" &amp;BW$14&amp;$BF$15+$BA23) )</f>
        <v>#REF!</v>
      </c>
      <c r="BW23" s="659" t="e">
        <f ca="1">IF(INDIRECT("[" &amp; 'Setup Data'!$A$3&amp; "]Dimensional!" &amp;BX$14&amp;$BF$15+$BA23)="","",INDIRECT("[" &amp; 'Setup Data'!$A$3&amp; "]Dimensional!" &amp;BX$14&amp;$BF$15+$BA23) )</f>
        <v>#REF!</v>
      </c>
      <c r="BX23" s="659" t="e">
        <f ca="1">IF(INDIRECT("[" &amp; 'Setup Data'!$A$3&amp; "]Dimensional!" &amp;BY$14&amp;$BF$15+$BA23)="","",INDIRECT("[" &amp; 'Setup Data'!$A$3&amp; "]Dimensional!" &amp;BY$14&amp;$BF$15+$BA23) )</f>
        <v>#REF!</v>
      </c>
      <c r="BY23" s="659" t="e">
        <f ca="1">IF(INDIRECT("[" &amp; 'Setup Data'!$A$3&amp; "]Dimensional!" &amp;BZ$14&amp;$BF$15+$BA23)="","",INDIRECT("[" &amp; 'Setup Data'!$A$3&amp; "]Dimensional!" &amp;BZ$14&amp;$BF$15+$BA23) )</f>
        <v>#REF!</v>
      </c>
      <c r="BZ23" s="659" t="e">
        <f ca="1">IF(INDIRECT("[" &amp; 'Setup Data'!$A$3&amp; "]Dimensional!" &amp;CA$14&amp;$BF$15+$BA23)="","",INDIRECT("[" &amp; 'Setup Data'!$A$3&amp; "]Dimensional!" &amp;CA$14&amp;$BF$15+$BA23) )</f>
        <v>#REF!</v>
      </c>
      <c r="CA23" s="659" t="e">
        <f ca="1">IF(INDIRECT("[" &amp; 'Setup Data'!$A$3&amp; "]Dimensional!" &amp;CB$14&amp;$BF$15+$BA23)="","",INDIRECT("[" &amp; 'Setup Data'!$A$3&amp; "]Dimensional!" &amp;CB$14&amp;$BF$15+$BA23) )</f>
        <v>#REF!</v>
      </c>
      <c r="CB23" s="659" t="e">
        <f ca="1">IF(INDIRECT("[" &amp; 'Setup Data'!$A$3&amp; "]Dimensional!" &amp;CC$14&amp;$BF$15+$BA23)="","",INDIRECT("[" &amp; 'Setup Data'!$A$3&amp; "]Dimensional!" &amp;CC$14&amp;$BF$15+$BA23) )</f>
        <v>#REF!</v>
      </c>
      <c r="CC23" s="659" t="e">
        <f ca="1">IF(INDIRECT("[" &amp; 'Setup Data'!$A$3&amp; "]Dimensional!" &amp;CD$14&amp;$BF$15+$BA23)="","",INDIRECT("[" &amp; 'Setup Data'!$A$3&amp; "]Dimensional!" &amp;CD$14&amp;$BF$15+$BA23) )</f>
        <v>#REF!</v>
      </c>
      <c r="CD23" s="659" t="e">
        <f ca="1">IF(INDIRECT("[" &amp; 'Setup Data'!$A$3&amp; "]Dimensional!" &amp;CE$14&amp;$BF$15+$BA23)="","",INDIRECT("[" &amp; 'Setup Data'!$A$3&amp; "]Dimensional!" &amp;CE$14&amp;$BF$15+$BA23) )</f>
        <v>#REF!</v>
      </c>
      <c r="CE23" s="659" t="e">
        <f ca="1">IF(INDIRECT("[" &amp; 'Setup Data'!$A$3&amp; "]Dimensional!" &amp;CF$14&amp;$BF$15+$BA23)="","",INDIRECT("[" &amp; 'Setup Data'!$A$3&amp; "]Dimensional!" &amp;CF$14&amp;$BF$15+$BA23) )</f>
        <v>#REF!</v>
      </c>
      <c r="CF23" s="659" t="e">
        <f ca="1">IF(INDIRECT("[" &amp; 'Setup Data'!$A$3&amp; "]Dimensional!" &amp;CG$14&amp;$BF$15+$BA23)="","",INDIRECT("[" &amp; 'Setup Data'!$A$3&amp; "]Dimensional!" &amp;CG$14&amp;$BF$15+$BA23) )</f>
        <v>#REF!</v>
      </c>
      <c r="CG23" s="102" t="str">
        <f t="shared" ca="1" si="7"/>
        <v>0.0</v>
      </c>
      <c r="DZ23" s="16"/>
      <c r="EA23" s="16"/>
      <c r="EB23" s="16"/>
      <c r="EC23" s="16"/>
      <c r="ED23" s="16"/>
      <c r="EE23" s="16"/>
      <c r="EG23" s="609"/>
    </row>
    <row r="24" spans="1:137" ht="16.5">
      <c r="B24" s="665"/>
      <c r="C24" s="775"/>
      <c r="D24" s="775"/>
      <c r="E24" s="775"/>
      <c r="F24" s="772"/>
      <c r="G24" s="772"/>
      <c r="H24" s="772"/>
      <c r="I24" s="772"/>
      <c r="J24" s="772"/>
      <c r="K24" s="772"/>
      <c r="L24" s="772"/>
      <c r="M24" s="772"/>
      <c r="N24" s="772"/>
      <c r="O24" s="772"/>
      <c r="P24" s="772"/>
      <c r="Q24" s="666"/>
      <c r="R24" s="613"/>
      <c r="S24" s="613"/>
      <c r="T24" s="613"/>
      <c r="U24" s="613"/>
      <c r="V24" s="613"/>
      <c r="W24" s="614"/>
      <c r="X24" s="614"/>
      <c r="Y24" s="633"/>
      <c r="Z24" s="633"/>
      <c r="AA24" s="633"/>
      <c r="AB24" s="648"/>
      <c r="AC24" s="634" t="e">
        <f>IF(Type="I",IF($AD24="","",$AD24),IF(Type="II",$AE24,""))</f>
        <v>#NAME?</v>
      </c>
      <c r="AD24" s="648"/>
      <c r="AE24" s="634"/>
      <c r="AF24" s="634" t="s">
        <v>734</v>
      </c>
      <c r="AG24" s="634" t="s">
        <v>55</v>
      </c>
      <c r="AH24" s="638">
        <v>3</v>
      </c>
      <c r="AI24" s="426"/>
      <c r="AJ24" s="638"/>
      <c r="AK24" s="656">
        <v>1</v>
      </c>
      <c r="AL24" s="638">
        <v>5</v>
      </c>
      <c r="AM24" s="638">
        <f>IF($D$18="A",0.06,0.04)</f>
        <v>0.04</v>
      </c>
      <c r="AN24" s="658" t="s">
        <v>746</v>
      </c>
      <c r="AO24" s="614" t="s">
        <v>102</v>
      </c>
      <c r="AP24" s="613"/>
      <c r="AQ24" s="613"/>
      <c r="AR24" s="613"/>
      <c r="AS24" s="613"/>
      <c r="AT24" s="613"/>
      <c r="AU24" s="613"/>
      <c r="AV24" s="613"/>
      <c r="AW24" s="613"/>
      <c r="AX24" s="613"/>
      <c r="AY24" s="614" t="str">
        <f t="shared" ca="1" si="8"/>
        <v>50 mm TG</v>
      </c>
      <c r="AZ24" s="102" t="str">
        <f t="shared" ca="1" si="9"/>
        <v>50 mm TG</v>
      </c>
      <c r="BA24" s="102">
        <v>7</v>
      </c>
      <c r="BB24" s="659">
        <f ca="1">IF(INDIRECT("[" &amp; 'Setup Data'!$A$3&amp; "]Dimensional!" &amp;BC$14&amp;$BF$15+$BA24)="","",INDIRECT("[" &amp; 'Setup Data'!$A$3&amp; "]Dimensional!" &amp;BC$14&amp;$BF$15+$BA24) )</f>
        <v>1</v>
      </c>
      <c r="BC24" s="659" t="str">
        <f ca="1">IF(INDIRECT("[" &amp; 'Setup Data'!$A$3&amp; "]Dimensional!" &amp;BD$14&amp;$BF$15+$BA24)="","",INDIRECT("[" &amp; 'Setup Data'!$A$3&amp; "]Dimensional!" &amp;BD$14&amp;$BF$15+$BA24) )</f>
        <v>723 3575A/25</v>
      </c>
      <c r="BD24" s="659">
        <f ca="1">IF(INDIRECT("[" &amp; 'Setup Data'!$A$3&amp; "]Dimensional!" &amp;BE$14&amp;$BF$15+$BA24)="","",INDIRECT("[" &amp; 'Setup Data'!$A$3&amp; "]Dimensional!" &amp;BE$14&amp;$BF$15+$BA24) )</f>
        <v>76181446</v>
      </c>
      <c r="BE24" s="787">
        <f ca="1">IF(INDIRECT("[" &amp; 'Setup Data'!$A$3&amp; "]Dimensional!" &amp;BF$14&amp;$BF$15+$BA24)="","",INDIRECT("[" &amp; 'Setup Data'!$A$3&amp; "]Dimensional!" &amp;BF$14&amp;$BF$15+$BA24) )</f>
        <v>45798</v>
      </c>
      <c r="BF24" s="787">
        <f ca="1">IF(INDIRECT("[" &amp; 'Setup Data'!$A$3&amp; "]Dimensional!" &amp;BG$14&amp;$BF$15+$BA24)="","",INDIRECT("[" &amp; 'Setup Data'!$A$3&amp; "]Dimensional!" &amp;BG$14&amp;$BF$15+$BA24) )</f>
        <v>47623</v>
      </c>
      <c r="BG24" s="659" t="str">
        <f ca="1">IF(INDIRECT("[" &amp; 'Setup Data'!$A$3&amp; "]Dimensional!" &amp;BH$14&amp;$BF$15+$BA24)="","",INDIRECT("[" &amp; 'Setup Data'!$A$3&amp; "]Dimensional!" &amp;BH$14&amp;$BF$15+$BA24) )</f>
        <v/>
      </c>
      <c r="BH24" s="659" t="str">
        <f ca="1">IF(INDIRECT("[" &amp; 'Setup Data'!$A$3&amp; "]Dimensional!" &amp;BI$14&amp;$BF$15+$BA24)="","",INDIRECT("[" &amp; 'Setup Data'!$A$3&amp; "]Dimensional!" &amp;BI$14&amp;$BF$15+$BA24) )</f>
        <v/>
      </c>
      <c r="BI24" s="659">
        <f ca="1">IF(INDIRECT("[" &amp; 'Setup Data'!$A$3&amp; "]Dimensional!" &amp;BJ$14&amp;$BF$15+$BA24)="","",INDIRECT("[" &amp; 'Setup Data'!$A$3&amp; "]Dimensional!" &amp;BJ$14&amp;$BF$15+$BA24) )</f>
        <v>25</v>
      </c>
      <c r="BJ24" s="659" t="str">
        <f ca="1">IF(INDIRECT("[" &amp; 'Setup Data'!$A$3&amp; "]Dimensional!" &amp;BK$14&amp;$BF$15+$BA24)="","",INDIRECT("[" &amp; 'Setup Data'!$A$3&amp; "]Dimensional!" &amp;BK$14&amp;$BF$15+$BA24) )</f>
        <v>50 mm TG</v>
      </c>
      <c r="BK24" s="659" t="str">
        <f ca="1">IF(INDIRECT("[" &amp; 'Setup Data'!$A$3&amp; "]Dimensional!" &amp;BL$14&amp;$BF$15+$BA24)="","",INDIRECT("[" &amp; 'Setup Data'!$A$3&amp; "]Dimensional!" &amp;BL$14&amp;$BF$15+$BA24) )</f>
        <v/>
      </c>
      <c r="BL24" s="659">
        <f ca="1">IF(INDIRECT("[" &amp; 'Setup Data'!$A$3&amp; "]Dimensional!" &amp;BM$14&amp;$BF$15+$BA24)="","",INDIRECT("[" &amp; 'Setup Data'!$A$3&amp; "]Dimensional!" &amp;BM$14&amp;$BF$15+$BA24) )</f>
        <v>6.0000000000000002E-5</v>
      </c>
      <c r="BM24" s="659">
        <f ca="1">IF(INDIRECT("[" &amp; 'Setup Data'!$A$3&amp; "]Dimensional!" &amp;BN$14&amp;$BF$15+$BA24)="","",INDIRECT("[" &amp; 'Setup Data'!$A$3&amp; "]Dimensional!" &amp;BN$14&amp;$BF$15+$BA24) )</f>
        <v>1E-3</v>
      </c>
      <c r="BN24" s="659">
        <f ca="1">IF(INDIRECT("[" &amp; 'Setup Data'!$A$3&amp; "]Dimensional!" &amp;BO$14&amp;$BF$15+$BA24)="","",INDIRECT("[" &amp; 'Setup Data'!$A$3&amp; "]Dimensional!" &amp;BO$14&amp;$BF$15+$BA24) )</f>
        <v>3.0000000000000001E-3</v>
      </c>
      <c r="BO24" s="659">
        <f ca="1">IF(INDIRECT("[" &amp; 'Setup Data'!$A$3&amp; "]Dimensional!" &amp;BP$14&amp;$BF$15+$BA24)="","",INDIRECT("[" &amp; 'Setup Data'!$A$3&amp; "]Dimensional!" &amp;BP$14&amp;$BF$15+$BA24) )</f>
        <v>0</v>
      </c>
      <c r="BP24" s="659">
        <f ca="1">IF(INDIRECT("[" &amp; 'Setup Data'!$A$3&amp; "]Dimensional!" &amp;BQ$14&amp;$BF$15+$BA24)="","",INDIRECT("[" &amp; 'Setup Data'!$A$3&amp; "]Dimensional!" &amp;BQ$14&amp;$BF$15+$BA24) )</f>
        <v>0</v>
      </c>
      <c r="BQ24" s="659">
        <f ca="1">IF(INDIRECT("[" &amp; 'Setup Data'!$A$3&amp; "]Dimensional!" &amp;BR$14&amp;$BF$15+$BA24)="","",INDIRECT("[" &amp; 'Setup Data'!$A$3&amp; "]Dimensional!" &amp;BR$14&amp;$BF$15+$BA24) )</f>
        <v>0</v>
      </c>
      <c r="BR24" s="659">
        <f ca="1">IF(INDIRECT("[" &amp; 'Setup Data'!$A$3&amp; "]Dimensional!" &amp;BS$14&amp;$BF$15+$BA24)="","",INDIRECT("[" &amp; 'Setup Data'!$A$3&amp; "]Dimensional!" &amp;BS$14&amp;$BF$15+$BA24) )</f>
        <v>0</v>
      </c>
      <c r="BS24" s="659">
        <f ca="1">IF(INDIRECT("[" &amp; 'Setup Data'!$A$3&amp; "]Dimensional!" &amp;BT$14&amp;$BF$15+$BA24)="","",INDIRECT("[" &amp; 'Setup Data'!$A$3&amp; "]Dimensional!" &amp;BT$14&amp;$BF$15+$BA24) )</f>
        <v>0</v>
      </c>
      <c r="BT24" s="659">
        <f ca="1">IF(INDIRECT("[" &amp; 'Setup Data'!$A$3&amp; "]Dimensional!" &amp;BU$14&amp;$BF$15+$BA24)="","",INDIRECT("[" &amp; 'Setup Data'!$A$3&amp; "]Dimensional!" &amp;BU$14&amp;$BF$15+$BA24) )</f>
        <v>0</v>
      </c>
      <c r="BU24" s="659">
        <f ca="1">IF(INDIRECT("[" &amp; 'Setup Data'!$A$3&amp; "]Dimensional!" &amp;BV$14&amp;$BF$15+$BA24)="","",INDIRECT("[" &amp; 'Setup Data'!$A$3&amp; "]Dimensional!" &amp;BV$14&amp;$BF$15+$BA24) )</f>
        <v>0</v>
      </c>
      <c r="BV24" s="659">
        <f ca="1">IF(INDIRECT("[" &amp; 'Setup Data'!$A$3&amp; "]Dimensional!" &amp;BW$14&amp;$BF$15+$BA24)="","",INDIRECT("[" &amp; 'Setup Data'!$A$3&amp; "]Dimensional!" &amp;BW$14&amp;$BF$15+$BA24) )</f>
        <v>0</v>
      </c>
      <c r="BW24" s="659">
        <f ca="1">IF(INDIRECT("[" &amp; 'Setup Data'!$A$3&amp; "]Dimensional!" &amp;BX$14&amp;$BF$15+$BA24)="","",INDIRECT("[" &amp; 'Setup Data'!$A$3&amp; "]Dimensional!" &amp;BX$14&amp;$BF$15+$BA24) )</f>
        <v>0</v>
      </c>
      <c r="BX24" s="659">
        <f ca="1">IF(INDIRECT("[" &amp; 'Setup Data'!$A$3&amp; "]Dimensional!" &amp;BY$14&amp;$BF$15+$BA24)="","",INDIRECT("[" &amp; 'Setup Data'!$A$3&amp; "]Dimensional!" &amp;BY$14&amp;$BF$15+$BA24) )</f>
        <v>0</v>
      </c>
      <c r="BY24" s="659">
        <f ca="1">IF(INDIRECT("[" &amp; 'Setup Data'!$A$3&amp; "]Dimensional!" &amp;BZ$14&amp;$BF$15+$BA24)="","",INDIRECT("[" &amp; 'Setup Data'!$A$3&amp; "]Dimensional!" &amp;BZ$14&amp;$BF$15+$BA24) )</f>
        <v>0</v>
      </c>
      <c r="BZ24" s="659">
        <f ca="1">IF(INDIRECT("[" &amp; 'Setup Data'!$A$3&amp; "]Dimensional!" &amp;CA$14&amp;$BF$15+$BA24)="","",INDIRECT("[" &amp; 'Setup Data'!$A$3&amp; "]Dimensional!" &amp;CA$14&amp;$BF$15+$BA24) )</f>
        <v>0</v>
      </c>
      <c r="CA24" s="659">
        <f ca="1">IF(INDIRECT("[" &amp; 'Setup Data'!$A$3&amp; "]Dimensional!" &amp;CB$14&amp;$BF$15+$BA24)="","",INDIRECT("[" &amp; 'Setup Data'!$A$3&amp; "]Dimensional!" &amp;CB$14&amp;$BF$15+$BA24) )</f>
        <v>0</v>
      </c>
      <c r="CB24" s="659">
        <f ca="1">IF(INDIRECT("[" &amp; 'Setup Data'!$A$3&amp; "]Dimensional!" &amp;CC$14&amp;$BF$15+$BA24)="","",INDIRECT("[" &amp; 'Setup Data'!$A$3&amp; "]Dimensional!" &amp;CC$14&amp;$BF$15+$BA24) )</f>
        <v>0</v>
      </c>
      <c r="CC24" s="659">
        <f ca="1">IF(INDIRECT("[" &amp; 'Setup Data'!$A$3&amp; "]Dimensional!" &amp;CD$14&amp;$BF$15+$BA24)="","",INDIRECT("[" &amp; 'Setup Data'!$A$3&amp; "]Dimensional!" &amp;CD$14&amp;$BF$15+$BA24) )</f>
        <v>0</v>
      </c>
      <c r="CD24" s="659">
        <f ca="1">IF(INDIRECT("[" &amp; 'Setup Data'!$A$3&amp; "]Dimensional!" &amp;CE$14&amp;$BF$15+$BA24)="","",INDIRECT("[" &amp; 'Setup Data'!$A$3&amp; "]Dimensional!" &amp;CE$14&amp;$BF$15+$BA24) )</f>
        <v>0</v>
      </c>
      <c r="CE24" s="659">
        <f ca="1">IF(INDIRECT("[" &amp; 'Setup Data'!$A$3&amp; "]Dimensional!" &amp;CF$14&amp;$BF$15+$BA24)="","",INDIRECT("[" &amp; 'Setup Data'!$A$3&amp; "]Dimensional!" &amp;CF$14&amp;$BF$15+$BA24) )</f>
        <v>0</v>
      </c>
      <c r="CF24" s="659">
        <f ca="1">IF(INDIRECT("[" &amp; 'Setup Data'!$A$3&amp; "]Dimensional!" &amp;CG$14&amp;$BF$15+$BA24)="","",INDIRECT("[" &amp; 'Setup Data'!$A$3&amp; "]Dimensional!" &amp;CG$14&amp;$BF$15+$BA24) )</f>
        <v>0</v>
      </c>
      <c r="CG24" s="102" t="str">
        <f t="shared" ca="1" si="7"/>
        <v>0.0</v>
      </c>
      <c r="DZ24" s="16"/>
      <c r="EA24" s="16"/>
      <c r="EB24" s="16"/>
      <c r="EC24" s="16"/>
      <c r="ED24" s="16"/>
      <c r="EE24" s="16"/>
      <c r="EG24" s="609"/>
    </row>
    <row r="25" spans="1:137" ht="16.5">
      <c r="B25" s="665"/>
      <c r="C25" s="772"/>
      <c r="D25" s="772"/>
      <c r="E25" s="772"/>
      <c r="F25" s="772"/>
      <c r="G25" s="772"/>
      <c r="H25" s="772"/>
      <c r="I25" s="772"/>
      <c r="J25" s="772"/>
      <c r="K25" s="772"/>
      <c r="L25" s="772"/>
      <c r="M25" s="772"/>
      <c r="N25" s="772"/>
      <c r="O25" s="772"/>
      <c r="P25" s="772"/>
      <c r="Q25" s="666"/>
      <c r="R25" s="613"/>
      <c r="S25" s="613"/>
      <c r="T25" s="613"/>
      <c r="U25" s="613"/>
      <c r="V25" s="613"/>
      <c r="W25" s="614"/>
      <c r="X25" s="614"/>
      <c r="Y25" s="614"/>
      <c r="Z25" s="614"/>
      <c r="AA25" s="614"/>
      <c r="AB25" s="608"/>
      <c r="AC25" s="608" t="s">
        <v>10</v>
      </c>
      <c r="AD25" s="614" t="s">
        <v>747</v>
      </c>
      <c r="AE25" s="614"/>
      <c r="AF25" s="634" t="s">
        <v>738</v>
      </c>
      <c r="AG25" s="634" t="s">
        <v>747</v>
      </c>
      <c r="AH25" s="638">
        <v>3</v>
      </c>
      <c r="AI25" s="655">
        <v>0.2</v>
      </c>
      <c r="AJ25" s="656">
        <v>0.6</v>
      </c>
      <c r="AK25" s="656">
        <v>1</v>
      </c>
      <c r="AL25" s="638">
        <v>6</v>
      </c>
      <c r="AM25" s="657">
        <v>0.06</v>
      </c>
      <c r="AN25" s="658" t="s">
        <v>748</v>
      </c>
      <c r="AO25" s="614" t="s">
        <v>16</v>
      </c>
      <c r="AP25" s="613"/>
      <c r="AQ25" s="613"/>
      <c r="AR25" s="613"/>
      <c r="AS25" s="613"/>
      <c r="AT25" s="613"/>
      <c r="AU25" s="613"/>
      <c r="AV25" s="613"/>
      <c r="AW25" s="613"/>
      <c r="AX25" s="613"/>
      <c r="AY25" s="614" t="str">
        <f t="shared" ca="1" si="8"/>
        <v/>
      </c>
      <c r="AZ25" s="102" t="str">
        <f t="shared" ca="1" si="9"/>
        <v/>
      </c>
      <c r="BA25" s="102">
        <v>8</v>
      </c>
      <c r="BB25" s="659">
        <f ca="1">IF(INDIRECT("[" &amp; 'Setup Data'!$A$3&amp; "]Dimensional!" &amp;BC$14&amp;$BF$15+$BA25)="","",INDIRECT("[" &amp; 'Setup Data'!$A$3&amp; "]Dimensional!" &amp;BC$14&amp;$BF$15+$BA25) )</f>
        <v>1</v>
      </c>
      <c r="BC25" s="659" t="str">
        <f ca="1">IF(INDIRECT("[" &amp; 'Setup Data'!$A$3&amp; "]Dimensional!" &amp;BD$14&amp;$BF$15+$BA25)="","",INDIRECT("[" &amp; 'Setup Data'!$A$3&amp; "]Dimensional!" &amp;BD$14&amp;$BF$15+$BA25) )</f>
        <v/>
      </c>
      <c r="BD25" s="659" t="str">
        <f ca="1">IF(INDIRECT("[" &amp; 'Setup Data'!$A$3&amp; "]Dimensional!" &amp;BE$14&amp;$BF$15+$BA25)="","",INDIRECT("[" &amp; 'Setup Data'!$A$3&amp; "]Dimensional!" &amp;BE$14&amp;$BF$15+$BA25) )</f>
        <v/>
      </c>
      <c r="BE25" s="659" t="str">
        <f ca="1">IF(INDIRECT("[" &amp; 'Setup Data'!$A$3&amp; "]Dimensional!" &amp;BF$14&amp;$BF$15+$BA25)="","",INDIRECT("[" &amp; 'Setup Data'!$A$3&amp; "]Dimensional!" &amp;BF$14&amp;$BF$15+$BA25) )</f>
        <v/>
      </c>
      <c r="BF25" s="659" t="str">
        <f ca="1">IF(INDIRECT("[" &amp; 'Setup Data'!$A$3&amp; "]Dimensional!" &amp;BG$14&amp;$BF$15+$BA25)="","",INDIRECT("[" &amp; 'Setup Data'!$A$3&amp; "]Dimensional!" &amp;BG$14&amp;$BF$15+$BA25) )</f>
        <v/>
      </c>
      <c r="BG25" s="659" t="str">
        <f ca="1">IF(INDIRECT("[" &amp; 'Setup Data'!$A$3&amp; "]Dimensional!" &amp;BH$14&amp;$BF$15+$BA25)="","",INDIRECT("[" &amp; 'Setup Data'!$A$3&amp; "]Dimensional!" &amp;BH$14&amp;$BF$15+$BA25) )</f>
        <v/>
      </c>
      <c r="BH25" s="659" t="str">
        <f ca="1">IF(INDIRECT("[" &amp; 'Setup Data'!$A$3&amp; "]Dimensional!" &amp;BI$14&amp;$BF$15+$BA25)="","",INDIRECT("[" &amp; 'Setup Data'!$A$3&amp; "]Dimensional!" &amp;BI$14&amp;$BF$15+$BA25) )</f>
        <v/>
      </c>
      <c r="BI25" s="659" t="str">
        <f ca="1">IF(INDIRECT("[" &amp; 'Setup Data'!$A$3&amp; "]Dimensional!" &amp;BJ$14&amp;$BF$15+$BA25)="","",INDIRECT("[" &amp; 'Setup Data'!$A$3&amp; "]Dimensional!" &amp;BJ$14&amp;$BF$15+$BA25) )</f>
        <v/>
      </c>
      <c r="BJ25" s="659" t="str">
        <f ca="1">IF(INDIRECT("[" &amp; 'Setup Data'!$A$3&amp; "]Dimensional!" &amp;BK$14&amp;$BF$15+$BA25)="","",INDIRECT("[" &amp; 'Setup Data'!$A$3&amp; "]Dimensional!" &amp;BK$14&amp;$BF$15+$BA25) )</f>
        <v/>
      </c>
      <c r="BK25" s="659" t="str">
        <f ca="1">IF(INDIRECT("[" &amp; 'Setup Data'!$A$3&amp; "]Dimensional!" &amp;BL$14&amp;$BF$15+$BA25)="","",INDIRECT("[" &amp; 'Setup Data'!$A$3&amp; "]Dimensional!" &amp;BL$14&amp;$BF$15+$BA25) )</f>
        <v/>
      </c>
      <c r="BL25" s="659" t="str">
        <f ca="1">IF(INDIRECT("[" &amp; 'Setup Data'!$A$3&amp; "]Dimensional!" &amp;BM$14&amp;$BF$15+$BA25)="","",INDIRECT("[" &amp; 'Setup Data'!$A$3&amp; "]Dimensional!" &amp;BM$14&amp;$BF$15+$BA25) )</f>
        <v/>
      </c>
      <c r="BM25" s="659" t="str">
        <f ca="1">IF(INDIRECT("[" &amp; 'Setup Data'!$A$3&amp; "]Dimensional!" &amp;BN$14&amp;$BF$15+$BA25)="","",INDIRECT("[" &amp; 'Setup Data'!$A$3&amp; "]Dimensional!" &amp;BN$14&amp;$BF$15+$BA25) )</f>
        <v/>
      </c>
      <c r="BN25" s="659" t="str">
        <f ca="1">IF(INDIRECT("[" &amp; 'Setup Data'!$A$3&amp; "]Dimensional!" &amp;BO$14&amp;$BF$15+$BA25)="","",INDIRECT("[" &amp; 'Setup Data'!$A$3&amp; "]Dimensional!" &amp;BO$14&amp;$BF$15+$BA25) )</f>
        <v/>
      </c>
      <c r="BO25" s="659" t="str">
        <f ca="1">IF(INDIRECT("[" &amp; 'Setup Data'!$A$3&amp; "]Dimensional!" &amp;BP$14&amp;$BF$15+$BA25)="","",INDIRECT("[" &amp; 'Setup Data'!$A$3&amp; "]Dimensional!" &amp;BP$14&amp;$BF$15+$BA25) )</f>
        <v/>
      </c>
      <c r="BP25" s="659" t="str">
        <f ca="1">IF(INDIRECT("[" &amp; 'Setup Data'!$A$3&amp; "]Dimensional!" &amp;BQ$14&amp;$BF$15+$BA25)="","",INDIRECT("[" &amp; 'Setup Data'!$A$3&amp; "]Dimensional!" &amp;BQ$14&amp;$BF$15+$BA25) )</f>
        <v/>
      </c>
      <c r="BQ25" s="659" t="str">
        <f ca="1">IF(INDIRECT("[" &amp; 'Setup Data'!$A$3&amp; "]Dimensional!" &amp;BR$14&amp;$BF$15+$BA25)="","",INDIRECT("[" &amp; 'Setup Data'!$A$3&amp; "]Dimensional!" &amp;BR$14&amp;$BF$15+$BA25) )</f>
        <v/>
      </c>
      <c r="BR25" s="659" t="str">
        <f ca="1">IF(INDIRECT("[" &amp; 'Setup Data'!$A$3&amp; "]Dimensional!" &amp;BS$14&amp;$BF$15+$BA25)="","",INDIRECT("[" &amp; 'Setup Data'!$A$3&amp; "]Dimensional!" &amp;BS$14&amp;$BF$15+$BA25) )</f>
        <v/>
      </c>
      <c r="BS25" s="659" t="str">
        <f ca="1">IF(INDIRECT("[" &amp; 'Setup Data'!$A$3&amp; "]Dimensional!" &amp;BT$14&amp;$BF$15+$BA25)="","",INDIRECT("[" &amp; 'Setup Data'!$A$3&amp; "]Dimensional!" &amp;BT$14&amp;$BF$15+$BA25) )</f>
        <v/>
      </c>
      <c r="BT25" s="659" t="str">
        <f ca="1">IF(INDIRECT("[" &amp; 'Setup Data'!$A$3&amp; "]Dimensional!" &amp;BU$14&amp;$BF$15+$BA25)="","",INDIRECT("[" &amp; 'Setup Data'!$A$3&amp; "]Dimensional!" &amp;BU$14&amp;$BF$15+$BA25) )</f>
        <v/>
      </c>
      <c r="BU25" s="659" t="str">
        <f ca="1">IF(INDIRECT("[" &amp; 'Setup Data'!$A$3&amp; "]Dimensional!" &amp;BV$14&amp;$BF$15+$BA25)="","",INDIRECT("[" &amp; 'Setup Data'!$A$3&amp; "]Dimensional!" &amp;BV$14&amp;$BF$15+$BA25) )</f>
        <v/>
      </c>
      <c r="BV25" s="659" t="str">
        <f ca="1">IF(INDIRECT("[" &amp; 'Setup Data'!$A$3&amp; "]Dimensional!" &amp;BW$14&amp;$BF$15+$BA25)="","",INDIRECT("[" &amp; 'Setup Data'!$A$3&amp; "]Dimensional!" &amp;BW$14&amp;$BF$15+$BA25) )</f>
        <v/>
      </c>
      <c r="BW25" s="659" t="str">
        <f ca="1">IF(INDIRECT("[" &amp; 'Setup Data'!$A$3&amp; "]Dimensional!" &amp;BX$14&amp;$BF$15+$BA25)="","",INDIRECT("[" &amp; 'Setup Data'!$A$3&amp; "]Dimensional!" &amp;BX$14&amp;$BF$15+$BA25) )</f>
        <v/>
      </c>
      <c r="BX25" s="659" t="str">
        <f ca="1">IF(INDIRECT("[" &amp; 'Setup Data'!$A$3&amp; "]Dimensional!" &amp;BY$14&amp;$BF$15+$BA25)="","",INDIRECT("[" &amp; 'Setup Data'!$A$3&amp; "]Dimensional!" &amp;BY$14&amp;$BF$15+$BA25) )</f>
        <v/>
      </c>
      <c r="BY25" s="659" t="str">
        <f ca="1">IF(INDIRECT("[" &amp; 'Setup Data'!$A$3&amp; "]Dimensional!" &amp;BZ$14&amp;$BF$15+$BA25)="","",INDIRECT("[" &amp; 'Setup Data'!$A$3&amp; "]Dimensional!" &amp;BZ$14&amp;$BF$15+$BA25) )</f>
        <v/>
      </c>
      <c r="BZ25" s="659" t="str">
        <f ca="1">IF(INDIRECT("[" &amp; 'Setup Data'!$A$3&amp; "]Dimensional!" &amp;CA$14&amp;$BF$15+$BA25)="","",INDIRECT("[" &amp; 'Setup Data'!$A$3&amp; "]Dimensional!" &amp;CA$14&amp;$BF$15+$BA25) )</f>
        <v/>
      </c>
      <c r="CA25" s="659" t="str">
        <f ca="1">IF(INDIRECT("[" &amp; 'Setup Data'!$A$3&amp; "]Dimensional!" &amp;CB$14&amp;$BF$15+$BA25)="","",INDIRECT("[" &amp; 'Setup Data'!$A$3&amp; "]Dimensional!" &amp;CB$14&amp;$BF$15+$BA25) )</f>
        <v/>
      </c>
      <c r="CB25" s="659" t="str">
        <f ca="1">IF(INDIRECT("[" &amp; 'Setup Data'!$A$3&amp; "]Dimensional!" &amp;CC$14&amp;$BF$15+$BA25)="","",INDIRECT("[" &amp; 'Setup Data'!$A$3&amp; "]Dimensional!" &amp;CC$14&amp;$BF$15+$BA25) )</f>
        <v/>
      </c>
      <c r="CC25" s="659" t="str">
        <f ca="1">IF(INDIRECT("[" &amp; 'Setup Data'!$A$3&amp; "]Dimensional!" &amp;CD$14&amp;$BF$15+$BA25)="","",INDIRECT("[" &amp; 'Setup Data'!$A$3&amp; "]Dimensional!" &amp;CD$14&amp;$BF$15+$BA25) )</f>
        <v/>
      </c>
      <c r="CD25" s="659" t="str">
        <f ca="1">IF(INDIRECT("[" &amp; 'Setup Data'!$A$3&amp; "]Dimensional!" &amp;CE$14&amp;$BF$15+$BA25)="","",INDIRECT("[" &amp; 'Setup Data'!$A$3&amp; "]Dimensional!" &amp;CE$14&amp;$BF$15+$BA25) )</f>
        <v/>
      </c>
      <c r="CE25" s="659" t="str">
        <f ca="1">IF(INDIRECT("[" &amp; 'Setup Data'!$A$3&amp; "]Dimensional!" &amp;CF$14&amp;$BF$15+$BA25)="","",INDIRECT("[" &amp; 'Setup Data'!$A$3&amp; "]Dimensional!" &amp;CF$14&amp;$BF$15+$BA25) )</f>
        <v/>
      </c>
      <c r="CF25" s="659" t="str">
        <f ca="1">IF(INDIRECT("[" &amp; 'Setup Data'!$A$3&amp; "]Dimensional!" &amp;CG$14&amp;$BF$15+$BA25)="","",INDIRECT("[" &amp; 'Setup Data'!$A$3&amp; "]Dimensional!" &amp;CG$14&amp;$BF$15+$BA25) )</f>
        <v/>
      </c>
      <c r="CG25" s="102" t="str">
        <f t="shared" ca="1" si="7"/>
        <v/>
      </c>
      <c r="DZ25" s="16"/>
      <c r="EA25" s="16"/>
      <c r="EB25" s="16"/>
      <c r="EC25" s="16"/>
      <c r="ED25" s="16"/>
      <c r="EE25" s="16"/>
      <c r="EG25" s="609"/>
    </row>
    <row r="26" spans="1:137" ht="16.5">
      <c r="B26" s="665"/>
      <c r="C26" s="772"/>
      <c r="D26" s="772"/>
      <c r="E26" s="772"/>
      <c r="F26" s="772"/>
      <c r="G26" s="772"/>
      <c r="H26" s="772"/>
      <c r="I26" s="772"/>
      <c r="J26" s="772"/>
      <c r="K26" s="772"/>
      <c r="L26" s="772"/>
      <c r="M26" s="772"/>
      <c r="N26" s="772"/>
      <c r="O26" s="772"/>
      <c r="P26" s="772"/>
      <c r="Q26" s="666"/>
      <c r="R26" s="613"/>
      <c r="S26" s="613"/>
      <c r="T26" s="613"/>
      <c r="U26" s="613"/>
      <c r="V26" s="613"/>
      <c r="W26" s="614"/>
      <c r="X26" s="614"/>
      <c r="Y26" s="614"/>
      <c r="Z26" s="614"/>
      <c r="AA26" s="614"/>
      <c r="AB26" s="608"/>
      <c r="AC26" s="608"/>
      <c r="AD26" s="614" t="s">
        <v>749</v>
      </c>
      <c r="AE26" s="614"/>
      <c r="AF26" s="634" t="s">
        <v>738</v>
      </c>
      <c r="AG26" s="634" t="s">
        <v>749</v>
      </c>
      <c r="AH26" s="638">
        <v>3</v>
      </c>
      <c r="AI26" s="655"/>
      <c r="AJ26" s="656"/>
      <c r="AK26" s="656">
        <v>1</v>
      </c>
      <c r="AL26" s="638">
        <v>6</v>
      </c>
      <c r="AM26" s="657">
        <v>0.06</v>
      </c>
      <c r="AN26" s="658" t="s">
        <v>750</v>
      </c>
      <c r="AO26" s="614" t="s">
        <v>102</v>
      </c>
      <c r="AP26" s="613"/>
      <c r="AQ26" s="613"/>
      <c r="AR26" s="613"/>
      <c r="AS26" s="613"/>
      <c r="AT26" s="613"/>
      <c r="AU26" s="613"/>
      <c r="AV26" s="613"/>
      <c r="AW26" s="613"/>
      <c r="AX26" s="613"/>
      <c r="AY26" s="614" t="str">
        <f t="shared" ca="1" si="8"/>
        <v/>
      </c>
      <c r="AZ26" s="102" t="str">
        <f t="shared" ca="1" si="9"/>
        <v/>
      </c>
      <c r="BA26" s="102">
        <v>9</v>
      </c>
      <c r="BB26" s="659">
        <f ca="1">IF(INDIRECT("[" &amp; 'Setup Data'!$A$3&amp; "]Dimensional!" &amp;BC$14&amp;$BF$15+$BA26)="","",INDIRECT("[" &amp; 'Setup Data'!$A$3&amp; "]Dimensional!" &amp;BC$14&amp;$BF$15+$BA26) )</f>
        <v>1</v>
      </c>
      <c r="BC26" s="659" t="str">
        <f ca="1">IF(INDIRECT("[" &amp; 'Setup Data'!$A$3&amp; "]Dimensional!" &amp;BD$14&amp;$BF$15+$BA26)="","",INDIRECT("[" &amp; 'Setup Data'!$A$3&amp; "]Dimensional!" &amp;BD$14&amp;$BF$15+$BA26) )</f>
        <v/>
      </c>
      <c r="BD26" s="659" t="str">
        <f ca="1">IF(INDIRECT("[" &amp; 'Setup Data'!$A$3&amp; "]Dimensional!" &amp;BE$14&amp;$BF$15+$BA26)="","",INDIRECT("[" &amp; 'Setup Data'!$A$3&amp; "]Dimensional!" &amp;BE$14&amp;$BF$15+$BA26) )</f>
        <v/>
      </c>
      <c r="BE26" s="659" t="str">
        <f ca="1">IF(INDIRECT("[" &amp; 'Setup Data'!$A$3&amp; "]Dimensional!" &amp;BF$14&amp;$BF$15+$BA26)="","",INDIRECT("[" &amp; 'Setup Data'!$A$3&amp; "]Dimensional!" &amp;BF$14&amp;$BF$15+$BA26) )</f>
        <v/>
      </c>
      <c r="BF26" s="659" t="str">
        <f ca="1">IF(INDIRECT("[" &amp; 'Setup Data'!$A$3&amp; "]Dimensional!" &amp;BG$14&amp;$BF$15+$BA26)="","",INDIRECT("[" &amp; 'Setup Data'!$A$3&amp; "]Dimensional!" &amp;BG$14&amp;$BF$15+$BA26) )</f>
        <v/>
      </c>
      <c r="BG26" s="659" t="str">
        <f ca="1">IF(INDIRECT("[" &amp; 'Setup Data'!$A$3&amp; "]Dimensional!" &amp;BH$14&amp;$BF$15+$BA26)="","",INDIRECT("[" &amp; 'Setup Data'!$A$3&amp; "]Dimensional!" &amp;BH$14&amp;$BF$15+$BA26) )</f>
        <v/>
      </c>
      <c r="BH26" s="659" t="str">
        <f ca="1">IF(INDIRECT("[" &amp; 'Setup Data'!$A$3&amp; "]Dimensional!" &amp;BI$14&amp;$BF$15+$BA26)="","",INDIRECT("[" &amp; 'Setup Data'!$A$3&amp; "]Dimensional!" &amp;BI$14&amp;$BF$15+$BA26) )</f>
        <v/>
      </c>
      <c r="BI26" s="659" t="str">
        <f ca="1">IF(INDIRECT("[" &amp; 'Setup Data'!$A$3&amp; "]Dimensional!" &amp;BJ$14&amp;$BF$15+$BA26)="","",INDIRECT("[" &amp; 'Setup Data'!$A$3&amp; "]Dimensional!" &amp;BJ$14&amp;$BF$15+$BA26) )</f>
        <v/>
      </c>
      <c r="BJ26" s="659" t="str">
        <f ca="1">IF(INDIRECT("[" &amp; 'Setup Data'!$A$3&amp; "]Dimensional!" &amp;BK$14&amp;$BF$15+$BA26)="","",INDIRECT("[" &amp; 'Setup Data'!$A$3&amp; "]Dimensional!" &amp;BK$14&amp;$BF$15+$BA26) )</f>
        <v/>
      </c>
      <c r="BK26" s="659" t="str">
        <f ca="1">IF(INDIRECT("[" &amp; 'Setup Data'!$A$3&amp; "]Dimensional!" &amp;BL$14&amp;$BF$15+$BA26)="","",INDIRECT("[" &amp; 'Setup Data'!$A$3&amp; "]Dimensional!" &amp;BL$14&amp;$BF$15+$BA26) )</f>
        <v/>
      </c>
      <c r="BL26" s="659" t="str">
        <f ca="1">IF(INDIRECT("[" &amp; 'Setup Data'!$A$3&amp; "]Dimensional!" &amp;BM$14&amp;$BF$15+$BA26)="","",INDIRECT("[" &amp; 'Setup Data'!$A$3&amp; "]Dimensional!" &amp;BM$14&amp;$BF$15+$BA26) )</f>
        <v/>
      </c>
      <c r="BM26" s="659" t="str">
        <f ca="1">IF(INDIRECT("[" &amp; 'Setup Data'!$A$3&amp; "]Dimensional!" &amp;BN$14&amp;$BF$15+$BA26)="","",INDIRECT("[" &amp; 'Setup Data'!$A$3&amp; "]Dimensional!" &amp;BN$14&amp;$BF$15+$BA26) )</f>
        <v/>
      </c>
      <c r="BN26" s="659" t="str">
        <f ca="1">IF(INDIRECT("[" &amp; 'Setup Data'!$A$3&amp; "]Dimensional!" &amp;BO$14&amp;$BF$15+$BA26)="","",INDIRECT("[" &amp; 'Setup Data'!$A$3&amp; "]Dimensional!" &amp;BO$14&amp;$BF$15+$BA26) )</f>
        <v/>
      </c>
      <c r="BO26" s="659" t="str">
        <f ca="1">IF(INDIRECT("[" &amp; 'Setup Data'!$A$3&amp; "]Dimensional!" &amp;BP$14&amp;$BF$15+$BA26)="","",INDIRECT("[" &amp; 'Setup Data'!$A$3&amp; "]Dimensional!" &amp;BP$14&amp;$BF$15+$BA26) )</f>
        <v/>
      </c>
      <c r="BP26" s="659" t="str">
        <f ca="1">IF(INDIRECT("[" &amp; 'Setup Data'!$A$3&amp; "]Dimensional!" &amp;BQ$14&amp;$BF$15+$BA26)="","",INDIRECT("[" &amp; 'Setup Data'!$A$3&amp; "]Dimensional!" &amp;BQ$14&amp;$BF$15+$BA26) )</f>
        <v/>
      </c>
      <c r="BQ26" s="659" t="str">
        <f ca="1">IF(INDIRECT("[" &amp; 'Setup Data'!$A$3&amp; "]Dimensional!" &amp;BR$14&amp;$BF$15+$BA26)="","",INDIRECT("[" &amp; 'Setup Data'!$A$3&amp; "]Dimensional!" &amp;BR$14&amp;$BF$15+$BA26) )</f>
        <v/>
      </c>
      <c r="BR26" s="659" t="str">
        <f ca="1">IF(INDIRECT("[" &amp; 'Setup Data'!$A$3&amp; "]Dimensional!" &amp;BS$14&amp;$BF$15+$BA26)="","",INDIRECT("[" &amp; 'Setup Data'!$A$3&amp; "]Dimensional!" &amp;BS$14&amp;$BF$15+$BA26) )</f>
        <v/>
      </c>
      <c r="BS26" s="659" t="str">
        <f ca="1">IF(INDIRECT("[" &amp; 'Setup Data'!$A$3&amp; "]Dimensional!" &amp;BT$14&amp;$BF$15+$BA26)="","",INDIRECT("[" &amp; 'Setup Data'!$A$3&amp; "]Dimensional!" &amp;BT$14&amp;$BF$15+$BA26) )</f>
        <v/>
      </c>
      <c r="BT26" s="659" t="str">
        <f ca="1">IF(INDIRECT("[" &amp; 'Setup Data'!$A$3&amp; "]Dimensional!" &amp;BU$14&amp;$BF$15+$BA26)="","",INDIRECT("[" &amp; 'Setup Data'!$A$3&amp; "]Dimensional!" &amp;BU$14&amp;$BF$15+$BA26) )</f>
        <v/>
      </c>
      <c r="BU26" s="659" t="str">
        <f ca="1">IF(INDIRECT("[" &amp; 'Setup Data'!$A$3&amp; "]Dimensional!" &amp;BV$14&amp;$BF$15+$BA26)="","",INDIRECT("[" &amp; 'Setup Data'!$A$3&amp; "]Dimensional!" &amp;BV$14&amp;$BF$15+$BA26) )</f>
        <v/>
      </c>
      <c r="BV26" s="659" t="str">
        <f ca="1">IF(INDIRECT("[" &amp; 'Setup Data'!$A$3&amp; "]Dimensional!" &amp;BW$14&amp;$BF$15+$BA26)="","",INDIRECT("[" &amp; 'Setup Data'!$A$3&amp; "]Dimensional!" &amp;BW$14&amp;$BF$15+$BA26) )</f>
        <v/>
      </c>
      <c r="BW26" s="659" t="str">
        <f ca="1">IF(INDIRECT("[" &amp; 'Setup Data'!$A$3&amp; "]Dimensional!" &amp;BX$14&amp;$BF$15+$BA26)="","",INDIRECT("[" &amp; 'Setup Data'!$A$3&amp; "]Dimensional!" &amp;BX$14&amp;$BF$15+$BA26) )</f>
        <v/>
      </c>
      <c r="BX26" s="659" t="str">
        <f ca="1">IF(INDIRECT("[" &amp; 'Setup Data'!$A$3&amp; "]Dimensional!" &amp;BY$14&amp;$BF$15+$BA26)="","",INDIRECT("[" &amp; 'Setup Data'!$A$3&amp; "]Dimensional!" &amp;BY$14&amp;$BF$15+$BA26) )</f>
        <v/>
      </c>
      <c r="BY26" s="659" t="str">
        <f ca="1">IF(INDIRECT("[" &amp; 'Setup Data'!$A$3&amp; "]Dimensional!" &amp;BZ$14&amp;$BF$15+$BA26)="","",INDIRECT("[" &amp; 'Setup Data'!$A$3&amp; "]Dimensional!" &amp;BZ$14&amp;$BF$15+$BA26) )</f>
        <v/>
      </c>
      <c r="BZ26" s="659" t="str">
        <f ca="1">IF(INDIRECT("[" &amp; 'Setup Data'!$A$3&amp; "]Dimensional!" &amp;CA$14&amp;$BF$15+$BA26)="","",INDIRECT("[" &amp; 'Setup Data'!$A$3&amp; "]Dimensional!" &amp;CA$14&amp;$BF$15+$BA26) )</f>
        <v/>
      </c>
      <c r="CA26" s="659" t="str">
        <f ca="1">IF(INDIRECT("[" &amp; 'Setup Data'!$A$3&amp; "]Dimensional!" &amp;CB$14&amp;$BF$15+$BA26)="","",INDIRECT("[" &amp; 'Setup Data'!$A$3&amp; "]Dimensional!" &amp;CB$14&amp;$BF$15+$BA26) )</f>
        <v/>
      </c>
      <c r="CB26" s="659" t="str">
        <f ca="1">IF(INDIRECT("[" &amp; 'Setup Data'!$A$3&amp; "]Dimensional!" &amp;CC$14&amp;$BF$15+$BA26)="","",INDIRECT("[" &amp; 'Setup Data'!$A$3&amp; "]Dimensional!" &amp;CC$14&amp;$BF$15+$BA26) )</f>
        <v/>
      </c>
      <c r="CC26" s="659" t="str">
        <f ca="1">IF(INDIRECT("[" &amp; 'Setup Data'!$A$3&amp; "]Dimensional!" &amp;CD$14&amp;$BF$15+$BA26)="","",INDIRECT("[" &amp; 'Setup Data'!$A$3&amp; "]Dimensional!" &amp;CD$14&amp;$BF$15+$BA26) )</f>
        <v/>
      </c>
      <c r="CD26" s="659" t="str">
        <f ca="1">IF(INDIRECT("[" &amp; 'Setup Data'!$A$3&amp; "]Dimensional!" &amp;CE$14&amp;$BF$15+$BA26)="","",INDIRECT("[" &amp; 'Setup Data'!$A$3&amp; "]Dimensional!" &amp;CE$14&amp;$BF$15+$BA26) )</f>
        <v/>
      </c>
      <c r="CE26" s="659" t="str">
        <f ca="1">IF(INDIRECT("[" &amp; 'Setup Data'!$A$3&amp; "]Dimensional!" &amp;CF$14&amp;$BF$15+$BA26)="","",INDIRECT("[" &amp; 'Setup Data'!$A$3&amp; "]Dimensional!" &amp;CF$14&amp;$BF$15+$BA26) )</f>
        <v/>
      </c>
      <c r="CF26" s="659" t="str">
        <f ca="1">IF(INDIRECT("[" &amp; 'Setup Data'!$A$3&amp; "]Dimensional!" &amp;CG$14&amp;$BF$15+$BA26)="","",INDIRECT("[" &amp; 'Setup Data'!$A$3&amp; "]Dimensional!" &amp;CG$14&amp;$BF$15+$BA26) )</f>
        <v/>
      </c>
      <c r="CG26" s="102" t="str">
        <f t="shared" ca="1" si="7"/>
        <v/>
      </c>
      <c r="DZ26" s="16"/>
      <c r="EA26" s="16"/>
      <c r="EB26" s="16"/>
      <c r="EC26" s="16"/>
      <c r="ED26" s="16"/>
      <c r="EE26" s="16"/>
      <c r="EG26" s="609"/>
    </row>
    <row r="27" spans="1:137" ht="16.5" customHeight="1">
      <c r="B27" s="667"/>
      <c r="C27" s="668"/>
      <c r="D27" s="668"/>
      <c r="E27" s="668"/>
      <c r="F27" s="668"/>
      <c r="G27" s="668"/>
      <c r="H27" s="668"/>
      <c r="I27" s="668"/>
      <c r="J27" s="668"/>
      <c r="K27" s="668"/>
      <c r="L27" s="668"/>
      <c r="M27" s="668"/>
      <c r="N27" s="668"/>
      <c r="O27" s="668"/>
      <c r="P27" s="668"/>
      <c r="Q27" s="669"/>
      <c r="R27" s="613"/>
      <c r="S27" s="613"/>
      <c r="T27" s="613"/>
      <c r="U27" s="613"/>
      <c r="V27" s="613"/>
      <c r="W27" s="614"/>
      <c r="X27" s="614"/>
      <c r="Y27" s="614"/>
      <c r="Z27" s="614"/>
      <c r="AA27" s="614"/>
      <c r="AB27" s="608"/>
      <c r="AC27" s="608"/>
      <c r="AD27" s="614" t="s">
        <v>751</v>
      </c>
      <c r="AE27" s="614"/>
      <c r="AF27" s="634" t="s">
        <v>738</v>
      </c>
      <c r="AG27" s="634" t="s">
        <v>751</v>
      </c>
      <c r="AH27" s="638">
        <v>3</v>
      </c>
      <c r="AI27" s="655"/>
      <c r="AJ27" s="656"/>
      <c r="AK27" s="656">
        <v>1</v>
      </c>
      <c r="AL27" s="638">
        <v>6</v>
      </c>
      <c r="AM27" s="657">
        <v>0.06</v>
      </c>
      <c r="AN27" s="658" t="s">
        <v>752</v>
      </c>
      <c r="AO27" s="614" t="s">
        <v>102</v>
      </c>
      <c r="AP27" s="613"/>
      <c r="AQ27" s="613"/>
      <c r="AR27" s="613"/>
      <c r="AS27" s="613"/>
      <c r="AT27" s="613"/>
      <c r="AU27" s="613"/>
      <c r="AV27" s="613"/>
      <c r="AW27" s="613"/>
      <c r="AX27" s="613"/>
      <c r="AY27" s="613"/>
      <c r="DZ27" s="16"/>
      <c r="EA27" s="16"/>
      <c r="EB27" s="16"/>
      <c r="EC27" s="16"/>
      <c r="ED27" s="16"/>
      <c r="EE27" s="16"/>
      <c r="EG27" s="609"/>
    </row>
    <row r="28" spans="1:137" ht="16.5" customHeight="1">
      <c r="B28" s="670"/>
      <c r="C28" s="671" t="str">
        <f>D15</f>
        <v>?</v>
      </c>
      <c r="D28" s="670"/>
      <c r="E28" s="670"/>
      <c r="F28" s="670"/>
      <c r="G28" s="670"/>
      <c r="H28" s="670"/>
      <c r="I28" s="670"/>
      <c r="J28" s="670"/>
      <c r="K28" s="670"/>
      <c r="L28" s="670"/>
      <c r="M28" s="670"/>
      <c r="N28" s="670"/>
      <c r="O28" s="670"/>
      <c r="P28" s="670"/>
      <c r="Q28" s="670"/>
      <c r="R28" s="613"/>
      <c r="S28" s="613"/>
      <c r="T28" s="613"/>
      <c r="U28" s="613"/>
      <c r="V28" s="613"/>
      <c r="W28" s="614"/>
      <c r="X28" s="614"/>
      <c r="Y28" s="614"/>
      <c r="Z28" s="614"/>
      <c r="AA28" s="614"/>
      <c r="AB28" s="608"/>
      <c r="AC28" s="608"/>
      <c r="AD28" s="672" t="s">
        <v>753</v>
      </c>
      <c r="AE28" s="614"/>
      <c r="AF28" s="634" t="s">
        <v>738</v>
      </c>
      <c r="AG28" s="634" t="s">
        <v>753</v>
      </c>
      <c r="AH28" s="638">
        <v>3</v>
      </c>
      <c r="AI28" s="655"/>
      <c r="AJ28" s="656"/>
      <c r="AK28" s="656">
        <v>1</v>
      </c>
      <c r="AL28" s="638">
        <v>6</v>
      </c>
      <c r="AM28" s="657">
        <v>0.06</v>
      </c>
      <c r="AN28" s="658" t="s">
        <v>754</v>
      </c>
      <c r="AO28" s="614" t="s">
        <v>102</v>
      </c>
      <c r="AP28" s="613"/>
      <c r="AQ28" s="613"/>
      <c r="AR28" s="613"/>
      <c r="AS28" s="613"/>
      <c r="AT28" s="613"/>
      <c r="AU28" s="613"/>
      <c r="AV28" s="613"/>
      <c r="AW28" s="613"/>
      <c r="AX28" s="613"/>
      <c r="AY28" s="613"/>
      <c r="AZ28" s="620"/>
      <c r="DZ28" s="16"/>
      <c r="EA28" s="16"/>
      <c r="EB28" s="16"/>
      <c r="EC28" s="16"/>
      <c r="ED28" s="16"/>
      <c r="EE28" s="16"/>
      <c r="EG28" s="609"/>
    </row>
    <row r="29" spans="1:137" ht="15" customHeight="1">
      <c r="B29" s="613"/>
      <c r="C29" s="670"/>
      <c r="D29" s="670"/>
      <c r="E29" s="670"/>
      <c r="F29" s="613"/>
      <c r="G29" s="613"/>
      <c r="H29" s="613"/>
      <c r="I29" s="16"/>
      <c r="J29" s="16"/>
      <c r="K29" s="16"/>
      <c r="L29" s="16"/>
      <c r="M29" s="16"/>
      <c r="N29" s="16"/>
      <c r="O29" s="16"/>
      <c r="P29" s="16"/>
      <c r="Q29" s="16"/>
      <c r="R29" s="16"/>
      <c r="S29" s="16"/>
      <c r="T29" s="16"/>
      <c r="U29" s="16"/>
      <c r="V29" s="16"/>
      <c r="W29" s="672"/>
      <c r="X29" s="672"/>
      <c r="Y29" s="673"/>
      <c r="Z29" s="673"/>
      <c r="AA29" s="673"/>
      <c r="AB29" s="608"/>
      <c r="AC29" s="608"/>
      <c r="AD29" s="608"/>
      <c r="AE29" s="672"/>
      <c r="AF29" s="634" t="s">
        <v>755</v>
      </c>
      <c r="AG29" s="634" t="s">
        <v>54</v>
      </c>
      <c r="AH29" s="638">
        <v>3</v>
      </c>
      <c r="AI29" s="655">
        <v>0.2</v>
      </c>
      <c r="AJ29" s="656">
        <v>0.6</v>
      </c>
      <c r="AK29" s="656">
        <v>1</v>
      </c>
      <c r="AL29" s="638">
        <v>6</v>
      </c>
      <c r="AM29" s="638">
        <v>0.06</v>
      </c>
      <c r="AN29" s="658" t="s">
        <v>756</v>
      </c>
      <c r="AO29" s="614" t="s">
        <v>16</v>
      </c>
      <c r="AP29" s="613"/>
      <c r="AQ29" s="613"/>
      <c r="AR29" s="613"/>
      <c r="AS29" s="613"/>
      <c r="AT29" s="613"/>
      <c r="AU29" s="613"/>
      <c r="AV29" s="613"/>
      <c r="AW29" s="613"/>
      <c r="AX29" s="613"/>
      <c r="AY29" s="613"/>
      <c r="AZ29" s="620"/>
      <c r="DZ29" s="16"/>
      <c r="EA29" s="16"/>
      <c r="EB29" s="16"/>
      <c r="EC29" s="16"/>
      <c r="ED29" s="16"/>
      <c r="EE29" s="16"/>
      <c r="EG29" s="609"/>
    </row>
    <row r="30" spans="1:137" ht="15" customHeight="1">
      <c r="B30" s="613"/>
      <c r="C30" s="613"/>
      <c r="D30" s="613"/>
      <c r="E30" s="613"/>
      <c r="G30" s="613"/>
      <c r="H30" s="613"/>
      <c r="I30" s="613"/>
      <c r="J30" s="613"/>
      <c r="K30" s="613"/>
      <c r="L30" s="613"/>
      <c r="M30" s="613"/>
      <c r="N30" s="613"/>
      <c r="O30" s="613"/>
      <c r="P30" s="613"/>
      <c r="Q30" s="613"/>
      <c r="R30" s="613"/>
      <c r="S30" s="613"/>
      <c r="T30" s="613"/>
      <c r="U30" s="613"/>
      <c r="V30" s="613"/>
      <c r="W30" s="614"/>
      <c r="X30" s="614"/>
      <c r="Y30" s="614"/>
      <c r="Z30" s="614"/>
      <c r="AA30" s="614"/>
      <c r="AB30" s="608"/>
      <c r="AC30" s="608"/>
      <c r="AD30" s="614"/>
      <c r="AE30" s="614"/>
      <c r="AF30" s="672"/>
      <c r="AG30" s="672"/>
      <c r="AH30" s="672"/>
      <c r="AI30" s="16"/>
      <c r="AJ30" s="672"/>
      <c r="AK30" s="672"/>
      <c r="AL30" s="614"/>
      <c r="AM30" s="614" t="e">
        <f>VLOOKUP(#REF!,AN33:AS49,6,0)</f>
        <v>#REF!</v>
      </c>
      <c r="AN30" s="614" t="e">
        <f>VLOOKUP(#REF!,AN33:AT49,7,0)</f>
        <v>#REF!</v>
      </c>
      <c r="AO30" s="614"/>
      <c r="AP30" s="613"/>
      <c r="AQ30" s="613"/>
      <c r="DZ30" s="16"/>
      <c r="EA30" s="16"/>
      <c r="EB30" s="16"/>
      <c r="EC30" s="16"/>
      <c r="ED30" s="16"/>
      <c r="EE30" s="16"/>
      <c r="EG30" s="609"/>
    </row>
    <row r="31" spans="1:137" ht="15" customHeight="1">
      <c r="B31" s="613"/>
      <c r="G31" s="613"/>
      <c r="H31" s="613"/>
      <c r="I31" s="613"/>
      <c r="J31" s="613"/>
      <c r="K31" s="613"/>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20"/>
      <c r="AJ31" s="613"/>
      <c r="AK31" s="613"/>
      <c r="AL31" s="613"/>
      <c r="AM31" s="613"/>
      <c r="AN31" s="674"/>
      <c r="AO31" s="613"/>
      <c r="DZ31" s="16"/>
      <c r="EA31" s="16"/>
      <c r="EB31" s="16"/>
      <c r="EC31" s="16"/>
      <c r="ED31" s="16"/>
      <c r="EE31" s="16"/>
      <c r="EG31" s="609"/>
    </row>
    <row r="32" spans="1:137" ht="24.75" customHeight="1">
      <c r="B32" s="613"/>
      <c r="G32" s="613"/>
      <c r="H32" s="613"/>
      <c r="I32" s="613"/>
      <c r="J32" s="613"/>
      <c r="K32" s="613"/>
      <c r="L32" s="613"/>
      <c r="M32" s="613"/>
      <c r="N32" s="613"/>
      <c r="O32" s="613"/>
      <c r="P32" s="613"/>
      <c r="Q32" s="613"/>
      <c r="R32" s="613"/>
      <c r="S32" s="613"/>
      <c r="T32" s="613"/>
      <c r="U32" s="613"/>
      <c r="V32" s="613"/>
      <c r="W32" s="613"/>
      <c r="X32" s="613"/>
      <c r="Y32" s="613"/>
      <c r="Z32" s="613"/>
      <c r="AA32" s="613"/>
      <c r="AB32" s="613"/>
      <c r="AC32" s="613"/>
      <c r="AD32" s="613"/>
      <c r="AE32" s="613"/>
      <c r="AF32" s="613"/>
      <c r="AG32" s="613"/>
      <c r="AH32" s="613"/>
      <c r="AI32" s="620"/>
      <c r="AJ32" s="613"/>
      <c r="AK32" s="613"/>
      <c r="AL32" s="613"/>
      <c r="AM32" s="614" t="e">
        <f>VLOOKUP(#REF!,AN33:AP49,3,0)</f>
        <v>#REF!</v>
      </c>
      <c r="AN32" s="608" t="s">
        <v>757</v>
      </c>
      <c r="AO32" s="614"/>
      <c r="AP32" s="614"/>
      <c r="AQ32" s="614"/>
      <c r="AR32" s="614" t="s">
        <v>716</v>
      </c>
      <c r="AS32" s="608" t="s">
        <v>714</v>
      </c>
      <c r="AT32" s="608" t="s">
        <v>715</v>
      </c>
      <c r="DZ32" s="16"/>
      <c r="EA32" s="16"/>
      <c r="EB32" s="16"/>
      <c r="EC32" s="16"/>
      <c r="ED32" s="16"/>
      <c r="EE32" s="16"/>
      <c r="EG32" s="609"/>
    </row>
    <row r="33" spans="2:137" ht="108" customHeight="1">
      <c r="B33" s="613"/>
      <c r="G33" s="613"/>
      <c r="H33" s="613"/>
      <c r="I33" s="613"/>
      <c r="J33" s="613"/>
      <c r="K33" s="613"/>
      <c r="L33" s="613"/>
      <c r="M33" s="613"/>
      <c r="N33" s="613"/>
      <c r="O33" s="613"/>
      <c r="P33" s="613"/>
      <c r="Q33" s="613"/>
      <c r="R33" s="613"/>
      <c r="S33" s="613"/>
      <c r="T33" s="613"/>
      <c r="U33" s="613"/>
      <c r="V33" s="613"/>
      <c r="W33" s="613"/>
      <c r="X33" s="613"/>
      <c r="Y33" s="613"/>
      <c r="Z33" s="613"/>
      <c r="AA33" s="613"/>
      <c r="AB33" s="613"/>
      <c r="AC33" s="613"/>
      <c r="AD33" s="613"/>
      <c r="AE33" s="613"/>
      <c r="AF33" s="613"/>
      <c r="AG33" s="613"/>
      <c r="AH33" s="613"/>
      <c r="AI33" s="620"/>
      <c r="AJ33" s="613"/>
      <c r="AK33" s="613"/>
      <c r="AL33" s="613"/>
      <c r="AM33" s="619" t="s">
        <v>758</v>
      </c>
      <c r="AN33" s="675" t="s">
        <v>759</v>
      </c>
      <c r="AO33" s="619"/>
      <c r="AP33" s="619" t="s">
        <v>758</v>
      </c>
      <c r="AQ33" s="676" t="s">
        <v>760</v>
      </c>
      <c r="AR33" s="619" t="s">
        <v>16</v>
      </c>
      <c r="AS33" s="623">
        <v>3</v>
      </c>
      <c r="AT33" s="677">
        <v>0.04</v>
      </c>
      <c r="DZ33" s="16"/>
      <c r="EA33" s="16"/>
      <c r="EB33" s="16"/>
      <c r="EC33" s="16"/>
      <c r="ED33" s="16"/>
      <c r="EE33" s="16"/>
      <c r="EG33" s="609"/>
    </row>
    <row r="34" spans="2:137" ht="108" customHeight="1">
      <c r="B34" s="613"/>
      <c r="G34" s="613"/>
      <c r="H34" s="613"/>
      <c r="I34" s="613"/>
      <c r="J34" s="613"/>
      <c r="K34" s="613"/>
      <c r="L34" s="613"/>
      <c r="M34" s="613"/>
      <c r="N34" s="613"/>
      <c r="O34" s="613"/>
      <c r="P34" s="613"/>
      <c r="Q34" s="613"/>
      <c r="R34" s="613"/>
      <c r="S34" s="613"/>
      <c r="T34" s="613"/>
      <c r="U34" s="613"/>
      <c r="V34" s="613"/>
      <c r="W34" s="613"/>
      <c r="X34" s="613"/>
      <c r="Y34" s="613"/>
      <c r="Z34" s="613"/>
      <c r="AA34" s="613"/>
      <c r="AB34" s="613"/>
      <c r="AC34" s="613"/>
      <c r="AD34" s="613"/>
      <c r="AE34" s="613"/>
      <c r="AF34" s="613"/>
      <c r="AG34" s="613"/>
      <c r="AH34" s="613"/>
      <c r="AI34" s="620"/>
      <c r="AJ34" s="613"/>
      <c r="AK34" s="613"/>
      <c r="AL34" s="613"/>
      <c r="AM34" s="619" t="s">
        <v>761</v>
      </c>
      <c r="AN34" s="675" t="s">
        <v>762</v>
      </c>
      <c r="AO34" s="619"/>
      <c r="AP34" s="619" t="s">
        <v>761</v>
      </c>
      <c r="AQ34" s="676" t="s">
        <v>763</v>
      </c>
      <c r="AR34" s="619" t="s">
        <v>16</v>
      </c>
      <c r="AS34" s="623">
        <v>3</v>
      </c>
      <c r="AT34" s="623">
        <v>0.04</v>
      </c>
      <c r="EA34" s="102"/>
      <c r="EB34" s="16"/>
      <c r="EC34" s="16"/>
      <c r="ED34" s="16"/>
      <c r="EE34" s="16"/>
      <c r="EF34" s="16"/>
      <c r="EG34" s="16"/>
    </row>
    <row r="35" spans="2:137" ht="108" customHeight="1">
      <c r="B35" s="613"/>
      <c r="G35" s="613"/>
      <c r="H35" s="613"/>
      <c r="I35" s="613"/>
      <c r="J35" s="613"/>
      <c r="K35" s="613"/>
      <c r="L35" s="613"/>
      <c r="M35" s="613"/>
      <c r="N35" s="613"/>
      <c r="O35" s="613"/>
      <c r="P35" s="613"/>
      <c r="Q35" s="613"/>
      <c r="AB35" s="613"/>
      <c r="AC35" s="613"/>
      <c r="AF35" s="613"/>
      <c r="AG35" s="613"/>
      <c r="AH35" s="613"/>
      <c r="AI35" s="620"/>
      <c r="AJ35" s="613"/>
      <c r="AK35" s="613"/>
      <c r="AL35" s="613"/>
      <c r="AM35" s="619" t="s">
        <v>764</v>
      </c>
      <c r="AN35" s="675" t="s">
        <v>765</v>
      </c>
      <c r="AO35" s="619"/>
      <c r="AP35" s="619" t="s">
        <v>764</v>
      </c>
      <c r="AQ35" s="676" t="s">
        <v>766</v>
      </c>
      <c r="AR35" s="619" t="s">
        <v>16</v>
      </c>
      <c r="AS35" s="623">
        <v>3</v>
      </c>
      <c r="AT35" s="623">
        <v>0.04</v>
      </c>
      <c r="EA35" s="102"/>
      <c r="EB35" s="16"/>
      <c r="EC35" s="16"/>
      <c r="ED35" s="16"/>
      <c r="EE35" s="16"/>
      <c r="EF35" s="16"/>
      <c r="EG35" s="16"/>
    </row>
    <row r="36" spans="2:137" ht="108" customHeight="1">
      <c r="B36" s="613"/>
      <c r="G36" s="613"/>
      <c r="H36" s="613"/>
      <c r="I36" s="613"/>
      <c r="J36" s="613"/>
      <c r="K36" s="613"/>
      <c r="L36" s="613"/>
      <c r="M36" s="613"/>
      <c r="N36" s="613"/>
      <c r="O36" s="613"/>
      <c r="P36" s="613"/>
      <c r="Q36" s="613"/>
      <c r="AM36" s="619" t="s">
        <v>767</v>
      </c>
      <c r="AN36" s="675" t="s">
        <v>768</v>
      </c>
      <c r="AO36" s="618"/>
      <c r="AP36" s="619" t="s">
        <v>767</v>
      </c>
      <c r="AQ36" s="676" t="s">
        <v>769</v>
      </c>
      <c r="AR36" s="619" t="s">
        <v>16</v>
      </c>
      <c r="AS36" s="623">
        <v>3</v>
      </c>
      <c r="AT36" s="677">
        <v>0.04</v>
      </c>
      <c r="EA36" s="102"/>
      <c r="EB36" s="16"/>
      <c r="EC36" s="16"/>
      <c r="ED36" s="16"/>
      <c r="EE36" s="16"/>
      <c r="EF36" s="16"/>
      <c r="EG36" s="16"/>
    </row>
    <row r="37" spans="2:137" ht="108" customHeight="1">
      <c r="B37" s="613"/>
      <c r="G37" s="613"/>
      <c r="H37" s="613"/>
      <c r="I37" s="613"/>
      <c r="J37" s="613"/>
      <c r="K37" s="613"/>
      <c r="L37" s="613"/>
      <c r="M37" s="613"/>
      <c r="N37" s="613"/>
      <c r="O37" s="613"/>
      <c r="P37" s="613"/>
      <c r="Q37" s="613"/>
      <c r="AM37" s="619" t="s">
        <v>770</v>
      </c>
      <c r="AN37" s="675" t="s">
        <v>771</v>
      </c>
      <c r="AO37" s="618"/>
      <c r="AP37" s="619" t="s">
        <v>770</v>
      </c>
      <c r="AQ37" s="676" t="s">
        <v>772</v>
      </c>
      <c r="AR37" s="619" t="s">
        <v>16</v>
      </c>
      <c r="AS37" s="623">
        <v>3</v>
      </c>
      <c r="AT37" s="623">
        <v>0.04</v>
      </c>
      <c r="EA37" s="16"/>
      <c r="EB37" s="16"/>
      <c r="EC37" s="16"/>
      <c r="ED37" s="16"/>
      <c r="EE37" s="16"/>
      <c r="EF37" s="16"/>
    </row>
    <row r="38" spans="2:137" ht="108" customHeight="1">
      <c r="B38" s="613"/>
      <c r="G38" s="613"/>
      <c r="H38" s="613"/>
      <c r="I38" s="613"/>
      <c r="J38" s="613"/>
      <c r="K38" s="613"/>
      <c r="L38" s="613"/>
      <c r="M38" s="613"/>
      <c r="N38" s="613"/>
      <c r="O38" s="613"/>
      <c r="P38" s="613"/>
      <c r="Q38" s="613"/>
      <c r="AM38" s="619" t="s">
        <v>773</v>
      </c>
      <c r="AN38" s="675" t="s">
        <v>774</v>
      </c>
      <c r="AO38" s="618"/>
      <c r="AP38" s="619" t="s">
        <v>773</v>
      </c>
      <c r="AQ38" s="676" t="s">
        <v>775</v>
      </c>
      <c r="AR38" s="619" t="s">
        <v>16</v>
      </c>
      <c r="AS38" s="623">
        <v>3</v>
      </c>
      <c r="AT38" s="623">
        <f>IF($D$18="A",0.06,0.04)</f>
        <v>0.04</v>
      </c>
      <c r="EA38" s="16"/>
      <c r="EB38" s="16"/>
      <c r="EC38" s="16"/>
      <c r="ED38" s="16"/>
      <c r="EE38" s="16"/>
      <c r="EF38" s="16"/>
    </row>
    <row r="39" spans="2:137" ht="108" customHeight="1">
      <c r="B39" s="613"/>
      <c r="G39" s="613"/>
      <c r="H39" s="613"/>
      <c r="I39" s="613"/>
      <c r="J39" s="613"/>
      <c r="K39" s="613"/>
      <c r="L39" s="613"/>
      <c r="M39" s="613"/>
      <c r="N39" s="613"/>
      <c r="O39" s="613"/>
      <c r="P39" s="613"/>
      <c r="Q39" s="613"/>
      <c r="AC39" s="829"/>
      <c r="AD39" s="829"/>
      <c r="AE39" s="829"/>
      <c r="AF39" s="829"/>
      <c r="AM39" s="619" t="s">
        <v>776</v>
      </c>
      <c r="AN39" s="675" t="s">
        <v>777</v>
      </c>
      <c r="AO39" s="618"/>
      <c r="AP39" s="619" t="s">
        <v>776</v>
      </c>
      <c r="AQ39" s="676" t="s">
        <v>778</v>
      </c>
      <c r="AR39" s="619" t="s">
        <v>102</v>
      </c>
      <c r="AS39" s="623">
        <v>3</v>
      </c>
      <c r="AT39" s="623">
        <f>IF($D$18="A",0.06,0.04)</f>
        <v>0.04</v>
      </c>
      <c r="EA39" s="16"/>
      <c r="EB39" s="16"/>
      <c r="EC39" s="16"/>
      <c r="ED39" s="16"/>
      <c r="EE39" s="16"/>
      <c r="EF39" s="16"/>
    </row>
    <row r="40" spans="2:137" ht="108" customHeight="1">
      <c r="B40" s="613"/>
      <c r="G40" s="613"/>
      <c r="H40" s="613"/>
      <c r="I40" s="613"/>
      <c r="J40" s="613"/>
      <c r="K40" s="613"/>
      <c r="L40" s="613"/>
      <c r="M40" s="613"/>
      <c r="N40" s="613"/>
      <c r="O40" s="613"/>
      <c r="P40" s="613"/>
      <c r="Q40" s="613"/>
      <c r="AM40" s="619" t="s">
        <v>779</v>
      </c>
      <c r="AN40" s="675" t="s">
        <v>780</v>
      </c>
      <c r="AO40" s="618"/>
      <c r="AP40" s="619" t="s">
        <v>779</v>
      </c>
      <c r="AQ40" s="676" t="s">
        <v>781</v>
      </c>
      <c r="AR40" s="619" t="s">
        <v>16</v>
      </c>
      <c r="AS40" s="623">
        <v>3</v>
      </c>
      <c r="AT40" s="677">
        <v>0.04</v>
      </c>
      <c r="EA40" s="16"/>
      <c r="EB40" s="16"/>
      <c r="EC40" s="16"/>
      <c r="ED40" s="16"/>
      <c r="EE40" s="16"/>
      <c r="EF40" s="16"/>
    </row>
    <row r="41" spans="2:137" ht="108" customHeight="1">
      <c r="AM41" s="619" t="s">
        <v>782</v>
      </c>
      <c r="AN41" s="675" t="s">
        <v>783</v>
      </c>
      <c r="AO41" s="618"/>
      <c r="AP41" s="619" t="s">
        <v>782</v>
      </c>
      <c r="AQ41" s="676" t="s">
        <v>784</v>
      </c>
      <c r="AR41" s="619" t="s">
        <v>16</v>
      </c>
      <c r="AS41" s="623">
        <v>3</v>
      </c>
      <c r="AT41" s="677">
        <v>0.06</v>
      </c>
      <c r="EA41" s="16"/>
      <c r="EB41" s="16"/>
      <c r="EC41" s="16"/>
      <c r="ED41" s="16"/>
      <c r="EE41" s="16"/>
      <c r="EF41" s="16"/>
    </row>
    <row r="42" spans="2:137" ht="108" customHeight="1">
      <c r="AM42" s="619" t="s">
        <v>785</v>
      </c>
      <c r="AN42" s="675" t="s">
        <v>786</v>
      </c>
      <c r="AO42" s="618"/>
      <c r="AP42" s="619" t="s">
        <v>785</v>
      </c>
      <c r="AQ42" s="676" t="s">
        <v>787</v>
      </c>
      <c r="AR42" s="619" t="s">
        <v>102</v>
      </c>
      <c r="AS42" s="623">
        <v>6</v>
      </c>
      <c r="AT42" s="677">
        <v>0.06</v>
      </c>
      <c r="EA42" s="16"/>
      <c r="EB42" s="16"/>
      <c r="EC42" s="16"/>
      <c r="ED42" s="16"/>
      <c r="EE42" s="16"/>
      <c r="EF42" s="16"/>
    </row>
    <row r="43" spans="2:137" ht="108" customHeight="1">
      <c r="AM43" s="619" t="s">
        <v>788</v>
      </c>
      <c r="AN43" s="675" t="s">
        <v>789</v>
      </c>
      <c r="AO43" s="618"/>
      <c r="AP43" s="619" t="s">
        <v>788</v>
      </c>
      <c r="AQ43" s="676" t="s">
        <v>790</v>
      </c>
      <c r="AR43" s="619" t="s">
        <v>16</v>
      </c>
      <c r="AS43" s="623">
        <v>6</v>
      </c>
      <c r="AT43" s="677">
        <v>0.06</v>
      </c>
      <c r="EA43" s="16"/>
      <c r="EB43" s="16"/>
      <c r="EC43" s="16"/>
      <c r="ED43" s="16"/>
      <c r="EE43" s="16"/>
      <c r="EF43" s="16"/>
    </row>
    <row r="44" spans="2:137" ht="108" customHeight="1">
      <c r="AM44" s="619" t="s">
        <v>791</v>
      </c>
      <c r="AN44" s="675" t="s">
        <v>792</v>
      </c>
      <c r="AO44" s="618"/>
      <c r="AP44" s="619" t="s">
        <v>791</v>
      </c>
      <c r="AQ44" s="676" t="s">
        <v>793</v>
      </c>
      <c r="AR44" s="619" t="s">
        <v>16</v>
      </c>
      <c r="AS44" s="623">
        <v>3</v>
      </c>
      <c r="AT44" s="677">
        <v>0.06</v>
      </c>
      <c r="EA44" s="16"/>
      <c r="EB44" s="16"/>
      <c r="EC44" s="16"/>
      <c r="ED44" s="16"/>
      <c r="EE44" s="16"/>
      <c r="EF44" s="16"/>
    </row>
    <row r="45" spans="2:137" ht="120" customHeight="1">
      <c r="AM45" s="619" t="s">
        <v>794</v>
      </c>
      <c r="AN45" s="675" t="s">
        <v>666</v>
      </c>
      <c r="AO45" s="618"/>
      <c r="AP45" s="619" t="s">
        <v>794</v>
      </c>
      <c r="AQ45" s="676" t="s">
        <v>795</v>
      </c>
      <c r="AR45" s="618"/>
      <c r="AS45" s="618"/>
      <c r="AT45" s="618"/>
      <c r="EA45" s="16"/>
      <c r="EB45" s="16"/>
      <c r="EC45" s="16"/>
      <c r="ED45" s="16"/>
      <c r="EE45" s="16"/>
      <c r="EF45" s="16"/>
    </row>
    <row r="46" spans="2:137" ht="126.75" customHeight="1">
      <c r="AM46" s="619" t="s">
        <v>796</v>
      </c>
      <c r="AN46" s="675" t="s">
        <v>797</v>
      </c>
      <c r="AO46" s="618"/>
      <c r="AP46" s="619" t="s">
        <v>796</v>
      </c>
      <c r="AQ46" s="676" t="s">
        <v>798</v>
      </c>
      <c r="AR46" s="619" t="s">
        <v>16</v>
      </c>
      <c r="AS46" s="623">
        <v>3</v>
      </c>
      <c r="AT46" s="677">
        <v>0.06</v>
      </c>
      <c r="EA46" s="16"/>
      <c r="EB46" s="16"/>
      <c r="EC46" s="16"/>
      <c r="ED46" s="16"/>
      <c r="EE46" s="16"/>
      <c r="EF46" s="16"/>
    </row>
    <row r="47" spans="2:137">
      <c r="F47" s="678"/>
      <c r="G47" s="601"/>
      <c r="AM47" s="618"/>
      <c r="AN47" s="618"/>
      <c r="AO47" s="618"/>
      <c r="AP47" s="619"/>
      <c r="AQ47" s="676" t="s">
        <v>799</v>
      </c>
      <c r="AR47" s="619"/>
      <c r="AS47" s="623"/>
      <c r="AT47" s="677"/>
      <c r="EA47" s="16"/>
      <c r="EB47" s="16"/>
      <c r="EC47" s="16"/>
      <c r="ED47" s="16"/>
      <c r="EE47" s="16"/>
      <c r="EF47" s="16"/>
    </row>
    <row r="48" spans="2:137" ht="12.75">
      <c r="E48" s="678"/>
      <c r="F48" s="678"/>
      <c r="G48" s="601"/>
      <c r="EA48" s="16"/>
      <c r="EB48" s="16"/>
      <c r="EC48" s="16"/>
      <c r="ED48" s="16"/>
      <c r="EE48" s="16"/>
      <c r="EF48" s="16"/>
    </row>
    <row r="49" spans="5:136" ht="12.75">
      <c r="E49" s="678"/>
      <c r="F49" s="678"/>
      <c r="G49" s="601"/>
      <c r="EA49" s="16"/>
      <c r="EB49" s="16"/>
      <c r="EC49" s="16"/>
      <c r="ED49" s="16"/>
      <c r="EE49" s="16"/>
      <c r="EF49" s="16"/>
    </row>
    <row r="50" spans="5:136" ht="12.75">
      <c r="E50" s="678"/>
      <c r="EA50" s="16"/>
      <c r="EB50" s="16"/>
      <c r="EC50" s="16"/>
      <c r="ED50" s="16"/>
      <c r="EE50" s="16"/>
      <c r="EF50" s="16"/>
    </row>
    <row r="51" spans="5:136" ht="12.75">
      <c r="EA51" s="16"/>
      <c r="EB51" s="102"/>
      <c r="EC51" s="102"/>
      <c r="ED51" s="102"/>
      <c r="EE51" s="102"/>
      <c r="EF51" s="102"/>
    </row>
    <row r="52" spans="5:136" ht="12.75">
      <c r="EA52" s="16"/>
      <c r="EB52" s="16"/>
      <c r="EC52" s="16"/>
      <c r="ED52" s="16"/>
      <c r="EE52" s="16"/>
      <c r="EF52" s="16"/>
    </row>
    <row r="53" spans="5:136" ht="12.75">
      <c r="EA53" s="16"/>
      <c r="EB53" s="16"/>
      <c r="EC53" s="16"/>
      <c r="ED53" s="16"/>
      <c r="EE53" s="16"/>
      <c r="EF53" s="16"/>
    </row>
    <row r="54" spans="5:136" ht="12.75">
      <c r="EA54" s="16"/>
      <c r="EB54" s="16"/>
      <c r="EC54" s="16"/>
      <c r="ED54" s="16"/>
      <c r="EE54" s="16"/>
      <c r="EF54" s="16"/>
    </row>
    <row r="55" spans="5:136" ht="12.75">
      <c r="EA55" s="16"/>
      <c r="EB55" s="16"/>
      <c r="EC55" s="16"/>
      <c r="ED55" s="16"/>
      <c r="EE55" s="16"/>
      <c r="EF55" s="16"/>
    </row>
    <row r="56" spans="5:136" ht="12.75">
      <c r="EA56" s="16"/>
      <c r="EB56" s="16"/>
      <c r="EC56" s="16"/>
      <c r="ED56" s="16"/>
      <c r="EE56" s="16"/>
      <c r="EF56" s="16"/>
    </row>
    <row r="57" spans="5:136" ht="12.75">
      <c r="EA57" s="16"/>
      <c r="EB57" s="16"/>
      <c r="EC57" s="16"/>
      <c r="ED57" s="16"/>
      <c r="EE57" s="16"/>
      <c r="EF57" s="16"/>
    </row>
    <row r="58" spans="5:136" ht="12.75">
      <c r="EA58" s="16"/>
      <c r="EB58" s="16"/>
      <c r="EC58" s="16"/>
      <c r="ED58" s="16"/>
      <c r="EE58" s="16"/>
      <c r="EF58" s="16"/>
    </row>
    <row r="59" spans="5:136" ht="12.75">
      <c r="EA59" s="16"/>
      <c r="EB59" s="16"/>
      <c r="EC59" s="16"/>
      <c r="ED59" s="16"/>
      <c r="EE59" s="16"/>
      <c r="EF59" s="16"/>
    </row>
    <row r="60" spans="5:136" ht="12.75">
      <c r="EA60" s="16"/>
      <c r="EB60" s="16"/>
      <c r="EC60" s="16"/>
      <c r="ED60" s="16"/>
      <c r="EE60" s="16"/>
      <c r="EF60" s="16"/>
    </row>
    <row r="61" spans="5:136" ht="12.75">
      <c r="EA61" s="16"/>
      <c r="EB61" s="16"/>
      <c r="EC61" s="16"/>
      <c r="ED61" s="16"/>
      <c r="EE61" s="16"/>
      <c r="EF61" s="16"/>
    </row>
    <row r="62" spans="5:136" ht="12.75">
      <c r="EA62" s="16"/>
      <c r="EB62" s="16"/>
      <c r="EC62" s="16"/>
      <c r="ED62" s="16"/>
      <c r="EE62" s="16"/>
      <c r="EF62" s="16"/>
    </row>
    <row r="63" spans="5:136" ht="12.75">
      <c r="EA63" s="16"/>
      <c r="EB63" s="16"/>
      <c r="EC63" s="16"/>
      <c r="ED63" s="16"/>
      <c r="EE63" s="16"/>
      <c r="EF63" s="16"/>
    </row>
    <row r="64" spans="5:136" ht="12.75">
      <c r="EA64" s="16"/>
      <c r="EB64" s="16"/>
      <c r="EC64" s="16"/>
      <c r="ED64" s="16"/>
      <c r="EE64" s="16"/>
      <c r="EF64" s="16"/>
    </row>
    <row r="65" spans="131:136" ht="12.75">
      <c r="EA65" s="16"/>
      <c r="EB65" s="16"/>
      <c r="EC65" s="16"/>
      <c r="ED65" s="16"/>
      <c r="EE65" s="16"/>
      <c r="EF65" s="16"/>
    </row>
    <row r="66" spans="131:136" ht="12.75">
      <c r="EA66" s="16"/>
      <c r="EB66" s="16"/>
      <c r="EC66" s="16"/>
      <c r="ED66" s="16"/>
      <c r="EE66" s="16"/>
      <c r="EF66" s="16"/>
    </row>
    <row r="67" spans="131:136" ht="12.75">
      <c r="EA67" s="16"/>
      <c r="EB67" s="16"/>
      <c r="EC67" s="16"/>
      <c r="ED67" s="16"/>
      <c r="EE67" s="16"/>
      <c r="EF67" s="16"/>
    </row>
    <row r="68" spans="131:136" ht="12.75">
      <c r="EA68" s="16"/>
      <c r="EB68" s="16"/>
      <c r="EC68" s="16"/>
      <c r="ED68" s="16"/>
      <c r="EE68" s="16"/>
      <c r="EF68" s="16"/>
    </row>
    <row r="71" spans="131:136" ht="12.75">
      <c r="EA71" s="16"/>
      <c r="EB71" s="16"/>
      <c r="EC71" s="16"/>
      <c r="ED71" s="16"/>
      <c r="EE71" s="16"/>
      <c r="EF71" s="16"/>
    </row>
    <row r="72" spans="131:136" ht="12.75">
      <c r="EA72" s="16"/>
      <c r="EB72" s="16"/>
      <c r="EC72" s="16"/>
      <c r="ED72" s="16"/>
      <c r="EE72" s="16"/>
      <c r="EF72" s="16"/>
    </row>
    <row r="73" spans="131:136" ht="12.75">
      <c r="EA73" s="16"/>
      <c r="EB73" s="16"/>
      <c r="EC73" s="16"/>
      <c r="ED73" s="16"/>
      <c r="EE73" s="16"/>
      <c r="EF73" s="16"/>
    </row>
    <row r="74" spans="131:136" ht="12.75">
      <c r="EA74" s="16"/>
      <c r="EB74" s="16"/>
      <c r="EC74" s="16"/>
      <c r="ED74" s="16"/>
      <c r="EE74" s="16"/>
      <c r="EF74" s="16"/>
    </row>
    <row r="75" spans="131:136" ht="12.75">
      <c r="EA75" s="16"/>
      <c r="EB75" s="16"/>
      <c r="EC75" s="16"/>
      <c r="ED75" s="16"/>
      <c r="EE75" s="16"/>
      <c r="EF75" s="16"/>
    </row>
    <row r="76" spans="131:136" ht="12.75">
      <c r="EA76" s="16"/>
      <c r="EB76" s="16"/>
      <c r="EC76" s="16"/>
      <c r="ED76" s="16"/>
      <c r="EE76" s="16"/>
      <c r="EF76" s="16"/>
    </row>
    <row r="77" spans="131:136" ht="12.75">
      <c r="EA77" s="16"/>
      <c r="EB77" s="16"/>
      <c r="EC77" s="16"/>
      <c r="ED77" s="16"/>
      <c r="EE77" s="16"/>
      <c r="EF77" s="16"/>
    </row>
    <row r="78" spans="131:136" ht="12.75">
      <c r="EA78" s="16"/>
      <c r="EB78" s="16"/>
      <c r="EC78" s="16"/>
      <c r="ED78" s="16"/>
      <c r="EE78" s="16"/>
      <c r="EF78" s="16"/>
    </row>
    <row r="79" spans="131:136" ht="12.75">
      <c r="EA79" s="16"/>
      <c r="EB79" s="16"/>
      <c r="EC79" s="16"/>
      <c r="ED79" s="16"/>
      <c r="EE79" s="16"/>
      <c r="EF79" s="16"/>
    </row>
    <row r="80" spans="131:136" ht="12.75">
      <c r="EA80" s="16"/>
      <c r="EB80" s="16"/>
      <c r="EC80" s="16"/>
      <c r="ED80" s="16"/>
      <c r="EE80" s="16"/>
      <c r="EF80" s="16"/>
    </row>
    <row r="81" spans="131:136" ht="12.75">
      <c r="EA81" s="16"/>
      <c r="EB81" s="16"/>
      <c r="EC81" s="16"/>
      <c r="ED81" s="16"/>
      <c r="EE81" s="16"/>
      <c r="EF81" s="16"/>
    </row>
    <row r="82" spans="131:136" ht="12.75">
      <c r="EA82" s="16"/>
      <c r="EB82" s="16"/>
      <c r="EC82" s="16"/>
      <c r="ED82" s="16"/>
      <c r="EE82" s="16"/>
      <c r="EF82" s="16"/>
    </row>
    <row r="83" spans="131:136" ht="12.75">
      <c r="EA83" s="16"/>
      <c r="EB83" s="16"/>
      <c r="EC83" s="16"/>
      <c r="ED83" s="16"/>
      <c r="EE83" s="16"/>
      <c r="EF83" s="16"/>
    </row>
    <row r="84" spans="131:136" ht="12.75">
      <c r="EA84" s="16"/>
      <c r="EB84" s="16"/>
      <c r="EC84" s="16"/>
      <c r="ED84" s="16"/>
      <c r="EE84" s="16"/>
      <c r="EF84" s="16"/>
    </row>
    <row r="85" spans="131:136" ht="12.75">
      <c r="EA85" s="16"/>
      <c r="EB85" s="16"/>
      <c r="EC85" s="16"/>
      <c r="ED85" s="16"/>
      <c r="EE85" s="16"/>
      <c r="EF85" s="16"/>
    </row>
    <row r="86" spans="131:136" ht="12.75">
      <c r="EA86" s="16"/>
      <c r="EB86" s="16"/>
      <c r="EC86" s="16"/>
      <c r="ED86" s="16"/>
      <c r="EE86" s="16"/>
      <c r="EF86" s="16"/>
    </row>
    <row r="87" spans="131:136" ht="12.75">
      <c r="EA87" s="16"/>
      <c r="EB87" s="16"/>
      <c r="EC87" s="16"/>
      <c r="ED87" s="16"/>
      <c r="EE87" s="16"/>
      <c r="EF87" s="16"/>
    </row>
    <row r="88" spans="131:136" ht="12.75">
      <c r="EA88" s="16"/>
      <c r="EB88" s="16"/>
      <c r="EC88" s="16"/>
      <c r="ED88" s="16"/>
      <c r="EE88" s="16"/>
      <c r="EF88" s="16"/>
    </row>
    <row r="89" spans="131:136" ht="12.75">
      <c r="EA89" s="16"/>
      <c r="EB89" s="16"/>
      <c r="EC89" s="16"/>
      <c r="ED89" s="16"/>
      <c r="EE89" s="16"/>
      <c r="EF89" s="16"/>
    </row>
    <row r="90" spans="131:136" ht="12.75">
      <c r="EA90" s="16"/>
      <c r="EB90" s="16"/>
      <c r="EC90" s="16"/>
      <c r="ED90" s="16"/>
      <c r="EE90" s="16"/>
      <c r="EF90" s="16"/>
    </row>
    <row r="91" spans="131:136" ht="12.75">
      <c r="EA91" s="16"/>
      <c r="EB91" s="16"/>
      <c r="EC91" s="16"/>
      <c r="ED91" s="16"/>
      <c r="EE91" s="16"/>
      <c r="EF91" s="16"/>
    </row>
    <row r="92" spans="131:136" ht="12.75">
      <c r="EA92" s="16"/>
      <c r="EB92" s="16"/>
      <c r="EC92" s="16"/>
      <c r="ED92" s="16"/>
      <c r="EE92" s="16"/>
      <c r="EF92" s="16"/>
    </row>
    <row r="93" spans="131:136" ht="12.75">
      <c r="EA93" s="16"/>
      <c r="EB93" s="100" t="s">
        <v>61</v>
      </c>
      <c r="EC93" s="16"/>
      <c r="ED93" s="16"/>
      <c r="EE93" s="16"/>
      <c r="EF93" s="16"/>
    </row>
    <row r="94" spans="131:136" ht="12.75">
      <c r="EA94" s="16"/>
      <c r="EB94" s="100" t="s">
        <v>62</v>
      </c>
      <c r="EC94" s="16"/>
      <c r="ED94" s="16"/>
      <c r="EE94" s="16"/>
      <c r="EF94" s="16"/>
    </row>
    <row r="95" spans="131:136" ht="12.75">
      <c r="EA95" s="16"/>
      <c r="EB95" s="101" t="s">
        <v>800</v>
      </c>
      <c r="EC95" s="16"/>
      <c r="ED95" s="16"/>
      <c r="EE95" s="16"/>
      <c r="EF95" s="16"/>
    </row>
    <row r="96" spans="131:136" ht="12.75">
      <c r="EA96" s="16"/>
      <c r="EB96" s="16"/>
      <c r="EC96" s="16"/>
      <c r="ED96" s="16"/>
      <c r="EE96" s="16"/>
      <c r="EF96" s="16"/>
    </row>
    <row r="97" spans="131:136" ht="12.75">
      <c r="EA97" s="16"/>
      <c r="EB97" s="16"/>
      <c r="EC97" s="16"/>
      <c r="ED97" s="16"/>
      <c r="EE97" s="16"/>
      <c r="EF97" s="16"/>
    </row>
    <row r="98" spans="131:136" ht="12.75">
      <c r="EA98" s="16"/>
      <c r="EB98" s="16"/>
      <c r="EC98" s="16"/>
      <c r="ED98" s="16"/>
      <c r="EE98" s="16"/>
      <c r="EF98" s="16"/>
    </row>
    <row r="99" spans="131:136" ht="12.75">
      <c r="EA99" s="16"/>
      <c r="EB99" s="16"/>
      <c r="EC99" s="16"/>
      <c r="ED99" s="16"/>
      <c r="EE99" s="16"/>
      <c r="EF99" s="16"/>
    </row>
    <row r="100" spans="131:136" ht="12.75">
      <c r="EA100" s="16"/>
      <c r="EB100" s="16"/>
      <c r="EC100" s="16"/>
      <c r="ED100" s="16"/>
      <c r="EE100" s="16"/>
      <c r="EF100" s="16"/>
    </row>
    <row r="101" spans="131:136" ht="12.75">
      <c r="EA101" s="16"/>
      <c r="EB101" s="16"/>
      <c r="EC101" s="16"/>
      <c r="ED101" s="16"/>
      <c r="EE101" s="16"/>
      <c r="EF101" s="16"/>
    </row>
    <row r="102" spans="131:136" ht="12.75">
      <c r="EA102" s="16"/>
      <c r="EB102" s="16"/>
      <c r="EC102" s="16"/>
      <c r="ED102" s="16"/>
      <c r="EE102" s="16"/>
      <c r="EF102" s="16"/>
    </row>
    <row r="103" spans="131:136" ht="12.75">
      <c r="EA103" s="16"/>
      <c r="EB103" s="16"/>
      <c r="EC103" s="16"/>
      <c r="ED103" s="16"/>
      <c r="EE103" s="16"/>
      <c r="EF103" s="16"/>
    </row>
    <row r="104" spans="131:136" ht="12.75">
      <c r="EA104" s="16"/>
      <c r="EB104" s="102" t="s">
        <v>907</v>
      </c>
      <c r="EC104" s="16"/>
      <c r="ED104" s="16"/>
      <c r="EE104" s="16"/>
      <c r="EF104" s="16"/>
    </row>
    <row r="105" spans="131:136" ht="12.75">
      <c r="EA105" s="16"/>
      <c r="EB105" s="102"/>
      <c r="EC105" s="16"/>
      <c r="ED105" s="16"/>
      <c r="EE105" s="16"/>
      <c r="EF105" s="16"/>
    </row>
    <row r="106" spans="131:136" ht="12.75">
      <c r="EA106" s="16"/>
      <c r="EB106" s="102"/>
      <c r="EC106" s="16"/>
      <c r="ED106" s="16"/>
      <c r="EE106" s="16"/>
      <c r="EF106" s="16"/>
    </row>
    <row r="107" spans="131:136" ht="12.75">
      <c r="EA107" s="16"/>
      <c r="EB107" s="102"/>
      <c r="EC107" s="16"/>
      <c r="ED107" s="16"/>
      <c r="EE107" s="16"/>
      <c r="EF107" s="16"/>
    </row>
    <row r="108" spans="131:136" ht="12.75">
      <c r="EA108" s="16"/>
      <c r="EB108" s="102"/>
      <c r="EC108" s="16"/>
      <c r="ED108" s="16"/>
      <c r="EE108" s="16"/>
      <c r="EF108" s="16"/>
    </row>
    <row r="109" spans="131:136" ht="12.75">
      <c r="EA109" s="16"/>
      <c r="EB109" s="102"/>
      <c r="EC109" s="16"/>
      <c r="ED109" s="16"/>
      <c r="EE109" s="16"/>
      <c r="EF109" s="16"/>
    </row>
    <row r="110" spans="131:136" ht="12.75">
      <c r="EA110" s="16"/>
      <c r="EB110" s="102"/>
      <c r="EC110" s="16"/>
      <c r="ED110" s="16"/>
      <c r="EE110" s="16"/>
      <c r="EF110" s="16"/>
    </row>
    <row r="111" spans="131:136" ht="12.75">
      <c r="EA111" s="16"/>
      <c r="EB111" s="103">
        <f ca="1">NOW()</f>
        <v>45839.714934027776</v>
      </c>
      <c r="EC111" s="16"/>
      <c r="ED111" s="16"/>
      <c r="EE111" s="16"/>
      <c r="EF111" s="16"/>
    </row>
    <row r="112" spans="131:136" ht="12.75">
      <c r="EA112" s="16"/>
      <c r="EB112" s="103"/>
      <c r="EC112" s="16"/>
      <c r="ED112" s="16"/>
      <c r="EE112" s="16"/>
      <c r="EF112" s="16"/>
    </row>
    <row r="113" spans="131:136" ht="12.75">
      <c r="EA113" s="16"/>
      <c r="EB113" s="102"/>
      <c r="EC113" s="16"/>
      <c r="ED113" s="16"/>
      <c r="EE113" s="16"/>
      <c r="EF113" s="16"/>
    </row>
    <row r="114" spans="131:136" ht="12.75">
      <c r="EA114" s="16"/>
      <c r="EB114" s="102"/>
      <c r="EC114" s="16"/>
      <c r="ED114" s="16"/>
      <c r="EE114" s="16"/>
      <c r="EF114" s="16"/>
    </row>
    <row r="115" spans="131:136" ht="12.75">
      <c r="EA115" s="16"/>
      <c r="EB115" s="102"/>
      <c r="EC115" s="16"/>
      <c r="ED115" s="16"/>
      <c r="EE115" s="16"/>
      <c r="EF115" s="16"/>
    </row>
    <row r="116" spans="131:136" ht="12.75">
      <c r="EA116" s="16"/>
      <c r="EB116" s="102"/>
      <c r="EC116" s="16"/>
      <c r="ED116" s="16"/>
      <c r="EE116" s="16"/>
      <c r="EF116" s="16"/>
    </row>
    <row r="117" spans="131:136" ht="12.75">
      <c r="EA117" s="16"/>
      <c r="EB117" s="102"/>
      <c r="EC117" s="16"/>
      <c r="ED117" s="16"/>
      <c r="EE117" s="16"/>
      <c r="EF117" s="16"/>
    </row>
    <row r="118" spans="131:136" ht="12.75">
      <c r="EA118" s="16"/>
      <c r="EB118" s="102"/>
      <c r="EC118" s="16"/>
      <c r="ED118" s="16"/>
      <c r="EE118" s="16"/>
      <c r="EF118" s="16"/>
    </row>
    <row r="119" spans="131:136" ht="12.75">
      <c r="EA119" s="16"/>
      <c r="EB119" s="102"/>
      <c r="EC119" s="16"/>
      <c r="ED119" s="16"/>
      <c r="EE119" s="16"/>
      <c r="EF119" s="16"/>
    </row>
    <row r="120" spans="131:136" ht="12.75">
      <c r="EA120" s="16"/>
      <c r="EB120" s="102"/>
      <c r="EC120" s="16"/>
      <c r="ED120" s="16"/>
      <c r="EE120" s="16"/>
      <c r="EF120" s="16"/>
    </row>
    <row r="121" spans="131:136" ht="12.75">
      <c r="EA121" s="16"/>
      <c r="EB121" s="102" t="s">
        <v>331</v>
      </c>
      <c r="EC121" s="16"/>
      <c r="ED121" s="16"/>
      <c r="EE121" s="16"/>
      <c r="EF121" s="16"/>
    </row>
    <row r="122" spans="131:136" ht="12.75">
      <c r="EA122" s="16"/>
      <c r="EB122" s="102"/>
      <c r="EC122" s="16"/>
      <c r="ED122" s="16"/>
      <c r="EE122" s="16"/>
      <c r="EF122" s="16"/>
    </row>
    <row r="123" spans="131:136" ht="12.75">
      <c r="EA123" s="16"/>
      <c r="EB123" s="102"/>
      <c r="EC123" s="16"/>
      <c r="ED123" s="16"/>
      <c r="EE123" s="16"/>
      <c r="EF123" s="16"/>
    </row>
    <row r="124" spans="131:136" ht="12.75">
      <c r="EA124" s="16"/>
      <c r="EB124" s="102"/>
      <c r="EC124" s="16"/>
      <c r="ED124" s="16"/>
      <c r="EE124" s="16"/>
      <c r="EF124" s="16"/>
    </row>
    <row r="125" spans="131:136" ht="12.75">
      <c r="EA125" s="16"/>
      <c r="EB125" s="102"/>
      <c r="EC125" s="16"/>
      <c r="ED125" s="16"/>
      <c r="EE125" s="16"/>
      <c r="EF125" s="16"/>
    </row>
    <row r="126" spans="131:136" ht="12.75">
      <c r="EA126" s="16"/>
      <c r="EB126" s="102"/>
      <c r="EC126" s="16"/>
      <c r="ED126" s="16"/>
      <c r="EE126" s="16"/>
      <c r="EF126" s="16"/>
    </row>
    <row r="127" spans="131:136" ht="12.75">
      <c r="EA127" s="16"/>
      <c r="EB127" s="102"/>
      <c r="EC127" s="16"/>
      <c r="ED127" s="16"/>
      <c r="EE127" s="16"/>
      <c r="EF127" s="16"/>
    </row>
    <row r="128" spans="131:136" ht="12.75">
      <c r="EA128" s="16"/>
      <c r="EB128" s="102"/>
      <c r="EC128" s="16"/>
      <c r="ED128" s="16"/>
      <c r="EE128" s="16"/>
      <c r="EF128" s="16"/>
    </row>
    <row r="129" spans="131:136" ht="12.75">
      <c r="EA129" s="16"/>
      <c r="EB129" s="102"/>
      <c r="EC129" s="16"/>
      <c r="ED129" s="16"/>
      <c r="EE129" s="16"/>
      <c r="EF129" s="16"/>
    </row>
    <row r="130" spans="131:136" ht="12.75">
      <c r="EA130" s="16"/>
      <c r="EB130" s="102"/>
      <c r="EC130" s="16"/>
      <c r="ED130" s="16"/>
      <c r="EE130" s="16"/>
      <c r="EF130" s="16"/>
    </row>
    <row r="131" spans="131:136" ht="12.75">
      <c r="EA131" s="16"/>
      <c r="EB131" s="102"/>
      <c r="EC131" s="16"/>
      <c r="ED131" s="16"/>
      <c r="EE131" s="16"/>
      <c r="EF131" s="16"/>
    </row>
    <row r="132" spans="131:136" ht="12.75">
      <c r="EA132" s="16"/>
      <c r="EB132" s="102"/>
      <c r="EC132" s="16"/>
      <c r="ED132" s="16"/>
      <c r="EE132" s="16"/>
      <c r="EF132" s="16"/>
    </row>
    <row r="133" spans="131:136" ht="12.75">
      <c r="EA133" s="16"/>
      <c r="EB133" s="102"/>
      <c r="EC133" s="16"/>
      <c r="ED133" s="16"/>
      <c r="EE133" s="16"/>
      <c r="EF133" s="16"/>
    </row>
    <row r="134" spans="131:136" ht="12.75">
      <c r="EA134" s="16"/>
      <c r="EB134" s="102"/>
      <c r="EC134" s="16"/>
      <c r="ED134" s="16"/>
      <c r="EE134" s="16"/>
      <c r="EF134" s="16"/>
    </row>
    <row r="135" spans="131:136" ht="12.75">
      <c r="EA135" s="16"/>
      <c r="EB135" s="102"/>
      <c r="EC135" s="16"/>
      <c r="ED135" s="16"/>
      <c r="EE135" s="16"/>
      <c r="EF135" s="16"/>
    </row>
    <row r="136" spans="131:136" ht="12.75">
      <c r="EA136" s="16"/>
      <c r="EB136" s="102">
        <v>0</v>
      </c>
      <c r="EC136" s="16"/>
      <c r="ED136" s="16"/>
      <c r="EE136" s="16"/>
      <c r="EF136" s="16"/>
    </row>
    <row r="137" spans="131:136" ht="12.75">
      <c r="EA137" s="16"/>
      <c r="EB137" s="102" t="s">
        <v>165</v>
      </c>
      <c r="EC137" s="16"/>
      <c r="ED137" s="16"/>
      <c r="EE137" s="16"/>
      <c r="EF137" s="16"/>
    </row>
    <row r="138" spans="131:136" ht="12.75">
      <c r="EA138" s="16"/>
      <c r="EB138" s="102" t="s">
        <v>166</v>
      </c>
      <c r="EC138" s="16"/>
      <c r="ED138" s="16"/>
      <c r="EE138" s="16"/>
      <c r="EF138" s="16"/>
    </row>
    <row r="139" spans="131:136" ht="12.75">
      <c r="EA139" s="16"/>
      <c r="EB139" s="102" t="s">
        <v>801</v>
      </c>
      <c r="EC139" s="16"/>
      <c r="ED139" s="16"/>
      <c r="EE139" s="16"/>
      <c r="EF139" s="16"/>
    </row>
    <row r="140" spans="131:136" ht="12.75">
      <c r="EA140" s="16"/>
      <c r="EB140" s="102"/>
      <c r="EC140" s="16"/>
      <c r="ED140" s="16"/>
      <c r="EE140" s="16"/>
      <c r="EF140" s="16"/>
    </row>
    <row r="141" spans="131:136" ht="12.75">
      <c r="EA141" s="16"/>
      <c r="EB141" s="102"/>
      <c r="EC141" s="16"/>
      <c r="ED141" s="16"/>
      <c r="EE141" s="16"/>
      <c r="EF141" s="16"/>
    </row>
    <row r="142" spans="131:136" ht="12.75">
      <c r="EA142" s="16"/>
      <c r="EB142" s="102"/>
      <c r="EC142" s="16"/>
      <c r="ED142" s="16"/>
      <c r="EE142" s="16"/>
      <c r="EF142" s="16"/>
    </row>
    <row r="143" spans="131:136" ht="12.75">
      <c r="EA143" s="16"/>
      <c r="EB143" s="104">
        <f>Mods!BD4</f>
        <v>0</v>
      </c>
      <c r="EC143" s="16"/>
      <c r="ED143" s="16"/>
      <c r="EE143" s="16"/>
      <c r="EF143" s="16"/>
    </row>
    <row r="144" spans="131:136" ht="12.75">
      <c r="EA144" s="16"/>
      <c r="EB144" s="104">
        <f>EB143+0.01</f>
        <v>0.01</v>
      </c>
      <c r="EC144" s="16"/>
      <c r="ED144" s="16"/>
      <c r="EE144" s="16"/>
      <c r="EF144" s="16"/>
    </row>
    <row r="145" spans="131:136" ht="12.75">
      <c r="EA145" s="16"/>
      <c r="EB145" s="104">
        <f>EB144-EB143</f>
        <v>0.01</v>
      </c>
      <c r="EC145" s="16"/>
      <c r="ED145" s="16"/>
      <c r="EE145" s="16"/>
      <c r="EF145" s="16"/>
    </row>
    <row r="146" spans="131:136" ht="12.75">
      <c r="EA146" s="16"/>
      <c r="EB146" s="16"/>
      <c r="EC146" s="16"/>
      <c r="ED146" s="16"/>
      <c r="EE146" s="16"/>
      <c r="EF146" s="16"/>
    </row>
    <row r="147" spans="131:136" ht="12.75">
      <c r="EA147" s="16"/>
      <c r="EB147" s="16"/>
      <c r="EC147" s="16"/>
      <c r="ED147" s="16"/>
      <c r="EE147" s="16"/>
      <c r="EF147" s="16"/>
    </row>
    <row r="148" spans="131:136" ht="12.75">
      <c r="EA148" s="16"/>
      <c r="EB148" s="16"/>
      <c r="EC148" s="16"/>
      <c r="ED148" s="16"/>
      <c r="EE148" s="16"/>
      <c r="EF148" s="16"/>
    </row>
    <row r="149" spans="131:136" ht="12.75">
      <c r="EA149" s="16"/>
      <c r="EB149" s="16"/>
      <c r="EC149" s="16"/>
      <c r="ED149" s="16"/>
      <c r="EE149" s="16"/>
      <c r="EF149" s="16"/>
    </row>
    <row r="150" spans="131:136" ht="12.75">
      <c r="EA150" s="16"/>
      <c r="EB150" s="16"/>
      <c r="EC150" s="16"/>
      <c r="ED150" s="16"/>
      <c r="EE150" s="16"/>
      <c r="EF150" s="16"/>
    </row>
    <row r="151" spans="131:136" ht="12.75">
      <c r="EA151" s="16"/>
      <c r="EB151" s="16"/>
      <c r="EC151" s="16"/>
      <c r="ED151" s="16"/>
      <c r="EE151" s="16"/>
      <c r="EF151" s="16"/>
    </row>
    <row r="152" spans="131:136" ht="12.75">
      <c r="EA152" s="16"/>
      <c r="EB152" s="16"/>
      <c r="EC152" s="16"/>
      <c r="ED152" s="16"/>
      <c r="EE152" s="16"/>
      <c r="EF152" s="16"/>
    </row>
    <row r="153" spans="131:136" ht="12.75">
      <c r="EA153" s="16"/>
      <c r="EB153" s="16"/>
      <c r="EC153" s="16"/>
      <c r="ED153" s="16"/>
      <c r="EE153" s="16"/>
      <c r="EF153" s="16"/>
    </row>
    <row r="154" spans="131:136" ht="12.75">
      <c r="EA154" s="16"/>
      <c r="EB154" s="106">
        <v>1.0416666666666666E-2</v>
      </c>
      <c r="EC154" s="16"/>
      <c r="ED154" s="16"/>
      <c r="EE154" s="16"/>
      <c r="EF154" s="16"/>
    </row>
    <row r="155" spans="131:136" ht="12.75">
      <c r="EA155" s="16"/>
      <c r="EB155" s="106">
        <f>EB154+EB154</f>
        <v>2.0833333333333332E-2</v>
      </c>
      <c r="EC155" s="16"/>
      <c r="ED155" s="16"/>
      <c r="EE155" s="16"/>
      <c r="EF155" s="16"/>
    </row>
    <row r="156" spans="131:136" ht="12.75">
      <c r="EA156" s="16"/>
      <c r="EB156" s="106">
        <f>EB155+$CB$154</f>
        <v>2.0833333333333332E-2</v>
      </c>
      <c r="EC156" s="16"/>
      <c r="ED156" s="16"/>
      <c r="EE156" s="16"/>
      <c r="EF156" s="16"/>
    </row>
    <row r="157" spans="131:136" ht="12.75">
      <c r="EA157" s="16"/>
      <c r="EB157" s="106">
        <f t="shared" ref="EB157:EB204" si="10">EB156+$CB$154</f>
        <v>2.0833333333333332E-2</v>
      </c>
      <c r="EC157" s="16"/>
      <c r="ED157" s="16"/>
      <c r="EE157" s="16"/>
      <c r="EF157" s="16"/>
    </row>
    <row r="158" spans="131:136" ht="12.75">
      <c r="EA158" s="16"/>
      <c r="EB158" s="106">
        <f t="shared" si="10"/>
        <v>2.0833333333333332E-2</v>
      </c>
      <c r="EC158" s="16"/>
      <c r="ED158" s="16"/>
      <c r="EE158" s="16"/>
      <c r="EF158" s="16"/>
    </row>
    <row r="159" spans="131:136" ht="12.75">
      <c r="EA159" s="16"/>
      <c r="EB159" s="106">
        <f t="shared" si="10"/>
        <v>2.0833333333333332E-2</v>
      </c>
      <c r="EC159" s="16"/>
      <c r="ED159" s="16"/>
      <c r="EE159" s="16"/>
      <c r="EF159" s="16"/>
    </row>
    <row r="160" spans="131:136" ht="12.75">
      <c r="EA160" s="16"/>
      <c r="EB160" s="106">
        <f t="shared" si="10"/>
        <v>2.0833333333333332E-2</v>
      </c>
      <c r="EC160" s="16"/>
      <c r="ED160" s="16"/>
      <c r="EE160" s="16"/>
      <c r="EF160" s="16"/>
    </row>
    <row r="161" spans="131:136" ht="12.75">
      <c r="EA161" s="16"/>
      <c r="EB161" s="106">
        <f t="shared" si="10"/>
        <v>2.0833333333333332E-2</v>
      </c>
      <c r="EC161" s="16"/>
      <c r="ED161" s="16"/>
      <c r="EE161" s="16"/>
      <c r="EF161" s="16"/>
    </row>
    <row r="162" spans="131:136" ht="12.75">
      <c r="EA162" s="16"/>
      <c r="EB162" s="106">
        <f t="shared" si="10"/>
        <v>2.0833333333333332E-2</v>
      </c>
      <c r="EC162" s="16"/>
      <c r="ED162" s="16"/>
      <c r="EE162" s="16"/>
      <c r="EF162" s="16"/>
    </row>
    <row r="163" spans="131:136" ht="12.75">
      <c r="EA163" s="16"/>
      <c r="EB163" s="106">
        <f t="shared" si="10"/>
        <v>2.0833333333333332E-2</v>
      </c>
      <c r="EC163" s="16"/>
      <c r="ED163" s="16"/>
      <c r="EE163" s="16"/>
      <c r="EF163" s="16"/>
    </row>
    <row r="164" spans="131:136" ht="12.75">
      <c r="EA164" s="16"/>
      <c r="EB164" s="106">
        <f t="shared" si="10"/>
        <v>2.0833333333333332E-2</v>
      </c>
      <c r="EC164" s="16"/>
      <c r="ED164" s="16"/>
      <c r="EE164" s="16"/>
      <c r="EF164" s="16"/>
    </row>
    <row r="165" spans="131:136" ht="12.75">
      <c r="EA165" s="16"/>
      <c r="EB165" s="106">
        <f t="shared" si="10"/>
        <v>2.0833333333333332E-2</v>
      </c>
      <c r="EC165" s="16"/>
      <c r="ED165" s="16"/>
      <c r="EE165" s="16"/>
      <c r="EF165" s="16"/>
    </row>
    <row r="166" spans="131:136" ht="12.75">
      <c r="EA166" s="16"/>
      <c r="EB166" s="106">
        <f t="shared" si="10"/>
        <v>2.0833333333333332E-2</v>
      </c>
      <c r="EC166" s="16"/>
      <c r="ED166" s="16"/>
      <c r="EE166" s="16"/>
      <c r="EF166" s="16"/>
    </row>
    <row r="167" spans="131:136" ht="12.75">
      <c r="EA167" s="16"/>
      <c r="EB167" s="106">
        <f t="shared" si="10"/>
        <v>2.0833333333333332E-2</v>
      </c>
      <c r="EC167" s="16"/>
      <c r="ED167" s="16"/>
      <c r="EE167" s="16"/>
      <c r="EF167" s="16"/>
    </row>
    <row r="168" spans="131:136" ht="12.75">
      <c r="EA168" s="16"/>
      <c r="EB168" s="106">
        <f t="shared" si="10"/>
        <v>2.0833333333333332E-2</v>
      </c>
      <c r="EC168" s="16"/>
      <c r="ED168" s="16"/>
      <c r="EE168" s="16"/>
      <c r="EF168" s="16"/>
    </row>
    <row r="169" spans="131:136" ht="12.75">
      <c r="EA169" s="16"/>
      <c r="EB169" s="106">
        <f t="shared" si="10"/>
        <v>2.0833333333333332E-2</v>
      </c>
      <c r="EC169" s="16"/>
      <c r="ED169" s="16"/>
      <c r="EE169" s="16"/>
      <c r="EF169" s="16"/>
    </row>
    <row r="170" spans="131:136" ht="12.75">
      <c r="EA170" s="16"/>
      <c r="EB170" s="106">
        <f t="shared" si="10"/>
        <v>2.0833333333333332E-2</v>
      </c>
      <c r="EC170" s="16"/>
      <c r="ED170" s="16"/>
      <c r="EE170" s="16"/>
      <c r="EF170" s="16"/>
    </row>
    <row r="171" spans="131:136" ht="12.75">
      <c r="EA171" s="16"/>
      <c r="EB171" s="106">
        <f t="shared" si="10"/>
        <v>2.0833333333333332E-2</v>
      </c>
      <c r="EC171" s="16"/>
      <c r="ED171" s="16"/>
      <c r="EE171" s="16"/>
      <c r="EF171" s="16"/>
    </row>
    <row r="172" spans="131:136" ht="12.75">
      <c r="EA172" s="16"/>
      <c r="EB172" s="106">
        <f t="shared" si="10"/>
        <v>2.0833333333333332E-2</v>
      </c>
      <c r="EC172" s="16"/>
      <c r="ED172" s="16"/>
      <c r="EE172" s="16"/>
      <c r="EF172" s="16"/>
    </row>
    <row r="173" spans="131:136" ht="12.75">
      <c r="EA173" s="16"/>
      <c r="EB173" s="106">
        <f t="shared" si="10"/>
        <v>2.0833333333333332E-2</v>
      </c>
      <c r="EC173" s="16"/>
      <c r="ED173" s="16"/>
      <c r="EE173" s="16"/>
      <c r="EF173" s="16"/>
    </row>
    <row r="174" spans="131:136" ht="12.75">
      <c r="EA174" s="16"/>
      <c r="EB174" s="106">
        <f t="shared" si="10"/>
        <v>2.0833333333333332E-2</v>
      </c>
      <c r="EC174" s="16"/>
      <c r="ED174" s="16"/>
      <c r="EE174" s="16"/>
      <c r="EF174" s="16"/>
    </row>
    <row r="175" spans="131:136" ht="12.75">
      <c r="EA175" s="16"/>
      <c r="EB175" s="106">
        <f t="shared" si="10"/>
        <v>2.0833333333333332E-2</v>
      </c>
      <c r="EC175" s="16"/>
      <c r="ED175" s="16"/>
      <c r="EE175" s="16"/>
      <c r="EF175" s="16"/>
    </row>
    <row r="176" spans="131:136" ht="12.75">
      <c r="EA176" s="16"/>
      <c r="EB176" s="106">
        <f t="shared" si="10"/>
        <v>2.0833333333333332E-2</v>
      </c>
      <c r="EC176" s="16"/>
      <c r="ED176" s="16"/>
      <c r="EE176" s="16"/>
      <c r="EF176" s="16"/>
    </row>
    <row r="177" spans="131:136" ht="12.75">
      <c r="EA177" s="16"/>
      <c r="EB177" s="106">
        <f t="shared" si="10"/>
        <v>2.0833333333333332E-2</v>
      </c>
      <c r="EC177" s="16"/>
      <c r="ED177" s="16"/>
      <c r="EE177" s="16"/>
      <c r="EF177" s="16"/>
    </row>
    <row r="178" spans="131:136" ht="12.75">
      <c r="EA178" s="16"/>
      <c r="EB178" s="106">
        <f t="shared" si="10"/>
        <v>2.0833333333333332E-2</v>
      </c>
      <c r="EC178" s="16"/>
      <c r="ED178" s="16"/>
      <c r="EE178" s="16"/>
      <c r="EF178" s="16"/>
    </row>
    <row r="179" spans="131:136" ht="12.75">
      <c r="EA179" s="16"/>
      <c r="EB179" s="106">
        <f t="shared" si="10"/>
        <v>2.0833333333333332E-2</v>
      </c>
      <c r="EC179" s="16"/>
      <c r="ED179" s="16"/>
      <c r="EE179" s="16"/>
      <c r="EF179" s="16"/>
    </row>
    <row r="180" spans="131:136" ht="12.75">
      <c r="EA180" s="16"/>
      <c r="EB180" s="106">
        <f t="shared" si="10"/>
        <v>2.0833333333333332E-2</v>
      </c>
      <c r="EC180" s="16"/>
      <c r="ED180" s="16"/>
      <c r="EE180" s="16"/>
      <c r="EF180" s="16"/>
    </row>
    <row r="181" spans="131:136" ht="12.75">
      <c r="EA181" s="16"/>
      <c r="EB181" s="106">
        <f t="shared" si="10"/>
        <v>2.0833333333333332E-2</v>
      </c>
      <c r="EC181" s="16"/>
      <c r="ED181" s="16"/>
      <c r="EE181" s="16"/>
      <c r="EF181" s="16"/>
    </row>
    <row r="182" spans="131:136" ht="12.75">
      <c r="EA182" s="16"/>
      <c r="EB182" s="106">
        <f t="shared" si="10"/>
        <v>2.0833333333333332E-2</v>
      </c>
      <c r="EC182" s="16"/>
      <c r="ED182" s="16"/>
      <c r="EE182" s="16"/>
      <c r="EF182" s="16"/>
    </row>
    <row r="183" spans="131:136" ht="12.75">
      <c r="EA183" s="16"/>
      <c r="EB183" s="106">
        <f t="shared" si="10"/>
        <v>2.0833333333333332E-2</v>
      </c>
      <c r="EC183" s="16"/>
      <c r="ED183" s="16"/>
      <c r="EE183" s="16"/>
      <c r="EF183" s="16"/>
    </row>
    <row r="184" spans="131:136" ht="12.75">
      <c r="EA184" s="16"/>
      <c r="EB184" s="106">
        <f t="shared" si="10"/>
        <v>2.0833333333333332E-2</v>
      </c>
      <c r="EC184" s="16"/>
      <c r="ED184" s="16"/>
      <c r="EE184" s="16"/>
      <c r="EF184" s="16"/>
    </row>
    <row r="185" spans="131:136" ht="12.75">
      <c r="EA185" s="16"/>
      <c r="EB185" s="106">
        <f t="shared" si="10"/>
        <v>2.0833333333333332E-2</v>
      </c>
      <c r="EC185" s="16"/>
      <c r="ED185" s="16"/>
      <c r="EE185" s="16"/>
      <c r="EF185" s="16"/>
    </row>
    <row r="186" spans="131:136" ht="12.75">
      <c r="EA186" s="16"/>
      <c r="EB186" s="106">
        <f t="shared" si="10"/>
        <v>2.0833333333333332E-2</v>
      </c>
      <c r="EC186" s="16"/>
      <c r="ED186" s="16"/>
      <c r="EE186" s="16"/>
      <c r="EF186" s="16"/>
    </row>
    <row r="187" spans="131:136" ht="12.75">
      <c r="EA187" s="16"/>
      <c r="EB187" s="106">
        <f t="shared" si="10"/>
        <v>2.0833333333333332E-2</v>
      </c>
      <c r="EC187" s="16"/>
      <c r="ED187" s="16"/>
      <c r="EE187" s="16"/>
      <c r="EF187" s="16"/>
    </row>
    <row r="188" spans="131:136" ht="12.75">
      <c r="EA188" s="16"/>
      <c r="EB188" s="106">
        <f t="shared" si="10"/>
        <v>2.0833333333333332E-2</v>
      </c>
      <c r="EC188" s="16"/>
      <c r="ED188" s="16"/>
      <c r="EE188" s="16"/>
      <c r="EF188" s="16"/>
    </row>
    <row r="189" spans="131:136" ht="12.75">
      <c r="EA189" s="16"/>
      <c r="EB189" s="106">
        <f t="shared" si="10"/>
        <v>2.0833333333333332E-2</v>
      </c>
      <c r="EC189" s="16"/>
      <c r="ED189" s="16"/>
      <c r="EE189" s="16"/>
      <c r="EF189" s="16"/>
    </row>
    <row r="190" spans="131:136" ht="12.75">
      <c r="EA190" s="16"/>
      <c r="EB190" s="106">
        <f t="shared" si="10"/>
        <v>2.0833333333333332E-2</v>
      </c>
      <c r="EC190" s="16"/>
      <c r="ED190" s="16"/>
      <c r="EE190" s="16"/>
      <c r="EF190" s="16"/>
    </row>
    <row r="191" spans="131:136" ht="12.75">
      <c r="EA191" s="16"/>
      <c r="EB191" s="106">
        <f t="shared" si="10"/>
        <v>2.0833333333333332E-2</v>
      </c>
      <c r="EC191" s="16"/>
      <c r="ED191" s="16"/>
      <c r="EE191" s="16"/>
      <c r="EF191" s="16"/>
    </row>
    <row r="192" spans="131:136" ht="12.75">
      <c r="EA192" s="16"/>
      <c r="EB192" s="106">
        <f t="shared" si="10"/>
        <v>2.0833333333333332E-2</v>
      </c>
      <c r="EC192" s="16"/>
      <c r="ED192" s="16"/>
      <c r="EE192" s="16"/>
      <c r="EF192" s="16"/>
    </row>
    <row r="193" spans="131:136" ht="12.75">
      <c r="EA193" s="16"/>
      <c r="EB193" s="106">
        <f t="shared" si="10"/>
        <v>2.0833333333333332E-2</v>
      </c>
      <c r="EC193" s="16"/>
      <c r="ED193" s="16"/>
      <c r="EE193" s="16"/>
      <c r="EF193" s="16"/>
    </row>
    <row r="194" spans="131:136" ht="12.75">
      <c r="EA194" s="16"/>
      <c r="EB194" s="106">
        <f t="shared" si="10"/>
        <v>2.0833333333333332E-2</v>
      </c>
      <c r="EC194" s="16"/>
      <c r="ED194" s="16"/>
      <c r="EE194" s="16"/>
      <c r="EF194" s="16"/>
    </row>
    <row r="195" spans="131:136" ht="12.75">
      <c r="EA195" s="16"/>
      <c r="EB195" s="106">
        <f t="shared" si="10"/>
        <v>2.0833333333333332E-2</v>
      </c>
      <c r="EC195" s="16"/>
      <c r="ED195" s="16"/>
      <c r="EE195" s="16"/>
      <c r="EF195" s="16"/>
    </row>
    <row r="196" spans="131:136" ht="12.75">
      <c r="EA196" s="16"/>
      <c r="EB196" s="106">
        <f t="shared" si="10"/>
        <v>2.0833333333333332E-2</v>
      </c>
      <c r="EC196" s="16"/>
      <c r="ED196" s="16"/>
      <c r="EE196" s="16"/>
      <c r="EF196" s="16"/>
    </row>
    <row r="197" spans="131:136" ht="12.75">
      <c r="EA197" s="16"/>
      <c r="EB197" s="106">
        <f t="shared" si="10"/>
        <v>2.0833333333333332E-2</v>
      </c>
      <c r="EC197" s="16"/>
      <c r="ED197" s="16"/>
      <c r="EE197" s="16"/>
      <c r="EF197" s="16"/>
    </row>
    <row r="198" spans="131:136" ht="12.75">
      <c r="EA198" s="16"/>
      <c r="EB198" s="106">
        <f t="shared" si="10"/>
        <v>2.0833333333333332E-2</v>
      </c>
      <c r="EC198" s="16"/>
      <c r="ED198" s="16"/>
      <c r="EE198" s="16"/>
      <c r="EF198" s="16"/>
    </row>
    <row r="199" spans="131:136" ht="12.75">
      <c r="EA199" s="16"/>
      <c r="EB199" s="106">
        <f t="shared" si="10"/>
        <v>2.0833333333333332E-2</v>
      </c>
      <c r="EC199" s="16"/>
      <c r="ED199" s="16"/>
      <c r="EE199" s="16"/>
      <c r="EF199" s="16"/>
    </row>
    <row r="200" spans="131:136" ht="12.75">
      <c r="EA200" s="16"/>
      <c r="EB200" s="106">
        <f t="shared" si="10"/>
        <v>2.0833333333333332E-2</v>
      </c>
      <c r="EC200" s="16"/>
      <c r="ED200" s="16"/>
      <c r="EE200" s="16"/>
      <c r="EF200" s="16"/>
    </row>
    <row r="201" spans="131:136" ht="12.75">
      <c r="EA201" s="16"/>
      <c r="EB201" s="106">
        <f t="shared" si="10"/>
        <v>2.0833333333333332E-2</v>
      </c>
      <c r="EC201" s="16"/>
      <c r="ED201" s="16"/>
      <c r="EE201" s="16"/>
      <c r="EF201" s="16"/>
    </row>
    <row r="202" spans="131:136" ht="12.75">
      <c r="EA202" s="16"/>
      <c r="EB202" s="106">
        <f t="shared" si="10"/>
        <v>2.0833333333333332E-2</v>
      </c>
      <c r="EC202" s="16"/>
      <c r="ED202" s="16"/>
      <c r="EE202" s="16"/>
      <c r="EF202" s="16"/>
    </row>
    <row r="203" spans="131:136" ht="12.75">
      <c r="EA203" s="16"/>
      <c r="EB203" s="106">
        <f t="shared" si="10"/>
        <v>2.0833333333333332E-2</v>
      </c>
      <c r="EC203" s="16"/>
      <c r="ED203" s="16"/>
      <c r="EE203" s="16"/>
      <c r="EF203" s="16"/>
    </row>
    <row r="204" spans="131:136" ht="12.75">
      <c r="EA204" s="16"/>
      <c r="EB204" s="106">
        <f t="shared" si="10"/>
        <v>2.0833333333333332E-2</v>
      </c>
      <c r="EC204" s="16"/>
      <c r="ED204" s="16"/>
      <c r="EE204" s="16"/>
      <c r="EF204" s="16"/>
    </row>
    <row r="205" spans="131:136" ht="12.75">
      <c r="EA205" s="16"/>
      <c r="EB205" s="16"/>
      <c r="EC205" s="16"/>
      <c r="ED205" s="16"/>
      <c r="EE205" s="16"/>
      <c r="EF205" s="16"/>
    </row>
  </sheetData>
  <mergeCells count="31">
    <mergeCell ref="H9:I9"/>
    <mergeCell ref="H10:I10"/>
    <mergeCell ref="AM7:AN7"/>
    <mergeCell ref="H8:I8"/>
    <mergeCell ref="C4:E4"/>
    <mergeCell ref="H4:K4"/>
    <mergeCell ref="I5:K5"/>
    <mergeCell ref="AJ6:AK6"/>
    <mergeCell ref="H7:I7"/>
    <mergeCell ref="W7:W8"/>
    <mergeCell ref="Y7:Y8"/>
    <mergeCell ref="Z7:Z8"/>
    <mergeCell ref="H13:I13"/>
    <mergeCell ref="H15:I15"/>
    <mergeCell ref="J15:O15"/>
    <mergeCell ref="H11:I11"/>
    <mergeCell ref="H12:I12"/>
    <mergeCell ref="BU15:BZ15"/>
    <mergeCell ref="CA15:CF15"/>
    <mergeCell ref="CG15:CG16"/>
    <mergeCell ref="C17:C18"/>
    <mergeCell ref="AD16:AE16"/>
    <mergeCell ref="AI16:AK16"/>
    <mergeCell ref="I17:N17"/>
    <mergeCell ref="K18:N19"/>
    <mergeCell ref="H19:I19"/>
    <mergeCell ref="K20:N21"/>
    <mergeCell ref="H21:I21"/>
    <mergeCell ref="AC39:AF39"/>
    <mergeCell ref="BC15:BD15"/>
    <mergeCell ref="BO15:BT15"/>
  </mergeCells>
  <conditionalFormatting sqref="D5">
    <cfRule type="expression" dxfId="44" priority="32">
      <formula>D5="?"</formula>
    </cfRule>
  </conditionalFormatting>
  <conditionalFormatting sqref="I5:K5">
    <cfRule type="expression" dxfId="43" priority="31">
      <formula>$I$5="?"</formula>
    </cfRule>
  </conditionalFormatting>
  <conditionalFormatting sqref="C17">
    <cfRule type="expression" dxfId="42" priority="30" stopIfTrue="1">
      <formula>$D$16="Transducer"</formula>
    </cfRule>
  </conditionalFormatting>
  <conditionalFormatting sqref="C20:D23">
    <cfRule type="expression" dxfId="41" priority="29" stopIfTrue="1">
      <formula>$D$16="Transducer"</formula>
    </cfRule>
  </conditionalFormatting>
  <conditionalFormatting sqref="C19:D19">
    <cfRule type="expression" dxfId="40" priority="28">
      <formula>$D$16&lt;&gt;"Transducer"</formula>
    </cfRule>
  </conditionalFormatting>
  <conditionalFormatting sqref="C15">
    <cfRule type="expression" dxfId="39" priority="27">
      <formula>$D$11="Digital"</formula>
    </cfRule>
  </conditionalFormatting>
  <conditionalFormatting sqref="E15">
    <cfRule type="expression" dxfId="38" priority="26">
      <formula>$D$11="Digital"</formula>
    </cfRule>
  </conditionalFormatting>
  <conditionalFormatting sqref="D6">
    <cfRule type="expression" dxfId="37" priority="25">
      <formula>D6="?"</formula>
    </cfRule>
  </conditionalFormatting>
  <conditionalFormatting sqref="D7">
    <cfRule type="expression" dxfId="36" priority="24">
      <formula>D7="?"</formula>
    </cfRule>
  </conditionalFormatting>
  <conditionalFormatting sqref="D8:D9">
    <cfRule type="expression" dxfId="35" priority="23">
      <formula>D8="?"</formula>
    </cfRule>
  </conditionalFormatting>
  <conditionalFormatting sqref="D11">
    <cfRule type="expression" dxfId="34" priority="20">
      <formula>$D$11="?"</formula>
    </cfRule>
  </conditionalFormatting>
  <conditionalFormatting sqref="D15">
    <cfRule type="expression" dxfId="33" priority="19">
      <formula>$D$15="?"</formula>
    </cfRule>
  </conditionalFormatting>
  <conditionalFormatting sqref="D16">
    <cfRule type="expression" dxfId="32" priority="18">
      <formula>$D$16="?"</formula>
    </cfRule>
  </conditionalFormatting>
  <conditionalFormatting sqref="D17">
    <cfRule type="expression" dxfId="31" priority="16" stopIfTrue="1">
      <formula>$D$16="Transducer"</formula>
    </cfRule>
  </conditionalFormatting>
  <conditionalFormatting sqref="D17">
    <cfRule type="expression" dxfId="30" priority="17">
      <formula>$D$17="?"</formula>
    </cfRule>
  </conditionalFormatting>
  <conditionalFormatting sqref="D10">
    <cfRule type="expression" dxfId="29" priority="15">
      <formula>$D$10="?"</formula>
    </cfRule>
  </conditionalFormatting>
  <conditionalFormatting sqref="D12:D13">
    <cfRule type="expression" dxfId="28" priority="21">
      <formula>$D$12="?"</formula>
    </cfRule>
    <cfRule type="expression" dxfId="27" priority="22">
      <formula>#REF!="?"</formula>
    </cfRule>
  </conditionalFormatting>
  <conditionalFormatting sqref="D18">
    <cfRule type="expression" dxfId="26" priority="14">
      <formula>$D$18="?"</formula>
    </cfRule>
  </conditionalFormatting>
  <conditionalFormatting sqref="D15">
    <cfRule type="expression" dxfId="25" priority="13">
      <formula>$D$11="Digital"</formula>
    </cfRule>
  </conditionalFormatting>
  <conditionalFormatting sqref="H9:O9">
    <cfRule type="expression" dxfId="24" priority="7">
      <formula>$O$9&lt;NOW()</formula>
    </cfRule>
    <cfRule type="expression" dxfId="23" priority="10">
      <formula>$O$9&gt;NOW()</formula>
    </cfRule>
  </conditionalFormatting>
  <conditionalFormatting sqref="H10:O10">
    <cfRule type="expression" dxfId="22" priority="6">
      <formula>$O$10&lt;NOW()</formula>
    </cfRule>
    <cfRule type="expression" dxfId="21" priority="11">
      <formula>$O$10&gt;NOW()</formula>
    </cfRule>
    <cfRule type="expression" dxfId="20" priority="12">
      <formula>$O$8&gt;NOW()</formula>
    </cfRule>
  </conditionalFormatting>
  <conditionalFormatting sqref="H8:O8">
    <cfRule type="expression" dxfId="19" priority="8">
      <formula>$O$8&lt;NOW()</formula>
    </cfRule>
    <cfRule type="expression" dxfId="18" priority="9">
      <formula>$O$8&gt;NOW()</formula>
    </cfRule>
  </conditionalFormatting>
  <conditionalFormatting sqref="E18">
    <cfRule type="expression" dxfId="17" priority="5">
      <formula>$D$11="Digital"</formula>
    </cfRule>
  </conditionalFormatting>
  <conditionalFormatting sqref="C14">
    <cfRule type="expression" dxfId="16" priority="4" stopIfTrue="1">
      <formula>$D$16="Transducer"</formula>
    </cfRule>
  </conditionalFormatting>
  <conditionalFormatting sqref="D14">
    <cfRule type="expression" dxfId="15" priority="2" stopIfTrue="1">
      <formula>$D$16="Transducer"</formula>
    </cfRule>
  </conditionalFormatting>
  <conditionalFormatting sqref="D14">
    <cfRule type="expression" dxfId="14" priority="3">
      <formula>$D$17="?"</formula>
    </cfRule>
  </conditionalFormatting>
  <conditionalFormatting sqref="E21:E23">
    <cfRule type="expression" dxfId="13" priority="1">
      <formula>$D$12="Go"</formula>
    </cfRule>
  </conditionalFormatting>
  <dataValidations count="14">
    <dataValidation type="list" allowBlank="1" showInputMessage="1" showErrorMessage="1" sqref="D11" xr:uid="{7F98AC07-023A-4EBA-ABDD-3713735F4FD5}">
      <formula1>INDIRECT($D$10)</formula1>
    </dataValidation>
    <dataValidation type="list" allowBlank="1" showInputMessage="1" showErrorMessage="1" sqref="D10" xr:uid="{1D86FEC9-3D2C-43D5-B4AF-ED8DFBEACECC}">
      <formula1>"?,mm,inch"</formula1>
    </dataValidation>
    <dataValidation type="list" allowBlank="1" showErrorMessage="1" promptTitle="Wrench type (AS4115)" prompt="Select Type I or Type II._x000a_" sqref="D14" xr:uid="{B815117E-D737-4FA8-B8C2-88CE77270943}">
      <formula1>"Y,N"</formula1>
    </dataValidation>
    <dataValidation type="list" allowBlank="1" showInputMessage="1" showErrorMessage="1" sqref="EA10" xr:uid="{682F88FE-63DE-4CD5-8669-B42D9E44CD5A}">
      <formula1>$CC$13:$CC$15</formula1>
    </dataValidation>
    <dataValidation type="list" allowBlank="1" showErrorMessage="1" promptTitle="Wrench type (AS4115)" prompt="Select Type I or Type II._x000a_" sqref="D16" xr:uid="{F17E27DF-1C0C-428A-9AD7-851423CEE8EA}">
      <formula1>"?,Y,N"</formula1>
    </dataValidation>
    <dataValidation type="list" allowBlank="1" showInputMessage="1" showErrorMessage="1" sqref="I5:K5" xr:uid="{A5DD882B-8D13-4087-8CE0-E3DFA873D56D}">
      <formula1>"1,20"</formula1>
    </dataValidation>
    <dataValidation type="list" allowBlank="1" showInputMessage="1" showErrorMessage="1" sqref="D5:E5" xr:uid="{E20BA8BD-79AA-4551-9E85-954E03F98AAE}">
      <formula1>"?, Screw Plug Gauge"</formula1>
    </dataValidation>
    <dataValidation type="custom" showInputMessage="1" showErrorMessage="1" error="YOU CAN ENTER UPPERCASE ALPHER NUMERIC AND HYPHEN" sqref="D8:E9" xr:uid="{3F0EA609-50C5-4A48-AC56-AFE4896B3D68}">
      <formula1>AND(SEARCH(MID(D8:E8,ROW(INDIRECT("1:"&amp;LEN(D8:E8))),1),"0123456789ABCDEFGHIJKLMNOPQRSTUVWXYZ-"))</formula1>
    </dataValidation>
    <dataValidation type="list" allowBlank="1" showInputMessage="1" showErrorMessage="1" sqref="D12" xr:uid="{11ECF132-E6F2-401C-9C6D-078C2DF55640}">
      <formula1>"?, Go, Go and No-Go"</formula1>
    </dataValidation>
    <dataValidation type="list" allowBlank="1" showErrorMessage="1" promptTitle="Wrench type (AS4115)" prompt="Select Type I or Type II._x000a_" sqref="D17" xr:uid="{8EBED92E-62CE-438E-B85D-DABDE85D813B}">
      <formula1>"?,AS,TAS"</formula1>
    </dataValidation>
    <dataValidation type="list" allowBlank="1" showInputMessage="1" showErrorMessage="1" sqref="D18" xr:uid="{CBD8B3F3-1009-4E7E-83A6-2745A55B7352}">
      <formula1>"?,AS,TAS"</formula1>
    </dataValidation>
    <dataValidation type="list" allowBlank="1" showInputMessage="1" showErrorMessage="1" sqref="D13" xr:uid="{3A5C3ED5-AEBC-4ACD-9953-772E025257D6}">
      <formula1>"?,Pitch Diameter, Pitch and Major Diameter"</formula1>
    </dataValidation>
    <dataValidation type="list" allowBlank="1" showInputMessage="1" showErrorMessage="1" sqref="H8:I8" xr:uid="{D2F3A6B4-95D5-4227-AA70-AB5964DA67A5}">
      <formula1>$BJ$17:$BJ$24</formula1>
    </dataValidation>
    <dataValidation type="list" allowBlank="1" showInputMessage="1" showErrorMessage="1" sqref="H9:I13" xr:uid="{EF9F1254-26C8-40A3-A9BB-479649EA393F}">
      <formula1>$AZ$17:$AZ$26</formula1>
    </dataValidation>
  </dataValidations>
  <hyperlinks>
    <hyperlink ref="EB95" r:id="rId1" display="mailto:nata_approvals@texonsite.com.au" xr:uid="{6469C48C-66D9-4E55-9181-CE37AEB9FF35}"/>
  </hyperlinks>
  <pageMargins left="0.7" right="0.7" top="0.75" bottom="0.75" header="0.3" footer="0.3"/>
  <pageSetup paperSize="16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Instrument">
                <anchor moveWithCells="1" sizeWithCells="1">
                  <from>
                    <xdr:col>4</xdr:col>
                    <xdr:colOff>95250</xdr:colOff>
                    <xdr:row>5</xdr:row>
                    <xdr:rowOff>190500</xdr:rowOff>
                  </from>
                  <to>
                    <xdr:col>4</xdr:col>
                    <xdr:colOff>1390650</xdr:colOff>
                    <xdr:row>8</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7BBFB-77D5-4A0F-B4E6-8C701A50B9B5}">
  <sheetPr codeName="Sheet2"/>
  <dimension ref="A1:DY35"/>
  <sheetViews>
    <sheetView showGridLines="0" tabSelected="1" topLeftCell="C1" zoomScale="85" zoomScaleNormal="85" workbookViewId="0">
      <selection activeCell="J15" sqref="J15:J16"/>
    </sheetView>
  </sheetViews>
  <sheetFormatPr defaultColWidth="9.140625" defaultRowHeight="12.75"/>
  <cols>
    <col min="1" max="1" width="9.140625" style="102"/>
    <col min="2" max="2" width="18.85546875" style="102" customWidth="1"/>
    <col min="3" max="3" width="9.140625" style="102"/>
    <col min="4" max="4" width="18.42578125" style="102" customWidth="1"/>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5703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755"/>
      <c r="B1" s="756"/>
      <c r="C1" s="1031" t="s">
        <v>251</v>
      </c>
      <c r="D1" s="1031"/>
      <c r="E1" s="1031"/>
      <c r="F1" s="1032" t="str">
        <f>IF('1Test Data'!$A$5="Y","Oxygen Pressure Selected OIL FREE ISOLATION PROCEDUERS Must be used!","")</f>
        <v/>
      </c>
      <c r="G1" s="1032"/>
      <c r="H1" s="1032"/>
      <c r="I1" s="1032"/>
      <c r="J1" s="1032"/>
      <c r="K1" s="1032"/>
      <c r="L1" s="1032"/>
      <c r="M1" s="1032"/>
      <c r="N1" s="1032"/>
      <c r="O1" s="757"/>
      <c r="P1" s="757"/>
      <c r="Q1" s="757"/>
      <c r="R1" s="757"/>
      <c r="S1" s="757"/>
      <c r="T1" s="757"/>
      <c r="U1" s="757"/>
      <c r="V1" s="758"/>
      <c r="X1" s="102" t="s">
        <v>886</v>
      </c>
      <c r="AK1" s="109" t="s">
        <v>69</v>
      </c>
    </row>
    <row r="2" spans="1:105" ht="15" customHeight="1">
      <c r="A2" s="759"/>
      <c r="B2" s="271"/>
      <c r="C2" s="962" t="s">
        <v>252</v>
      </c>
      <c r="D2" s="963"/>
      <c r="E2" s="964"/>
      <c r="F2" s="272" t="str">
        <f>IF(VLOOKUP($C$2,AC5:AD7,2,0)="","",VLOOKUP($C$2,AC5:AD7,2,0))</f>
        <v>The Screw Plug Gauge was presented in a satisfactory operating condition.</v>
      </c>
      <c r="G2" s="273"/>
      <c r="H2" s="273"/>
      <c r="I2" s="273"/>
      <c r="J2" s="273"/>
      <c r="K2" s="273"/>
      <c r="L2" s="273"/>
      <c r="M2" s="273"/>
      <c r="N2" s="271"/>
      <c r="O2" s="271"/>
      <c r="P2" s="271"/>
      <c r="Q2" s="271"/>
      <c r="R2" s="271"/>
      <c r="S2" s="271"/>
      <c r="T2" s="271"/>
      <c r="U2" s="271"/>
      <c r="V2" s="760"/>
      <c r="AK2" s="109" t="s">
        <v>79</v>
      </c>
    </row>
    <row r="3" spans="1:105" ht="15" customHeight="1">
      <c r="A3" s="759"/>
      <c r="B3" s="271"/>
      <c r="C3" s="965"/>
      <c r="D3" s="966"/>
      <c r="E3" s="966"/>
      <c r="F3" s="966"/>
      <c r="G3" s="966"/>
      <c r="H3" s="966"/>
      <c r="I3" s="966"/>
      <c r="J3" s="966"/>
      <c r="K3" s="967"/>
      <c r="L3" s="274"/>
      <c r="M3" s="274"/>
      <c r="N3" s="271"/>
      <c r="O3" s="271"/>
      <c r="P3" s="271"/>
      <c r="Q3" s="271"/>
      <c r="R3" s="271"/>
      <c r="S3" s="271"/>
      <c r="T3" s="271"/>
      <c r="U3" s="271"/>
      <c r="V3" s="760"/>
      <c r="AK3" s="109" t="s">
        <v>92</v>
      </c>
    </row>
    <row r="4" spans="1:105" ht="15" customHeight="1">
      <c r="A4" s="759"/>
      <c r="B4" s="274"/>
      <c r="C4" s="968"/>
      <c r="D4" s="969"/>
      <c r="E4" s="969"/>
      <c r="F4" s="969"/>
      <c r="G4" s="969"/>
      <c r="H4" s="969"/>
      <c r="I4" s="969"/>
      <c r="J4" s="969"/>
      <c r="K4" s="970"/>
      <c r="L4" s="275"/>
      <c r="M4" s="274"/>
      <c r="N4" s="271"/>
      <c r="O4" s="271"/>
      <c r="P4" s="271"/>
      <c r="Q4" s="271"/>
      <c r="R4" s="271"/>
      <c r="S4" s="271"/>
      <c r="T4" s="271"/>
      <c r="U4" s="271"/>
      <c r="V4" s="760"/>
      <c r="AK4" s="109" t="s">
        <v>98</v>
      </c>
    </row>
    <row r="5" spans="1:105" ht="15" customHeight="1">
      <c r="A5" s="759"/>
      <c r="B5" s="271"/>
      <c r="C5" s="971" t="s">
        <v>253</v>
      </c>
      <c r="D5" s="971"/>
      <c r="E5" s="971"/>
      <c r="F5" s="197"/>
      <c r="G5" s="197"/>
      <c r="H5" s="197"/>
      <c r="I5" s="197"/>
      <c r="J5" s="197"/>
      <c r="K5" s="197"/>
      <c r="L5" s="275"/>
      <c r="M5" s="276" t="str">
        <f>IFERROR(ROUND(AVERAGE(M7:M8,'1Test Data'!H3),1),"")</f>
        <v/>
      </c>
      <c r="N5" s="271"/>
      <c r="O5" s="271"/>
      <c r="P5" s="271"/>
      <c r="Q5" s="271"/>
      <c r="R5" s="271"/>
      <c r="S5" s="271"/>
      <c r="T5" s="271"/>
      <c r="U5" s="271"/>
      <c r="V5" s="760"/>
      <c r="AC5" s="277" t="s">
        <v>252</v>
      </c>
      <c r="AD5" s="278" t="str">
        <f>"The "&amp; threadGage &amp;" was presented in a satisfactory operating condition."</f>
        <v>The Screw Plug Gauge was presented in a satisfactory operating condition.</v>
      </c>
      <c r="AE5" s="277"/>
      <c r="AF5" s="277"/>
      <c r="AG5" s="277"/>
      <c r="AH5" s="277"/>
      <c r="AI5" s="277"/>
      <c r="AJ5" s="277"/>
      <c r="AK5" s="109" t="s">
        <v>108</v>
      </c>
    </row>
    <row r="6" spans="1:105" ht="15" customHeight="1">
      <c r="A6" s="759"/>
      <c r="B6" s="271"/>
      <c r="C6" s="972" t="s">
        <v>254</v>
      </c>
      <c r="D6" s="973"/>
      <c r="E6" s="974"/>
      <c r="F6" s="272" t="str">
        <f>IF(VLOOKUP($C$6,AC10:AD17,2,0)="","",VLOOKUP($C$6,AC10:AD17,2,0))</f>
        <v/>
      </c>
      <c r="G6" s="275"/>
      <c r="H6" s="275"/>
      <c r="I6" s="275"/>
      <c r="J6" s="275"/>
      <c r="K6" s="275"/>
      <c r="L6" s="975" t="s">
        <v>255</v>
      </c>
      <c r="M6" s="975"/>
      <c r="N6" s="975"/>
      <c r="O6" s="747"/>
      <c r="P6" s="1033" t="s">
        <v>136</v>
      </c>
      <c r="Q6" s="1033"/>
      <c r="R6" s="1033"/>
      <c r="S6" s="1033"/>
      <c r="T6" s="1033"/>
      <c r="U6" s="1034"/>
      <c r="V6" s="760"/>
      <c r="AC6" s="43" t="s">
        <v>256</v>
      </c>
    </row>
    <row r="7" spans="1:105" ht="15" customHeight="1">
      <c r="A7" s="759"/>
      <c r="B7" s="271"/>
      <c r="C7" s="978"/>
      <c r="D7" s="979"/>
      <c r="E7" s="979"/>
      <c r="F7" s="979"/>
      <c r="G7" s="979"/>
      <c r="H7" s="979"/>
      <c r="I7" s="979"/>
      <c r="J7" s="979"/>
      <c r="K7" s="980"/>
      <c r="L7" s="279" t="s">
        <v>257</v>
      </c>
      <c r="M7" s="280" t="s">
        <v>10</v>
      </c>
      <c r="N7" s="271" t="s">
        <v>258</v>
      </c>
      <c r="O7" s="748"/>
      <c r="P7" s="172"/>
      <c r="Q7" s="172"/>
      <c r="R7" s="915"/>
      <c r="S7" s="915"/>
      <c r="T7" s="915"/>
      <c r="U7" s="749"/>
      <c r="V7" s="760"/>
      <c r="AC7" s="43" t="s">
        <v>10</v>
      </c>
      <c r="DA7" s="16"/>
    </row>
    <row r="8" spans="1:105" ht="15" customHeight="1">
      <c r="A8" s="759"/>
      <c r="B8" s="271"/>
      <c r="C8" s="981"/>
      <c r="D8" s="982"/>
      <c r="E8" s="982"/>
      <c r="F8" s="982"/>
      <c r="G8" s="982"/>
      <c r="H8" s="982"/>
      <c r="I8" s="982"/>
      <c r="J8" s="982"/>
      <c r="K8" s="983"/>
      <c r="L8" s="279" t="s">
        <v>259</v>
      </c>
      <c r="M8" s="280" t="s">
        <v>10</v>
      </c>
      <c r="N8" s="271" t="s">
        <v>258</v>
      </c>
      <c r="O8" s="1030"/>
      <c r="P8" s="925"/>
      <c r="Q8" s="183" t="s">
        <v>144</v>
      </c>
      <c r="R8" s="916"/>
      <c r="S8" s="916"/>
      <c r="T8" s="916"/>
      <c r="U8" s="749"/>
      <c r="V8" s="760"/>
      <c r="DA8" s="16"/>
    </row>
    <row r="9" spans="1:105" ht="15" customHeight="1">
      <c r="A9" s="761"/>
      <c r="B9" s="271"/>
      <c r="C9" s="271"/>
      <c r="D9" s="271"/>
      <c r="E9" s="271"/>
      <c r="F9" s="271"/>
      <c r="G9" s="271"/>
      <c r="H9" s="271"/>
      <c r="I9" s="271"/>
      <c r="J9" s="271"/>
      <c r="K9" s="274"/>
      <c r="L9" s="274"/>
      <c r="M9" s="282"/>
      <c r="N9" s="283"/>
      <c r="O9" s="750"/>
      <c r="P9" s="185"/>
      <c r="Q9" s="185"/>
      <c r="R9" s="928"/>
      <c r="S9" s="928"/>
      <c r="T9" s="928"/>
      <c r="U9" s="749"/>
      <c r="V9" s="760"/>
      <c r="AC9" s="102" t="s">
        <v>10</v>
      </c>
      <c r="DA9" s="16"/>
    </row>
    <row r="10" spans="1:105" ht="15" customHeight="1">
      <c r="A10" s="759"/>
      <c r="B10" s="271"/>
      <c r="C10" s="271"/>
      <c r="D10" s="271"/>
      <c r="E10" s="271"/>
      <c r="F10" s="271"/>
      <c r="G10" s="271"/>
      <c r="H10" s="271"/>
      <c r="I10" s="271"/>
      <c r="J10" s="271"/>
      <c r="K10" s="271"/>
      <c r="L10" s="271"/>
      <c r="M10" s="271"/>
      <c r="N10" s="283"/>
      <c r="O10" s="1030"/>
      <c r="P10" s="925"/>
      <c r="Q10" s="183" t="s">
        <v>150</v>
      </c>
      <c r="R10" s="916"/>
      <c r="S10" s="916"/>
      <c r="T10" s="916"/>
      <c r="U10" s="749"/>
      <c r="V10" s="760"/>
      <c r="AC10" s="277" t="s">
        <v>264</v>
      </c>
      <c r="AD10" s="286" t="str">
        <f>"Prior to taking final readings, the  "&amp; threadGage &amp;" was adjusted." &amp;CHAR(10)&amp; "The maximum 'As Found' correction is "&amp;$DQ$32&amp;" " &amp;_xlfn.SINGLE(Units)</f>
        <v>Prior to taking final readings, the  Screw Plug Gauge was adjusted.
The maximum 'As Found' correction is  mm</v>
      </c>
      <c r="AE10" s="287"/>
      <c r="AF10" s="287"/>
      <c r="AG10" s="287"/>
      <c r="AH10" s="287"/>
      <c r="AI10" s="287"/>
      <c r="AJ10" s="278"/>
      <c r="AK10" s="102" t="s">
        <v>265</v>
      </c>
      <c r="DA10" s="16"/>
    </row>
    <row r="11" spans="1:105" ht="15" customHeight="1">
      <c r="A11" s="759"/>
      <c r="B11" s="271"/>
      <c r="C11" s="271"/>
      <c r="D11" s="271"/>
      <c r="E11" s="271"/>
      <c r="F11" s="271"/>
      <c r="G11" s="271"/>
      <c r="H11" s="271"/>
      <c r="I11" s="271"/>
      <c r="J11" s="271"/>
      <c r="K11" s="271"/>
      <c r="L11" s="271"/>
      <c r="M11" s="271"/>
      <c r="N11" s="283"/>
      <c r="O11" s="751"/>
      <c r="P11" s="752"/>
      <c r="Q11" s="752"/>
      <c r="R11" s="753"/>
      <c r="S11" s="753"/>
      <c r="T11" s="753"/>
      <c r="U11" s="754"/>
      <c r="V11" s="760"/>
      <c r="AC11" s="277" t="s">
        <v>275</v>
      </c>
      <c r="AD11" s="286" t="str">
        <f>"Prior to taking final readings, the "&amp; threadGage &amp;" was repaired."</f>
        <v>Prior to taking final readings, the Screw Plug Gauge was repaired.</v>
      </c>
      <c r="AE11" s="287"/>
      <c r="AF11" s="287"/>
      <c r="AG11" s="287"/>
      <c r="AH11" s="287"/>
      <c r="AI11" s="287"/>
      <c r="AJ11" s="278"/>
      <c r="AK11" s="102" t="s">
        <v>276</v>
      </c>
      <c r="DA11" s="16"/>
    </row>
    <row r="12" spans="1:105" ht="20.25" customHeight="1">
      <c r="A12" s="759"/>
      <c r="B12" s="271"/>
      <c r="C12" s="271"/>
      <c r="D12" s="271"/>
      <c r="E12" s="271"/>
      <c r="F12" s="271"/>
      <c r="G12" s="271"/>
      <c r="H12" s="271"/>
      <c r="I12" s="271"/>
      <c r="J12" s="271"/>
      <c r="K12" s="271"/>
      <c r="L12" s="271"/>
      <c r="M12" s="271"/>
      <c r="N12" s="283"/>
      <c r="O12" s="299"/>
      <c r="P12" s="271"/>
      <c r="Q12" s="271"/>
      <c r="R12" s="1035"/>
      <c r="S12" s="1035"/>
      <c r="T12" s="1035"/>
      <c r="U12" s="1035"/>
      <c r="V12" s="760"/>
      <c r="W12" s="300"/>
      <c r="AC12" s="277" t="s">
        <v>277</v>
      </c>
      <c r="AD12" s="286" t="str">
        <f>"Prior to taking final readings, the " &amp; threadGage &amp;" was adjusted and repaired."</f>
        <v>Prior to taking final readings, the Screw Plug Gauge was adjusted and repaired.</v>
      </c>
      <c r="AE12" s="287"/>
      <c r="AF12" s="287"/>
      <c r="AG12" s="287"/>
      <c r="AH12" s="287"/>
      <c r="AI12" s="287"/>
      <c r="AJ12" s="278"/>
      <c r="AK12" s="102" t="s">
        <v>278</v>
      </c>
      <c r="DA12" s="16"/>
    </row>
    <row r="13" spans="1:105" ht="20.25" customHeight="1">
      <c r="A13" s="759"/>
      <c r="B13" s="271"/>
      <c r="C13" s="271"/>
      <c r="D13" s="271"/>
      <c r="E13" s="271"/>
      <c r="F13" s="271"/>
      <c r="G13" s="271"/>
      <c r="H13" s="271"/>
      <c r="I13" s="271"/>
      <c r="J13" s="271"/>
      <c r="K13" s="271"/>
      <c r="L13" s="271"/>
      <c r="M13" s="271"/>
      <c r="N13" s="283"/>
      <c r="O13" s="271"/>
      <c r="P13" s="271"/>
      <c r="Q13" s="271"/>
      <c r="R13" s="1036"/>
      <c r="S13" s="1036"/>
      <c r="T13" s="1036"/>
      <c r="U13" s="1036"/>
      <c r="V13" s="760"/>
      <c r="AC13" s="277" t="s">
        <v>280</v>
      </c>
      <c r="AD13" s="286" t="str">
        <f>"The "&amp; threadGage &amp;" should be withdrawn from service as per customers request."</f>
        <v>The Screw Plug Gauge should be withdrawn from service as per customers request.</v>
      </c>
      <c r="AE13" s="287"/>
      <c r="AF13" s="287"/>
      <c r="AG13" s="287"/>
      <c r="AH13" s="287"/>
      <c r="AI13" s="287"/>
      <c r="AJ13" s="278"/>
      <c r="AK13" s="102" t="s">
        <v>281</v>
      </c>
      <c r="DA13" s="16"/>
    </row>
    <row r="14" spans="1:105" ht="15" customHeight="1">
      <c r="A14" s="762"/>
      <c r="B14" s="306"/>
      <c r="C14" s="306"/>
      <c r="D14" s="306"/>
      <c r="E14" s="307" t="s">
        <v>282</v>
      </c>
      <c r="F14" s="308"/>
      <c r="G14" s="308"/>
      <c r="H14" s="308" t="e">
        <f>Elect</f>
        <v>#NAME?</v>
      </c>
      <c r="I14" s="308"/>
      <c r="J14" s="308"/>
      <c r="K14" s="308"/>
      <c r="L14" s="309"/>
      <c r="M14" s="309"/>
      <c r="N14" s="306"/>
      <c r="O14" s="306"/>
      <c r="P14" s="306"/>
      <c r="Q14" s="306"/>
      <c r="R14" s="271"/>
      <c r="S14" s="274"/>
      <c r="T14" s="274"/>
      <c r="U14" s="274"/>
      <c r="V14" s="763"/>
      <c r="W14" s="312"/>
      <c r="X14" s="312"/>
      <c r="Y14" s="312"/>
      <c r="Z14" s="16"/>
      <c r="AA14" s="16"/>
      <c r="AB14" s="16"/>
      <c r="AC14" s="277" t="s">
        <v>285</v>
      </c>
      <c r="AD14" s="286" t="str">
        <f>"The "&amp; threadGage &amp;" accuracy class was reclassified as per customers request."</f>
        <v>The Screw Plug Gauge accuracy class was reclassified as per customers request.</v>
      </c>
      <c r="AE14" s="287"/>
      <c r="AF14" s="287"/>
      <c r="AG14" s="287"/>
      <c r="AH14" s="287"/>
      <c r="AI14" s="287"/>
      <c r="AJ14" s="278"/>
      <c r="AK14" s="102" t="s">
        <v>286</v>
      </c>
      <c r="DA14" s="16"/>
    </row>
    <row r="15" spans="1:105" ht="15" customHeight="1" thickBot="1">
      <c r="A15" s="1013" t="str">
        <f>"Test Points in " &amp;_xlfn.SINGLE( Units)</f>
        <v>Test Points in mm</v>
      </c>
      <c r="B15" s="1013" t="s">
        <v>262</v>
      </c>
      <c r="C15" s="1037" t="s">
        <v>889</v>
      </c>
      <c r="D15" s="1037" t="s">
        <v>890</v>
      </c>
      <c r="E15" s="1013" t="s">
        <v>891</v>
      </c>
      <c r="F15" s="1040"/>
      <c r="G15" s="1040"/>
      <c r="H15" s="1041"/>
      <c r="I15" s="1124" t="s">
        <v>742</v>
      </c>
      <c r="J15" s="1124" t="s">
        <v>900</v>
      </c>
      <c r="K15" s="1121" t="s">
        <v>292</v>
      </c>
      <c r="L15" s="1122"/>
      <c r="M15" s="1123"/>
      <c r="N15" s="1013" t="s">
        <v>901</v>
      </c>
      <c r="O15" s="1046" t="s">
        <v>290</v>
      </c>
      <c r="P15" s="1046"/>
      <c r="Q15" s="1044" t="s">
        <v>291</v>
      </c>
      <c r="R15" s="1045"/>
      <c r="S15" s="729" t="s">
        <v>292</v>
      </c>
      <c r="T15" s="738"/>
      <c r="U15" s="274"/>
      <c r="V15" s="763"/>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11" t="s">
        <v>297</v>
      </c>
      <c r="CS15" s="1012"/>
      <c r="CT15" s="317">
        <v>1</v>
      </c>
      <c r="CU15" s="318" t="e">
        <f>$CT$15*(Range/100)</f>
        <v>#VALUE!</v>
      </c>
      <c r="CV15" s="16"/>
      <c r="CW15" s="16"/>
      <c r="CX15" s="16"/>
      <c r="CY15" s="16"/>
      <c r="CZ15" s="16"/>
    </row>
    <row r="16" spans="1:105" ht="15" customHeight="1" thickBot="1">
      <c r="A16" s="994"/>
      <c r="B16" s="994"/>
      <c r="C16" s="1038"/>
      <c r="D16" s="1038"/>
      <c r="E16" s="994"/>
      <c r="F16" s="290" t="s">
        <v>266</v>
      </c>
      <c r="G16" s="319" t="s">
        <v>267</v>
      </c>
      <c r="H16" s="319" t="s">
        <v>268</v>
      </c>
      <c r="I16" s="1124"/>
      <c r="J16" s="1124"/>
      <c r="K16" s="290" t="s">
        <v>292</v>
      </c>
      <c r="L16" s="790" t="s">
        <v>146</v>
      </c>
      <c r="M16" s="790" t="s">
        <v>742</v>
      </c>
      <c r="N16" s="995"/>
      <c r="O16" s="1046"/>
      <c r="P16" s="1046"/>
      <c r="Q16" s="1014" t="str">
        <f>Units</f>
        <v>mm</v>
      </c>
      <c r="R16" s="1016" t="s">
        <v>78</v>
      </c>
      <c r="S16" s="1018" t="str">
        <f>" (%)   of "&amp;"Range"</f>
        <v xml:space="preserve"> (%)   of Range</v>
      </c>
      <c r="T16" s="1018"/>
      <c r="U16" s="274"/>
      <c r="V16" s="763"/>
      <c r="W16" s="321" t="s">
        <v>301</v>
      </c>
      <c r="X16" s="322" t="s">
        <v>301</v>
      </c>
      <c r="Y16" s="322" t="s">
        <v>301</v>
      </c>
      <c r="Z16" s="16"/>
      <c r="AA16" s="16"/>
      <c r="AB16" s="16"/>
      <c r="AC16" s="277" t="s">
        <v>254</v>
      </c>
      <c r="AD16" s="209"/>
      <c r="AE16" s="209"/>
      <c r="AF16" s="209"/>
      <c r="AG16" s="209"/>
      <c r="AH16" s="209"/>
      <c r="AI16" s="209"/>
      <c r="AJ16" s="209"/>
      <c r="BA16" s="948" t="s">
        <v>188</v>
      </c>
      <c r="BB16" s="949"/>
      <c r="BC16" s="949"/>
      <c r="BD16" s="949"/>
      <c r="BE16" s="949"/>
      <c r="BF16" s="950"/>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95"/>
      <c r="B17" s="995"/>
      <c r="C17" s="1039"/>
      <c r="D17" s="1039"/>
      <c r="E17" s="995"/>
      <c r="F17" s="737" t="str">
        <f t="shared" ref="F17:K17" si="0">Units</f>
        <v>mm</v>
      </c>
      <c r="G17" s="323" t="str">
        <f t="shared" si="0"/>
        <v>mm</v>
      </c>
      <c r="H17" s="323" t="str">
        <f t="shared" si="0"/>
        <v>mm</v>
      </c>
      <c r="I17" s="291" t="str">
        <f t="shared" si="0"/>
        <v>mm</v>
      </c>
      <c r="J17" s="291" t="str">
        <f t="shared" si="0"/>
        <v>mm</v>
      </c>
      <c r="K17" s="737" t="str">
        <f t="shared" si="0"/>
        <v>mm</v>
      </c>
      <c r="L17" s="791" t="str">
        <f>Units</f>
        <v>mm</v>
      </c>
      <c r="M17" s="791" t="str">
        <f>Units</f>
        <v>mm</v>
      </c>
      <c r="N17" s="323" t="str">
        <f>Units</f>
        <v>mm</v>
      </c>
      <c r="O17" s="291" t="str">
        <f>Units</f>
        <v>mm</v>
      </c>
      <c r="P17" s="737"/>
      <c r="Q17" s="1015"/>
      <c r="R17" s="1017"/>
      <c r="S17" s="1019"/>
      <c r="T17" s="1019"/>
      <c r="U17" s="274"/>
      <c r="V17" s="763"/>
      <c r="W17" s="321"/>
      <c r="X17" s="322"/>
      <c r="Y17" s="322"/>
      <c r="Z17" s="16"/>
      <c r="AA17" s="16"/>
      <c r="AB17" s="16"/>
      <c r="AC17" s="277"/>
      <c r="AD17" s="1026"/>
      <c r="AE17" s="810"/>
      <c r="AF17" s="810"/>
      <c r="AG17" s="810"/>
      <c r="AH17" s="810"/>
      <c r="AI17" s="810"/>
      <c r="AJ17" s="810"/>
      <c r="BA17" s="236" t="s">
        <v>199</v>
      </c>
      <c r="BB17" s="236" t="s">
        <v>200</v>
      </c>
      <c r="BC17" s="236" t="s">
        <v>201</v>
      </c>
      <c r="BD17" s="236" t="s">
        <v>88</v>
      </c>
      <c r="BE17" s="206" t="s">
        <v>202</v>
      </c>
      <c r="BF17" s="206" t="s">
        <v>203</v>
      </c>
      <c r="BZ17" s="16"/>
      <c r="CA17" s="945" t="s">
        <v>304</v>
      </c>
      <c r="CB17" s="946"/>
      <c r="CC17" s="946"/>
      <c r="CD17" s="946"/>
      <c r="CE17" s="946"/>
      <c r="CF17" s="947"/>
      <c r="CG17" s="16"/>
      <c r="CH17" s="16"/>
      <c r="CI17" s="16"/>
      <c r="CJ17" s="16"/>
      <c r="CK17" s="1027" t="s">
        <v>305</v>
      </c>
      <c r="CL17" s="1028"/>
      <c r="CM17" s="1028"/>
      <c r="CN17" s="1028"/>
      <c r="CO17" s="1028"/>
      <c r="CP17" s="1029"/>
      <c r="CQ17" s="16"/>
      <c r="CR17" s="16"/>
      <c r="CS17" s="16"/>
      <c r="CT17" s="16"/>
      <c r="CU17" s="1004" t="s">
        <v>306</v>
      </c>
      <c r="CV17" s="1005"/>
      <c r="CW17" s="1005"/>
      <c r="CX17" s="1005"/>
      <c r="CY17" s="1005"/>
      <c r="CZ17" s="1006"/>
    </row>
    <row r="18" spans="1:124" ht="15" customHeight="1" thickBot="1">
      <c r="A18" s="739">
        <v>342.762</v>
      </c>
      <c r="B18" s="691"/>
      <c r="C18" s="741" t="s">
        <v>699</v>
      </c>
      <c r="D18" s="746" t="s">
        <v>888</v>
      </c>
      <c r="E18" s="744" t="s">
        <v>892</v>
      </c>
      <c r="F18" s="743"/>
      <c r="G18" s="694"/>
      <c r="H18" s="694"/>
      <c r="I18" s="694"/>
      <c r="J18" s="694"/>
      <c r="K18" s="326">
        <v>0.30000000000001137</v>
      </c>
      <c r="L18" s="327"/>
      <c r="M18" s="327"/>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1" si="1">IF(H18="","",ROUND(($C18-H18),DecimalPlaces))</f>
        <v/>
      </c>
      <c r="P18" s="329"/>
      <c r="Q18" s="330" t="e">
        <f ca="1">IF(A18="","",IF(_xlfn.SINGLE(Elect)=1,_xlfn.SINGLE(INDIRECT(AC18))*VLOOKUP(_xlfn.SINGLE(Units),'1Test Data'!$Y$3:$AB$22,4,0),_xlfn.SINGLE(INDIRECT(AA18))*VLOOKUP(_xlfn.SINGLE(Units),'1Test Data'!$Y$3:$AB$22,4,0)))</f>
        <v>#NAME?</v>
      </c>
      <c r="R18" s="331" t="e">
        <f ca="1">IF(A18="","",IF($A18=0,"N/A",INDIRECT(AB18)))</f>
        <v>#VALUE!</v>
      </c>
      <c r="S18" s="330" t="e">
        <f t="shared" ref="S18:S31" si="2">IF($A18="","",IF(Elect=1,(($T18/Capacity)*100)/ElectMult,($T18/Capacity)*100))</f>
        <v>#NAME?</v>
      </c>
      <c r="T18" s="331"/>
      <c r="U18" s="274"/>
      <c r="V18" s="763"/>
      <c r="W18" s="321" t="str">
        <f t="shared" ref="W18:W31" ca="1" si="3">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1" ca="1" si="4">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1" ca="1" si="5">IF(A18="","",IF(OR(IF(GaugeType="B",FALSE,W18="Fail"),X18="Fail"),"Fail","Pass"))</f>
        <v>Pass</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CL18+($T10+$CT$41)</f>
        <v>0</v>
      </c>
      <c r="CW18" s="340">
        <f>CM18+($T10+$CT$41)</f>
        <v>0</v>
      </c>
      <c r="CX18" s="340">
        <f>CN18+($T10+$CT$41)</f>
        <v>0</v>
      </c>
      <c r="CY18" s="340">
        <f>CO18+($T10+$CT$41)</f>
        <v>0</v>
      </c>
      <c r="CZ18" s="340">
        <f>CP18+($T10+$CT$41)</f>
        <v>0</v>
      </c>
      <c r="DN18" s="104" t="e">
        <f>$C18+$T18</f>
        <v>#VALUE!</v>
      </c>
      <c r="DO18" s="104" t="e">
        <f>C18-$T18</f>
        <v>#VALUE!</v>
      </c>
      <c r="DP18" s="104" t="str">
        <f ca="1">IFERROR(T18-Q18,"")</f>
        <v/>
      </c>
      <c r="DQ18" s="102" t="e">
        <f>IF(A18="","",E18-A18)</f>
        <v>#VALUE!</v>
      </c>
      <c r="DT18" s="102"/>
    </row>
    <row r="19" spans="1:124" ht="15" customHeight="1" thickBot="1">
      <c r="A19" s="739">
        <v>342.762</v>
      </c>
      <c r="B19" s="691"/>
      <c r="C19" s="741" t="s">
        <v>699</v>
      </c>
      <c r="D19" s="746" t="s">
        <v>888</v>
      </c>
      <c r="E19" s="744" t="s">
        <v>257</v>
      </c>
      <c r="F19" s="743"/>
      <c r="G19" s="694"/>
      <c r="H19" s="694"/>
      <c r="I19" s="694"/>
      <c r="J19" s="694"/>
      <c r="K19" s="326">
        <v>0.30000000000001137</v>
      </c>
      <c r="L19" s="327"/>
      <c r="M19" s="327"/>
      <c r="N19" s="326" t="e">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9" s="328" t="str">
        <f t="shared" si="1"/>
        <v/>
      </c>
      <c r="P19" s="329"/>
      <c r="Q19" s="330" t="e">
        <f ca="1">IF(A19="","",IF(_xlfn.SINGLE(Elect)=1,_xlfn.SINGLE(INDIRECT(AC19))*VLOOKUP(_xlfn.SINGLE(Units),'1Test Data'!$Y$3:$AB$22,4,0),_xlfn.SINGLE(INDIRECT(AA19))*VLOOKUP(_xlfn.SINGLE(Units),'1Test Data'!$Y$3:$AB$22,4,0)))</f>
        <v>#NAME?</v>
      </c>
      <c r="R19" s="331" t="e">
        <f t="shared" ref="R19:R31" ca="1" si="6">IF(A19="","",IF(A19=0,"N/A",INDIRECT(AB19)))</f>
        <v>#VALUE!</v>
      </c>
      <c r="S19" s="330" t="e">
        <f t="shared" si="2"/>
        <v>#NAME?</v>
      </c>
      <c r="T19" s="331"/>
      <c r="U19" s="274"/>
      <c r="V19" s="763"/>
      <c r="W19" s="321" t="str">
        <f t="shared" ca="1" si="3"/>
        <v>---</v>
      </c>
      <c r="X19" s="322" t="str">
        <f t="shared" ca="1" si="4"/>
        <v>---</v>
      </c>
      <c r="Y19" s="322" t="str">
        <f t="shared" ca="1" si="5"/>
        <v>Pass</v>
      </c>
      <c r="Z19" s="333" t="e">
        <f ca="1">_xlfn.SINGLE(IF(_xlfn.SINGLE(Elect)=1,INDIRECT("Uncert!I"&amp;(((ROW()-17)*25)-2)),INDIRECT("Uncert!O"&amp;(((ROW()-17)*25)-1))))*VLOOKUP(_xlfn.SINGLE(Units),'1Test Data'!$Y$3:$AB$22,4,0)</f>
        <v>#NAME?</v>
      </c>
      <c r="AA19" s="333" t="str">
        <f t="shared" ref="AA19:AA31" si="7">"Uncert!M"&amp;(((ROW()-17)*25)-1)</f>
        <v>Uncert!M49</v>
      </c>
      <c r="AB19" s="333" t="str">
        <f t="shared" ref="AB19:AB31" si="8">"Uncert!M"&amp;((ROW()-17)*25)</f>
        <v>Uncert!M50</v>
      </c>
      <c r="AC19" s="333" t="str">
        <f t="shared" ref="AC19:AC31" si="9">"Uncert!I"&amp;(((ROW()-17)*25)-1)</f>
        <v>Uncert!I49</v>
      </c>
      <c r="AG19" s="102" t="s">
        <v>96</v>
      </c>
      <c r="AH19" s="102">
        <f>'1Test Data'!AB4*100</f>
        <v>100</v>
      </c>
      <c r="AZ19" s="102">
        <f ca="1">UnitConvert*($BA19*$A19^3+$BB19*$A19^2+$BC19*$A19+$BD19)</f>
        <v>0</v>
      </c>
      <c r="BA19" s="335">
        <f ca="1">VLOOKUP($B19,'1Test Data'!$O$30:$AP$49,23,0)</f>
        <v>0</v>
      </c>
      <c r="BB19" s="335">
        <f ca="1">VLOOKUP($B19,'1Test Data'!$O$30:$AP$49,24,0)</f>
        <v>1.269097E-18</v>
      </c>
      <c r="BC19" s="335">
        <f ca="1">VLOOKUP($B19,'1Test Data'!$O$30:$AP$49,25,0)</f>
        <v>1</v>
      </c>
      <c r="BD19" s="335">
        <f ca="1">VLOOKUP($B19,'1Test Data'!$O$30:$AP$49,26,0)</f>
        <v>1.7722764049999999E-15</v>
      </c>
      <c r="BE19" s="335">
        <f ca="1">VLOOKUP($B19,'1Test Data'!$O$30:$AP$49,27,0)</f>
        <v>1</v>
      </c>
      <c r="BF19" s="335">
        <f ca="1">VLOOKUP($B19,'1Test Data'!$O$30:$AP$49,28,0)</f>
        <v>0</v>
      </c>
      <c r="BZ19" s="16"/>
      <c r="CA19" s="341" t="str">
        <f>""</f>
        <v/>
      </c>
      <c r="CB19" s="147" t="str">
        <f>""</f>
        <v/>
      </c>
      <c r="CC19" s="147" t="str">
        <f>""</f>
        <v/>
      </c>
      <c r="CD19" s="147" t="str">
        <f>""</f>
        <v/>
      </c>
      <c r="CE19" s="147" t="str">
        <f>""</f>
        <v/>
      </c>
      <c r="CF19" s="65" t="str">
        <f>""</f>
        <v/>
      </c>
      <c r="CG19" s="16"/>
      <c r="CH19" s="16"/>
      <c r="CI19" s="16"/>
      <c r="CJ19" s="16">
        <v>1</v>
      </c>
      <c r="CK19" s="342" t="e">
        <f ca="1">ROUND((($CK$33/19)*$CJ19)/'1Test Data'!$C$19,0)*'1Test Data'!$C$19</f>
        <v>#NAME?</v>
      </c>
      <c r="CL19" s="342" t="e">
        <f t="shared" ref="CL19:CM31" ca="1" si="10">($CK19+RANDBETWEEN(0-(((Capacity/100)*Range)/2),0+(((Capacity/100)*Range)/2)))</f>
        <v>#NAME?</v>
      </c>
      <c r="CM19" s="342" t="e">
        <f t="shared" ca="1" si="10"/>
        <v>#NAME?</v>
      </c>
      <c r="CN19" s="342" t="e">
        <f t="shared" ref="CN19:CP31" ca="1" si="11">($CM19+RANDBETWEEN(0-(((Capacity/100)*Range)/20),0+(((Capacity/100)*Range)/20)))</f>
        <v>#NAME?</v>
      </c>
      <c r="CO19" s="342" t="e">
        <f t="shared" ca="1" si="11"/>
        <v>#NAME?</v>
      </c>
      <c r="CP19" s="342" t="e">
        <f t="shared" ca="1" si="11"/>
        <v>#NAME?</v>
      </c>
      <c r="CQ19" s="16"/>
      <c r="CR19" s="16"/>
      <c r="CS19" s="16"/>
      <c r="CT19" s="16"/>
      <c r="CU19" s="340" t="e">
        <f ca="1">CK19</f>
        <v>#NAME?</v>
      </c>
      <c r="CV19" s="340" t="e">
        <f t="shared" ref="CV19:CZ30" ca="1" si="12">(IF(CL19&gt;CU19,CL19+($T18+$CT$15),CL19-($T18+$CT$15)))</f>
        <v>#NAME?</v>
      </c>
      <c r="CW19" s="340" t="e">
        <f t="shared" ca="1" si="12"/>
        <v>#NAME?</v>
      </c>
      <c r="CX19" s="340" t="e">
        <f t="shared" ca="1" si="12"/>
        <v>#NAME?</v>
      </c>
      <c r="CY19" s="340" t="e">
        <f t="shared" ca="1" si="12"/>
        <v>#NAME?</v>
      </c>
      <c r="CZ19" s="340" t="e">
        <f t="shared" ca="1" si="12"/>
        <v>#NAME?</v>
      </c>
      <c r="DN19" s="104" t="e">
        <f t="shared" ref="DN19:DN20" si="13">$C19+$T19</f>
        <v>#VALUE!</v>
      </c>
      <c r="DO19" s="104" t="e">
        <f t="shared" ref="DO19:DO20" si="14">C19-$T19</f>
        <v>#VALUE!</v>
      </c>
      <c r="DP19" s="104" t="str">
        <f t="shared" ref="DP19:DP31" ca="1" si="15">IFERROR(T19-Q19,"")</f>
        <v/>
      </c>
      <c r="DQ19" s="102" t="e">
        <f t="shared" ref="DQ19:DQ31" si="16">IF(A19="","",E19-A19)</f>
        <v>#VALUE!</v>
      </c>
      <c r="DT19" s="102"/>
    </row>
    <row r="20" spans="1:124" ht="15" customHeight="1" thickBot="1">
      <c r="A20" s="739">
        <v>342.762</v>
      </c>
      <c r="B20" s="691"/>
      <c r="C20" s="741" t="s">
        <v>699</v>
      </c>
      <c r="D20" s="746" t="s">
        <v>888</v>
      </c>
      <c r="E20" s="744" t="s">
        <v>893</v>
      </c>
      <c r="F20" s="743"/>
      <c r="G20" s="694"/>
      <c r="H20" s="694"/>
      <c r="I20" s="694"/>
      <c r="J20" s="694"/>
      <c r="K20" s="326">
        <v>0.30000000000001137</v>
      </c>
      <c r="L20" s="327"/>
      <c r="M20" s="327"/>
      <c r="N20" s="326" t="e">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20" s="328" t="str">
        <f t="shared" si="1"/>
        <v/>
      </c>
      <c r="P20" s="329"/>
      <c r="Q20" s="330" t="e">
        <f ca="1">IF(A20="","",IF(_xlfn.SINGLE(Elect)=1,_xlfn.SINGLE(INDIRECT(AC20))*VLOOKUP(_xlfn.SINGLE(Units),'1Test Data'!$Y$3:$AB$22,4,0),_xlfn.SINGLE(INDIRECT(AA20))*VLOOKUP(_xlfn.SINGLE(Units),'1Test Data'!$Y$3:$AB$22,4,0)))</f>
        <v>#NAME?</v>
      </c>
      <c r="R20" s="331" t="e">
        <f t="shared" ca="1" si="6"/>
        <v>#VALUE!</v>
      </c>
      <c r="S20" s="330" t="e">
        <f t="shared" si="2"/>
        <v>#NAME?</v>
      </c>
      <c r="T20" s="331"/>
      <c r="U20" s="274"/>
      <c r="V20" s="763"/>
      <c r="W20" s="321" t="str">
        <f t="shared" ca="1" si="3"/>
        <v>---</v>
      </c>
      <c r="X20" s="322" t="str">
        <f t="shared" ca="1" si="4"/>
        <v>---</v>
      </c>
      <c r="Y20" s="322" t="str">
        <f t="shared" ca="1" si="5"/>
        <v>Pass</v>
      </c>
      <c r="Z20" s="333" t="e">
        <f ca="1">_xlfn.SINGLE(IF(_xlfn.SINGLE(Elect)=1,INDIRECT("Uncert!I"&amp;(((ROW()-17)*25)-2)),INDIRECT("Uncert!O"&amp;(((ROW()-17)*25)-1))))*VLOOKUP(_xlfn.SINGLE(Units),'1Test Data'!$Y$3:$AB$22,4,0)</f>
        <v>#NAME?</v>
      </c>
      <c r="AA20" s="333" t="str">
        <f t="shared" si="7"/>
        <v>Uncert!M74</v>
      </c>
      <c r="AB20" s="333" t="str">
        <f t="shared" si="8"/>
        <v>Uncert!M75</v>
      </c>
      <c r="AC20" s="333" t="str">
        <f t="shared" si="9"/>
        <v>Uncert!I74</v>
      </c>
      <c r="AG20" s="102" t="s">
        <v>107</v>
      </c>
      <c r="AH20" s="102">
        <f>'1Test Data'!AB5*100</f>
        <v>0.1</v>
      </c>
      <c r="AZ20" s="102">
        <f ca="1">UnitConvert*($BA20*$A20^3+$BB20*$A20^2+$BC20*$A20+$BD20)</f>
        <v>0</v>
      </c>
      <c r="BA20" s="335">
        <f ca="1">VLOOKUP($B20,'1Test Data'!$O$30:$AP$49,23,0)</f>
        <v>0</v>
      </c>
      <c r="BB20" s="335">
        <f ca="1">VLOOKUP($B20,'1Test Data'!$O$30:$AP$49,24,0)</f>
        <v>1.269097E-18</v>
      </c>
      <c r="BC20" s="335">
        <f ca="1">VLOOKUP($B20,'1Test Data'!$O$30:$AP$49,25,0)</f>
        <v>1</v>
      </c>
      <c r="BD20" s="335">
        <f ca="1">VLOOKUP($B20,'1Test Data'!$O$30:$AP$49,26,0)</f>
        <v>1.7722764049999999E-15</v>
      </c>
      <c r="BE20" s="335">
        <f ca="1">VLOOKUP($B20,'1Test Data'!$O$30:$AP$49,27,0)</f>
        <v>1</v>
      </c>
      <c r="BF20" s="335">
        <f ca="1">VLOOKUP($B20,'1Test Data'!$O$30:$AP$49,28,0)</f>
        <v>0</v>
      </c>
      <c r="BZ20" s="16"/>
      <c r="CA20" s="341" t="str">
        <f>""</f>
        <v/>
      </c>
      <c r="CB20" s="147" t="str">
        <f>""</f>
        <v/>
      </c>
      <c r="CC20" s="147" t="str">
        <f>""</f>
        <v/>
      </c>
      <c r="CD20" s="147" t="str">
        <f>""</f>
        <v/>
      </c>
      <c r="CE20" s="147" t="str">
        <f>""</f>
        <v/>
      </c>
      <c r="CF20" s="65" t="str">
        <f>""</f>
        <v/>
      </c>
      <c r="CG20" s="16"/>
      <c r="CH20" s="16"/>
      <c r="CI20" s="16"/>
      <c r="CJ20" s="16">
        <v>2</v>
      </c>
      <c r="CK20" s="342" t="e">
        <f ca="1">ROUND((($CK$33/19)*$CJ20)/'1Test Data'!$C$19,0)*'1Test Data'!$C$19</f>
        <v>#NAME?</v>
      </c>
      <c r="CL20" s="342" t="e">
        <f t="shared" ca="1" si="10"/>
        <v>#NAME?</v>
      </c>
      <c r="CM20" s="342" t="e">
        <f t="shared" ca="1" si="10"/>
        <v>#NAME?</v>
      </c>
      <c r="CN20" s="342" t="e">
        <f t="shared" ca="1" si="11"/>
        <v>#NAME?</v>
      </c>
      <c r="CO20" s="342" t="e">
        <f t="shared" ca="1" si="11"/>
        <v>#NAME?</v>
      </c>
      <c r="CP20" s="342" t="e">
        <f t="shared" ca="1" si="11"/>
        <v>#NAME?</v>
      </c>
      <c r="CQ20" s="16"/>
      <c r="CR20" s="16"/>
      <c r="CS20" s="16"/>
      <c r="CT20" s="16"/>
      <c r="CU20" s="340" t="e">
        <f t="shared" ref="CU20:CU31" ca="1" si="17">CK20</f>
        <v>#NAME?</v>
      </c>
      <c r="CV20" s="340" t="e">
        <f t="shared" ca="1" si="12"/>
        <v>#NAME?</v>
      </c>
      <c r="CW20" s="340" t="e">
        <f t="shared" ca="1" si="12"/>
        <v>#NAME?</v>
      </c>
      <c r="CX20" s="340" t="e">
        <f t="shared" ca="1" si="12"/>
        <v>#NAME?</v>
      </c>
      <c r="CY20" s="340" t="e">
        <f t="shared" ca="1" si="12"/>
        <v>#NAME?</v>
      </c>
      <c r="CZ20" s="340" t="e">
        <f t="shared" ca="1" si="12"/>
        <v>#NAME?</v>
      </c>
      <c r="DN20" s="104" t="e">
        <f t="shared" si="13"/>
        <v>#VALUE!</v>
      </c>
      <c r="DO20" s="104" t="e">
        <f t="shared" si="14"/>
        <v>#VALUE!</v>
      </c>
      <c r="DP20" s="104" t="str">
        <f t="shared" ca="1" si="15"/>
        <v/>
      </c>
      <c r="DQ20" s="102" t="e">
        <f t="shared" si="16"/>
        <v>#VALUE!</v>
      </c>
      <c r="DT20" s="102"/>
    </row>
    <row r="21" spans="1:124" ht="15" customHeight="1" thickBot="1">
      <c r="A21" s="739"/>
      <c r="B21" s="691"/>
      <c r="C21" s="742"/>
      <c r="D21" s="746"/>
      <c r="E21" s="744"/>
      <c r="F21" s="743"/>
      <c r="G21" s="694"/>
      <c r="H21" s="694"/>
      <c r="I21" s="694"/>
      <c r="J21" s="694"/>
      <c r="K21" s="326"/>
      <c r="L21" s="327"/>
      <c r="M21" s="327"/>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IF(H21="","",ROUND(($C21-H21),DecimalPlaces))</f>
        <v/>
      </c>
      <c r="P21" s="329"/>
      <c r="Q21" s="330" t="str">
        <f ca="1">IF(A21="","",IF(_xlfn.SINGLE(Elect)=1,_xlfn.SINGLE(INDIRECT(AC21))*VLOOKUP(_xlfn.SINGLE(Units),'1Test Data'!$Y$3:$AB$22,4,0),_xlfn.SINGLE(INDIRECT(AA21))*VLOOKUP(_xlfn.SINGLE(Units),'1Test Data'!$Y$3:$AB$22,4,0)))</f>
        <v/>
      </c>
      <c r="R21" s="331" t="str">
        <f t="shared" ca="1" si="6"/>
        <v/>
      </c>
      <c r="S21" s="330" t="str">
        <f t="shared" si="2"/>
        <v/>
      </c>
      <c r="T21" s="331"/>
      <c r="U21" s="274"/>
      <c r="V21" s="763"/>
      <c r="W21" s="321" t="str">
        <f ca="1">IFERROR(IF(OR(SNS&gt;=1,ANS&gt;=1),IF($A21="","---",IF(H21="","Data?",IF(AND((TestType="M1"),(NATA="Y")),IF(AND($H21&gt;=MIN($DN21,$DO21),$H21&lt;=MAX($DN21,$DO21)),IF(AND($H21+$Q21&lt;=$DN21,$H21-$Q21&gt;=$DO21),"Pass","Pass Indeterminate"),IF(OR(AND($H21+$Q21&gt;$DN21,$H21-$Q21&gt;$DN21),AND($H21+$Q21&lt;$DO21,$H21-$Q21&lt;$DO21)),"Fail","Fail Indeterminate")),IF(ABS(ABS(H21)-ABS($C21))&lt;=$T21,"Pass","Fail")))),IF($A21="","---",IF(H21="","Data?",IF(AND((TestType="M1"),(NATA="Y")),IF(ABS((ABS(H21))-ABS($C21))&lt;=(ABS($T21-Q21)),"Pass","Fail"),IF(ABS(ABS(H21)-ABS($C21))&lt;=$T21,"Pass","Fail"))))),"---")</f>
        <v>---</v>
      </c>
      <c r="X21" s="322" t="str">
        <f ca="1">IFERROR(IF(OR(SNS&gt;=1,ANS&gt;=1),IF($A21="","---",IF(K21="","Data?",IF(AND((TestType="M1"),(NATA="Y")),IF(AND($K21&gt;=MIN($DN21,$DO21),$K21&lt;=MAX($DN21,$DO21)),IF(AND($K21+$Q21&lt;=$DN21,$K21-$Q21&gt;=$DO21),"Pass","Pass Indeterminate"),IF(OR(AND($K21+$Q21&gt;$DN21,$K21-$Q21&gt;$DN21),AND($K21+$Q21&lt;$DO21,$K21-$Q21&lt;$DO21)),"Fail","Fail Indeterminate")),IF(ABS(K21-$C21)&lt;=$T21,"Pass","Fail")))),IF($A21="","---",IF(K21="","Data?",IF(AND((TestType="M1"),(NATA="Y")),IF(ABS(ABS(K21)-ABS($C21))&lt;=(ABS($T21-Q21)),"Pass","Fail"),IF(ABS(ABS(K21)-ABS($C21))&lt;=$T21,"Pass","Fail"))))),"---")</f>
        <v>---</v>
      </c>
      <c r="Y21" s="322" t="str">
        <f t="shared" si="5"/>
        <v/>
      </c>
      <c r="Z21" s="333" t="e">
        <f ca="1">_xlfn.SINGLE(IF(_xlfn.SINGLE(Elect)=1,INDIRECT("Uncert!I"&amp;(((ROW()-17)*25)-2)),INDIRECT("Uncert!O"&amp;(((ROW()-17)*25)-1))))*VLOOKUP(_xlfn.SINGLE(Units),'1Test Data'!$Y$3:$AB$22,4,0)</f>
        <v>#NAME?</v>
      </c>
      <c r="AA21" s="333" t="str">
        <f t="shared" si="7"/>
        <v>Uncert!M99</v>
      </c>
      <c r="AB21" s="333" t="str">
        <f t="shared" si="8"/>
        <v>Uncert!M100</v>
      </c>
      <c r="AC21" s="333" t="str">
        <f t="shared" si="9"/>
        <v>Uncert!I99</v>
      </c>
      <c r="AG21" s="102" t="s">
        <v>111</v>
      </c>
      <c r="AH21" s="102">
        <f>'1Test Data'!AB6*100</f>
        <v>0.1</v>
      </c>
      <c r="AL21" s="102" t="e">
        <f>VLOOKUP(_xlfn.SINGLE(Units),AG18:AH30,2,FALSE)</f>
        <v>#N/A</v>
      </c>
      <c r="AZ21" s="102">
        <f ca="1">UnitConvert*($BA21*$A21^3+$BB21*$A21^2+$BC21*$A21+$BD21)</f>
        <v>0</v>
      </c>
      <c r="BA21" s="335">
        <f ca="1">VLOOKUP($B21,'1Test Data'!$O$30:$AP$49,23,0)</f>
        <v>0</v>
      </c>
      <c r="BB21" s="335">
        <f ca="1">VLOOKUP($B21,'1Test Data'!$O$30:$AP$49,24,0)</f>
        <v>1.269097E-18</v>
      </c>
      <c r="BC21" s="335">
        <f ca="1">VLOOKUP($B21,'1Test Data'!$O$30:$AP$49,25,0)</f>
        <v>1</v>
      </c>
      <c r="BD21" s="335">
        <f ca="1">VLOOKUP($B21,'1Test Data'!$O$30:$AP$49,26,0)</f>
        <v>1.7722764049999999E-15</v>
      </c>
      <c r="BE21" s="335">
        <f ca="1">VLOOKUP($B21,'1Test Data'!$O$30:$AP$49,27,0)</f>
        <v>1</v>
      </c>
      <c r="BF21" s="335">
        <f ca="1">VLOOKUP($B21,'1Test Data'!$O$30:$AP$49,28,0)</f>
        <v>0</v>
      </c>
      <c r="BZ21" s="16"/>
      <c r="CA21" s="341" t="str">
        <f>""</f>
        <v/>
      </c>
      <c r="CB21" s="147" t="str">
        <f>""</f>
        <v/>
      </c>
      <c r="CC21" s="147" t="str">
        <f>""</f>
        <v/>
      </c>
      <c r="CD21" s="147" t="str">
        <f>""</f>
        <v/>
      </c>
      <c r="CE21" s="147" t="str">
        <f>""</f>
        <v/>
      </c>
      <c r="CF21" s="65" t="str">
        <f>""</f>
        <v/>
      </c>
      <c r="CG21" s="16"/>
      <c r="CH21" s="16"/>
      <c r="CI21" s="16"/>
      <c r="CJ21" s="16">
        <v>3</v>
      </c>
      <c r="CK21" s="342" t="e">
        <f ca="1">ROUND((($CK$33/19)*$CJ21)/'1Test Data'!$C$19,0)*'1Test Data'!$C$19</f>
        <v>#NAME?</v>
      </c>
      <c r="CL21" s="342" t="e">
        <f t="shared" ca="1" si="10"/>
        <v>#NAME?</v>
      </c>
      <c r="CM21" s="342" t="e">
        <f t="shared" ca="1" si="10"/>
        <v>#NAME?</v>
      </c>
      <c r="CN21" s="342" t="e">
        <f t="shared" ca="1" si="11"/>
        <v>#NAME?</v>
      </c>
      <c r="CO21" s="342" t="e">
        <f t="shared" ca="1" si="11"/>
        <v>#NAME?</v>
      </c>
      <c r="CP21" s="342" t="e">
        <f t="shared" ca="1" si="11"/>
        <v>#NAME?</v>
      </c>
      <c r="CQ21" s="16"/>
      <c r="CR21" s="16"/>
      <c r="CS21" s="16"/>
      <c r="CT21" s="16"/>
      <c r="CU21" s="340" t="e">
        <f t="shared" ca="1" si="17"/>
        <v>#NAME?</v>
      </c>
      <c r="CV21" s="340" t="e">
        <f t="shared" ca="1" si="12"/>
        <v>#NAME?</v>
      </c>
      <c r="CW21" s="340" t="e">
        <f t="shared" ca="1" si="12"/>
        <v>#NAME?</v>
      </c>
      <c r="CX21" s="340" t="e">
        <f t="shared" ca="1" si="12"/>
        <v>#NAME?</v>
      </c>
      <c r="CY21" s="340" t="e">
        <f t="shared" ca="1" si="12"/>
        <v>#NAME?</v>
      </c>
      <c r="CZ21" s="340" t="e">
        <f t="shared" ca="1" si="12"/>
        <v>#NAME?</v>
      </c>
      <c r="DN21" s="104">
        <f>$C21+$T21</f>
        <v>0</v>
      </c>
      <c r="DO21" s="104">
        <f>C21-$T21</f>
        <v>0</v>
      </c>
      <c r="DP21" s="104" t="str">
        <f t="shared" ca="1" si="15"/>
        <v/>
      </c>
      <c r="DQ21" s="102" t="str">
        <f t="shared" si="16"/>
        <v/>
      </c>
      <c r="DT21" s="102"/>
    </row>
    <row r="22" spans="1:124" ht="15" customHeight="1" thickBot="1">
      <c r="A22" s="739"/>
      <c r="B22" s="691"/>
      <c r="C22" s="742"/>
      <c r="D22" s="746"/>
      <c r="E22" s="744"/>
      <c r="F22" s="743"/>
      <c r="G22" s="694"/>
      <c r="H22" s="694"/>
      <c r="I22" s="694"/>
      <c r="J22" s="694"/>
      <c r="K22" s="326"/>
      <c r="L22" s="327" t="str">
        <f t="shared" ref="L19:L31" si="18">IF(A22="","",IF(T22&gt;N22,ROUND(T22/N22,1)&amp;" / 1","1 / "&amp;ROUND(N22/T22,1)))</f>
        <v/>
      </c>
      <c r="M22" s="327" t="str">
        <f t="shared" ref="M19:M31" si="19">IF(A22="","",IF(T22&gt;Z22,ROUND(T22/(Z22),1)&amp;" / 1","1 / "&amp;ROUND((Z22)/T22,1)))</f>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IF(H22="","",ROUND(($C22-H22),DecimalPlaces))</f>
        <v/>
      </c>
      <c r="P22" s="329"/>
      <c r="Q22" s="330" t="str">
        <f ca="1">IF(A22="","",IF(_xlfn.SINGLE(Elect)=1,_xlfn.SINGLE(INDIRECT(AC22))*VLOOKUP(_xlfn.SINGLE(Units),'1Test Data'!$Y$3:$AB$22,4,0),_xlfn.SINGLE(INDIRECT(AA22))*VLOOKUP(_xlfn.SINGLE(Units),'1Test Data'!$Y$3:$AB$22,4,0)))</f>
        <v/>
      </c>
      <c r="R22" s="331" t="str">
        <f t="shared" ca="1" si="6"/>
        <v/>
      </c>
      <c r="S22" s="330" t="str">
        <f t="shared" si="2"/>
        <v/>
      </c>
      <c r="T22" s="331"/>
      <c r="U22" s="274"/>
      <c r="V22" s="763"/>
      <c r="W22" s="321" t="str">
        <f ca="1">IFERROR(IF(OR(SNS&gt;=1,ANS&gt;=1),IF($A22="","---",IF(H22="","Data?",IF(AND((TestType="M1"),(NATA="Y")),IF(AND($H22&gt;=MIN($DN22,$DO22),$H22&lt;=MAX($DN22,$DO22)),IF(AND($H22+$Q22&lt;=$DN22,$H22-$Q22&gt;=$DO22),"Pass","Pass Indeterminate"),IF(OR(AND($H22+$Q22&gt;$DN22,$H22-$Q22&gt;$DN22),AND($H22+$Q22&lt;$DO22,$H22-$Q22&lt;$DO22)),"Fail","Fail Indeterminate")),IF(ABS(ABS(H22)-ABS($C22))&lt;=$T22,"Pass","Fail")))),IF($A22="","---",IF(H22="","Data?",IF(AND((TestType="M1"),(NATA="Y")),IF(ABS((ABS(H22))-ABS($C22))&lt;=(ABS($T22-Q22)),"Pass","Fail"),IF(ABS(ABS(H22)-ABS($C22))&lt;=$T22,"Pass","Fail"))))),"---")</f>
        <v>---</v>
      </c>
      <c r="X22" s="322" t="str">
        <f ca="1">IFERROR(IF(OR(SNS&gt;=1,ANS&gt;=1),IF($A22="","---",IF(K22="","Data?",IF(AND((TestType="M1"),(NATA="Y")),IF(AND($K22&gt;=MIN($DN22,$DO22),$K22&lt;=MAX($DN22,$DO22)),IF(AND($K22+$Q22&lt;=$DN22,$K22-$Q22&gt;=$DO22),"Pass","Pass Indeterminate"),IF(OR(AND($K22+$Q22&gt;$DN22,$K22-$Q22&gt;$DN22),AND($K22+$Q22&lt;$DO22,$K22-$Q22&lt;$DO22)),"Fail","Fail Indeterminate")),IF(ABS(K22-$C22)&lt;=$T22,"Pass","Fail")))),IF($A22="","---",IF(K22="","Data?",IF(AND((TestType="M1"),(NATA="Y")),IF(ABS(ABS(K22)-ABS($C22))&lt;=(ABS($T22-Q22)),"Pass","Fail"),IF(ABS(ABS(K22)-ABS($C22))&lt;=$T22,"Pass","Fail"))))),"---")</f>
        <v>---</v>
      </c>
      <c r="Y22" s="322" t="str">
        <f t="shared" si="5"/>
        <v/>
      </c>
      <c r="Z22" s="333" t="e">
        <f ca="1">_xlfn.SINGLE(IF(_xlfn.SINGLE(Elect)=1,INDIRECT("Uncert!I"&amp;(((ROW()-17)*25)-2)),INDIRECT("Uncert!O"&amp;(((ROW()-17)*25)-1))))*VLOOKUP(_xlfn.SINGLE(Units),'1Test Data'!$Y$3:$AB$22,4,0)</f>
        <v>#NAME?</v>
      </c>
      <c r="AA22" s="333" t="str">
        <f t="shared" si="7"/>
        <v>Uncert!M124</v>
      </c>
      <c r="AB22" s="333" t="str">
        <f t="shared" si="8"/>
        <v>Uncert!M125</v>
      </c>
      <c r="AC22" s="333" t="str">
        <f t="shared" si="9"/>
        <v>Uncert!I124</v>
      </c>
      <c r="AG22" s="102" t="s">
        <v>114</v>
      </c>
      <c r="AH22" s="102">
        <f>'1Test Data'!AB7*100</f>
        <v>1.0197162129779282</v>
      </c>
      <c r="AZ22" s="102">
        <f ca="1">UnitConvert*($BA22*$A22^3+$BB22*$A22^2+$BC22*$A22+$BD22)</f>
        <v>0</v>
      </c>
      <c r="BA22" s="335">
        <f ca="1">VLOOKUP($B22,'1Test Data'!$O$30:$AP$49,23,0)</f>
        <v>0</v>
      </c>
      <c r="BB22" s="335">
        <f ca="1">VLOOKUP($B22,'1Test Data'!$O$30:$AP$49,24,0)</f>
        <v>1.269097E-18</v>
      </c>
      <c r="BC22" s="335">
        <f ca="1">VLOOKUP($B22,'1Test Data'!$O$30:$AP$49,25,0)</f>
        <v>1</v>
      </c>
      <c r="BD22" s="335">
        <f ca="1">VLOOKUP($B22,'1Test Data'!$O$30:$AP$49,26,0)</f>
        <v>1.7722764049999999E-15</v>
      </c>
      <c r="BE22" s="335">
        <f ca="1">VLOOKUP($B22,'1Test Data'!$O$30:$AP$49,27,0)</f>
        <v>1</v>
      </c>
      <c r="BF22" s="335">
        <f ca="1">VLOOKUP($B22,'1Test Data'!$O$30:$AP$49,28,0)</f>
        <v>0</v>
      </c>
      <c r="BZ22" s="16"/>
      <c r="CA22" s="341" t="str">
        <f>""</f>
        <v/>
      </c>
      <c r="CB22" s="147" t="str">
        <f>""</f>
        <v/>
      </c>
      <c r="CC22" s="147" t="str">
        <f>""</f>
        <v/>
      </c>
      <c r="CD22" s="147" t="str">
        <f>""</f>
        <v/>
      </c>
      <c r="CE22" s="147" t="str">
        <f>""</f>
        <v/>
      </c>
      <c r="CF22" s="65" t="str">
        <f>""</f>
        <v/>
      </c>
      <c r="CG22" s="16"/>
      <c r="CH22" s="16"/>
      <c r="CI22" s="16"/>
      <c r="CJ22" s="16">
        <v>4</v>
      </c>
      <c r="CK22" s="342" t="e">
        <f ca="1">ROUND((($CK$33/19)*$CJ22)/'1Test Data'!$C$19,0)*'1Test Data'!$C$19</f>
        <v>#NAME?</v>
      </c>
      <c r="CL22" s="342" t="e">
        <f t="shared" ca="1" si="10"/>
        <v>#NAME?</v>
      </c>
      <c r="CM22" s="342" t="e">
        <f t="shared" ca="1" si="10"/>
        <v>#NAME?</v>
      </c>
      <c r="CN22" s="342" t="e">
        <f t="shared" ca="1" si="11"/>
        <v>#NAME?</v>
      </c>
      <c r="CO22" s="342" t="e">
        <f t="shared" ca="1" si="11"/>
        <v>#NAME?</v>
      </c>
      <c r="CP22" s="342" t="e">
        <f t="shared" ca="1" si="11"/>
        <v>#NAME?</v>
      </c>
      <c r="CQ22" s="16"/>
      <c r="CR22" s="16"/>
      <c r="CS22" s="16"/>
      <c r="CT22" s="16"/>
      <c r="CU22" s="340" t="e">
        <f t="shared" ca="1" si="17"/>
        <v>#NAME?</v>
      </c>
      <c r="CV22" s="340" t="e">
        <f t="shared" ca="1" si="12"/>
        <v>#NAME?</v>
      </c>
      <c r="CW22" s="340" t="e">
        <f t="shared" ca="1" si="12"/>
        <v>#NAME?</v>
      </c>
      <c r="CX22" s="340" t="e">
        <f t="shared" ca="1" si="12"/>
        <v>#NAME?</v>
      </c>
      <c r="CY22" s="340" t="e">
        <f t="shared" ca="1" si="12"/>
        <v>#NAME?</v>
      </c>
      <c r="CZ22" s="340" t="e">
        <f t="shared" ca="1" si="12"/>
        <v>#NAME?</v>
      </c>
      <c r="DN22" s="104">
        <f>$C22+$T22</f>
        <v>0</v>
      </c>
      <c r="DO22" s="104">
        <f>C22-$T22</f>
        <v>0</v>
      </c>
      <c r="DP22" s="104" t="str">
        <f t="shared" ca="1" si="15"/>
        <v/>
      </c>
      <c r="DQ22" s="102" t="str">
        <f t="shared" si="16"/>
        <v/>
      </c>
      <c r="DT22" s="102"/>
    </row>
    <row r="23" spans="1:124" ht="15" customHeight="1" thickBot="1">
      <c r="A23" s="739"/>
      <c r="B23" s="691"/>
      <c r="C23" s="742"/>
      <c r="D23" s="746"/>
      <c r="E23" s="744"/>
      <c r="F23" s="743"/>
      <c r="G23" s="694"/>
      <c r="H23" s="694"/>
      <c r="I23" s="694"/>
      <c r="J23" s="694"/>
      <c r="K23" s="326"/>
      <c r="L23" s="327" t="str">
        <f t="shared" si="18"/>
        <v/>
      </c>
      <c r="M23" s="327" t="str">
        <f t="shared" si="19"/>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IF(H23="","",ROUND(($C23-H23),DecimalPlaces))</f>
        <v/>
      </c>
      <c r="P23" s="329"/>
      <c r="Q23" s="330" t="str">
        <f ca="1">IF(A23="","",IF(_xlfn.SINGLE(Elect)=1,_xlfn.SINGLE(INDIRECT(AC23))*VLOOKUP(_xlfn.SINGLE(Units),'1Test Data'!$Y$3:$AB$22,4,0),_xlfn.SINGLE(INDIRECT(AA23))*VLOOKUP(_xlfn.SINGLE(Units),'1Test Data'!$Y$3:$AB$22,4,0)))</f>
        <v/>
      </c>
      <c r="R23" s="331" t="str">
        <f t="shared" ca="1" si="6"/>
        <v/>
      </c>
      <c r="S23" s="330" t="str">
        <f t="shared" si="2"/>
        <v/>
      </c>
      <c r="T23" s="331"/>
      <c r="U23" s="274"/>
      <c r="V23" s="763"/>
      <c r="W23" s="321" t="str">
        <f ca="1">IFERROR(IF(OR(SNS&gt;=1,ANS&gt;=1),IF($A23="","---",IF(H23="","Data?",IF(AND((TestType="M1"),(NATA="Y")),IF(AND($H23&gt;=MIN($DN23,$DO23),$H23&lt;=MAX($DN23,$DO23)),IF(AND($H23+$Q23&lt;=$DN23,$H23-$Q23&gt;=$DO23),"Pass","Pass Indeterminate"),IF(OR(AND($H23+$Q23&gt;$DN23,$H23-$Q23&gt;$DN23),AND($H23+$Q23&lt;$DO23,$H23-$Q23&lt;$DO23)),"Fail","Fail Indeterminate")),IF(ABS(ABS(H23)-ABS($C23))&lt;=$T23,"Pass","Fail")))),IF($A23="","---",IF(H23="","Data?",IF(AND((TestType="M1"),(NATA="Y")),IF(ABS((ABS(H23))-ABS($C23))&lt;=(ABS($T23-Q23)),"Pass","Fail"),IF(ABS(ABS(H23)-ABS($C23))&lt;=$T23,"Pass","Fail"))))),"---")</f>
        <v>---</v>
      </c>
      <c r="X23" s="322" t="str">
        <f ca="1">IFERROR(IF(OR(SNS&gt;=1,ANS&gt;=1),IF($A23="","---",IF(K23="","Data?",IF(AND((TestType="M1"),(NATA="Y")),IF(AND($K23&gt;=MIN($DN23,$DO23),$K23&lt;=MAX($DN23,$DO23)),IF(AND($K23+$Q23&lt;=$DN23,$K23-$Q23&gt;=$DO23),"Pass","Pass Indeterminate"),IF(OR(AND($K23+$Q23&gt;$DN23,$K23-$Q23&gt;$DN23),AND($K23+$Q23&lt;$DO23,$K23-$Q23&lt;$DO23)),"Fail","Fail Indeterminate")),IF(ABS(K23-$C23)&lt;=$T23,"Pass","Fail")))),IF($A23="","---",IF(K23="","Data?",IF(AND((TestType="M1"),(NATA="Y")),IF(ABS(ABS(K23)-ABS($C23))&lt;=(ABS($T23-Q23)),"Pass","Fail"),IF(ABS(ABS(K23)-ABS($C23))&lt;=$T23,"Pass","Fail"))))),"---")</f>
        <v>---</v>
      </c>
      <c r="Y23" s="322" t="str">
        <f t="shared" si="5"/>
        <v/>
      </c>
      <c r="Z23" s="333" t="e">
        <f ca="1">_xlfn.SINGLE(IF(_xlfn.SINGLE(Elect)=1,INDIRECT("Uncert!I"&amp;(((ROW()-17)*25)-2)),INDIRECT("Uncert!O"&amp;(((ROW()-17)*25)-1))))*VLOOKUP(_xlfn.SINGLE(Units),'1Test Data'!$Y$3:$AB$22,4,0)</f>
        <v>#NAME?</v>
      </c>
      <c r="AA23" s="333" t="str">
        <f t="shared" si="7"/>
        <v>Uncert!M149</v>
      </c>
      <c r="AB23" s="333" t="str">
        <f t="shared" si="8"/>
        <v>Uncert!M150</v>
      </c>
      <c r="AC23" s="333" t="str">
        <f t="shared" si="9"/>
        <v>Uncert!I149</v>
      </c>
      <c r="AG23" s="102" t="s">
        <v>117</v>
      </c>
      <c r="AH23" s="102">
        <f>'1Test Data'!AB8*100</f>
        <v>14.5038</v>
      </c>
      <c r="AZ23" s="102">
        <f ca="1">UnitConvert*($BA23*$A23^3+$BB23*$A23^2+$BC23*$A23+$BD23)</f>
        <v>0</v>
      </c>
      <c r="BA23" s="335">
        <f ca="1">VLOOKUP($B23,'1Test Data'!$O$30:$AP$49,23,0)</f>
        <v>0</v>
      </c>
      <c r="BB23" s="335">
        <f ca="1">VLOOKUP($B23,'1Test Data'!$O$30:$AP$49,24,0)</f>
        <v>1.269097E-18</v>
      </c>
      <c r="BC23" s="335">
        <f ca="1">VLOOKUP($B23,'1Test Data'!$O$30:$AP$49,25,0)</f>
        <v>1</v>
      </c>
      <c r="BD23" s="335">
        <f ca="1">VLOOKUP($B23,'1Test Data'!$O$30:$AP$49,26,0)</f>
        <v>1.7722764049999999E-15</v>
      </c>
      <c r="BE23" s="335">
        <f ca="1">VLOOKUP($B23,'1Test Data'!$O$30:$AP$49,27,0)</f>
        <v>1</v>
      </c>
      <c r="BF23" s="335">
        <f ca="1">VLOOKUP($B23,'1Test Data'!$O$30:$AP$49,28,0)</f>
        <v>0</v>
      </c>
      <c r="BZ23" s="16"/>
      <c r="CA23" s="341" t="str">
        <f>""</f>
        <v/>
      </c>
      <c r="CB23" s="147" t="str">
        <f>""</f>
        <v/>
      </c>
      <c r="CC23" s="147" t="str">
        <f>""</f>
        <v/>
      </c>
      <c r="CD23" s="147" t="str">
        <f>""</f>
        <v/>
      </c>
      <c r="CE23" s="147" t="str">
        <f>""</f>
        <v/>
      </c>
      <c r="CF23" s="65" t="str">
        <f>""</f>
        <v/>
      </c>
      <c r="CG23" s="16"/>
      <c r="CH23" s="16"/>
      <c r="CI23" s="16"/>
      <c r="CJ23" s="16">
        <v>5</v>
      </c>
      <c r="CK23" s="342" t="e">
        <f ca="1">ROUND((($CK$33/19)*$CJ23)/'1Test Data'!$C$19,0)*'1Test Data'!$C$19</f>
        <v>#NAME?</v>
      </c>
      <c r="CL23" s="342" t="e">
        <f t="shared" ca="1" si="10"/>
        <v>#NAME?</v>
      </c>
      <c r="CM23" s="342" t="e">
        <f t="shared" ca="1" si="10"/>
        <v>#NAME?</v>
      </c>
      <c r="CN23" s="342" t="e">
        <f t="shared" ca="1" si="11"/>
        <v>#NAME?</v>
      </c>
      <c r="CO23" s="342" t="e">
        <f t="shared" ca="1" si="11"/>
        <v>#NAME?</v>
      </c>
      <c r="CP23" s="342" t="e">
        <f t="shared" ca="1" si="11"/>
        <v>#NAME?</v>
      </c>
      <c r="CQ23" s="16"/>
      <c r="CR23" s="16"/>
      <c r="CS23" s="16"/>
      <c r="CT23" s="16"/>
      <c r="CU23" s="340" t="e">
        <f t="shared" ca="1" si="17"/>
        <v>#NAME?</v>
      </c>
      <c r="CV23" s="340" t="e">
        <f t="shared" ca="1" si="12"/>
        <v>#NAME?</v>
      </c>
      <c r="CW23" s="340" t="e">
        <f t="shared" ca="1" si="12"/>
        <v>#NAME?</v>
      </c>
      <c r="CX23" s="340" t="e">
        <f t="shared" ca="1" si="12"/>
        <v>#NAME?</v>
      </c>
      <c r="CY23" s="340" t="e">
        <f t="shared" ca="1" si="12"/>
        <v>#NAME?</v>
      </c>
      <c r="CZ23" s="340" t="e">
        <f t="shared" ca="1" si="12"/>
        <v>#NAME?</v>
      </c>
      <c r="DN23" s="104">
        <f>$C23+$T23</f>
        <v>0</v>
      </c>
      <c r="DO23" s="104">
        <f>C23-$T23</f>
        <v>0</v>
      </c>
      <c r="DP23" s="104" t="str">
        <f t="shared" ca="1" si="15"/>
        <v/>
      </c>
      <c r="DQ23" s="102" t="str">
        <f t="shared" si="16"/>
        <v/>
      </c>
      <c r="DT23" s="102"/>
    </row>
    <row r="24" spans="1:124" ht="15" customHeight="1" thickBot="1">
      <c r="A24" s="739"/>
      <c r="B24" s="691"/>
      <c r="C24" s="742"/>
      <c r="D24" s="746"/>
      <c r="E24" s="744"/>
      <c r="F24" s="743"/>
      <c r="G24" s="694"/>
      <c r="H24" s="694"/>
      <c r="I24" s="694"/>
      <c r="J24" s="694"/>
      <c r="K24" s="326"/>
      <c r="L24" s="327" t="str">
        <f t="shared" si="18"/>
        <v/>
      </c>
      <c r="M24" s="327" t="str">
        <f t="shared" si="19"/>
        <v/>
      </c>
      <c r="N24" s="326"/>
      <c r="O24" s="328" t="str">
        <f>IF(H24="","",ROUND((#REF!-H24),DecimalPlaces))</f>
        <v/>
      </c>
      <c r="P24" s="329"/>
      <c r="Q24" s="330" t="str">
        <f ca="1">IF(A24="","",IF(_xlfn.SINGLE(Elect)=1,_xlfn.SINGLE(INDIRECT(AC24))*VLOOKUP(_xlfn.SINGLE(Units),'1Test Data'!$Y$3:$AB$22,4,0),_xlfn.SINGLE(INDIRECT(AA24))*VLOOKUP(_xlfn.SINGLE(Units),'1Test Data'!$Y$3:$AB$22,4,0)))</f>
        <v/>
      </c>
      <c r="R24" s="331" t="str">
        <f t="shared" ca="1" si="6"/>
        <v/>
      </c>
      <c r="S24" s="330" t="str">
        <f t="shared" si="2"/>
        <v/>
      </c>
      <c r="T24" s="331"/>
      <c r="U24" s="274"/>
      <c r="V24" s="763"/>
      <c r="W24" s="321" t="str">
        <f ca="1">IFERROR(IF(OR(SNS&gt;=1,ANS&gt;=1),IF($A24="","---",IF(H24="","Data?",IF(AND((TestType="M1"),(NATA="Y")),IF(AND($H24&gt;=MIN($DN24,$DO24),$H24&lt;=MAX($DN24,$DO24)),IF(AND($H24+$Q24&lt;=$DN24,$H24-$Q24&gt;=$DO24),"Pass","Pass Indeterminate"),IF(OR(AND($H24+$Q24&gt;$DN24,$H24-$Q24&gt;$DN24),AND($H24+$Q24&lt;$DO24,$H24-$Q24&lt;$DO24)),"Fail","Fail Indeterminate")),IF(ABS(ABS(H24)-ABS(#REF!))&lt;=$T24,"Pass","Fail")))),IF($A24="","---",IF(H24="","Data?",IF(AND((TestType="M1"),(NATA="Y")),IF(ABS((ABS(H24))-ABS(#REF!))&lt;=(ABS($T24-Q24)),"Pass","Fail"),IF(ABS(ABS(H24)-ABS(#REF!))&lt;=$T24,"Pass","Fail"))))),"---")</f>
        <v>---</v>
      </c>
      <c r="X24" s="322" t="str">
        <f ca="1">IFERROR(IF(OR(SNS&gt;=1,ANS&gt;=1),IF($A24="","---",IF(K24="","Data?",IF(AND((TestType="M1"),(NATA="Y")),IF(AND($K24&gt;=MIN($DN24,$DO24),$K24&lt;=MAX($DN24,$DO24)),IF(AND($K24+$Q24&lt;=$DN24,$K24-$Q24&gt;=$DO24),"Pass","Pass Indeterminate"),IF(OR(AND($K24+$Q24&gt;$DN24,$K24-$Q24&gt;$DN24),AND($K24+$Q24&lt;$DO24,$K24-$Q24&lt;$DO24)),"Fail","Fail Indeterminate")),IF(ABS(K24-#REF!)&lt;=$T24,"Pass","Fail")))),IF($A24="","---",IF(K24="","Data?",IF(AND((TestType="M1"),(NATA="Y")),IF(ABS(ABS(K24)-ABS(#REF!))&lt;=(ABS($T24-Q24)),"Pass","Fail"),IF(ABS(ABS(K24)-ABS(#REF!))&lt;=$T24,"Pass","Fail"))))),"---")</f>
        <v>---</v>
      </c>
      <c r="Y24" s="322" t="str">
        <f t="shared" si="5"/>
        <v/>
      </c>
      <c r="Z24" s="333" t="e">
        <f ca="1">_xlfn.SINGLE(IF(_xlfn.SINGLE(Elect)=1,INDIRECT("Uncert!I"&amp;(((ROW()-17)*25)-2)),INDIRECT("Uncert!O"&amp;(((ROW()-17)*25)-1))))*VLOOKUP(_xlfn.SINGLE(Units),'1Test Data'!$Y$3:$AB$22,4,0)</f>
        <v>#NAME?</v>
      </c>
      <c r="AA24" s="333" t="str">
        <f t="shared" si="7"/>
        <v>Uncert!M174</v>
      </c>
      <c r="AB24" s="333" t="str">
        <f t="shared" si="8"/>
        <v>Uncert!M175</v>
      </c>
      <c r="AC24" s="333" t="str">
        <f t="shared" si="9"/>
        <v>Uncert!I174</v>
      </c>
      <c r="AG24" s="102" t="s">
        <v>120</v>
      </c>
      <c r="AH24" s="102">
        <f>'1Test Data'!AB9*100</f>
        <v>1</v>
      </c>
      <c r="AK24" s="102" t="e">
        <f>(AL21/100)*Vacuum</f>
        <v>#N/A</v>
      </c>
      <c r="AZ24" s="102">
        <f ca="1">UnitConvert*($BA24*$A24^3+$BB24*$A24^2+$BC24*$A24+$BD24)</f>
        <v>0</v>
      </c>
      <c r="BA24" s="335">
        <f ca="1">VLOOKUP($B24,'1Test Data'!$O$30:$AP$49,23,0)</f>
        <v>0</v>
      </c>
      <c r="BB24" s="335">
        <f ca="1">VLOOKUP($B24,'1Test Data'!$O$30:$AP$49,24,0)</f>
        <v>1.269097E-18</v>
      </c>
      <c r="BC24" s="335">
        <f ca="1">VLOOKUP($B24,'1Test Data'!$O$30:$AP$49,25,0)</f>
        <v>1</v>
      </c>
      <c r="BD24" s="335">
        <f ca="1">VLOOKUP($B24,'1Test Data'!$O$30:$AP$49,26,0)</f>
        <v>1.7722764049999999E-15</v>
      </c>
      <c r="BE24" s="335">
        <f ca="1">VLOOKUP($B24,'1Test Data'!$O$30:$AP$49,27,0)</f>
        <v>1</v>
      </c>
      <c r="BF24" s="335">
        <f ca="1">VLOOKUP($B24,'1Test Data'!$O$30:$AP$49,28,0)</f>
        <v>0</v>
      </c>
      <c r="BZ24" s="16"/>
      <c r="CA24" s="341" t="str">
        <f>""</f>
        <v/>
      </c>
      <c r="CB24" s="147" t="str">
        <f>""</f>
        <v/>
      </c>
      <c r="CC24" s="147" t="str">
        <f>""</f>
        <v/>
      </c>
      <c r="CD24" s="147" t="str">
        <f>""</f>
        <v/>
      </c>
      <c r="CE24" s="147" t="str">
        <f>""</f>
        <v/>
      </c>
      <c r="CF24" s="65" t="str">
        <f>""</f>
        <v/>
      </c>
      <c r="CG24" s="16"/>
      <c r="CH24" s="16"/>
      <c r="CI24" s="16"/>
      <c r="CJ24" s="16">
        <v>6</v>
      </c>
      <c r="CK24" s="342" t="e">
        <f ca="1">ROUND((($CK$33/19)*$CJ24)/'1Test Data'!$C$19,0)*'1Test Data'!$C$19</f>
        <v>#NAME?</v>
      </c>
      <c r="CL24" s="342" t="e">
        <f t="shared" ca="1" si="10"/>
        <v>#NAME?</v>
      </c>
      <c r="CM24" s="342" t="e">
        <f t="shared" ca="1" si="10"/>
        <v>#NAME?</v>
      </c>
      <c r="CN24" s="342" t="e">
        <f t="shared" ca="1" si="11"/>
        <v>#NAME?</v>
      </c>
      <c r="CO24" s="342" t="e">
        <f t="shared" ca="1" si="11"/>
        <v>#NAME?</v>
      </c>
      <c r="CP24" s="342" t="e">
        <f t="shared" ca="1" si="11"/>
        <v>#NAME?</v>
      </c>
      <c r="CQ24" s="16"/>
      <c r="CR24" s="16"/>
      <c r="CS24" s="16"/>
      <c r="CT24" s="16"/>
      <c r="CU24" s="340" t="e">
        <f t="shared" ca="1" si="17"/>
        <v>#NAME?</v>
      </c>
      <c r="CV24" s="340" t="e">
        <f t="shared" ca="1" si="12"/>
        <v>#NAME?</v>
      </c>
      <c r="CW24" s="340" t="e">
        <f t="shared" ca="1" si="12"/>
        <v>#NAME?</v>
      </c>
      <c r="CX24" s="340" t="e">
        <f t="shared" ca="1" si="12"/>
        <v>#NAME?</v>
      </c>
      <c r="CY24" s="340" t="e">
        <f t="shared" ca="1" si="12"/>
        <v>#NAME?</v>
      </c>
      <c r="CZ24" s="340" t="e">
        <f t="shared" ca="1" si="12"/>
        <v>#NAME?</v>
      </c>
      <c r="DN24" s="104" t="e">
        <f>#REF!+$T24</f>
        <v>#REF!</v>
      </c>
      <c r="DO24" s="104" t="e">
        <f>#REF!-$T24</f>
        <v>#REF!</v>
      </c>
      <c r="DP24" s="104" t="str">
        <f t="shared" ca="1" si="15"/>
        <v/>
      </c>
      <c r="DQ24" s="102" t="str">
        <f t="shared" si="16"/>
        <v/>
      </c>
      <c r="DT24" s="102"/>
    </row>
    <row r="25" spans="1:124" ht="15" customHeight="1" thickBot="1">
      <c r="A25" s="739"/>
      <c r="B25" s="691"/>
      <c r="C25" s="742"/>
      <c r="D25" s="746"/>
      <c r="E25" s="744"/>
      <c r="F25" s="743"/>
      <c r="G25" s="694"/>
      <c r="H25" s="694"/>
      <c r="I25" s="694"/>
      <c r="J25" s="694"/>
      <c r="K25" s="326"/>
      <c r="L25" s="327" t="str">
        <f t="shared" si="18"/>
        <v/>
      </c>
      <c r="M25" s="327" t="str">
        <f t="shared" si="19"/>
        <v/>
      </c>
      <c r="N25" s="326"/>
      <c r="O25" s="328" t="str">
        <f>IF(H25="","",ROUND((#REF!-H25),DecimalPlaces))</f>
        <v/>
      </c>
      <c r="P25" s="329"/>
      <c r="Q25" s="330" t="str">
        <f ca="1">IF(A25="","",IF(_xlfn.SINGLE(Elect)=1,_xlfn.SINGLE(INDIRECT(AC25))*VLOOKUP(_xlfn.SINGLE(Units),'1Test Data'!$Y$3:$AB$22,4,0),_xlfn.SINGLE(INDIRECT(AA25))*VLOOKUP(_xlfn.SINGLE(Units),'1Test Data'!$Y$3:$AB$22,4,0)))</f>
        <v/>
      </c>
      <c r="R25" s="331" t="str">
        <f t="shared" ca="1" si="6"/>
        <v/>
      </c>
      <c r="S25" s="330" t="str">
        <f t="shared" si="2"/>
        <v/>
      </c>
      <c r="T25" s="331"/>
      <c r="U25" s="274"/>
      <c r="V25" s="763"/>
      <c r="W25" s="321" t="str">
        <f ca="1">IFERROR(IF(OR(SNS&gt;=1,ANS&gt;=1),IF($A25="","---",IF(H25="","Data?",IF(AND((TestType="M1"),(NATA="Y")),IF(AND($H25&gt;=MIN($DN25,$DO25),$H25&lt;=MAX($DN25,$DO25)),IF(AND($H25+$Q25&lt;=$DN25,$H25-$Q25&gt;=$DO25),"Pass","Pass Indeterminate"),IF(OR(AND($H25+$Q25&gt;$DN25,$H25-$Q25&gt;$DN25),AND($H25+$Q25&lt;$DO25,$H25-$Q25&lt;$DO25)),"Fail","Fail Indeterminate")),IF(ABS(ABS(H25)-ABS(#REF!))&lt;=$T25,"Pass","Fail")))),IF($A25="","---",IF(H25="","Data?",IF(AND((TestType="M1"),(NATA="Y")),IF(ABS((ABS(H25))-ABS(#REF!))&lt;=(ABS($T25-Q25)),"Pass","Fail"),IF(ABS(ABS(H25)-ABS(#REF!))&lt;=$T25,"Pass","Fail"))))),"---")</f>
        <v>---</v>
      </c>
      <c r="X25" s="322" t="str">
        <f ca="1">IFERROR(IF(OR(SNS&gt;=1,ANS&gt;=1),IF($A25="","---",IF(K25="","Data?",IF(AND((TestType="M1"),(NATA="Y")),IF(AND($K25&gt;=MIN($DN25,$DO25),$K25&lt;=MAX($DN25,$DO25)),IF(AND($K25+$Q25&lt;=$DN25,$K25-$Q25&gt;=$DO25),"Pass","Pass Indeterminate"),IF(OR(AND($K25+$Q25&gt;$DN25,$K25-$Q25&gt;$DN25),AND($K25+$Q25&lt;$DO25,$K25-$Q25&lt;$DO25)),"Fail","Fail Indeterminate")),IF(ABS(K25-#REF!)&lt;=$T25,"Pass","Fail")))),IF($A25="","---",IF(K25="","Data?",IF(AND((TestType="M1"),(NATA="Y")),IF(ABS(ABS(K25)-ABS(#REF!))&lt;=(ABS($T25-Q25)),"Pass","Fail"),IF(ABS(ABS(K25)-ABS(#REF!))&lt;=$T25,"Pass","Fail"))))),"---")</f>
        <v>---</v>
      </c>
      <c r="Y25" s="322" t="str">
        <f t="shared" si="5"/>
        <v/>
      </c>
      <c r="Z25" s="333" t="e">
        <f ca="1">_xlfn.SINGLE(IF(_xlfn.SINGLE(Elect)=1,INDIRECT("Uncert!I"&amp;(((ROW()-17)*25)-2)),INDIRECT("Uncert!O"&amp;(((ROW()-17)*25)-1))))*VLOOKUP(_xlfn.SINGLE(Units),'1Test Data'!$Y$3:$AB$22,4,0)</f>
        <v>#NAME?</v>
      </c>
      <c r="AA25" s="333" t="str">
        <f t="shared" si="7"/>
        <v>Uncert!M199</v>
      </c>
      <c r="AB25" s="333" t="str">
        <f t="shared" si="8"/>
        <v>Uncert!M200</v>
      </c>
      <c r="AC25" s="333" t="str">
        <f t="shared" si="9"/>
        <v>Uncert!I199</v>
      </c>
      <c r="AG25" s="102" t="s">
        <v>95</v>
      </c>
      <c r="AH25" s="102">
        <f>'1Test Data'!AB10*100</f>
        <v>1000</v>
      </c>
      <c r="AZ25" s="102">
        <f ca="1">UnitConvert*($BA25*$A25^3+$BB25*$A25^2+$BC25*$A25+$BD25)</f>
        <v>0</v>
      </c>
      <c r="BA25" s="335">
        <f ca="1">VLOOKUP($B25,'1Test Data'!$O$30:$AP$49,23,0)</f>
        <v>0</v>
      </c>
      <c r="BB25" s="335">
        <f ca="1">VLOOKUP($B25,'1Test Data'!$O$30:$AP$49,24,0)</f>
        <v>1.269097E-18</v>
      </c>
      <c r="BC25" s="335">
        <f ca="1">VLOOKUP($B25,'1Test Data'!$O$30:$AP$49,25,0)</f>
        <v>1</v>
      </c>
      <c r="BD25" s="335">
        <f ca="1">VLOOKUP($B25,'1Test Data'!$O$30:$AP$49,26,0)</f>
        <v>1.7722764049999999E-15</v>
      </c>
      <c r="BE25" s="335">
        <f ca="1">VLOOKUP($B25,'1Test Data'!$O$30:$AP$49,27,0)</f>
        <v>1</v>
      </c>
      <c r="BF25" s="335">
        <f ca="1">VLOOKUP($B25,'1Test Data'!$O$30:$AP$49,28,0)</f>
        <v>0</v>
      </c>
      <c r="BZ25" s="16"/>
      <c r="CA25" s="341" t="str">
        <f>""</f>
        <v/>
      </c>
      <c r="CB25" s="147" t="str">
        <f>""</f>
        <v/>
      </c>
      <c r="CC25" s="147" t="str">
        <f>""</f>
        <v/>
      </c>
      <c r="CD25" s="147" t="str">
        <f>""</f>
        <v/>
      </c>
      <c r="CE25" s="147" t="str">
        <f>""</f>
        <v/>
      </c>
      <c r="CF25" s="65" t="str">
        <f>""</f>
        <v/>
      </c>
      <c r="CG25" s="16"/>
      <c r="CH25" s="16"/>
      <c r="CI25" s="16"/>
      <c r="CJ25" s="16">
        <v>7</v>
      </c>
      <c r="CK25" s="342" t="e">
        <f ca="1">ROUND((($CK$33/19)*$CJ25)/'1Test Data'!$C$19,0)*'1Test Data'!$C$19</f>
        <v>#NAME?</v>
      </c>
      <c r="CL25" s="342" t="e">
        <f t="shared" ca="1" si="10"/>
        <v>#NAME?</v>
      </c>
      <c r="CM25" s="342" t="e">
        <f t="shared" ca="1" si="10"/>
        <v>#NAME?</v>
      </c>
      <c r="CN25" s="342" t="e">
        <f t="shared" ca="1" si="11"/>
        <v>#NAME?</v>
      </c>
      <c r="CO25" s="342" t="e">
        <f t="shared" ca="1" si="11"/>
        <v>#NAME?</v>
      </c>
      <c r="CP25" s="342" t="e">
        <f t="shared" ca="1" si="11"/>
        <v>#NAME?</v>
      </c>
      <c r="CQ25" s="16"/>
      <c r="CR25" s="16"/>
      <c r="CS25" s="16"/>
      <c r="CT25" s="16"/>
      <c r="CU25" s="340" t="e">
        <f t="shared" ca="1" si="17"/>
        <v>#NAME?</v>
      </c>
      <c r="CV25" s="340" t="e">
        <f t="shared" ca="1" si="12"/>
        <v>#NAME?</v>
      </c>
      <c r="CW25" s="340" t="e">
        <f t="shared" ca="1" si="12"/>
        <v>#NAME?</v>
      </c>
      <c r="CX25" s="340" t="e">
        <f t="shared" ca="1" si="12"/>
        <v>#NAME?</v>
      </c>
      <c r="CY25" s="340" t="e">
        <f t="shared" ca="1" si="12"/>
        <v>#NAME?</v>
      </c>
      <c r="CZ25" s="340" t="e">
        <f t="shared" ca="1" si="12"/>
        <v>#NAME?</v>
      </c>
      <c r="DN25" s="104" t="e">
        <f>#REF!+$T25</f>
        <v>#REF!</v>
      </c>
      <c r="DO25" s="104" t="e">
        <f>#REF!-$T25</f>
        <v>#REF!</v>
      </c>
      <c r="DP25" s="104" t="str">
        <f t="shared" ca="1" si="15"/>
        <v/>
      </c>
      <c r="DQ25" s="102" t="str">
        <f t="shared" si="16"/>
        <v/>
      </c>
      <c r="DT25" s="102"/>
    </row>
    <row r="26" spans="1:124" ht="15" customHeight="1" thickBot="1">
      <c r="A26" s="739"/>
      <c r="B26" s="691"/>
      <c r="C26" s="742"/>
      <c r="D26" s="746"/>
      <c r="E26" s="744"/>
      <c r="F26" s="743"/>
      <c r="G26" s="694"/>
      <c r="H26" s="694"/>
      <c r="I26" s="694"/>
      <c r="J26" s="694"/>
      <c r="K26" s="326"/>
      <c r="L26" s="327" t="str">
        <f t="shared" si="18"/>
        <v/>
      </c>
      <c r="M26" s="327" t="str">
        <f t="shared" si="19"/>
        <v/>
      </c>
      <c r="N26" s="326"/>
      <c r="O26" s="328" t="str">
        <f>IF(H26="","",ROUND((#REF!-H26),DecimalPlaces))</f>
        <v/>
      </c>
      <c r="P26" s="329"/>
      <c r="Q26" s="330" t="str">
        <f ca="1">IF(A26="","",IF(_xlfn.SINGLE(Elect)=1,_xlfn.SINGLE(INDIRECT(AC26))*VLOOKUP(_xlfn.SINGLE(Units),'1Test Data'!$Y$3:$AB$22,4,0),_xlfn.SINGLE(INDIRECT(AA26))*VLOOKUP(_xlfn.SINGLE(Units),'1Test Data'!$Y$3:$AB$22,4,0)))</f>
        <v/>
      </c>
      <c r="R26" s="331" t="str">
        <f t="shared" ca="1" si="6"/>
        <v/>
      </c>
      <c r="S26" s="330" t="str">
        <f t="shared" si="2"/>
        <v/>
      </c>
      <c r="T26" s="331"/>
      <c r="U26" s="274"/>
      <c r="V26" s="763"/>
      <c r="W26" s="321" t="str">
        <f ca="1">IFERROR(IF(OR(SNS&gt;=1,ANS&gt;=1),IF($A26="","---",IF(H26="","Data?",IF(AND((TestType="M1"),(NATA="Y")),IF(AND($H26&gt;=MIN($DN26,$DO26),$H26&lt;=MAX($DN26,$DO26)),IF(AND($H26+$Q26&lt;=$DN26,$H26-$Q26&gt;=$DO26),"Pass","Pass Indeterminate"),IF(OR(AND($H26+$Q26&gt;$DN26,$H26-$Q26&gt;$DN26),AND($H26+$Q26&lt;$DO26,$H26-$Q26&lt;$DO26)),"Fail","Fail Indeterminate")),IF(ABS(ABS(H26)-ABS(#REF!))&lt;=$T26,"Pass","Fail")))),IF($A26="","---",IF(H26="","Data?",IF(AND((TestType="M1"),(NATA="Y")),IF(ABS((ABS(H26))-ABS(#REF!))&lt;=(ABS($T26-Q26)),"Pass","Fail"),IF(ABS(ABS(H26)-ABS(#REF!))&lt;=$T26,"Pass","Fail"))))),"---")</f>
        <v>---</v>
      </c>
      <c r="X26" s="322" t="str">
        <f ca="1">IFERROR(IF(OR(SNS&gt;=1,ANS&gt;=1),IF($A26="","---",IF(K26="","Data?",IF(AND((TestType="M1"),(NATA="Y")),IF(AND($K26&gt;=MIN($DN26,$DO26),$K26&lt;=MAX($DN26,$DO26)),IF(AND($K26+$Q26&lt;=$DN26,$K26-$Q26&gt;=$DO26),"Pass","Pass Indeterminate"),IF(OR(AND($K26+$Q26&gt;$DN26,$K26-$Q26&gt;$DN26),AND($K26+$Q26&lt;$DO26,$K26-$Q26&lt;$DO26)),"Fail","Fail Indeterminate")),IF(ABS(K26-#REF!)&lt;=$T26,"Pass","Fail")))),IF($A26="","---",IF(K26="","Data?",IF(AND((TestType="M1"),(NATA="Y")),IF(ABS(ABS(K26)-ABS(#REF!))&lt;=(ABS($T26-Q26)),"Pass","Fail"),IF(ABS(ABS(K26)-ABS(#REF!))&lt;=$T26,"Pass","Fail"))))),"---")</f>
        <v>---</v>
      </c>
      <c r="Y26" s="322" t="str">
        <f t="shared" si="5"/>
        <v/>
      </c>
      <c r="Z26" s="333" t="e">
        <f ca="1">_xlfn.SINGLE(IF(_xlfn.SINGLE(Elect)=1,INDIRECT("Uncert!I"&amp;(((ROW()-17)*25)-2)),INDIRECT("Uncert!O"&amp;(((ROW()-17)*25)-1))))*VLOOKUP(_xlfn.SINGLE(Units),'1Test Data'!$Y$3:$AB$22,4,0)</f>
        <v>#NAME?</v>
      </c>
      <c r="AA26" s="333" t="str">
        <f t="shared" si="7"/>
        <v>Uncert!M224</v>
      </c>
      <c r="AB26" s="333" t="str">
        <f t="shared" si="8"/>
        <v>Uncert!M225</v>
      </c>
      <c r="AC26" s="333" t="str">
        <f t="shared" si="9"/>
        <v>Uncert!I224</v>
      </c>
      <c r="AG26" s="102" t="s">
        <v>126</v>
      </c>
      <c r="AH26" s="102">
        <f>'1Test Data'!AB11*100</f>
        <v>391.74686508488685</v>
      </c>
      <c r="AZ26" s="102">
        <f ca="1">UnitConvert*($BA26*$A26^3+$BB26*$A26^2+$BC26*$A26+$BD26)</f>
        <v>0</v>
      </c>
      <c r="BA26" s="335">
        <f ca="1">VLOOKUP($B26,'1Test Data'!$O$30:$AP$49,23,0)</f>
        <v>0</v>
      </c>
      <c r="BB26" s="335">
        <f ca="1">VLOOKUP($B26,'1Test Data'!$O$30:$AP$49,24,0)</f>
        <v>1.269097E-18</v>
      </c>
      <c r="BC26" s="335">
        <f ca="1">VLOOKUP($B26,'1Test Data'!$O$30:$AP$49,25,0)</f>
        <v>1</v>
      </c>
      <c r="BD26" s="335">
        <f ca="1">VLOOKUP($B26,'1Test Data'!$O$30:$AP$49,26,0)</f>
        <v>1.7722764049999999E-15</v>
      </c>
      <c r="BE26" s="335">
        <f ca="1">VLOOKUP($B26,'1Test Data'!$O$30:$AP$49,27,0)</f>
        <v>1</v>
      </c>
      <c r="BF26" s="335">
        <f ca="1">VLOOKUP($B26,'1Test Data'!$O$30:$AP$49,28,0)</f>
        <v>0</v>
      </c>
      <c r="BZ26" s="16"/>
      <c r="CA26" s="341" t="str">
        <f>""</f>
        <v/>
      </c>
      <c r="CB26" s="147" t="str">
        <f>""</f>
        <v/>
      </c>
      <c r="CC26" s="147" t="str">
        <f>""</f>
        <v/>
      </c>
      <c r="CD26" s="147" t="str">
        <f>""</f>
        <v/>
      </c>
      <c r="CE26" s="147" t="str">
        <f>""</f>
        <v/>
      </c>
      <c r="CF26" s="65" t="str">
        <f>""</f>
        <v/>
      </c>
      <c r="CG26" s="16"/>
      <c r="CH26" s="16"/>
      <c r="CI26" s="16"/>
      <c r="CJ26" s="16">
        <v>8</v>
      </c>
      <c r="CK26" s="342" t="e">
        <f ca="1">ROUND((($CK$33/19)*$CJ26)/'1Test Data'!$C$19,0)*'1Test Data'!$C$19</f>
        <v>#NAME?</v>
      </c>
      <c r="CL26" s="342" t="e">
        <f t="shared" ca="1" si="10"/>
        <v>#NAME?</v>
      </c>
      <c r="CM26" s="342" t="e">
        <f t="shared" ca="1" si="10"/>
        <v>#NAME?</v>
      </c>
      <c r="CN26" s="342" t="e">
        <f t="shared" ca="1" si="11"/>
        <v>#NAME?</v>
      </c>
      <c r="CO26" s="342" t="e">
        <f t="shared" ca="1" si="11"/>
        <v>#NAME?</v>
      </c>
      <c r="CP26" s="342" t="e">
        <f t="shared" ca="1" si="11"/>
        <v>#NAME?</v>
      </c>
      <c r="CQ26" s="16"/>
      <c r="CR26" s="16"/>
      <c r="CS26" s="16"/>
      <c r="CT26" s="16"/>
      <c r="CU26" s="340" t="e">
        <f t="shared" ca="1" si="17"/>
        <v>#NAME?</v>
      </c>
      <c r="CV26" s="340" t="e">
        <f t="shared" ca="1" si="12"/>
        <v>#NAME?</v>
      </c>
      <c r="CW26" s="340" t="e">
        <f t="shared" ca="1" si="12"/>
        <v>#NAME?</v>
      </c>
      <c r="CX26" s="340" t="e">
        <f t="shared" ca="1" si="12"/>
        <v>#NAME?</v>
      </c>
      <c r="CY26" s="340" t="e">
        <f t="shared" ca="1" si="12"/>
        <v>#NAME?</v>
      </c>
      <c r="CZ26" s="340" t="e">
        <f t="shared" ca="1" si="12"/>
        <v>#NAME?</v>
      </c>
      <c r="DN26" s="104" t="e">
        <f>#REF!+$T26</f>
        <v>#REF!</v>
      </c>
      <c r="DO26" s="104" t="e">
        <f>#REF!-$T26</f>
        <v>#REF!</v>
      </c>
      <c r="DP26" s="104" t="str">
        <f t="shared" ca="1" si="15"/>
        <v/>
      </c>
      <c r="DQ26" s="102" t="str">
        <f t="shared" si="16"/>
        <v/>
      </c>
      <c r="DT26" s="102"/>
    </row>
    <row r="27" spans="1:124" ht="15" customHeight="1" thickBot="1">
      <c r="A27" s="739"/>
      <c r="B27" s="691"/>
      <c r="C27" s="742"/>
      <c r="D27" s="746"/>
      <c r="E27" s="744"/>
      <c r="F27" s="743"/>
      <c r="G27" s="694"/>
      <c r="H27" s="694"/>
      <c r="I27" s="694"/>
      <c r="J27" s="694"/>
      <c r="K27" s="326"/>
      <c r="L27" s="327" t="str">
        <f t="shared" si="18"/>
        <v/>
      </c>
      <c r="M27" s="327" t="str">
        <f t="shared" si="19"/>
        <v/>
      </c>
      <c r="N27" s="326"/>
      <c r="O27" s="328" t="str">
        <f t="shared" si="1"/>
        <v/>
      </c>
      <c r="P27" s="329"/>
      <c r="Q27" s="330" t="str">
        <f ca="1">IF(A27="","",IF(_xlfn.SINGLE(Elect)=1,_xlfn.SINGLE(INDIRECT(AC27))*VLOOKUP(_xlfn.SINGLE(Units),'1Test Data'!$Y$3:$AB$22,4,0),_xlfn.SINGLE(INDIRECT(AA27))*VLOOKUP(_xlfn.SINGLE(Units),'1Test Data'!$Y$3:$AB$22,4,0)))</f>
        <v/>
      </c>
      <c r="R27" s="331" t="str">
        <f t="shared" ca="1" si="6"/>
        <v/>
      </c>
      <c r="S27" s="330" t="str">
        <f t="shared" si="2"/>
        <v/>
      </c>
      <c r="T27" s="331"/>
      <c r="U27" s="274"/>
      <c r="V27" s="763"/>
      <c r="W27" s="321" t="str">
        <f t="shared" ca="1" si="3"/>
        <v>---</v>
      </c>
      <c r="X27" s="322" t="str">
        <f t="shared" ca="1" si="4"/>
        <v>---</v>
      </c>
      <c r="Y27" s="322" t="str">
        <f t="shared" si="5"/>
        <v/>
      </c>
      <c r="Z27" s="333" t="e">
        <f ca="1">_xlfn.SINGLE(IF(_xlfn.SINGLE(Elect)=1,INDIRECT("Uncert!I"&amp;(((ROW()-17)*25)-2)),INDIRECT("Uncert!O"&amp;(((ROW()-17)*25)-1))))*VLOOKUP(_xlfn.SINGLE(Units),'1Test Data'!$Y$3:$AB$22,4,0)</f>
        <v>#NAME?</v>
      </c>
      <c r="AA27" s="333" t="str">
        <f t="shared" si="7"/>
        <v>Uncert!M249</v>
      </c>
      <c r="AB27" s="333" t="str">
        <f t="shared" si="8"/>
        <v>Uncert!M250</v>
      </c>
      <c r="AC27" s="333" t="str">
        <f t="shared" si="9"/>
        <v>Uncert!I249</v>
      </c>
      <c r="AG27" s="102" t="s">
        <v>131</v>
      </c>
      <c r="AH27" s="102">
        <f>'1Test Data'!AB12*100</f>
        <v>10197.162129779283</v>
      </c>
      <c r="AZ27" s="102">
        <f ca="1">UnitConvert*($BA27*$A27^3+$BB27*$A27^2+$BC27*$A27+$BD27)</f>
        <v>0</v>
      </c>
      <c r="BA27" s="335">
        <f ca="1">VLOOKUP($B27,'1Test Data'!$O$30:$AP$49,23,0)</f>
        <v>0</v>
      </c>
      <c r="BB27" s="335">
        <f ca="1">VLOOKUP($B27,'1Test Data'!$O$30:$AP$49,24,0)</f>
        <v>1.269097E-18</v>
      </c>
      <c r="BC27" s="335">
        <f ca="1">VLOOKUP($B27,'1Test Data'!$O$30:$AP$49,25,0)</f>
        <v>1</v>
      </c>
      <c r="BD27" s="335">
        <f ca="1">VLOOKUP($B27,'1Test Data'!$O$30:$AP$49,26,0)</f>
        <v>1.7722764049999999E-15</v>
      </c>
      <c r="BE27" s="335">
        <f ca="1">VLOOKUP($B27,'1Test Data'!$O$30:$AP$49,27,0)</f>
        <v>1</v>
      </c>
      <c r="BF27" s="335">
        <f ca="1">VLOOKUP($B27,'1Test Data'!$O$30:$AP$49,28,0)</f>
        <v>0</v>
      </c>
      <c r="BZ27" s="16"/>
      <c r="CA27" s="341" t="str">
        <f>""</f>
        <v/>
      </c>
      <c r="CB27" s="147" t="str">
        <f>""</f>
        <v/>
      </c>
      <c r="CC27" s="147" t="str">
        <f>""</f>
        <v/>
      </c>
      <c r="CD27" s="147" t="str">
        <f>""</f>
        <v/>
      </c>
      <c r="CE27" s="147" t="str">
        <f>""</f>
        <v/>
      </c>
      <c r="CF27" s="65" t="str">
        <f>""</f>
        <v/>
      </c>
      <c r="CG27" s="16"/>
      <c r="CH27" s="16"/>
      <c r="CI27" s="16"/>
      <c r="CJ27" s="16">
        <v>9</v>
      </c>
      <c r="CK27" s="342" t="e">
        <f ca="1">ROUND((($CK$33/19)*$CJ27)/'1Test Data'!$C$19,0)*'1Test Data'!$C$19</f>
        <v>#NAME?</v>
      </c>
      <c r="CL27" s="342" t="e">
        <f t="shared" ca="1" si="10"/>
        <v>#NAME?</v>
      </c>
      <c r="CM27" s="342" t="e">
        <f t="shared" ca="1" si="10"/>
        <v>#NAME?</v>
      </c>
      <c r="CN27" s="342" t="e">
        <f t="shared" ca="1" si="11"/>
        <v>#NAME?</v>
      </c>
      <c r="CO27" s="342" t="e">
        <f t="shared" ca="1" si="11"/>
        <v>#NAME?</v>
      </c>
      <c r="CP27" s="342" t="e">
        <f t="shared" ca="1" si="11"/>
        <v>#NAME?</v>
      </c>
      <c r="CQ27" s="16"/>
      <c r="CR27" s="16"/>
      <c r="CS27" s="16"/>
      <c r="CT27" s="16"/>
      <c r="CU27" s="340" t="e">
        <f t="shared" ca="1" si="17"/>
        <v>#NAME?</v>
      </c>
      <c r="CV27" s="340" t="e">
        <f t="shared" ca="1" si="12"/>
        <v>#NAME?</v>
      </c>
      <c r="CW27" s="340" t="e">
        <f t="shared" ca="1" si="12"/>
        <v>#NAME?</v>
      </c>
      <c r="CX27" s="340" t="e">
        <f t="shared" ca="1" si="12"/>
        <v>#NAME?</v>
      </c>
      <c r="CY27" s="340" t="e">
        <f t="shared" ca="1" si="12"/>
        <v>#NAME?</v>
      </c>
      <c r="CZ27" s="340" t="e">
        <f t="shared" ca="1" si="12"/>
        <v>#NAME?</v>
      </c>
      <c r="DN27" s="104">
        <f>IFERROR($C27+$T27,"")</f>
        <v>0</v>
      </c>
      <c r="DO27" s="104">
        <f>IFERROR(C27-$T27,"")</f>
        <v>0</v>
      </c>
      <c r="DP27" s="104" t="str">
        <f t="shared" ca="1" si="15"/>
        <v/>
      </c>
      <c r="DQ27" s="102" t="str">
        <f t="shared" si="16"/>
        <v/>
      </c>
      <c r="DT27" s="102"/>
    </row>
    <row r="28" spans="1:124" ht="15" customHeight="1" thickBot="1">
      <c r="A28" s="739"/>
      <c r="B28" s="691"/>
      <c r="C28" s="742"/>
      <c r="D28" s="746"/>
      <c r="E28" s="744"/>
      <c r="F28" s="743"/>
      <c r="G28" s="694"/>
      <c r="H28" s="694"/>
      <c r="I28" s="694"/>
      <c r="J28" s="694"/>
      <c r="K28" s="326"/>
      <c r="L28" s="327" t="str">
        <f t="shared" si="18"/>
        <v/>
      </c>
      <c r="M28" s="327" t="str">
        <f t="shared" si="19"/>
        <v/>
      </c>
      <c r="N28" s="326"/>
      <c r="O28" s="328" t="str">
        <f t="shared" si="1"/>
        <v/>
      </c>
      <c r="P28" s="329"/>
      <c r="Q28" s="330" t="str">
        <f ca="1">IF(A28="","",IF(_xlfn.SINGLE(Elect)=1,_xlfn.SINGLE(INDIRECT(AC28))*VLOOKUP(_xlfn.SINGLE(Units),'1Test Data'!$Y$3:$AB$22,4,0),_xlfn.SINGLE(INDIRECT(AA28))*VLOOKUP(_xlfn.SINGLE(Units),'1Test Data'!$Y$3:$AB$22,4,0)))</f>
        <v/>
      </c>
      <c r="R28" s="331" t="str">
        <f t="shared" ca="1" si="6"/>
        <v/>
      </c>
      <c r="S28" s="330" t="str">
        <f t="shared" si="2"/>
        <v/>
      </c>
      <c r="T28" s="331"/>
      <c r="U28" s="274"/>
      <c r="V28" s="763"/>
      <c r="W28" s="321" t="str">
        <f t="shared" ca="1" si="3"/>
        <v>---</v>
      </c>
      <c r="X28" s="322" t="str">
        <f t="shared" ca="1" si="4"/>
        <v>---</v>
      </c>
      <c r="Y28" s="322" t="str">
        <f t="shared" si="5"/>
        <v/>
      </c>
      <c r="Z28" s="333" t="e">
        <f ca="1">_xlfn.SINGLE(IF(_xlfn.SINGLE(Elect)=1,INDIRECT("Uncert!I"&amp;(((ROW()-17)*25)-2)),INDIRECT("Uncert!O"&amp;(((ROW()-17)*25)-1))))*VLOOKUP(_xlfn.SINGLE(Units),'1Test Data'!$Y$3:$AB$22,4,0)</f>
        <v>#NAME?</v>
      </c>
      <c r="AA28" s="333" t="str">
        <f t="shared" si="7"/>
        <v>Uncert!M274</v>
      </c>
      <c r="AB28" s="333" t="str">
        <f t="shared" si="8"/>
        <v>Uncert!M275</v>
      </c>
      <c r="AC28" s="333" t="str">
        <f t="shared" si="9"/>
        <v>Uncert!I274</v>
      </c>
      <c r="AG28" s="102" t="s">
        <v>134</v>
      </c>
      <c r="AH28" s="102">
        <f>'1Test Data'!AB13*100</f>
        <v>10.197162129779283</v>
      </c>
      <c r="AZ28" s="102">
        <f ca="1">UnitConvert*($BA28*$A28^3+$BB28*$A28^2+$BC28*$A28+$BD28)</f>
        <v>0</v>
      </c>
      <c r="BA28" s="335">
        <f ca="1">VLOOKUP($B28,'1Test Data'!$O$30:$AP$49,23,0)</f>
        <v>0</v>
      </c>
      <c r="BB28" s="335">
        <f ca="1">VLOOKUP($B28,'1Test Data'!$O$30:$AP$49,24,0)</f>
        <v>1.269097E-18</v>
      </c>
      <c r="BC28" s="335">
        <f ca="1">VLOOKUP($B28,'1Test Data'!$O$30:$AP$49,25,0)</f>
        <v>1</v>
      </c>
      <c r="BD28" s="335">
        <f ca="1">VLOOKUP($B28,'1Test Data'!$O$30:$AP$49,26,0)</f>
        <v>1.7722764049999999E-15</v>
      </c>
      <c r="BE28" s="335">
        <f ca="1">VLOOKUP($B28,'1Test Data'!$O$30:$AP$49,27,0)</f>
        <v>1</v>
      </c>
      <c r="BF28" s="335">
        <f ca="1">VLOOKUP($B28,'1Test Data'!$O$30:$AP$49,28,0)</f>
        <v>0</v>
      </c>
      <c r="BZ28" s="16"/>
      <c r="CA28" s="341" t="str">
        <f>""</f>
        <v/>
      </c>
      <c r="CB28" s="147" t="str">
        <f>""</f>
        <v/>
      </c>
      <c r="CC28" s="147" t="str">
        <f>""</f>
        <v/>
      </c>
      <c r="CD28" s="147" t="str">
        <f>""</f>
        <v/>
      </c>
      <c r="CE28" s="147" t="str">
        <f>""</f>
        <v/>
      </c>
      <c r="CF28" s="65" t="str">
        <f>""</f>
        <v/>
      </c>
      <c r="CG28" s="16"/>
      <c r="CH28" s="16"/>
      <c r="CI28" s="16"/>
      <c r="CJ28" s="16">
        <v>10</v>
      </c>
      <c r="CK28" s="342" t="e">
        <f ca="1">ROUND((($CK$33/19)*$CJ28)/'1Test Data'!$C$19,0)*'1Test Data'!$C$19</f>
        <v>#NAME?</v>
      </c>
      <c r="CL28" s="342" t="e">
        <f t="shared" ca="1" si="10"/>
        <v>#NAME?</v>
      </c>
      <c r="CM28" s="342" t="e">
        <f t="shared" ca="1" si="10"/>
        <v>#NAME?</v>
      </c>
      <c r="CN28" s="342" t="e">
        <f t="shared" ca="1" si="11"/>
        <v>#NAME?</v>
      </c>
      <c r="CO28" s="342" t="e">
        <f t="shared" ca="1" si="11"/>
        <v>#NAME?</v>
      </c>
      <c r="CP28" s="342" t="e">
        <f t="shared" ca="1" si="11"/>
        <v>#NAME?</v>
      </c>
      <c r="CQ28" s="16"/>
      <c r="CR28" s="16"/>
      <c r="CS28" s="16"/>
      <c r="CT28" s="16"/>
      <c r="CU28" s="340" t="e">
        <f t="shared" ca="1" si="17"/>
        <v>#NAME?</v>
      </c>
      <c r="CV28" s="340" t="e">
        <f t="shared" ca="1" si="12"/>
        <v>#NAME?</v>
      </c>
      <c r="CW28" s="340" t="e">
        <f t="shared" ca="1" si="12"/>
        <v>#NAME?</v>
      </c>
      <c r="CX28" s="340" t="e">
        <f t="shared" ca="1" si="12"/>
        <v>#NAME?</v>
      </c>
      <c r="CY28" s="340" t="e">
        <f t="shared" ca="1" si="12"/>
        <v>#NAME?</v>
      </c>
      <c r="CZ28" s="340" t="e">
        <f t="shared" ca="1" si="12"/>
        <v>#NAME?</v>
      </c>
      <c r="DN28" s="104">
        <f t="shared" ref="DN28:DN30" si="20">IFERROR($C28+$T28,"")</f>
        <v>0</v>
      </c>
      <c r="DO28" s="104">
        <f t="shared" ref="DO28:DO30" si="21">IFERROR(C28-$T28,"")</f>
        <v>0</v>
      </c>
      <c r="DP28" s="104" t="str">
        <f t="shared" ca="1" si="15"/>
        <v/>
      </c>
      <c r="DQ28" s="102" t="str">
        <f t="shared" si="16"/>
        <v/>
      </c>
      <c r="DT28" s="102"/>
    </row>
    <row r="29" spans="1:124" ht="15" customHeight="1" thickBot="1">
      <c r="A29" s="739"/>
      <c r="B29" s="691"/>
      <c r="C29" s="742"/>
      <c r="D29" s="746"/>
      <c r="E29" s="744"/>
      <c r="F29" s="743"/>
      <c r="G29" s="694"/>
      <c r="H29" s="694"/>
      <c r="I29" s="694"/>
      <c r="J29" s="694"/>
      <c r="K29" s="326" t="str">
        <f>IF(A29="","",IF(T29&gt;Z29,ROUND(T29/(Z29),1)&amp;" / 1","1 / "&amp;ROUND((Z29)/T29,1)))</f>
        <v/>
      </c>
      <c r="L29" s="327" t="str">
        <f t="shared" si="18"/>
        <v/>
      </c>
      <c r="M29" s="327" t="str">
        <f t="shared" si="19"/>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1"/>
        <v/>
      </c>
      <c r="P29" s="329"/>
      <c r="Q29" s="330" t="str">
        <f ca="1">IF(A29="","",IF(_xlfn.SINGLE(Elect)=1,_xlfn.SINGLE(INDIRECT(AC29))*VLOOKUP(_xlfn.SINGLE(Units),'1Test Data'!$Y$3:$AB$22,4,0),_xlfn.SINGLE(INDIRECT(AA29))*VLOOKUP(_xlfn.SINGLE(Units),'1Test Data'!$Y$3:$AB$22,4,0)))</f>
        <v/>
      </c>
      <c r="R29" s="331" t="str">
        <f t="shared" ca="1" si="6"/>
        <v/>
      </c>
      <c r="S29" s="330" t="str">
        <f t="shared" si="2"/>
        <v/>
      </c>
      <c r="T29" s="331"/>
      <c r="U29" s="274"/>
      <c r="V29" s="763"/>
      <c r="W29" s="321" t="str">
        <f t="shared" ca="1" si="3"/>
        <v>---</v>
      </c>
      <c r="X29" s="322" t="str">
        <f t="shared" ca="1" si="4"/>
        <v>---</v>
      </c>
      <c r="Y29" s="322" t="str">
        <f t="shared" si="5"/>
        <v/>
      </c>
      <c r="Z29" s="333" t="e">
        <f ca="1">_xlfn.SINGLE(IF(_xlfn.SINGLE(Elect)=1,INDIRECT("Uncert!I"&amp;(((ROW()-17)*25)-2)),INDIRECT("Uncert!O"&amp;(((ROW()-17)*25)-1))))*VLOOKUP(_xlfn.SINGLE(Units),'1Test Data'!$Y$3:$AB$22,4,0)</f>
        <v>#NAME?</v>
      </c>
      <c r="AA29" s="333" t="str">
        <f t="shared" si="7"/>
        <v>Uncert!M299</v>
      </c>
      <c r="AB29" s="333" t="str">
        <f t="shared" si="8"/>
        <v>Uncert!M300</v>
      </c>
      <c r="AC29" s="333" t="str">
        <f t="shared" si="9"/>
        <v>Uncert!I299</v>
      </c>
      <c r="AG29" s="102" t="s">
        <v>137</v>
      </c>
      <c r="AH29" s="102">
        <f>'1Test Data'!AB14*100</f>
        <v>29.529988884912186</v>
      </c>
      <c r="AZ29" s="102">
        <f ca="1">UnitConvert*($BA29*$A29^3+$BB29*$A29^2+$BC29*$A29+$BD29)</f>
        <v>0</v>
      </c>
      <c r="BA29" s="335">
        <f ca="1">VLOOKUP($B29,'1Test Data'!$O$30:$AP$49,23,0)</f>
        <v>0</v>
      </c>
      <c r="BB29" s="335">
        <f ca="1">VLOOKUP($B29,'1Test Data'!$O$30:$AP$49,24,0)</f>
        <v>1.269097E-18</v>
      </c>
      <c r="BC29" s="335">
        <f ca="1">VLOOKUP($B29,'1Test Data'!$O$30:$AP$49,25,0)</f>
        <v>1</v>
      </c>
      <c r="BD29" s="335">
        <f ca="1">VLOOKUP($B29,'1Test Data'!$O$30:$AP$49,26,0)</f>
        <v>1.7722764049999999E-15</v>
      </c>
      <c r="BE29" s="335">
        <f ca="1">VLOOKUP($B29,'1Test Data'!$O$30:$AP$49,27,0)</f>
        <v>1</v>
      </c>
      <c r="BF29" s="335">
        <f ca="1">VLOOKUP($B29,'1Test Data'!$O$30:$AP$49,28,0)</f>
        <v>0</v>
      </c>
      <c r="BZ29" s="16"/>
      <c r="CA29" s="341" t="str">
        <f>""</f>
        <v/>
      </c>
      <c r="CB29" s="147" t="str">
        <f>""</f>
        <v/>
      </c>
      <c r="CC29" s="147" t="str">
        <f>""</f>
        <v/>
      </c>
      <c r="CD29" s="147" t="str">
        <f>""</f>
        <v/>
      </c>
      <c r="CE29" s="147" t="str">
        <f>""</f>
        <v/>
      </c>
      <c r="CF29" s="65" t="str">
        <f>""</f>
        <v/>
      </c>
      <c r="CG29" s="16"/>
      <c r="CH29" s="16"/>
      <c r="CI29" s="16"/>
      <c r="CJ29" s="16">
        <v>11</v>
      </c>
      <c r="CK29" s="342" t="e">
        <f ca="1">ROUND((($CK$33/19)*$CJ29)/'1Test Data'!$C$19,0)*'1Test Data'!$C$19</f>
        <v>#NAME?</v>
      </c>
      <c r="CL29" s="342" t="e">
        <f t="shared" ca="1" si="10"/>
        <v>#NAME?</v>
      </c>
      <c r="CM29" s="342" t="e">
        <f t="shared" ca="1" si="10"/>
        <v>#NAME?</v>
      </c>
      <c r="CN29" s="342" t="e">
        <f t="shared" ca="1" si="11"/>
        <v>#NAME?</v>
      </c>
      <c r="CO29" s="342" t="e">
        <f t="shared" ca="1" si="11"/>
        <v>#NAME?</v>
      </c>
      <c r="CP29" s="342" t="e">
        <f t="shared" ca="1" si="11"/>
        <v>#NAME?</v>
      </c>
      <c r="CQ29" s="16"/>
      <c r="CR29" s="16"/>
      <c r="CS29" s="16"/>
      <c r="CT29" s="16"/>
      <c r="CU29" s="340" t="e">
        <f t="shared" ca="1" si="17"/>
        <v>#NAME?</v>
      </c>
      <c r="CV29" s="340" t="e">
        <f t="shared" ca="1" si="12"/>
        <v>#NAME?</v>
      </c>
      <c r="CW29" s="340" t="e">
        <f t="shared" ca="1" si="12"/>
        <v>#NAME?</v>
      </c>
      <c r="CX29" s="340" t="e">
        <f t="shared" ca="1" si="12"/>
        <v>#NAME?</v>
      </c>
      <c r="CY29" s="340" t="e">
        <f t="shared" ca="1" si="12"/>
        <v>#NAME?</v>
      </c>
      <c r="CZ29" s="340" t="e">
        <f t="shared" ca="1" si="12"/>
        <v>#NAME?</v>
      </c>
      <c r="DN29" s="104">
        <f t="shared" si="20"/>
        <v>0</v>
      </c>
      <c r="DO29" s="104">
        <f t="shared" si="21"/>
        <v>0</v>
      </c>
      <c r="DP29" s="104" t="str">
        <f t="shared" ca="1" si="15"/>
        <v/>
      </c>
      <c r="DQ29" s="102" t="str">
        <f t="shared" si="16"/>
        <v/>
      </c>
      <c r="DT29" s="102"/>
    </row>
    <row r="30" spans="1:124" ht="15" customHeight="1" thickBot="1">
      <c r="A30" s="739"/>
      <c r="B30" s="691"/>
      <c r="C30" s="742"/>
      <c r="D30" s="745"/>
      <c r="E30" s="744"/>
      <c r="F30" s="743"/>
      <c r="G30" s="694"/>
      <c r="H30" s="694"/>
      <c r="I30" s="694"/>
      <c r="J30" s="694"/>
      <c r="K30" s="326"/>
      <c r="L30" s="327" t="str">
        <f t="shared" si="18"/>
        <v/>
      </c>
      <c r="M30" s="327" t="str">
        <f t="shared" si="19"/>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1"/>
        <v/>
      </c>
      <c r="P30" s="329"/>
      <c r="Q30" s="330" t="str">
        <f ca="1">IF(A30="","",IF(_xlfn.SINGLE(Elect)=1,_xlfn.SINGLE(INDIRECT(AC30))*VLOOKUP(_xlfn.SINGLE(Units),'1Test Data'!$Y$3:$AB$22,4,0),_xlfn.SINGLE(INDIRECT(AA30))*VLOOKUP(_xlfn.SINGLE(Units),'1Test Data'!$Y$3:$AB$22,4,0)))</f>
        <v/>
      </c>
      <c r="R30" s="331" t="str">
        <f t="shared" ca="1" si="6"/>
        <v/>
      </c>
      <c r="S30" s="330" t="str">
        <f t="shared" si="2"/>
        <v/>
      </c>
      <c r="T30" s="331"/>
      <c r="U30" s="274"/>
      <c r="V30" s="763"/>
      <c r="W30" s="321" t="str">
        <f t="shared" ca="1" si="3"/>
        <v>---</v>
      </c>
      <c r="X30" s="322" t="str">
        <f t="shared" ca="1" si="4"/>
        <v>---</v>
      </c>
      <c r="Y30" s="322" t="str">
        <f t="shared" si="5"/>
        <v/>
      </c>
      <c r="Z30" s="333" t="e">
        <f ca="1">_xlfn.SINGLE(IF(_xlfn.SINGLE(Elect)=1,INDIRECT("Uncert!I"&amp;(((ROW()-17)*25)-2)),INDIRECT("Uncert!O"&amp;(((ROW()-17)*25)-1))))*VLOOKUP(_xlfn.SINGLE(Units),'1Test Data'!$Y$3:$AB$22,4,0)</f>
        <v>#NAME?</v>
      </c>
      <c r="AA30" s="333" t="str">
        <f t="shared" si="7"/>
        <v>Uncert!M324</v>
      </c>
      <c r="AB30" s="333" t="str">
        <f t="shared" si="8"/>
        <v>Uncert!M325</v>
      </c>
      <c r="AC30" s="333" t="str">
        <f t="shared" si="9"/>
        <v>Uncert!I324</v>
      </c>
      <c r="AG30" s="102" t="s">
        <v>140</v>
      </c>
      <c r="AH30" s="102">
        <f>'1Test Data'!AB15*100</f>
        <v>75.006375541921059</v>
      </c>
      <c r="AZ30" s="102">
        <f ca="1">UnitConvert*($BA30*$A30^3+$BB30*$A30^2+$BC30*$A30+$BD30)</f>
        <v>0</v>
      </c>
      <c r="BA30" s="335">
        <f ca="1">VLOOKUP($B30,'1Test Data'!$O$30:$AP$49,23,0)</f>
        <v>0</v>
      </c>
      <c r="BB30" s="335">
        <f ca="1">VLOOKUP($B30,'1Test Data'!$O$30:$AP$49,24,0)</f>
        <v>1.269097E-18</v>
      </c>
      <c r="BC30" s="335">
        <f ca="1">VLOOKUP($B30,'1Test Data'!$O$30:$AP$49,25,0)</f>
        <v>1</v>
      </c>
      <c r="BD30" s="335">
        <f ca="1">VLOOKUP($B30,'1Test Data'!$O$30:$AP$49,26,0)</f>
        <v>1.7722764049999999E-15</v>
      </c>
      <c r="BE30" s="335">
        <f ca="1">VLOOKUP($B30,'1Test Data'!$O$30:$AP$49,27,0)</f>
        <v>1</v>
      </c>
      <c r="BF30" s="335">
        <f ca="1">VLOOKUP($B30,'1Test Data'!$O$30:$AP$49,28,0)</f>
        <v>0</v>
      </c>
      <c r="BZ30" s="16"/>
      <c r="CA30" s="341" t="str">
        <f>""</f>
        <v/>
      </c>
      <c r="CB30" s="147" t="str">
        <f>""</f>
        <v/>
      </c>
      <c r="CC30" s="147" t="str">
        <f>""</f>
        <v/>
      </c>
      <c r="CD30" s="147" t="str">
        <f>""</f>
        <v/>
      </c>
      <c r="CE30" s="147" t="str">
        <f>""</f>
        <v/>
      </c>
      <c r="CF30" s="65" t="str">
        <f>""</f>
        <v/>
      </c>
      <c r="CG30" s="16"/>
      <c r="CH30" s="16"/>
      <c r="CI30" s="16"/>
      <c r="CJ30" s="16">
        <v>12</v>
      </c>
      <c r="CK30" s="342" t="e">
        <f ca="1">ROUND((($CK$33/19)*$CJ30)/'1Test Data'!$C$19,0)*'1Test Data'!$C$19</f>
        <v>#NAME?</v>
      </c>
      <c r="CL30" s="342" t="e">
        <f t="shared" ca="1" si="10"/>
        <v>#NAME?</v>
      </c>
      <c r="CM30" s="342" t="e">
        <f t="shared" ca="1" si="10"/>
        <v>#NAME?</v>
      </c>
      <c r="CN30" s="342" t="e">
        <f t="shared" ca="1" si="11"/>
        <v>#NAME?</v>
      </c>
      <c r="CO30" s="342" t="e">
        <f t="shared" ca="1" si="11"/>
        <v>#NAME?</v>
      </c>
      <c r="CP30" s="342" t="e">
        <f t="shared" ca="1" si="11"/>
        <v>#NAME?</v>
      </c>
      <c r="CQ30" s="16"/>
      <c r="CR30" s="16"/>
      <c r="CS30" s="16"/>
      <c r="CT30" s="16"/>
      <c r="CU30" s="340" t="e">
        <f t="shared" ca="1" si="17"/>
        <v>#NAME?</v>
      </c>
      <c r="CV30" s="340" t="e">
        <f t="shared" ca="1" si="12"/>
        <v>#NAME?</v>
      </c>
      <c r="CW30" s="340" t="e">
        <f t="shared" ca="1" si="12"/>
        <v>#NAME?</v>
      </c>
      <c r="CX30" s="340" t="e">
        <f t="shared" ca="1" si="12"/>
        <v>#NAME?</v>
      </c>
      <c r="CY30" s="340" t="e">
        <f t="shared" ca="1" si="12"/>
        <v>#NAME?</v>
      </c>
      <c r="CZ30" s="340" t="e">
        <f t="shared" ca="1" si="12"/>
        <v>#NAME?</v>
      </c>
      <c r="DN30" s="104">
        <f t="shared" si="20"/>
        <v>0</v>
      </c>
      <c r="DO30" s="104">
        <f t="shared" si="21"/>
        <v>0</v>
      </c>
      <c r="DP30" s="104" t="str">
        <f t="shared" ca="1" si="15"/>
        <v/>
      </c>
      <c r="DQ30" s="102" t="str">
        <f t="shared" si="16"/>
        <v/>
      </c>
      <c r="DT30" s="102"/>
    </row>
    <row r="31" spans="1:124" ht="15" customHeight="1" thickBot="1">
      <c r="A31" s="740"/>
      <c r="B31" s="691"/>
      <c r="C31" s="742"/>
      <c r="D31" s="745"/>
      <c r="E31" s="744"/>
      <c r="F31" s="743"/>
      <c r="G31" s="694"/>
      <c r="H31" s="694" t="str">
        <f t="shared" ref="H31" si="22">IF(AND(F31="",G31=""),"",MROUND(AVERAGE(F31:G31),Readability))</f>
        <v/>
      </c>
      <c r="I31" s="694"/>
      <c r="J31" s="694"/>
      <c r="K31" s="326" t="str">
        <f t="shared" ref="K31" si="23">IF(AND(I31="",J31=""),"",MROUND(AVERAGE(I31:J31),Readability))</f>
        <v/>
      </c>
      <c r="L31" s="327" t="str">
        <f t="shared" si="18"/>
        <v/>
      </c>
      <c r="M31" s="327" t="str">
        <f t="shared" si="19"/>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6" t="str">
        <f t="shared" si="1"/>
        <v/>
      </c>
      <c r="P31" s="326"/>
      <c r="Q31" s="330" t="str">
        <f ca="1">IF(A31="","",IF(_xlfn.SINGLE(Elect)=1,_xlfn.SINGLE(INDIRECT(AC31))*VLOOKUP(_xlfn.SINGLE(Units),'1Test Data'!$Y$3:$AB$22,4,0),_xlfn.SINGLE(INDIRECT(AA31))*VLOOKUP(_xlfn.SINGLE(Units),'1Test Data'!$Y$3:$AB$22,4,0)))</f>
        <v/>
      </c>
      <c r="R31" s="331" t="str">
        <f t="shared" ca="1" si="6"/>
        <v/>
      </c>
      <c r="S31" s="330" t="str">
        <f t="shared" si="2"/>
        <v/>
      </c>
      <c r="T31" s="331"/>
      <c r="U31" s="274"/>
      <c r="V31" s="763"/>
      <c r="W31" s="321" t="str">
        <f t="shared" ca="1" si="3"/>
        <v>---</v>
      </c>
      <c r="X31" s="322" t="str">
        <f t="shared" ca="1" si="4"/>
        <v>---</v>
      </c>
      <c r="Y31" s="322" t="str">
        <f t="shared" si="5"/>
        <v/>
      </c>
      <c r="Z31" s="333" t="e">
        <f ca="1">_xlfn.SINGLE(IF(_xlfn.SINGLE(Elect)=1,INDIRECT("Uncert!I"&amp;(((ROW()-17)*25)-2)),INDIRECT("Uncert!O"&amp;(((ROW()-17)*25)-1))))*VLOOKUP(_xlfn.SINGLE(Units),'1Test Data'!$Y$3:$AB$22,4,0)</f>
        <v>#NAME?</v>
      </c>
      <c r="AA31" s="333" t="str">
        <f t="shared" si="7"/>
        <v>Uncert!M349</v>
      </c>
      <c r="AB31" s="333" t="str">
        <f t="shared" si="8"/>
        <v>Uncert!M350</v>
      </c>
      <c r="AC31" s="333" t="str">
        <f t="shared" si="9"/>
        <v>Uncert!I349</v>
      </c>
      <c r="AZ31" s="102">
        <f ca="1">UnitConvert*($BA31*$A31^3+$BB31*$A31^2+$BC31*$A31+$BD31)</f>
        <v>0</v>
      </c>
      <c r="BA31" s="335">
        <f ca="1">VLOOKUP($B31,'1Test Data'!$O$30:$AP$49,23,0)</f>
        <v>0</v>
      </c>
      <c r="BB31" s="335">
        <f ca="1">VLOOKUP($B31,'1Test Data'!$O$30:$AP$49,24,0)</f>
        <v>1.269097E-18</v>
      </c>
      <c r="BC31" s="335">
        <f ca="1">VLOOKUP($B31,'1Test Data'!$O$30:$AP$49,25,0)</f>
        <v>1</v>
      </c>
      <c r="BD31" s="335">
        <f ca="1">VLOOKUP($B31,'1Test Data'!$O$30:$AP$49,26,0)</f>
        <v>1.7722764049999999E-15</v>
      </c>
      <c r="BE31" s="335">
        <f ca="1">VLOOKUP($B31,'1Test Data'!$O$30:$AP$49,27,0)</f>
        <v>1</v>
      </c>
      <c r="BF31" s="335">
        <f ca="1">VLOOKUP($B31,'1Test Data'!$O$30:$AP$49,28,0)</f>
        <v>0</v>
      </c>
      <c r="BZ31" s="16"/>
      <c r="CA31" s="347" t="str">
        <f>""</f>
        <v/>
      </c>
      <c r="CB31" s="348" t="str">
        <f>""</f>
        <v/>
      </c>
      <c r="CC31" s="348" t="str">
        <f>""</f>
        <v/>
      </c>
      <c r="CD31" s="348" t="str">
        <f>""</f>
        <v/>
      </c>
      <c r="CE31" s="348" t="str">
        <f>""</f>
        <v/>
      </c>
      <c r="CF31" s="82" t="str">
        <f>""</f>
        <v/>
      </c>
      <c r="CG31" s="16"/>
      <c r="CH31" s="16"/>
      <c r="CI31" s="16"/>
      <c r="CJ31" s="16">
        <v>19</v>
      </c>
      <c r="CK31" s="342" t="e">
        <f ca="1">ROUND((($CK$33/19)*$CJ31)/'1Test Data'!$C$19,0)*'1Test Data'!$C$19</f>
        <v>#NAME?</v>
      </c>
      <c r="CL31" s="342" t="e">
        <f t="shared" ca="1" si="10"/>
        <v>#NAME?</v>
      </c>
      <c r="CM31" s="342" t="e">
        <f t="shared" ca="1" si="10"/>
        <v>#NAME?</v>
      </c>
      <c r="CN31" s="342" t="e">
        <f t="shared" ca="1" si="11"/>
        <v>#NAME?</v>
      </c>
      <c r="CO31" s="342" t="e">
        <f t="shared" ca="1" si="11"/>
        <v>#NAME?</v>
      </c>
      <c r="CP31" s="342" t="e">
        <f t="shared" ca="1" si="11"/>
        <v>#NAME?</v>
      </c>
      <c r="CQ31" s="16"/>
      <c r="CR31" s="16"/>
      <c r="CS31" s="16"/>
      <c r="CT31" s="16"/>
      <c r="CU31" s="340" t="e">
        <f t="shared" ca="1" si="17"/>
        <v>#NAME?</v>
      </c>
      <c r="CV31" s="340" t="e">
        <f ca="1">(IF(CL31&gt;CU31,CL31+(#REF!+$CT$15),CL31-(#REF!+$CT$15)))</f>
        <v>#NAME?</v>
      </c>
      <c r="CW31" s="340" t="e">
        <f ca="1">(IF(CM31&gt;CV31,CM31+(#REF!+$CT$15),CM31-(#REF!+$CT$15)))</f>
        <v>#NAME?</v>
      </c>
      <c r="CX31" s="340" t="e">
        <f ca="1">(IF(CN31&gt;CW31,CN31+(#REF!+$CT$15),CN31-(#REF!+$CT$15)))</f>
        <v>#NAME?</v>
      </c>
      <c r="CY31" s="340" t="e">
        <f ca="1">(IF(CO31&gt;CX31,CO31+(#REF!+$CT$15),CO31-(#REF!+$CT$15)))</f>
        <v>#NAME?</v>
      </c>
      <c r="CZ31" s="340" t="e">
        <f ca="1">(IF(CP31&gt;CY31,CP31+(#REF!+$CT$15),CP31-(#REF!+$CT$15)))</f>
        <v>#NAME?</v>
      </c>
      <c r="DP31" s="104" t="str">
        <f t="shared" ca="1" si="15"/>
        <v/>
      </c>
      <c r="DQ31" s="102" t="str">
        <f t="shared" si="16"/>
        <v/>
      </c>
      <c r="DT31" s="102"/>
    </row>
    <row r="32" spans="1:124" ht="15" customHeight="1">
      <c r="A32" s="764"/>
      <c r="B32" s="306"/>
      <c r="C32" s="271"/>
      <c r="D32" s="309"/>
      <c r="E32" s="350"/>
      <c r="F32" s="1042" t="e">
        <f ca="1">IF(GaugeType="B","Not Tested",IF(OR(W18="Fail",W19="Fail",W20="Fail",W21="Fail",W22="Fail",W23="Fail",W24="Fail",W25="Fail",W26="Fail",W27="Fail",W28="Fail",W29="Fail",W30="Fail",#REF!="Fail",#REF!="Fail",#REF!="Fail",#REF!="Fail",#REF!="Fail",#REF!="Fail",W31="Fail"),"Fail",IF(COUNTIF(W18:W31,"Data?")&gt;1,"Incomplete","Pass")))</f>
        <v>#REF!</v>
      </c>
      <c r="G32" s="1043"/>
      <c r="H32" s="271"/>
      <c r="I32" s="1042"/>
      <c r="J32" s="1043"/>
      <c r="K32" s="271"/>
      <c r="L32" s="271"/>
      <c r="M32" s="274"/>
      <c r="N32" s="274"/>
      <c r="O32" s="274"/>
      <c r="P32" s="274"/>
      <c r="Q32" s="274"/>
      <c r="R32" s="271"/>
      <c r="S32" s="274"/>
      <c r="T32" s="274"/>
      <c r="U32" s="274"/>
      <c r="V32" s="763"/>
      <c r="W32" s="83">
        <f ca="1">COUNTIF(W18:W31,"Fail")</f>
        <v>0</v>
      </c>
      <c r="X32" s="83">
        <f ca="1">COUNTIF(X18:X31,"Fail")</f>
        <v>0</v>
      </c>
      <c r="Y32" s="83">
        <f ca="1">W32+X32</f>
        <v>0</v>
      </c>
      <c r="Z32" s="16"/>
      <c r="AA32" s="16"/>
      <c r="AB32" s="16"/>
      <c r="AD32" s="102" t="str">
        <f>IF(AND($H$19&lt;&gt;"",$K$19&lt;&gt;""),"increasing &amp; decreasing ",IF($K$19&lt;&gt;"","decreasing ","increasing "))</f>
        <v xml:space="preserve">decreasing </v>
      </c>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P32" s="104">
        <f ca="1">MAX(DP18:DP31)</f>
        <v>0</v>
      </c>
      <c r="DQ32" s="102" t="str">
        <f>IFERROR(ROUND(MAX(DQ18:DQ31),2),"")</f>
        <v/>
      </c>
    </row>
    <row r="33" spans="1:104" ht="15" customHeight="1">
      <c r="A33" s="759"/>
      <c r="B33" s="271"/>
      <c r="C33" s="271"/>
      <c r="D33" s="271"/>
      <c r="E33" s="271"/>
      <c r="F33" s="271"/>
      <c r="G33" s="271"/>
      <c r="H33" s="271"/>
      <c r="I33" s="271"/>
      <c r="J33" s="271"/>
      <c r="K33" s="271"/>
      <c r="L33" s="271"/>
      <c r="M33" s="271"/>
      <c r="N33" s="271"/>
      <c r="O33" s="271"/>
      <c r="P33" s="271"/>
      <c r="Q33" s="271"/>
      <c r="R33" s="271"/>
      <c r="S33" s="271"/>
      <c r="T33" s="271"/>
      <c r="U33" s="271"/>
      <c r="V33" s="760"/>
      <c r="BZ33" s="16"/>
      <c r="CA33" s="16"/>
      <c r="CB33" s="16"/>
      <c r="CC33" s="16"/>
      <c r="CD33" s="16"/>
      <c r="CE33" s="16"/>
      <c r="CF33" s="16"/>
      <c r="CG33" s="16"/>
      <c r="CH33" s="16"/>
      <c r="CI33" s="1022" t="s">
        <v>69</v>
      </c>
      <c r="CJ33" s="1023"/>
      <c r="CK33" s="351" t="e">
        <f>Capacity</f>
        <v>#NAME?</v>
      </c>
      <c r="CL33" s="16"/>
      <c r="CM33" s="16"/>
      <c r="CN33" s="16"/>
      <c r="CO33" s="16"/>
      <c r="CP33" s="16"/>
      <c r="CQ33" s="16"/>
      <c r="CR33" s="16"/>
      <c r="CS33" s="1022" t="s">
        <v>69</v>
      </c>
      <c r="CT33" s="1023"/>
      <c r="CU33" s="147" t="e">
        <f>CK33</f>
        <v>#NAME?</v>
      </c>
      <c r="CV33" s="16"/>
      <c r="CW33" s="16"/>
      <c r="CX33" s="16"/>
      <c r="CY33" s="16"/>
      <c r="CZ33" s="16"/>
    </row>
    <row r="34" spans="1:104">
      <c r="A34" s="759"/>
      <c r="B34" s="271"/>
      <c r="C34" s="271"/>
      <c r="D34" s="271"/>
      <c r="E34" s="271"/>
      <c r="F34" s="1024" t="s">
        <v>307</v>
      </c>
      <c r="G34" s="1025"/>
      <c r="H34" s="352" t="e">
        <f ca="1">IF(OR($F$32="incomplete",$I$32="incomplete"),"Incomplete",IF(OR($F$32="Fail", $I$32="Fail", $F$32="Fail"),"FAIL","PASS"))</f>
        <v>#REF!</v>
      </c>
      <c r="I34" s="271"/>
      <c r="J34" s="271"/>
      <c r="K34" s="271"/>
      <c r="L34" s="271"/>
      <c r="M34" s="271"/>
      <c r="N34" s="271"/>
      <c r="O34" s="271"/>
      <c r="P34" s="271"/>
      <c r="Q34" s="271"/>
      <c r="R34" s="271"/>
      <c r="S34" s="271"/>
      <c r="T34" s="271"/>
      <c r="U34" s="271"/>
      <c r="V34" s="760"/>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row>
    <row r="35" spans="1:104">
      <c r="A35" s="765"/>
      <c r="B35" s="766"/>
      <c r="C35" s="766"/>
      <c r="D35" s="766"/>
      <c r="E35" s="766"/>
      <c r="F35" s="766"/>
      <c r="G35" s="766"/>
      <c r="H35" s="766"/>
      <c r="I35" s="766"/>
      <c r="J35" s="766"/>
      <c r="K35" s="766"/>
      <c r="L35" s="766"/>
      <c r="M35" s="766"/>
      <c r="N35" s="766"/>
      <c r="O35" s="766"/>
      <c r="P35" s="766"/>
      <c r="Q35" s="766"/>
      <c r="R35" s="766"/>
      <c r="S35" s="766"/>
      <c r="T35" s="766"/>
      <c r="U35" s="766"/>
      <c r="V35" s="767"/>
    </row>
  </sheetData>
  <mergeCells count="41">
    <mergeCell ref="CI33:CJ33"/>
    <mergeCell ref="CS33:CT33"/>
    <mergeCell ref="F34:G34"/>
    <mergeCell ref="AD17:AJ17"/>
    <mergeCell ref="CA17:CF17"/>
    <mergeCell ref="CK17:CP17"/>
    <mergeCell ref="CU17:CZ17"/>
    <mergeCell ref="F32:G32"/>
    <mergeCell ref="I32:J32"/>
    <mergeCell ref="Q15:R15"/>
    <mergeCell ref="CR15:CS15"/>
    <mergeCell ref="Q16:Q17"/>
    <mergeCell ref="R16:R17"/>
    <mergeCell ref="S16:S17"/>
    <mergeCell ref="T16:T17"/>
    <mergeCell ref="BA16:BF16"/>
    <mergeCell ref="O15:O16"/>
    <mergeCell ref="P15:P16"/>
    <mergeCell ref="J15:J16"/>
    <mergeCell ref="I15:I16"/>
    <mergeCell ref="R12:U13"/>
    <mergeCell ref="A15:A17"/>
    <mergeCell ref="B15:B17"/>
    <mergeCell ref="C15:C17"/>
    <mergeCell ref="F15:H15"/>
    <mergeCell ref="N15:N16"/>
    <mergeCell ref="D15:D17"/>
    <mergeCell ref="E15:E17"/>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12" priority="10" stopIfTrue="1">
      <formula>ReferenceType ="Dead Weight Tester"</formula>
    </cfRule>
  </conditionalFormatting>
  <conditionalFormatting sqref="N15">
    <cfRule type="expression" dxfId="11" priority="11" stopIfTrue="1">
      <formula>ReferenceType ="Dead Weight Tester"</formula>
    </cfRule>
  </conditionalFormatting>
  <conditionalFormatting sqref="F32 I32">
    <cfRule type="cellIs" dxfId="10" priority="5" stopIfTrue="1" operator="equal">
      <formula>"Incomplete"</formula>
    </cfRule>
    <cfRule type="cellIs" dxfId="9" priority="12" stopIfTrue="1" operator="equal">
      <formula>"Pass"</formula>
    </cfRule>
    <cfRule type="cellIs" dxfId="8" priority="13" stopIfTrue="1" operator="equal">
      <formula>"Fail"</formula>
    </cfRule>
    <cfRule type="cellIs" dxfId="7" priority="14" stopIfTrue="1" operator="equal">
      <formula>"Incomplete"</formula>
    </cfRule>
  </conditionalFormatting>
  <conditionalFormatting sqref="K18:K31">
    <cfRule type="expression" dxfId="6" priority="1" stopIfTrue="1">
      <formula>X18="Fail Indeterminate"</formula>
    </cfRule>
    <cfRule type="expression" dxfId="5" priority="2" stopIfTrue="1">
      <formula>X18="Pass Indeterminate"</formula>
    </cfRule>
    <cfRule type="expression" dxfId="4" priority="9" stopIfTrue="1">
      <formula>X18="Fail"</formula>
    </cfRule>
  </conditionalFormatting>
  <conditionalFormatting sqref="E14">
    <cfRule type="expression" dxfId="3" priority="8">
      <formula>ReffTest="Indicated"</formula>
    </cfRule>
  </conditionalFormatting>
  <conditionalFormatting sqref="M8">
    <cfRule type="expression" dxfId="2" priority="7">
      <formula>$M$8="?"</formula>
    </cfRule>
  </conditionalFormatting>
  <conditionalFormatting sqref="M7">
    <cfRule type="expression" dxfId="1" priority="6">
      <formula>$M$7="?"</formula>
    </cfRule>
  </conditionalFormatting>
  <dataValidations count="2">
    <dataValidation type="list" allowBlank="1" showInputMessage="1" showErrorMessage="1" sqref="C6:E6" xr:uid="{1FE591D4-FC50-4B18-A6BA-7A446E54996C}">
      <formula1>$AC$9:$AC$17</formula1>
    </dataValidation>
    <dataValidation type="list" allowBlank="1" showInputMessage="1" showErrorMessage="1" sqref="C2" xr:uid="{3BF0F8A8-D08D-4EA2-8D1F-A7E81C28EB17}">
      <formula1>$AC$5:$AC$7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TestData">
              <controlPr defaultSize="0" autoFill="0" autoPict="0" macro="[4]!TestData_Click">
                <anchor moveWithCells="1">
                  <from>
                    <xdr:col>0</xdr:col>
                    <xdr:colOff>133350</xdr:colOff>
                    <xdr:row>1</xdr:row>
                    <xdr:rowOff>57150</xdr:rowOff>
                  </from>
                  <to>
                    <xdr:col>1</xdr:col>
                    <xdr:colOff>419100</xdr:colOff>
                    <xdr:row>6</xdr:row>
                    <xdr:rowOff>38100</xdr:rowOff>
                  </to>
                </anchor>
              </controlPr>
            </control>
          </mc:Choice>
        </mc:AlternateContent>
        <mc:AlternateContent xmlns:mc="http://schemas.openxmlformats.org/markup-compatibility/2006">
          <mc:Choice Requires="x14">
            <control shapeId="4098" r:id="rId5" name="Zero">
              <controlPr defaultSize="0" print="0" autoFill="0" autoPict="0" macro="[4]!Zero_Click">
                <anchor moveWithCells="1" sizeWithCells="1">
                  <from>
                    <xdr:col>0</xdr:col>
                    <xdr:colOff>180975</xdr:colOff>
                    <xdr:row>2</xdr:row>
                    <xdr:rowOff>38100</xdr:rowOff>
                  </from>
                  <to>
                    <xdr:col>1</xdr:col>
                    <xdr:colOff>342900</xdr:colOff>
                    <xdr:row>3</xdr:row>
                    <xdr:rowOff>19050</xdr:rowOff>
                  </to>
                </anchor>
              </controlPr>
            </control>
          </mc:Choice>
        </mc:AlternateContent>
        <mc:AlternateContent xmlns:mc="http://schemas.openxmlformats.org/markup-compatibility/2006">
          <mc:Choice Requires="x14">
            <control shapeId="4099" r:id="rId6" name="Pass">
              <controlPr defaultSize="0" print="0" autoFill="0" autoPict="0" macro="[4]!Pass_Click">
                <anchor moveWithCells="1" sizeWithCells="1">
                  <from>
                    <xdr:col>0</xdr:col>
                    <xdr:colOff>180975</xdr:colOff>
                    <xdr:row>3</xdr:row>
                    <xdr:rowOff>95250</xdr:rowOff>
                  </from>
                  <to>
                    <xdr:col>1</xdr:col>
                    <xdr:colOff>352425</xdr:colOff>
                    <xdr:row>4</xdr:row>
                    <xdr:rowOff>66675</xdr:rowOff>
                  </to>
                </anchor>
              </controlPr>
            </control>
          </mc:Choice>
        </mc:AlternateContent>
        <mc:AlternateContent xmlns:mc="http://schemas.openxmlformats.org/markup-compatibility/2006">
          <mc:Choice Requires="x14">
            <control shapeId="4100" r:id="rId7" name="Fail">
              <controlPr defaultSize="0" print="0" autoFill="0" autoPict="0" macro="[4]!Fail_Click">
                <anchor moveWithCells="1" sizeWithCells="1">
                  <from>
                    <xdr:col>0</xdr:col>
                    <xdr:colOff>180975</xdr:colOff>
                    <xdr:row>4</xdr:row>
                    <xdr:rowOff>133350</xdr:rowOff>
                  </from>
                  <to>
                    <xdr:col>1</xdr:col>
                    <xdr:colOff>352425</xdr:colOff>
                    <xdr:row>5</xdr:row>
                    <xdr:rowOff>142875</xdr:rowOff>
                  </to>
                </anchor>
              </controlPr>
            </control>
          </mc:Choice>
        </mc:AlternateContent>
        <mc:AlternateContent xmlns:mc="http://schemas.openxmlformats.org/markup-compatibility/2006">
          <mc:Choice Requires="x14">
            <control shapeId="4101"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4102" r:id="rId9" name="retern">
              <controlPr defaultSize="0" print="0" autoFill="0" autoPict="0" macro="[0]!retern_Click">
                <anchor moveWithCells="1" sizeWithCells="1">
                  <from>
                    <xdr:col>14</xdr:col>
                    <xdr:colOff>95250</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4103" r:id="rId10" name="Reviewed">
              <controlPr defaultSize="0" print="0" autoFill="0" autoPict="0" macro="[0]!Reviewed_Click">
                <anchor moveWithCells="1" sizeWithCells="1">
                  <from>
                    <xdr:col>14</xdr:col>
                    <xdr:colOff>95250</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4104" r:id="rId11" name="NATAB">
              <controlPr defaultSize="0" print="0" autoFill="0" autoPict="0" macro="[0]!NATA_Click">
                <anchor moveWithCells="1" sizeWithCells="1">
                  <from>
                    <xdr:col>14</xdr:col>
                    <xdr:colOff>104775</xdr:colOff>
                    <xdr:row>1</xdr:row>
                    <xdr:rowOff>47625</xdr:rowOff>
                  </from>
                  <to>
                    <xdr:col>17</xdr:col>
                    <xdr:colOff>438150</xdr:colOff>
                    <xdr:row>2</xdr:row>
                    <xdr:rowOff>123825</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14</xdr:col>
                    <xdr:colOff>0</xdr:colOff>
                    <xdr:row>0</xdr:row>
                    <xdr:rowOff>142875</xdr:rowOff>
                  </from>
                  <to>
                    <xdr:col>17</xdr:col>
                    <xdr:colOff>504825</xdr:colOff>
                    <xdr:row>4</xdr:row>
                    <xdr:rowOff>95250</xdr:rowOff>
                  </to>
                </anchor>
              </controlPr>
            </control>
          </mc:Choice>
        </mc:AlternateContent>
        <mc:AlternateContent xmlns:mc="http://schemas.openxmlformats.org/markup-compatibility/2006">
          <mc:Choice Requires="x14">
            <control shapeId="4106" r:id="rId13" name="Norm">
              <controlPr defaultSize="0" print="0" autoFill="0" autoPict="0" macro="[0]!normalise_Click">
                <anchor moveWithCells="1" sizeWithCells="1">
                  <from>
                    <xdr:col>7</xdr:col>
                    <xdr:colOff>9525</xdr:colOff>
                    <xdr:row>13</xdr:row>
                    <xdr:rowOff>0</xdr:rowOff>
                  </from>
                  <to>
                    <xdr:col>7</xdr:col>
                    <xdr:colOff>590550</xdr:colOff>
                    <xdr:row>13</xdr:row>
                    <xdr:rowOff>171450</xdr:rowOff>
                  </to>
                </anchor>
              </controlPr>
            </control>
          </mc:Choice>
        </mc:AlternateContent>
        <mc:AlternateContent xmlns:mc="http://schemas.openxmlformats.org/markup-compatibility/2006">
          <mc:Choice Requires="x14">
            <control shapeId="4108" r:id="rId14" name="Trainee">
              <controlPr defaultSize="0" print="0" autoFill="0" autoPict="0" macro="[4]!Trainee_Click">
                <anchor moveWithCells="1" sizeWithCells="1">
                  <from>
                    <xdr:col>16</xdr:col>
                    <xdr:colOff>400050</xdr:colOff>
                    <xdr:row>6</xdr:row>
                    <xdr:rowOff>171450</xdr:rowOff>
                  </from>
                  <to>
                    <xdr:col>20</xdr:col>
                    <xdr:colOff>95250</xdr:colOff>
                    <xdr:row>8</xdr:row>
                    <xdr:rowOff>57150</xdr:rowOff>
                  </to>
                </anchor>
              </controlPr>
            </control>
          </mc:Choice>
        </mc:AlternateContent>
        <mc:AlternateContent xmlns:mc="http://schemas.openxmlformats.org/markup-compatibility/2006">
          <mc:Choice Requires="x14">
            <control shapeId="4109" r:id="rId15" name="Traceable">
              <controlPr defaultSize="0" print="0" autoFill="0" autoPict="0" macro="[0]!Traceable_Click">
                <anchor moveWithCells="1" sizeWithCells="1">
                  <from>
                    <xdr:col>14</xdr:col>
                    <xdr:colOff>95250</xdr:colOff>
                    <xdr:row>1</xdr:row>
                    <xdr:rowOff>19050</xdr:rowOff>
                  </from>
                  <to>
                    <xdr:col>17</xdr:col>
                    <xdr:colOff>428625</xdr:colOff>
                    <xdr:row>2</xdr:row>
                    <xdr:rowOff>95250</xdr:rowOff>
                  </to>
                </anchor>
              </controlPr>
            </control>
          </mc:Choice>
        </mc:AlternateContent>
        <mc:AlternateContent xmlns:mc="http://schemas.openxmlformats.org/markup-compatibility/2006">
          <mc:Choice Requires="x14">
            <control shapeId="4123" r:id="rId16" name="Button 27">
              <controlPr defaultSize="0" print="0" autoFill="0" autoPict="0" macro="[0]!Button27_Click">
                <anchor moveWithCells="1" sizeWithCells="1">
                  <from>
                    <xdr:col>32</xdr:col>
                    <xdr:colOff>19050</xdr:colOff>
                    <xdr:row>30</xdr:row>
                    <xdr:rowOff>38100</xdr:rowOff>
                  </from>
                  <to>
                    <xdr:col>33</xdr:col>
                    <xdr:colOff>590550</xdr:colOff>
                    <xdr:row>32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8CB9-BBAA-476C-B6DC-D1120486B876}">
  <sheetPr codeName="Sheet1"/>
  <dimension ref="B3:AM140"/>
  <sheetViews>
    <sheetView showGridLines="0" workbookViewId="0">
      <selection activeCell="V10" sqref="V10"/>
    </sheetView>
  </sheetViews>
  <sheetFormatPr defaultColWidth="9.140625" defaultRowHeight="12.75"/>
  <cols>
    <col min="1" max="1" width="9.140625" style="102"/>
    <col min="2" max="2" width="13.42578125" style="102" bestFit="1" customWidth="1"/>
    <col min="3" max="3" width="13.140625" style="102" hidden="1" customWidth="1"/>
    <col min="4" max="13" width="9.140625" style="102" hidden="1" customWidth="1"/>
    <col min="14" max="14" width="9.140625" style="102" customWidth="1"/>
    <col min="15" max="15" width="9.140625" style="102"/>
    <col min="16" max="16" width="9.7109375" style="680" bestFit="1" customWidth="1"/>
    <col min="17" max="17" width="10.5703125" style="680" bestFit="1" customWidth="1"/>
    <col min="18" max="24" width="9.140625" style="680"/>
    <col min="25" max="26" width="9.140625" style="681"/>
    <col min="27" max="27" width="9.42578125" style="681" customWidth="1"/>
    <col min="28" max="28" width="11.42578125" style="681" bestFit="1" customWidth="1"/>
    <col min="29" max="29" width="11.42578125" style="681" customWidth="1"/>
    <col min="30" max="30" width="13.85546875" style="681" bestFit="1" customWidth="1"/>
    <col min="31" max="31" width="10.5703125" style="680" bestFit="1" customWidth="1"/>
    <col min="32" max="32" width="10.5703125" style="680" customWidth="1"/>
    <col min="33" max="37" width="9.140625" style="680"/>
    <col min="38" max="38" width="10.5703125" style="680" bestFit="1" customWidth="1"/>
    <col min="39" max="16384" width="9.140625" style="102"/>
  </cols>
  <sheetData>
    <row r="3" spans="2:39">
      <c r="R3" s="795"/>
      <c r="S3" s="795"/>
    </row>
    <row r="4" spans="2:39" ht="13.5">
      <c r="Q4" s="721" t="str">
        <f>'Test Data'!D11</f>
        <v>M345X4.00-8G</v>
      </c>
      <c r="R4" s="679" t="s">
        <v>292</v>
      </c>
      <c r="S4" s="679" t="s">
        <v>917</v>
      </c>
      <c r="T4" s="725"/>
      <c r="U4" s="1086" t="s">
        <v>814</v>
      </c>
      <c r="V4" s="1080" t="s">
        <v>894</v>
      </c>
      <c r="W4" s="1080"/>
      <c r="X4" s="1084" t="s">
        <v>895</v>
      </c>
      <c r="Y4" s="1085"/>
      <c r="Z4" s="679" t="s">
        <v>815</v>
      </c>
      <c r="AA4" s="731">
        <v>950</v>
      </c>
      <c r="AB4" s="1080" t="s">
        <v>816</v>
      </c>
      <c r="AC4" s="1080"/>
      <c r="AE4" s="681"/>
      <c r="AM4" s="680"/>
    </row>
    <row r="5" spans="2:39">
      <c r="Q5" s="723">
        <v>345</v>
      </c>
      <c r="R5" s="1080">
        <v>600</v>
      </c>
      <c r="S5" s="1080">
        <v>6</v>
      </c>
      <c r="T5" s="726"/>
      <c r="U5" s="1087"/>
      <c r="V5" s="679" t="s">
        <v>699</v>
      </c>
      <c r="W5" s="679" t="s">
        <v>737</v>
      </c>
      <c r="X5" s="679" t="s">
        <v>699</v>
      </c>
      <c r="Y5" s="679" t="s">
        <v>737</v>
      </c>
      <c r="Z5" s="680" t="s">
        <v>885</v>
      </c>
      <c r="AA5" s="730" t="s">
        <v>737</v>
      </c>
      <c r="AB5" s="679" t="s">
        <v>699</v>
      </c>
      <c r="AC5" s="679" t="s">
        <v>737</v>
      </c>
      <c r="AE5" s="681"/>
      <c r="AM5" s="680"/>
    </row>
    <row r="6" spans="2:39">
      <c r="Q6" s="724">
        <v>4</v>
      </c>
      <c r="R6" s="1080"/>
      <c r="S6" s="1080"/>
      <c r="T6" s="722" t="s">
        <v>146</v>
      </c>
      <c r="U6" s="684">
        <f>IF(gauge="G",majorD-(pitchD*0.6495)+R8,majorD-(pitchD*0.6495))</f>
        <v>342.46199999999999</v>
      </c>
      <c r="V6" s="685">
        <f>IF(gauge="G",U6,$U$6+(VLOOKUP($S$3,go,5,FALSE)/1000))</f>
        <v>342.46199999999999</v>
      </c>
      <c r="W6" s="685">
        <f>IF(gauge="G",($V$7+(VLOOKUP($S$3,noGo,5,FALSE)/1000)),$U$7+(VLOOKUP($S$3,noGo,5,FALSE)/1000))</f>
        <v>343.06200000000001</v>
      </c>
      <c r="X6" s="685">
        <f>IF(gauge="G",$U$6+VLOOKUP(1*pitchD,threadProfiles,2,FALSE),$U$6+VLOOKUP(1*pitchD,threadProfiles,2,FALSE)+VLOOKUP($S$5,go,8,FALSE)/1000)</f>
        <v>345.06</v>
      </c>
      <c r="Y6" s="685">
        <f>IF(gauge="G",($U$7+0.2*pitchD),$U$7+(0.2*pitchD)+(VLOOKUP($S$3,noGo,8,FALSE)/1000))</f>
        <v>343.86200000000002</v>
      </c>
      <c r="Z6" s="685">
        <f>IF(gauge="G",majorD-(1.0825*pitchD)+R8,majorD-(1.0825*pitchD))</f>
        <v>340.73</v>
      </c>
      <c r="AA6" s="685">
        <f>IF(gauge="G",Z7,$Y$6-(1.0825*pitchD))</f>
        <v>341.68</v>
      </c>
      <c r="AB6" s="1081">
        <f>VLOOKUP($S$5,go,6,FALSE)</f>
        <v>-1</v>
      </c>
      <c r="AC6" s="1081">
        <f>VLOOKUP($S$5,noGo,6,FALSE)</f>
        <v>-12</v>
      </c>
      <c r="AE6" s="681"/>
      <c r="AM6" s="680"/>
    </row>
    <row r="7" spans="2:39">
      <c r="Q7" s="723">
        <v>8</v>
      </c>
      <c r="R7" s="1080"/>
      <c r="S7" s="1080"/>
      <c r="T7" s="722" t="s">
        <v>742</v>
      </c>
      <c r="U7" s="684">
        <f>IF(gauge="G",U6+(R3/1000)+R5/1000,U6+(R3/1000))</f>
        <v>343.06200000000001</v>
      </c>
      <c r="V7" s="685">
        <f>IF(gauge="G",U7,$U$6+(VLOOKUP($S$3,go,4,FALSE)/1000))</f>
        <v>343.06200000000001</v>
      </c>
      <c r="W7" s="685">
        <f>IF(gauge="G",$V$7+(VLOOKUP($S$3,noGo,4,FALSE)/1000),$U$7+(VLOOKUP($S$3,noGo,4,FALSE)/1000))</f>
        <v>343.06799999999998</v>
      </c>
      <c r="X7" s="685">
        <f>IF(gauge="G",($U$7+0.2*pitchD),$U$6+VLOOKUP(1*pitchD,threadProfiles,2,FALSE)+(VLOOKUP($S$5,go,7,FALSE)/1000))</f>
        <v>343.86200000000002</v>
      </c>
      <c r="Y7" s="685">
        <f>$U$7+(0.2*pitchD)+(VLOOKUP($S$3,noGo,7,FALSE)/1000)</f>
        <v>343.87100000000004</v>
      </c>
      <c r="Z7" s="685">
        <f>$Z$6+(AA4/1000)</f>
        <v>341.68</v>
      </c>
      <c r="AA7" s="685">
        <f>$AA$6+($AA$4/1000)</f>
        <v>342.63</v>
      </c>
      <c r="AB7" s="1082"/>
      <c r="AC7" s="1082"/>
      <c r="AE7" s="681"/>
      <c r="AM7" s="680"/>
    </row>
    <row r="8" spans="2:39">
      <c r="Q8" s="796" t="s">
        <v>60</v>
      </c>
      <c r="R8" s="1119">
        <v>0.06</v>
      </c>
      <c r="S8" s="798"/>
      <c r="T8" s="798"/>
      <c r="U8" s="798"/>
      <c r="V8" s="797">
        <f>$V$7-AVERAGE($V$6:$V$7)</f>
        <v>0.30000000000001137</v>
      </c>
      <c r="W8" s="797">
        <f>$W$7-AVERAGE($W$6:$W$7)</f>
        <v>2.9999999999859028E-3</v>
      </c>
      <c r="X8" s="797">
        <f>$X$7-AVERAGE($X$6:$X$7)</f>
        <v>-0.59899999999998954</v>
      </c>
      <c r="Y8" s="797">
        <f>$Y$7-AVERAGE($Y$6:$Y$7)</f>
        <v>4.500000000007276E-3</v>
      </c>
      <c r="Z8" s="797">
        <f>$Z$7-AVERAGE($Z$6:$Z$7)</f>
        <v>0.47499999999996589</v>
      </c>
      <c r="AA8" s="797">
        <f>$AA$7-AVERAGE($AA$6:$AA$7)</f>
        <v>0.47500000000002274</v>
      </c>
      <c r="AB8" s="799"/>
      <c r="AC8" s="799"/>
      <c r="AD8" s="783"/>
      <c r="AE8" s="784"/>
      <c r="AF8" s="784"/>
    </row>
    <row r="9" spans="2:39">
      <c r="Q9" s="798"/>
      <c r="R9" s="798"/>
      <c r="S9" s="798"/>
      <c r="T9" s="798"/>
      <c r="U9" s="798"/>
      <c r="V9" s="797">
        <f>AVERAGE($V$6:$V$7)-$V$6</f>
        <v>0.30000000000001137</v>
      </c>
      <c r="W9" s="797">
        <f>AVERAGE($W$6:$W$7)-$W$6</f>
        <v>2.9999999999859028E-3</v>
      </c>
      <c r="X9" s="797">
        <f>AVERAGE($X$6:$X$7)-$X$6</f>
        <v>-0.59899999999998954</v>
      </c>
      <c r="Y9" s="797">
        <f>AVERAGE($Y$6:$Y$7)-$Y$6</f>
        <v>4.500000000007276E-3</v>
      </c>
      <c r="Z9" s="797">
        <f>AVERAGE($Z$6:$Z$7)-$Z$6</f>
        <v>0.47500000000002274</v>
      </c>
      <c r="AA9" s="797">
        <f>AVERAGE($AA$6:$AA$7)-$AA$6</f>
        <v>0.47499999999996589</v>
      </c>
      <c r="AB9" s="799"/>
      <c r="AC9" s="799"/>
      <c r="AD9" s="783"/>
      <c r="AE9" s="784"/>
      <c r="AF9" s="784"/>
    </row>
    <row r="10" spans="2:39">
      <c r="Q10" s="792"/>
      <c r="R10" s="792"/>
      <c r="S10" s="792"/>
      <c r="T10" s="792"/>
      <c r="U10" s="792"/>
      <c r="V10" s="793"/>
      <c r="W10" s="793"/>
      <c r="X10" s="793"/>
      <c r="Y10" s="793"/>
      <c r="Z10" s="793"/>
      <c r="AA10" s="793"/>
      <c r="AB10" s="794"/>
      <c r="AC10" s="794"/>
    </row>
    <row r="11" spans="2:39">
      <c r="V11" s="1120"/>
      <c r="X11" s="1120"/>
    </row>
    <row r="15" spans="2:39">
      <c r="B15" s="679"/>
      <c r="C15" s="679" t="s">
        <v>802</v>
      </c>
      <c r="D15" s="679"/>
      <c r="E15" s="679" t="s">
        <v>803</v>
      </c>
      <c r="F15" s="679"/>
      <c r="G15" s="679" t="s">
        <v>804</v>
      </c>
      <c r="H15" s="679"/>
      <c r="I15" s="679" t="s">
        <v>805</v>
      </c>
      <c r="J15" s="679"/>
      <c r="K15" s="679" t="s">
        <v>806</v>
      </c>
      <c r="L15" s="679"/>
      <c r="Q15" s="1080" t="s">
        <v>807</v>
      </c>
      <c r="R15" s="1080"/>
      <c r="S15" s="1080"/>
      <c r="T15" s="1080"/>
      <c r="U15" s="1080"/>
      <c r="V15" s="1080"/>
      <c r="W15" s="1080"/>
    </row>
    <row r="16" spans="2:39" ht="13.5">
      <c r="B16" s="679" t="s">
        <v>10</v>
      </c>
      <c r="C16" s="679" t="s">
        <v>808</v>
      </c>
      <c r="D16" s="679" t="s">
        <v>809</v>
      </c>
      <c r="E16" s="679" t="s">
        <v>808</v>
      </c>
      <c r="F16" s="679" t="s">
        <v>809</v>
      </c>
      <c r="G16" s="679" t="s">
        <v>808</v>
      </c>
      <c r="H16" s="679" t="s">
        <v>809</v>
      </c>
      <c r="I16" s="679" t="s">
        <v>808</v>
      </c>
      <c r="J16" s="679" t="s">
        <v>809</v>
      </c>
      <c r="K16" s="679" t="s">
        <v>808</v>
      </c>
      <c r="L16" s="679" t="s">
        <v>809</v>
      </c>
      <c r="Q16" s="1083" t="s">
        <v>810</v>
      </c>
      <c r="R16" s="1083"/>
      <c r="S16" s="1080" t="s">
        <v>811</v>
      </c>
      <c r="T16" s="1080"/>
      <c r="U16" s="1086" t="s">
        <v>812</v>
      </c>
      <c r="V16" s="1080" t="s">
        <v>813</v>
      </c>
      <c r="W16" s="1080"/>
    </row>
    <row r="17" spans="2:38">
      <c r="B17" s="679" t="s">
        <v>817</v>
      </c>
      <c r="C17" s="679">
        <v>9.1941249999999997</v>
      </c>
      <c r="D17" s="679">
        <v>9.2061250000000001</v>
      </c>
      <c r="E17" s="679">
        <v>9.3481249999999996</v>
      </c>
      <c r="F17" s="679">
        <v>9.3591249999999988</v>
      </c>
      <c r="G17" s="679">
        <v>10.001124999999998</v>
      </c>
      <c r="H17" s="679">
        <v>10.023124999999999</v>
      </c>
      <c r="I17" s="679">
        <v>9.5921249999999993</v>
      </c>
      <c r="J17" s="679">
        <v>9.6141249999999996</v>
      </c>
      <c r="K17" s="679">
        <v>8.6470000000000002</v>
      </c>
      <c r="L17" s="679">
        <v>8.9120000000000008</v>
      </c>
      <c r="Q17" s="1083"/>
      <c r="R17" s="1083"/>
      <c r="S17" s="679" t="s">
        <v>818</v>
      </c>
      <c r="T17" s="679" t="s">
        <v>819</v>
      </c>
      <c r="U17" s="1087"/>
      <c r="V17" s="679" t="s">
        <v>818</v>
      </c>
      <c r="W17" s="679" t="s">
        <v>820</v>
      </c>
    </row>
    <row r="18" spans="2:38">
      <c r="B18" s="679" t="s">
        <v>821</v>
      </c>
      <c r="C18" s="679">
        <v>9.0317500000000006</v>
      </c>
      <c r="D18" s="679">
        <v>9.0437500000000011</v>
      </c>
      <c r="E18" s="679">
        <v>9.1577500000000001</v>
      </c>
      <c r="F18" s="679">
        <v>9.1687499999999993</v>
      </c>
      <c r="G18" s="679">
        <v>10.00075</v>
      </c>
      <c r="H18" s="679">
        <v>10.02275</v>
      </c>
      <c r="I18" s="679">
        <v>9.4517500000000005</v>
      </c>
      <c r="J18" s="679">
        <v>9.4737500000000008</v>
      </c>
      <c r="K18" s="679">
        <v>8.3759999999999994</v>
      </c>
      <c r="L18" s="679">
        <v>8.6120000000000001</v>
      </c>
      <c r="P18" s="682">
        <v>0</v>
      </c>
      <c r="Q18" s="683">
        <v>24</v>
      </c>
      <c r="R18" s="683">
        <v>51</v>
      </c>
      <c r="S18" s="683">
        <v>3</v>
      </c>
      <c r="T18" s="683">
        <v>-3</v>
      </c>
      <c r="U18" s="683">
        <v>-8</v>
      </c>
      <c r="V18" s="683">
        <v>6</v>
      </c>
      <c r="W18" s="683">
        <v>-6</v>
      </c>
      <c r="AB18" s="102"/>
      <c r="AC18" s="102"/>
      <c r="AD18" s="102"/>
      <c r="AE18" s="102"/>
      <c r="AF18" s="102"/>
      <c r="AG18" s="102"/>
      <c r="AH18" s="102"/>
      <c r="AI18" s="102"/>
      <c r="AJ18" s="102"/>
      <c r="AK18" s="102"/>
      <c r="AL18" s="102"/>
    </row>
    <row r="19" spans="2:38">
      <c r="B19" s="679" t="s">
        <v>695</v>
      </c>
      <c r="C19" s="679">
        <v>9.0317500000000006</v>
      </c>
      <c r="D19" s="679">
        <v>9.0437500000000011</v>
      </c>
      <c r="E19" s="679">
        <v>9.2057500000000001</v>
      </c>
      <c r="F19" s="679">
        <v>9.2167499999999993</v>
      </c>
      <c r="G19" s="679">
        <v>10.00075</v>
      </c>
      <c r="H19" s="679">
        <v>10.02275</v>
      </c>
      <c r="I19" s="679">
        <v>9.4997500000000006</v>
      </c>
      <c r="J19" s="679">
        <v>9.5217500000000008</v>
      </c>
      <c r="K19" s="679">
        <v>8.3759999999999994</v>
      </c>
      <c r="L19" s="679">
        <v>8.6760000000000002</v>
      </c>
      <c r="P19" s="682">
        <v>1</v>
      </c>
      <c r="Q19" s="683">
        <v>51</v>
      </c>
      <c r="R19" s="683">
        <v>81</v>
      </c>
      <c r="S19" s="683">
        <v>6</v>
      </c>
      <c r="T19" s="683">
        <v>-1</v>
      </c>
      <c r="U19" s="683">
        <v>-7</v>
      </c>
      <c r="V19" s="683">
        <v>9</v>
      </c>
      <c r="W19" s="683">
        <v>-5</v>
      </c>
      <c r="AA19" s="686"/>
      <c r="AB19" s="102"/>
      <c r="AC19" s="102"/>
      <c r="AD19" s="102"/>
      <c r="AE19" s="102"/>
      <c r="AF19" s="102"/>
      <c r="AG19" s="102"/>
      <c r="AH19" s="102"/>
      <c r="AI19" s="102"/>
      <c r="AJ19" s="102"/>
      <c r="AK19" s="102"/>
      <c r="AL19" s="102"/>
    </row>
    <row r="20" spans="2:38">
      <c r="B20" s="679" t="s">
        <v>822</v>
      </c>
      <c r="C20" s="679">
        <v>9.0648</v>
      </c>
      <c r="D20" s="679">
        <v>9.0787999999999993</v>
      </c>
      <c r="E20" s="679">
        <v>9.3379999999999992</v>
      </c>
      <c r="F20" s="679">
        <v>9.3519999999999985</v>
      </c>
      <c r="G20" s="679">
        <v>10.0318</v>
      </c>
      <c r="H20" s="679">
        <v>10.059799999999999</v>
      </c>
      <c r="I20" s="679">
        <v>9.6310000000000002</v>
      </c>
      <c r="J20" s="679">
        <v>9.6590000000000007</v>
      </c>
      <c r="K20" s="679">
        <v>8.3759999999999994</v>
      </c>
      <c r="L20" s="679">
        <v>8.7509999999999994</v>
      </c>
      <c r="P20" s="682">
        <v>2</v>
      </c>
      <c r="Q20" s="683">
        <v>81</v>
      </c>
      <c r="R20" s="683">
        <v>126</v>
      </c>
      <c r="S20" s="683">
        <v>11</v>
      </c>
      <c r="T20" s="683">
        <v>2</v>
      </c>
      <c r="U20" s="683">
        <v>-6</v>
      </c>
      <c r="V20" s="683">
        <v>15</v>
      </c>
      <c r="W20" s="683">
        <v>-3</v>
      </c>
      <c r="AA20" s="686" t="str">
        <f>IF(MID($N$18,4,1)="X",MID($N$18,5,1),MID($N$18,6,1))</f>
        <v/>
      </c>
      <c r="AB20" s="102"/>
      <c r="AC20" s="102"/>
      <c r="AD20" s="102"/>
      <c r="AE20" s="102"/>
      <c r="AF20" s="102"/>
      <c r="AG20" s="102"/>
      <c r="AH20" s="102"/>
      <c r="AI20" s="102"/>
      <c r="AJ20" s="102"/>
      <c r="AK20" s="102"/>
      <c r="AL20" s="102"/>
    </row>
    <row r="21" spans="2:38">
      <c r="B21" s="679" t="s">
        <v>822</v>
      </c>
      <c r="C21" s="679">
        <v>9.0347500000000007</v>
      </c>
      <c r="D21" s="679">
        <v>9.0487500000000001</v>
      </c>
      <c r="E21" s="679">
        <v>9.2377500000000001</v>
      </c>
      <c r="F21" s="679">
        <v>9.2517499999999995</v>
      </c>
      <c r="G21" s="679">
        <v>10.001750000000001</v>
      </c>
      <c r="H21" s="679">
        <v>10.02975</v>
      </c>
      <c r="I21" s="679">
        <v>9.5307500000000012</v>
      </c>
      <c r="J21" s="679">
        <v>9.5587500000000016</v>
      </c>
      <c r="K21" s="679">
        <v>8.3759999999999994</v>
      </c>
      <c r="L21" s="679">
        <v>8.7509999999999994</v>
      </c>
      <c r="P21" s="682">
        <v>3</v>
      </c>
      <c r="Q21" s="683">
        <v>126</v>
      </c>
      <c r="R21" s="683">
        <v>201</v>
      </c>
      <c r="S21" s="683">
        <v>18</v>
      </c>
      <c r="T21" s="683">
        <v>6</v>
      </c>
      <c r="U21" s="683">
        <v>-5</v>
      </c>
      <c r="V21" s="683">
        <v>23</v>
      </c>
      <c r="W21" s="683">
        <v>1</v>
      </c>
      <c r="AA21" s="688" t="str">
        <f>MID(RIGHT($N$18,2),1,1)</f>
        <v/>
      </c>
      <c r="AB21" s="102"/>
      <c r="AC21" s="102"/>
      <c r="AD21" s="102"/>
      <c r="AE21" s="102"/>
      <c r="AF21" s="102"/>
      <c r="AG21" s="102"/>
      <c r="AH21" s="102"/>
      <c r="AI21" s="102"/>
      <c r="AJ21" s="102"/>
      <c r="AK21" s="102"/>
      <c r="AL21" s="102"/>
    </row>
    <row r="22" spans="2:38">
      <c r="B22" s="679" t="s">
        <v>823</v>
      </c>
      <c r="C22" s="679">
        <v>123.70699999999999</v>
      </c>
      <c r="D22" s="679">
        <v>123.71899999999999</v>
      </c>
      <c r="E22" s="679">
        <v>123.95099999999999</v>
      </c>
      <c r="F22" s="679">
        <v>123.96199999999999</v>
      </c>
      <c r="G22" s="679">
        <v>125.002</v>
      </c>
      <c r="H22" s="679">
        <v>125.02399999999999</v>
      </c>
      <c r="I22" s="679">
        <v>124.345</v>
      </c>
      <c r="J22" s="679">
        <v>124.367</v>
      </c>
      <c r="K22" s="679">
        <v>122.83499999999999</v>
      </c>
      <c r="L22" s="679">
        <v>123.21</v>
      </c>
      <c r="P22" s="682">
        <v>4</v>
      </c>
      <c r="Q22" s="683">
        <v>201</v>
      </c>
      <c r="R22" s="683">
        <v>316</v>
      </c>
      <c r="S22" s="683">
        <v>23</v>
      </c>
      <c r="T22" s="683">
        <v>9</v>
      </c>
      <c r="U22" s="683">
        <v>-5</v>
      </c>
      <c r="V22" s="683">
        <v>30</v>
      </c>
      <c r="W22" s="683">
        <v>2</v>
      </c>
      <c r="AC22" s="687"/>
      <c r="AD22" s="687"/>
    </row>
    <row r="23" spans="2:38">
      <c r="B23" s="679" t="s">
        <v>824</v>
      </c>
      <c r="C23" s="679">
        <v>11.3565</v>
      </c>
      <c r="D23" s="679">
        <v>11.368500000000001</v>
      </c>
      <c r="E23" s="679">
        <v>11.5105</v>
      </c>
      <c r="F23" s="679">
        <v>11.5215</v>
      </c>
      <c r="G23" s="679">
        <v>12.0015</v>
      </c>
      <c r="H23" s="679">
        <v>12.0235</v>
      </c>
      <c r="I23" s="679">
        <v>11.704499999999999</v>
      </c>
      <c r="J23" s="679">
        <v>11.7265</v>
      </c>
      <c r="K23" s="679">
        <v>10.917999999999999</v>
      </c>
      <c r="L23" s="679">
        <v>11.154</v>
      </c>
      <c r="P23" s="682">
        <v>5</v>
      </c>
      <c r="Q23" s="683">
        <v>315</v>
      </c>
      <c r="R23" s="683">
        <v>501</v>
      </c>
      <c r="S23" s="683">
        <v>33</v>
      </c>
      <c r="T23" s="683">
        <v>15</v>
      </c>
      <c r="U23" s="683">
        <v>-3</v>
      </c>
      <c r="V23" s="683">
        <v>42</v>
      </c>
      <c r="W23" s="683">
        <v>6</v>
      </c>
    </row>
    <row r="24" spans="2:38">
      <c r="B24" s="679" t="s">
        <v>825</v>
      </c>
      <c r="C24" s="679">
        <v>10.872375</v>
      </c>
      <c r="D24" s="679">
        <v>10.886374999999999</v>
      </c>
      <c r="E24" s="679">
        <v>11.063374999999999</v>
      </c>
      <c r="F24" s="679">
        <v>11.077374999999998</v>
      </c>
      <c r="G24" s="679">
        <v>12.002375000000001</v>
      </c>
      <c r="H24" s="679">
        <v>12.030374999999999</v>
      </c>
      <c r="I24" s="679">
        <v>11.406374999999999</v>
      </c>
      <c r="J24" s="679">
        <v>11.434374999999999</v>
      </c>
      <c r="K24" s="679">
        <v>10.106</v>
      </c>
      <c r="L24" s="679">
        <v>10.441000000000001</v>
      </c>
      <c r="P24" s="682">
        <v>6</v>
      </c>
      <c r="Q24" s="683">
        <v>501</v>
      </c>
      <c r="R24" s="683">
        <v>671</v>
      </c>
      <c r="S24" s="683">
        <v>43</v>
      </c>
      <c r="T24" s="683">
        <v>21</v>
      </c>
      <c r="U24" s="683">
        <v>-1</v>
      </c>
      <c r="V24" s="683">
        <v>54</v>
      </c>
      <c r="W24" s="683">
        <v>10</v>
      </c>
    </row>
    <row r="25" spans="2:38">
      <c r="B25" s="679" t="s">
        <v>826</v>
      </c>
      <c r="C25" s="679">
        <v>10.878375</v>
      </c>
      <c r="D25" s="679">
        <v>10.896374999999999</v>
      </c>
      <c r="E25" s="679">
        <v>11.178374999999999</v>
      </c>
      <c r="F25" s="679">
        <v>11.196375</v>
      </c>
      <c r="G25" s="679">
        <v>12.006375</v>
      </c>
      <c r="H25" s="679">
        <v>12.042375</v>
      </c>
      <c r="I25" s="679">
        <v>11.519374999999998</v>
      </c>
      <c r="J25" s="679">
        <v>11.555374999999998</v>
      </c>
      <c r="K25" s="679">
        <v>10.106</v>
      </c>
      <c r="L25" s="679">
        <v>10.635999999999999</v>
      </c>
      <c r="S25" s="682"/>
      <c r="T25" s="682"/>
      <c r="U25" s="682"/>
      <c r="V25" s="682"/>
      <c r="W25" s="682"/>
      <c r="X25" s="682"/>
      <c r="AJ25" s="682"/>
      <c r="AK25" s="682"/>
    </row>
    <row r="26" spans="2:38">
      <c r="B26" s="679" t="s">
        <v>827</v>
      </c>
      <c r="C26" s="679">
        <v>138.70699999999999</v>
      </c>
      <c r="D26" s="679">
        <v>138.71899999999999</v>
      </c>
      <c r="E26" s="679">
        <v>138.95099999999999</v>
      </c>
      <c r="F26" s="679">
        <v>138.96199999999999</v>
      </c>
      <c r="G26" s="679">
        <v>140.00200000000001</v>
      </c>
      <c r="H26" s="679">
        <v>140.024</v>
      </c>
      <c r="I26" s="679">
        <v>139.345</v>
      </c>
      <c r="J26" s="679">
        <v>139.36699999999999</v>
      </c>
      <c r="K26" s="679">
        <v>137.83500000000001</v>
      </c>
      <c r="L26" s="679">
        <v>138.21</v>
      </c>
      <c r="Q26" s="1080" t="s">
        <v>883</v>
      </c>
      <c r="R26" s="1080"/>
      <c r="S26" s="1080"/>
      <c r="T26" s="1080"/>
      <c r="U26" s="1080"/>
      <c r="V26" s="1080"/>
      <c r="W26" s="1080"/>
      <c r="X26" s="682"/>
    </row>
    <row r="27" spans="2:38" ht="13.5">
      <c r="B27" s="679" t="s">
        <v>828</v>
      </c>
      <c r="C27" s="679">
        <v>12.71</v>
      </c>
      <c r="D27" s="679">
        <v>12.724</v>
      </c>
      <c r="E27" s="679">
        <v>12.913</v>
      </c>
      <c r="F27" s="679">
        <v>12.927</v>
      </c>
      <c r="G27" s="679">
        <v>14.003000000000002</v>
      </c>
      <c r="H27" s="679">
        <v>14.031000000000001</v>
      </c>
      <c r="I27" s="679">
        <v>13.305000000000001</v>
      </c>
      <c r="J27" s="679">
        <v>13.334000000000001</v>
      </c>
      <c r="K27" s="679">
        <v>11.835000000000001</v>
      </c>
      <c r="L27" s="679">
        <v>12.21</v>
      </c>
      <c r="Q27" s="1083" t="s">
        <v>810</v>
      </c>
      <c r="R27" s="1083"/>
      <c r="S27" s="1080" t="s">
        <v>811</v>
      </c>
      <c r="T27" s="1080"/>
      <c r="U27" s="1086" t="s">
        <v>812</v>
      </c>
      <c r="V27" s="1080" t="s">
        <v>813</v>
      </c>
      <c r="W27" s="1080"/>
      <c r="X27" s="682"/>
    </row>
    <row r="28" spans="2:38">
      <c r="B28" s="679" t="s">
        <v>829</v>
      </c>
      <c r="C28" s="679">
        <v>14.707000000000001</v>
      </c>
      <c r="D28" s="679">
        <v>14.719000000000001</v>
      </c>
      <c r="E28" s="679">
        <v>14.861000000000001</v>
      </c>
      <c r="F28" s="679">
        <v>14.872</v>
      </c>
      <c r="G28" s="679">
        <v>16.002000000000002</v>
      </c>
      <c r="H28" s="679">
        <v>16.024000000000001</v>
      </c>
      <c r="I28" s="679">
        <v>15.255000000000001</v>
      </c>
      <c r="J28" s="679">
        <v>15.277000000000001</v>
      </c>
      <c r="K28" s="679">
        <v>13.835000000000001</v>
      </c>
      <c r="L28" s="679">
        <v>14.115</v>
      </c>
      <c r="Q28" s="1083"/>
      <c r="R28" s="1083"/>
      <c r="S28" s="679" t="s">
        <v>818</v>
      </c>
      <c r="T28" s="679" t="s">
        <v>819</v>
      </c>
      <c r="U28" s="1087"/>
      <c r="V28" s="679" t="s">
        <v>818</v>
      </c>
      <c r="W28" s="679" t="s">
        <v>820</v>
      </c>
      <c r="X28" s="682"/>
    </row>
    <row r="29" spans="2:38">
      <c r="B29" s="679" t="s">
        <v>830</v>
      </c>
      <c r="C29" s="679">
        <v>13.835000000000001</v>
      </c>
      <c r="D29" s="679">
        <v>14.21</v>
      </c>
      <c r="E29" s="679">
        <v>16.003</v>
      </c>
      <c r="F29" s="679">
        <v>16.031000000000002</v>
      </c>
      <c r="G29" s="679">
        <v>14.71</v>
      </c>
      <c r="H29" s="679">
        <v>14.724</v>
      </c>
      <c r="I29" s="679">
        <v>15.306000000000001</v>
      </c>
      <c r="J29" s="679">
        <v>15.334000000000001</v>
      </c>
      <c r="K29" s="679"/>
      <c r="L29" s="679"/>
      <c r="P29" s="682">
        <v>0</v>
      </c>
      <c r="Q29" s="683">
        <v>24</v>
      </c>
      <c r="R29" s="683">
        <v>51</v>
      </c>
      <c r="S29" s="683">
        <v>6</v>
      </c>
      <c r="T29" s="683">
        <v>0</v>
      </c>
      <c r="U29" s="683">
        <v>-3</v>
      </c>
      <c r="V29" s="683">
        <v>9</v>
      </c>
      <c r="W29" s="683">
        <v>-3</v>
      </c>
    </row>
    <row r="30" spans="2:38">
      <c r="B30" s="679" t="s">
        <v>831</v>
      </c>
      <c r="C30" s="679">
        <v>14.71</v>
      </c>
      <c r="D30" s="679">
        <v>14.724</v>
      </c>
      <c r="E30" s="679">
        <v>14.951000000000001</v>
      </c>
      <c r="F30" s="679">
        <v>14.965</v>
      </c>
      <c r="G30" s="679">
        <v>16.003</v>
      </c>
      <c r="H30" s="679">
        <v>16.031000000000002</v>
      </c>
      <c r="I30" s="679">
        <v>15.344000000000001</v>
      </c>
      <c r="J30" s="679">
        <v>15.372000000000002</v>
      </c>
      <c r="K30" s="679">
        <v>13.835000000000001</v>
      </c>
      <c r="L30" s="679">
        <v>14.285</v>
      </c>
      <c r="P30" s="682">
        <v>1</v>
      </c>
      <c r="Q30" s="683">
        <v>51</v>
      </c>
      <c r="R30" s="683">
        <v>81</v>
      </c>
      <c r="S30" s="683">
        <v>7</v>
      </c>
      <c r="T30" s="683">
        <v>0</v>
      </c>
      <c r="U30" s="683">
        <v>-4</v>
      </c>
      <c r="V30" s="683">
        <v>10</v>
      </c>
      <c r="W30" s="683">
        <v>-4</v>
      </c>
    </row>
    <row r="31" spans="2:38">
      <c r="B31" s="679" t="s">
        <v>832</v>
      </c>
      <c r="C31" s="679">
        <v>19.031749999999999</v>
      </c>
      <c r="D31" s="679">
        <v>19.043749999999999</v>
      </c>
      <c r="E31" s="679">
        <v>19.21575</v>
      </c>
      <c r="F31" s="679">
        <v>19.226749999999999</v>
      </c>
      <c r="G31" s="679">
        <v>20.00075</v>
      </c>
      <c r="H31" s="679">
        <v>20.022749999999998</v>
      </c>
      <c r="I31" s="679">
        <v>19.50975</v>
      </c>
      <c r="J31" s="679">
        <v>19.531749999999999</v>
      </c>
      <c r="K31" s="679">
        <v>18.376000000000001</v>
      </c>
      <c r="L31" s="679">
        <v>18.675999999999998</v>
      </c>
      <c r="P31" s="682">
        <v>2</v>
      </c>
      <c r="Q31" s="683">
        <v>81</v>
      </c>
      <c r="R31" s="683">
        <v>126</v>
      </c>
      <c r="S31" s="683">
        <v>9</v>
      </c>
      <c r="T31" s="683">
        <v>0</v>
      </c>
      <c r="U31" s="683">
        <v>-5</v>
      </c>
      <c r="V31" s="683">
        <v>13</v>
      </c>
      <c r="W31" s="683">
        <v>-5</v>
      </c>
    </row>
    <row r="32" spans="2:38">
      <c r="B32" s="679" t="s">
        <v>833</v>
      </c>
      <c r="C32" s="679">
        <v>18.385249999999999</v>
      </c>
      <c r="D32" s="679">
        <v>18.399249999999999</v>
      </c>
      <c r="E32" s="679">
        <v>18.600249999999999</v>
      </c>
      <c r="F32" s="679">
        <v>18.614249999999998</v>
      </c>
      <c r="G32" s="679">
        <v>20.002249999999997</v>
      </c>
      <c r="H32" s="679">
        <v>20.030249999999999</v>
      </c>
      <c r="I32" s="679">
        <v>19.093249999999998</v>
      </c>
      <c r="J32" s="679">
        <v>19.12125</v>
      </c>
      <c r="K32" s="679">
        <v>17.294</v>
      </c>
      <c r="L32" s="679">
        <v>17.744</v>
      </c>
      <c r="P32" s="682">
        <v>3</v>
      </c>
      <c r="Q32" s="683">
        <v>126</v>
      </c>
      <c r="R32" s="683">
        <v>201</v>
      </c>
      <c r="S32" s="683">
        <v>11</v>
      </c>
      <c r="T32" s="683">
        <v>0</v>
      </c>
      <c r="U32" s="683">
        <v>-6</v>
      </c>
      <c r="V32" s="683">
        <v>16</v>
      </c>
      <c r="W32" s="683">
        <v>-6</v>
      </c>
    </row>
    <row r="33" spans="2:32">
      <c r="B33" s="679" t="s">
        <v>834</v>
      </c>
      <c r="C33" s="679">
        <v>18.385249999999999</v>
      </c>
      <c r="D33" s="679">
        <v>18.399249999999999</v>
      </c>
      <c r="E33" s="679">
        <v>18.641249999999999</v>
      </c>
      <c r="F33" s="679">
        <v>18.655249999999999</v>
      </c>
      <c r="G33" s="679">
        <v>20.002249999999997</v>
      </c>
      <c r="H33" s="679">
        <v>20.030249999999999</v>
      </c>
      <c r="I33" s="679">
        <v>19.134249999999998</v>
      </c>
      <c r="J33" s="679">
        <v>19.16225</v>
      </c>
      <c r="K33" s="679">
        <v>17.294</v>
      </c>
      <c r="L33" s="679">
        <v>17.824000000000002</v>
      </c>
      <c r="P33" s="682">
        <v>4</v>
      </c>
      <c r="Q33" s="683">
        <v>201</v>
      </c>
      <c r="R33" s="683">
        <v>316</v>
      </c>
      <c r="S33" s="683">
        <v>14</v>
      </c>
      <c r="T33" s="683">
        <v>0</v>
      </c>
      <c r="U33" s="683">
        <v>-8</v>
      </c>
      <c r="V33" s="683">
        <v>21</v>
      </c>
      <c r="W33" s="683">
        <v>-7</v>
      </c>
    </row>
    <row r="34" spans="2:32">
      <c r="B34" s="679" t="s">
        <v>835</v>
      </c>
      <c r="C34" s="679">
        <v>22.060500000000001</v>
      </c>
      <c r="D34" s="679">
        <v>22.0745</v>
      </c>
      <c r="E34" s="679">
        <v>22.316500000000001</v>
      </c>
      <c r="F34" s="679">
        <v>22.330500000000001</v>
      </c>
      <c r="G34" s="679">
        <v>24.003499999999999</v>
      </c>
      <c r="H34" s="679">
        <v>24.031500000000001</v>
      </c>
      <c r="I34" s="679">
        <v>22.909500000000001</v>
      </c>
      <c r="J34" s="679">
        <v>22.937500000000004</v>
      </c>
      <c r="K34" s="679">
        <v>20.753</v>
      </c>
      <c r="L34" s="679">
        <v>21.128</v>
      </c>
      <c r="P34" s="682">
        <v>5</v>
      </c>
      <c r="Q34" s="683">
        <v>316</v>
      </c>
      <c r="R34" s="683">
        <v>501</v>
      </c>
      <c r="S34" s="683">
        <v>18</v>
      </c>
      <c r="T34" s="683">
        <v>0</v>
      </c>
      <c r="U34" s="683">
        <v>-10</v>
      </c>
      <c r="V34" s="683">
        <v>27</v>
      </c>
      <c r="W34" s="683">
        <v>-9</v>
      </c>
    </row>
    <row r="35" spans="2:32">
      <c r="B35" s="679" t="s">
        <v>836</v>
      </c>
      <c r="C35" s="679">
        <v>22.060500000000001</v>
      </c>
      <c r="D35" s="679">
        <v>22.0745</v>
      </c>
      <c r="E35" s="679">
        <v>22.316500000000001</v>
      </c>
      <c r="F35" s="679">
        <v>22.330500000000001</v>
      </c>
      <c r="G35" s="679">
        <v>24.003499999999999</v>
      </c>
      <c r="H35" s="679">
        <v>24.031500000000001</v>
      </c>
      <c r="I35" s="679">
        <v>22.909500000000001</v>
      </c>
      <c r="J35" s="679">
        <v>22.937500000000004</v>
      </c>
      <c r="K35" s="679">
        <v>20.753</v>
      </c>
      <c r="L35" s="679">
        <v>21.253</v>
      </c>
      <c r="P35" s="682">
        <v>6</v>
      </c>
      <c r="Q35" s="683">
        <v>501</v>
      </c>
      <c r="R35" s="683">
        <v>670</v>
      </c>
      <c r="S35" s="683">
        <v>22</v>
      </c>
      <c r="T35" s="683">
        <v>0</v>
      </c>
      <c r="U35" s="683">
        <v>-12</v>
      </c>
      <c r="V35" s="683">
        <v>33</v>
      </c>
      <c r="W35" s="683">
        <v>-11</v>
      </c>
    </row>
    <row r="36" spans="2:32">
      <c r="B36" s="679" t="s">
        <v>837</v>
      </c>
      <c r="C36" s="679">
        <v>22.114000000000001</v>
      </c>
      <c r="D36" s="679">
        <v>22.132000000000001</v>
      </c>
      <c r="E36" s="679">
        <v>22.524000000000001</v>
      </c>
      <c r="F36" s="679">
        <v>22.538</v>
      </c>
      <c r="G36" s="679">
        <v>24.055</v>
      </c>
      <c r="H36" s="679">
        <v>24.091000000000001</v>
      </c>
      <c r="I36" s="679">
        <v>23.117000000000001</v>
      </c>
      <c r="J36" s="679">
        <v>23.145000000000003</v>
      </c>
      <c r="K36" s="679">
        <v>20.753</v>
      </c>
      <c r="L36" s="679">
        <v>21.128</v>
      </c>
      <c r="S36" s="682"/>
      <c r="T36" s="682"/>
      <c r="U36" s="682"/>
      <c r="V36" s="682"/>
      <c r="W36" s="682"/>
      <c r="X36" s="682"/>
    </row>
    <row r="37" spans="2:32">
      <c r="B37" s="679" t="s">
        <v>880</v>
      </c>
      <c r="C37" s="679">
        <v>24.031749999999999</v>
      </c>
      <c r="D37" s="679">
        <v>24.043749999999999</v>
      </c>
      <c r="E37" s="679">
        <v>24.225749999999998</v>
      </c>
      <c r="F37" s="679">
        <v>24.236749999999997</v>
      </c>
      <c r="G37" s="679">
        <v>25.00075</v>
      </c>
      <c r="H37" s="679">
        <v>25.022749999999998</v>
      </c>
      <c r="I37" s="679">
        <v>24.519749999999998</v>
      </c>
      <c r="J37" s="679">
        <v>24.541749999999997</v>
      </c>
      <c r="K37" s="679">
        <v>23.376000000000001</v>
      </c>
      <c r="L37" s="679">
        <v>23.675999999999998</v>
      </c>
      <c r="S37" s="682"/>
      <c r="T37" s="682"/>
      <c r="U37" s="682"/>
      <c r="V37" s="682"/>
      <c r="W37" s="682"/>
      <c r="X37" s="682"/>
    </row>
    <row r="38" spans="2:32">
      <c r="B38" s="679" t="s">
        <v>838</v>
      </c>
      <c r="C38" s="679">
        <v>27.735749999999999</v>
      </c>
      <c r="D38" s="679">
        <v>27.749749999999999</v>
      </c>
      <c r="E38" s="679">
        <v>28.00675</v>
      </c>
      <c r="F38" s="679">
        <v>28.02075</v>
      </c>
      <c r="G38" s="679">
        <v>30.001749999999998</v>
      </c>
      <c r="H38" s="679">
        <v>30.02975</v>
      </c>
      <c r="I38" s="679">
        <v>28.699749999999998</v>
      </c>
      <c r="J38" s="679">
        <v>28.72775</v>
      </c>
      <c r="K38" s="679">
        <v>26.210999999999999</v>
      </c>
      <c r="L38" s="679">
        <v>26.771000000000001</v>
      </c>
      <c r="S38" s="682"/>
      <c r="T38" s="682"/>
      <c r="U38" s="682"/>
      <c r="V38" s="682"/>
      <c r="W38" s="682"/>
      <c r="X38" s="682"/>
    </row>
    <row r="39" spans="2:32">
      <c r="B39" s="679" t="s">
        <v>839</v>
      </c>
      <c r="C39" s="679">
        <v>31.031749999999999</v>
      </c>
      <c r="D39" s="679">
        <v>31.043749999999999</v>
      </c>
      <c r="E39" s="679">
        <v>31.225749999999998</v>
      </c>
      <c r="F39" s="679">
        <v>31.236749999999997</v>
      </c>
      <c r="G39" s="679">
        <v>32.000749999999996</v>
      </c>
      <c r="H39" s="679">
        <v>32.022750000000002</v>
      </c>
      <c r="I39" s="679">
        <v>31.519749999999998</v>
      </c>
      <c r="J39" s="679">
        <v>31.541749999999997</v>
      </c>
      <c r="K39" s="679">
        <v>30.376000000000001</v>
      </c>
      <c r="L39" s="679">
        <v>30.376000000000001</v>
      </c>
      <c r="X39" s="682"/>
    </row>
    <row r="40" spans="2:32" ht="64.5" customHeight="1">
      <c r="B40" s="679" t="s">
        <v>840</v>
      </c>
      <c r="C40" s="679">
        <v>342.423</v>
      </c>
      <c r="D40" s="679">
        <v>342.44499999999999</v>
      </c>
      <c r="E40" s="679">
        <v>343.00200000000001</v>
      </c>
      <c r="F40" s="679">
        <v>343.024</v>
      </c>
      <c r="G40" s="679">
        <v>345.01</v>
      </c>
      <c r="H40" s="679">
        <v>345.05399999999997</v>
      </c>
      <c r="I40" s="679">
        <v>343.791</v>
      </c>
      <c r="J40" s="679">
        <v>343.83500000000004</v>
      </c>
      <c r="K40" s="679">
        <v>339.52100000000002</v>
      </c>
      <c r="L40" s="679">
        <v>340.471</v>
      </c>
      <c r="Q40" s="1080" t="s">
        <v>841</v>
      </c>
      <c r="R40" s="1080"/>
      <c r="S40" s="1080"/>
      <c r="T40" s="1080"/>
      <c r="U40" s="1080"/>
      <c r="V40" s="1080"/>
      <c r="W40" s="1080"/>
      <c r="X40" s="1080"/>
      <c r="Z40" s="1080" t="s">
        <v>881</v>
      </c>
      <c r="AA40" s="1083" t="s">
        <v>882</v>
      </c>
      <c r="AB40" s="1083" t="s">
        <v>884</v>
      </c>
      <c r="AC40" s="1083"/>
      <c r="AD40" s="1083"/>
      <c r="AE40" s="1083"/>
      <c r="AF40" s="1083"/>
    </row>
    <row r="41" spans="2:32" ht="13.5">
      <c r="B41" s="679" t="s">
        <v>842</v>
      </c>
      <c r="C41" s="679">
        <v>35.034750000000003</v>
      </c>
      <c r="D41" s="679">
        <v>35.048750000000005</v>
      </c>
      <c r="E41" s="679">
        <v>35.225750000000005</v>
      </c>
      <c r="F41" s="679">
        <v>35.239750000000008</v>
      </c>
      <c r="G41" s="679">
        <v>36.001750000000001</v>
      </c>
      <c r="H41" s="679">
        <v>36.02975</v>
      </c>
      <c r="I41" s="679">
        <v>35.518750000000004</v>
      </c>
      <c r="J41" s="679">
        <v>35.546750000000003</v>
      </c>
      <c r="K41" s="679">
        <v>34.375999999999998</v>
      </c>
      <c r="L41" s="679">
        <v>34.676000000000002</v>
      </c>
      <c r="Q41" s="1083" t="s">
        <v>843</v>
      </c>
      <c r="R41" s="1083"/>
      <c r="S41" s="1088" t="s">
        <v>844</v>
      </c>
      <c r="T41" s="1089" t="s">
        <v>845</v>
      </c>
      <c r="U41" s="1089"/>
      <c r="V41" s="1089"/>
      <c r="W41" s="1089"/>
      <c r="X41" s="1089"/>
      <c r="Z41" s="1080"/>
      <c r="AA41" s="1083"/>
      <c r="AB41" s="679">
        <v>4</v>
      </c>
      <c r="AC41" s="679">
        <v>5</v>
      </c>
      <c r="AD41" s="679">
        <v>6</v>
      </c>
      <c r="AE41" s="679">
        <v>7</v>
      </c>
      <c r="AF41" s="679">
        <v>8</v>
      </c>
    </row>
    <row r="42" spans="2:32">
      <c r="B42" s="679" t="s">
        <v>846</v>
      </c>
      <c r="C42" s="679">
        <v>34.057499999999997</v>
      </c>
      <c r="D42" s="679">
        <v>34.069499999999998</v>
      </c>
      <c r="E42" s="679">
        <v>34.221499999999999</v>
      </c>
      <c r="F42" s="679">
        <v>34.232500000000002</v>
      </c>
      <c r="G42" s="679">
        <v>36.002499999999998</v>
      </c>
      <c r="H42" s="679">
        <v>36.024500000000003</v>
      </c>
      <c r="I42" s="679">
        <v>34.8155</v>
      </c>
      <c r="J42" s="679">
        <v>34.837499999999999</v>
      </c>
      <c r="K42" s="679">
        <v>32.753</v>
      </c>
      <c r="L42" s="679">
        <v>33.067999999999998</v>
      </c>
      <c r="Q42" s="1083"/>
      <c r="R42" s="1083"/>
      <c r="S42" s="1088"/>
      <c r="T42" s="1089" t="s">
        <v>847</v>
      </c>
      <c r="U42" s="1089"/>
      <c r="V42" s="1089"/>
      <c r="W42" s="1089"/>
      <c r="X42" s="1089"/>
      <c r="Y42" s="681">
        <v>0</v>
      </c>
      <c r="Z42" s="728">
        <v>0.2</v>
      </c>
      <c r="AA42" s="727">
        <v>0.13</v>
      </c>
      <c r="AB42" s="679">
        <v>38</v>
      </c>
      <c r="AC42" s="679"/>
      <c r="AD42" s="679"/>
      <c r="AE42" s="679"/>
      <c r="AF42" s="679"/>
    </row>
    <row r="43" spans="2:32">
      <c r="B43" s="679" t="s">
        <v>848</v>
      </c>
      <c r="C43" s="679">
        <v>33.411000000000001</v>
      </c>
      <c r="D43" s="679">
        <v>33.425000000000004</v>
      </c>
      <c r="E43" s="679">
        <v>33.625999999999998</v>
      </c>
      <c r="F43" s="679">
        <v>33.64</v>
      </c>
      <c r="G43" s="679">
        <v>36.002000000000002</v>
      </c>
      <c r="H43" s="679">
        <v>36.03</v>
      </c>
      <c r="I43" s="679">
        <v>34.418999999999997</v>
      </c>
      <c r="J43" s="679">
        <v>34.446999999999996</v>
      </c>
      <c r="K43" s="679">
        <v>31.67</v>
      </c>
      <c r="L43" s="679">
        <v>31.97</v>
      </c>
      <c r="Q43" s="1083"/>
      <c r="R43" s="1083"/>
      <c r="S43" s="1088"/>
      <c r="T43" s="683">
        <v>4</v>
      </c>
      <c r="U43" s="683">
        <v>5</v>
      </c>
      <c r="V43" s="683">
        <v>6</v>
      </c>
      <c r="W43" s="683">
        <v>7</v>
      </c>
      <c r="X43" s="683">
        <v>8</v>
      </c>
      <c r="Y43" s="681">
        <v>1</v>
      </c>
      <c r="Z43" s="689">
        <v>0.25</v>
      </c>
      <c r="AA43" s="679">
        <v>0.16200000000000001</v>
      </c>
      <c r="AB43" s="679">
        <v>45</v>
      </c>
      <c r="AC43" s="679">
        <v>56</v>
      </c>
      <c r="AD43" s="679"/>
      <c r="AE43" s="679"/>
      <c r="AF43" s="679"/>
    </row>
    <row r="44" spans="2:32">
      <c r="B44" s="679" t="s">
        <v>849</v>
      </c>
      <c r="C44" s="679">
        <v>33.411000000000001</v>
      </c>
      <c r="D44" s="679">
        <v>33.425000000000004</v>
      </c>
      <c r="E44" s="679">
        <v>33.701999999999998</v>
      </c>
      <c r="F44" s="679">
        <v>33.716000000000001</v>
      </c>
      <c r="G44" s="679">
        <v>36.002000000000002</v>
      </c>
      <c r="H44" s="679">
        <v>36.03</v>
      </c>
      <c r="I44" s="679">
        <v>34.494999999999997</v>
      </c>
      <c r="J44" s="679">
        <v>34.522999999999996</v>
      </c>
      <c r="K44" s="679">
        <v>31.67</v>
      </c>
      <c r="L44" s="679">
        <v>32.270000000000003</v>
      </c>
      <c r="P44" s="680">
        <v>0</v>
      </c>
      <c r="Q44" s="679">
        <v>0.99</v>
      </c>
      <c r="R44" s="679">
        <v>1.4</v>
      </c>
      <c r="S44" s="689">
        <v>0.2</v>
      </c>
      <c r="T44" s="683">
        <v>40</v>
      </c>
      <c r="U44" s="683"/>
      <c r="V44" s="683"/>
      <c r="W44" s="683"/>
      <c r="X44" s="683"/>
      <c r="Y44" s="681">
        <v>2</v>
      </c>
      <c r="Z44" s="689">
        <v>0.3</v>
      </c>
      <c r="AA44" s="679">
        <v>0.19500000000000001</v>
      </c>
      <c r="AB44" s="679">
        <v>53</v>
      </c>
      <c r="AC44" s="679">
        <v>67</v>
      </c>
      <c r="AD44" s="679">
        <v>85</v>
      </c>
      <c r="AE44" s="679"/>
      <c r="AF44" s="679"/>
    </row>
    <row r="45" spans="2:32">
      <c r="B45" s="679" t="s">
        <v>850</v>
      </c>
      <c r="C45" s="679">
        <v>2.6772499999999999</v>
      </c>
      <c r="D45" s="679">
        <v>2.6862500000000002</v>
      </c>
      <c r="E45" s="679">
        <v>2.7752500000000002</v>
      </c>
      <c r="F45" s="679">
        <v>2.7842500000000001</v>
      </c>
      <c r="G45" s="679">
        <v>2.9972500000000002</v>
      </c>
      <c r="H45" s="679">
        <v>3.0152500000000004</v>
      </c>
      <c r="I45" s="679">
        <v>2.8702500000000004</v>
      </c>
      <c r="J45" s="679">
        <v>2.8882500000000002</v>
      </c>
      <c r="K45" s="679">
        <v>2.4590000000000001</v>
      </c>
      <c r="L45" s="679">
        <v>2.5990000000000002</v>
      </c>
      <c r="P45" s="680">
        <v>1</v>
      </c>
      <c r="Q45" s="679">
        <v>0.99</v>
      </c>
      <c r="R45" s="679">
        <v>1.4</v>
      </c>
      <c r="S45" s="689">
        <v>0.25</v>
      </c>
      <c r="T45" s="683">
        <v>45</v>
      </c>
      <c r="U45" s="683">
        <v>56</v>
      </c>
      <c r="V45" s="683"/>
      <c r="W45" s="683"/>
      <c r="X45" s="683"/>
      <c r="Y45" s="681">
        <v>3</v>
      </c>
      <c r="Z45" s="689">
        <v>0.35</v>
      </c>
      <c r="AA45" s="679">
        <v>0.22700000000000001</v>
      </c>
      <c r="AB45" s="679">
        <v>63</v>
      </c>
      <c r="AC45" s="679">
        <v>80</v>
      </c>
      <c r="AD45" s="679">
        <v>100</v>
      </c>
      <c r="AE45" s="679"/>
      <c r="AF45" s="679"/>
    </row>
    <row r="46" spans="2:32">
      <c r="B46" s="679" t="s">
        <v>851</v>
      </c>
      <c r="C46" s="679">
        <v>47.034750000000003</v>
      </c>
      <c r="D46" s="679">
        <v>47.048750000000005</v>
      </c>
      <c r="E46" s="679">
        <v>47.237750000000005</v>
      </c>
      <c r="F46" s="679">
        <v>47.251750000000008</v>
      </c>
      <c r="G46" s="679">
        <v>48.001750000000001</v>
      </c>
      <c r="H46" s="679">
        <v>48.02975</v>
      </c>
      <c r="I46" s="679">
        <v>47.530750000000005</v>
      </c>
      <c r="J46" s="679">
        <v>47.558750000000003</v>
      </c>
      <c r="K46" s="679">
        <v>46.375999999999998</v>
      </c>
      <c r="L46" s="679">
        <v>46.676000000000002</v>
      </c>
      <c r="P46" s="680">
        <v>2</v>
      </c>
      <c r="Q46" s="679">
        <v>0.99</v>
      </c>
      <c r="R46" s="679">
        <v>1.4</v>
      </c>
      <c r="S46" s="689">
        <v>0.3</v>
      </c>
      <c r="T46" s="683">
        <v>48</v>
      </c>
      <c r="U46" s="683">
        <v>60</v>
      </c>
      <c r="V46" s="683">
        <v>75</v>
      </c>
      <c r="W46" s="683"/>
      <c r="X46" s="683"/>
      <c r="Y46" s="681">
        <v>4</v>
      </c>
      <c r="Z46" s="689">
        <v>0.4</v>
      </c>
      <c r="AA46" s="679">
        <v>0.26</v>
      </c>
      <c r="AB46" s="679">
        <v>71</v>
      </c>
      <c r="AC46" s="679">
        <v>90</v>
      </c>
      <c r="AD46" s="679">
        <v>112</v>
      </c>
      <c r="AE46" s="679"/>
      <c r="AF46" s="679"/>
    </row>
    <row r="47" spans="2:32">
      <c r="B47" s="679" t="s">
        <v>852</v>
      </c>
      <c r="C47" s="679">
        <v>44.767499999999998</v>
      </c>
      <c r="D47" s="679">
        <v>44.785499999999999</v>
      </c>
      <c r="E47" s="679">
        <v>45.002499999999998</v>
      </c>
      <c r="F47" s="679">
        <v>45.020499999999998</v>
      </c>
      <c r="G47" s="679">
        <v>48.008499999999998</v>
      </c>
      <c r="H47" s="679">
        <v>48.044499999999999</v>
      </c>
      <c r="I47" s="679">
        <v>45.993499999999997</v>
      </c>
      <c r="J47" s="679">
        <v>46.029499999999999</v>
      </c>
      <c r="K47" s="679">
        <v>42.588000000000001</v>
      </c>
      <c r="L47" s="679">
        <v>42.923000000000002</v>
      </c>
      <c r="P47" s="680">
        <v>3</v>
      </c>
      <c r="Q47" s="679">
        <v>1.4</v>
      </c>
      <c r="R47" s="679">
        <v>2.8</v>
      </c>
      <c r="S47" s="689">
        <v>0.2</v>
      </c>
      <c r="T47" s="679">
        <v>42</v>
      </c>
      <c r="U47" s="679"/>
      <c r="V47" s="679"/>
      <c r="W47" s="679"/>
      <c r="X47" s="679"/>
      <c r="Y47" s="681">
        <v>5</v>
      </c>
      <c r="Z47" s="689">
        <v>0.45</v>
      </c>
      <c r="AA47" s="679">
        <v>0.29199999999999998</v>
      </c>
      <c r="AB47" s="679">
        <v>80</v>
      </c>
      <c r="AC47" s="679">
        <v>100</v>
      </c>
      <c r="AD47" s="679">
        <v>125</v>
      </c>
      <c r="AE47" s="679"/>
      <c r="AF47" s="679"/>
    </row>
    <row r="48" spans="2:32">
      <c r="B48" s="679" t="s">
        <v>853</v>
      </c>
      <c r="C48" s="679">
        <v>3.5473499999999998</v>
      </c>
      <c r="D48" s="679">
        <v>3.242</v>
      </c>
      <c r="E48" s="679">
        <v>3.6633499999999999</v>
      </c>
      <c r="F48" s="679">
        <v>3.6723499999999998</v>
      </c>
      <c r="G48" s="679">
        <v>3.4220000000000002</v>
      </c>
      <c r="H48" s="679">
        <v>4.0153499999999998</v>
      </c>
      <c r="I48" s="679">
        <v>3.7983500000000001</v>
      </c>
      <c r="J48" s="679">
        <v>3.8163499999999999</v>
      </c>
      <c r="K48" s="679">
        <v>3.242</v>
      </c>
      <c r="L48" s="679">
        <v>3.4220000000000002</v>
      </c>
      <c r="P48" s="680">
        <v>4</v>
      </c>
      <c r="Q48" s="679">
        <v>1.4</v>
      </c>
      <c r="R48" s="679">
        <v>2.8</v>
      </c>
      <c r="S48" s="689">
        <v>0.25</v>
      </c>
      <c r="T48" s="679">
        <v>48</v>
      </c>
      <c r="U48" s="679">
        <v>60</v>
      </c>
      <c r="V48" s="679"/>
      <c r="W48" s="679"/>
      <c r="X48" s="679"/>
      <c r="Y48" s="681">
        <v>6</v>
      </c>
      <c r="Z48" s="689">
        <v>0.5</v>
      </c>
      <c r="AA48" s="679">
        <v>0.32500000000000001</v>
      </c>
      <c r="AB48" s="679">
        <v>90</v>
      </c>
      <c r="AC48" s="679">
        <v>112</v>
      </c>
      <c r="AD48" s="679">
        <v>140</v>
      </c>
      <c r="AE48" s="679">
        <v>180</v>
      </c>
      <c r="AF48" s="679"/>
    </row>
    <row r="49" spans="2:32">
      <c r="B49" s="679" t="s">
        <v>854</v>
      </c>
      <c r="C49" s="679">
        <v>4.4864000000000006</v>
      </c>
      <c r="D49" s="679">
        <v>4.4984000000000002</v>
      </c>
      <c r="E49" s="679">
        <v>4.6054000000000004</v>
      </c>
      <c r="F49" s="679">
        <v>4.6164000000000005</v>
      </c>
      <c r="G49" s="679">
        <v>5.0014000000000012</v>
      </c>
      <c r="H49" s="679">
        <v>5.0234000000000005</v>
      </c>
      <c r="I49" s="679">
        <v>4.7594000000000003</v>
      </c>
      <c r="J49" s="679">
        <v>4.7814000000000005</v>
      </c>
      <c r="K49" s="679">
        <v>4.1340000000000003</v>
      </c>
      <c r="L49" s="679">
        <v>4.3339999999999996</v>
      </c>
      <c r="P49" s="680">
        <v>5</v>
      </c>
      <c r="Q49" s="679">
        <v>1.4</v>
      </c>
      <c r="R49" s="679">
        <v>2.8</v>
      </c>
      <c r="S49" s="689">
        <v>0.35</v>
      </c>
      <c r="T49" s="679">
        <v>53</v>
      </c>
      <c r="U49" s="679">
        <v>67</v>
      </c>
      <c r="V49" s="679">
        <v>85</v>
      </c>
      <c r="W49" s="679"/>
      <c r="X49" s="679"/>
      <c r="Y49" s="681">
        <v>7</v>
      </c>
      <c r="Z49" s="689">
        <v>0.6</v>
      </c>
      <c r="AA49" s="679">
        <v>0.39</v>
      </c>
      <c r="AB49" s="679">
        <v>100</v>
      </c>
      <c r="AC49" s="679">
        <v>125</v>
      </c>
      <c r="AD49" s="679">
        <v>160</v>
      </c>
      <c r="AE49" s="679">
        <v>200</v>
      </c>
      <c r="AF49" s="679"/>
    </row>
    <row r="50" spans="2:32">
      <c r="B50" s="679" t="s">
        <v>855</v>
      </c>
      <c r="C50" s="679">
        <v>59.034750000000003</v>
      </c>
      <c r="D50" s="679">
        <v>59.048750000000005</v>
      </c>
      <c r="E50" s="679">
        <v>59.237750000000005</v>
      </c>
      <c r="F50" s="679">
        <v>59.251750000000008</v>
      </c>
      <c r="G50" s="679">
        <v>60.001750000000001</v>
      </c>
      <c r="H50" s="679">
        <v>60.02975</v>
      </c>
      <c r="I50" s="679">
        <v>59.530750000000005</v>
      </c>
      <c r="J50" s="679">
        <v>59.558750000000003</v>
      </c>
      <c r="K50" s="679">
        <v>58.375999999999998</v>
      </c>
      <c r="L50" s="679">
        <v>58.676000000000002</v>
      </c>
      <c r="P50" s="680">
        <v>6</v>
      </c>
      <c r="Q50" s="679">
        <v>1.4</v>
      </c>
      <c r="R50" s="679">
        <v>2.8</v>
      </c>
      <c r="S50" s="689">
        <v>0.4</v>
      </c>
      <c r="T50" s="679">
        <v>56</v>
      </c>
      <c r="U50" s="679">
        <v>71</v>
      </c>
      <c r="V50" s="679">
        <v>90</v>
      </c>
      <c r="W50" s="679"/>
      <c r="X50" s="679"/>
      <c r="Y50" s="681">
        <v>8</v>
      </c>
      <c r="Z50" s="689">
        <v>0.7</v>
      </c>
      <c r="AA50" s="679">
        <v>0.45500000000000002</v>
      </c>
      <c r="AB50" s="679">
        <v>112</v>
      </c>
      <c r="AC50" s="679">
        <v>140</v>
      </c>
      <c r="AD50" s="679">
        <v>180</v>
      </c>
      <c r="AE50" s="679">
        <v>224</v>
      </c>
      <c r="AF50" s="679"/>
    </row>
    <row r="51" spans="2:32">
      <c r="B51" s="679" t="s">
        <v>856</v>
      </c>
      <c r="C51" s="679">
        <v>5.3565000000000005</v>
      </c>
      <c r="D51" s="679">
        <v>5.3685</v>
      </c>
      <c r="E51" s="679">
        <v>5.5005000000000006</v>
      </c>
      <c r="F51" s="679">
        <v>5.5115000000000007</v>
      </c>
      <c r="G51" s="679">
        <v>6.0015000000000009</v>
      </c>
      <c r="H51" s="679">
        <v>6.0235000000000003</v>
      </c>
      <c r="I51" s="679">
        <v>5.6945000000000006</v>
      </c>
      <c r="J51" s="679">
        <v>5.7165000000000008</v>
      </c>
      <c r="K51" s="679">
        <v>4.9180000000000001</v>
      </c>
      <c r="L51" s="679">
        <v>5.1539999999999999</v>
      </c>
      <c r="P51" s="680">
        <v>7</v>
      </c>
      <c r="Q51" s="679">
        <v>1.4</v>
      </c>
      <c r="R51" s="679">
        <v>2.8</v>
      </c>
      <c r="S51" s="689">
        <v>0.45</v>
      </c>
      <c r="T51" s="679">
        <v>60</v>
      </c>
      <c r="U51" s="679">
        <v>75</v>
      </c>
      <c r="V51" s="679">
        <v>95</v>
      </c>
      <c r="W51" s="679"/>
      <c r="X51" s="679"/>
      <c r="Y51" s="681">
        <v>9</v>
      </c>
      <c r="Z51" s="689">
        <v>0.75</v>
      </c>
      <c r="AA51" s="679">
        <v>0.48699999999999999</v>
      </c>
      <c r="AB51" s="679">
        <v>118</v>
      </c>
      <c r="AC51" s="679">
        <v>150</v>
      </c>
      <c r="AD51" s="679">
        <v>190</v>
      </c>
      <c r="AE51" s="679">
        <v>236</v>
      </c>
      <c r="AF51" s="679"/>
    </row>
    <row r="52" spans="2:32">
      <c r="B52" s="679" t="s">
        <v>857</v>
      </c>
      <c r="C52" s="679">
        <v>74.034750000000003</v>
      </c>
      <c r="D52" s="679">
        <v>74.048749999999998</v>
      </c>
      <c r="E52" s="679">
        <v>74.237750000000005</v>
      </c>
      <c r="F52" s="679">
        <v>74.251750000000001</v>
      </c>
      <c r="G52" s="679">
        <v>75.001750000000001</v>
      </c>
      <c r="H52" s="679">
        <v>75.029750000000007</v>
      </c>
      <c r="I52" s="679">
        <v>74.530749999999998</v>
      </c>
      <c r="J52" s="679">
        <v>74.558750000000003</v>
      </c>
      <c r="K52" s="679">
        <v>72.906999999999996</v>
      </c>
      <c r="L52" s="679">
        <v>73.206999999999994</v>
      </c>
      <c r="P52" s="680">
        <v>8</v>
      </c>
      <c r="Q52" s="679">
        <v>2.8</v>
      </c>
      <c r="R52" s="679">
        <v>5.6</v>
      </c>
      <c r="S52" s="689">
        <v>0.35</v>
      </c>
      <c r="T52" s="679">
        <v>56</v>
      </c>
      <c r="U52" s="679">
        <v>71</v>
      </c>
      <c r="V52" s="679">
        <v>90</v>
      </c>
      <c r="W52" s="679"/>
      <c r="X52" s="679"/>
      <c r="Y52" s="681">
        <v>10</v>
      </c>
      <c r="Z52" s="689">
        <v>0.8</v>
      </c>
      <c r="AA52" s="679">
        <v>0.52</v>
      </c>
      <c r="AB52" s="679">
        <v>125</v>
      </c>
      <c r="AC52" s="679">
        <v>160</v>
      </c>
      <c r="AD52" s="679">
        <v>200</v>
      </c>
      <c r="AE52" s="679">
        <v>250</v>
      </c>
      <c r="AF52" s="679">
        <v>345</v>
      </c>
    </row>
    <row r="53" spans="2:32">
      <c r="B53" s="679" t="s">
        <v>858</v>
      </c>
      <c r="C53" s="679">
        <v>7.1941250000000005</v>
      </c>
      <c r="D53" s="679">
        <v>7.2061250000000001</v>
      </c>
      <c r="E53" s="679">
        <v>7.3481250000000005</v>
      </c>
      <c r="F53" s="679">
        <v>7.3591250000000006</v>
      </c>
      <c r="G53" s="679">
        <v>8.001125</v>
      </c>
      <c r="H53" s="679">
        <v>8.0231250000000003</v>
      </c>
      <c r="I53" s="679">
        <v>7.5921250000000002</v>
      </c>
      <c r="J53" s="679">
        <v>7.6141250000000005</v>
      </c>
      <c r="K53" s="679">
        <v>6.6470000000000002</v>
      </c>
      <c r="L53" s="679">
        <v>6.9119999999999999</v>
      </c>
      <c r="P53" s="680">
        <v>9</v>
      </c>
      <c r="Q53" s="679">
        <v>2.8</v>
      </c>
      <c r="R53" s="679">
        <v>5.6</v>
      </c>
      <c r="S53" s="689">
        <v>0.5</v>
      </c>
      <c r="T53" s="679">
        <v>63</v>
      </c>
      <c r="U53" s="679">
        <v>80</v>
      </c>
      <c r="V53" s="679">
        <v>100</v>
      </c>
      <c r="W53" s="679">
        <v>125</v>
      </c>
      <c r="X53" s="679"/>
      <c r="Y53" s="681">
        <v>11</v>
      </c>
      <c r="Z53" s="689">
        <v>1</v>
      </c>
      <c r="AA53" s="679">
        <v>0.65</v>
      </c>
      <c r="AB53" s="679">
        <v>150</v>
      </c>
      <c r="AC53" s="679">
        <v>190</v>
      </c>
      <c r="AD53" s="679">
        <v>236</v>
      </c>
      <c r="AE53" s="679">
        <v>300</v>
      </c>
      <c r="AF53" s="679">
        <v>375</v>
      </c>
    </row>
    <row r="54" spans="2:32">
      <c r="B54" s="679" t="s">
        <v>859</v>
      </c>
      <c r="C54" s="679">
        <v>88.71</v>
      </c>
      <c r="D54" s="679">
        <v>88.72399999999999</v>
      </c>
      <c r="E54" s="679">
        <v>88.950999999999993</v>
      </c>
      <c r="F54" s="679">
        <v>88.964999999999989</v>
      </c>
      <c r="G54" s="679">
        <v>90.002999999999986</v>
      </c>
      <c r="H54" s="679">
        <v>90.030999999999992</v>
      </c>
      <c r="I54" s="679">
        <v>89.343999999999994</v>
      </c>
      <c r="J54" s="679">
        <v>89.372</v>
      </c>
      <c r="K54" s="679">
        <v>87.834999999999994</v>
      </c>
      <c r="L54" s="679">
        <v>88.21</v>
      </c>
      <c r="P54" s="680">
        <v>10</v>
      </c>
      <c r="Q54" s="679">
        <v>2.8</v>
      </c>
      <c r="R54" s="679">
        <v>5.6</v>
      </c>
      <c r="S54" s="689">
        <v>0.6</v>
      </c>
      <c r="T54" s="679">
        <v>71</v>
      </c>
      <c r="U54" s="679">
        <v>90</v>
      </c>
      <c r="V54" s="679">
        <v>112</v>
      </c>
      <c r="W54" s="679">
        <v>140</v>
      </c>
      <c r="X54" s="679"/>
      <c r="Y54" s="681">
        <v>12</v>
      </c>
      <c r="Z54" s="689">
        <v>1.25</v>
      </c>
      <c r="AA54" s="679">
        <v>0.81200000000000006</v>
      </c>
      <c r="AB54" s="679">
        <v>170</v>
      </c>
      <c r="AC54" s="679">
        <v>212</v>
      </c>
      <c r="AD54" s="679">
        <v>265</v>
      </c>
      <c r="AE54" s="679">
        <v>335</v>
      </c>
      <c r="AF54" s="679">
        <v>425</v>
      </c>
    </row>
    <row r="55" spans="2:32">
      <c r="B55" s="679" t="s">
        <v>860</v>
      </c>
      <c r="C55" s="679">
        <v>88.71</v>
      </c>
      <c r="D55" s="679">
        <v>88.72399999999999</v>
      </c>
      <c r="E55" s="679">
        <v>88.950999999999993</v>
      </c>
      <c r="F55" s="679">
        <v>88.964999999999989</v>
      </c>
      <c r="G55" s="679">
        <v>90.002999999999986</v>
      </c>
      <c r="H55" s="679">
        <v>90.030999999999992</v>
      </c>
      <c r="I55" s="679">
        <v>89.343999999999994</v>
      </c>
      <c r="J55" s="679">
        <v>89.372</v>
      </c>
      <c r="K55" s="679">
        <v>87.834999999999994</v>
      </c>
      <c r="L55" s="679">
        <v>88.21</v>
      </c>
      <c r="P55" s="680">
        <v>11</v>
      </c>
      <c r="Q55" s="679">
        <v>2.8</v>
      </c>
      <c r="R55" s="679">
        <v>5.6</v>
      </c>
      <c r="S55" s="689">
        <v>0.7</v>
      </c>
      <c r="T55" s="679">
        <v>75</v>
      </c>
      <c r="U55" s="679">
        <v>95</v>
      </c>
      <c r="V55" s="679">
        <v>118</v>
      </c>
      <c r="W55" s="679">
        <v>150</v>
      </c>
      <c r="X55" s="679"/>
      <c r="Y55" s="681">
        <v>13</v>
      </c>
      <c r="Z55" s="689">
        <v>1.5</v>
      </c>
      <c r="AA55" s="679">
        <v>0.97399999999999998</v>
      </c>
      <c r="AB55" s="679">
        <v>190</v>
      </c>
      <c r="AC55" s="679">
        <v>236</v>
      </c>
      <c r="AD55" s="679">
        <v>300</v>
      </c>
      <c r="AE55" s="679">
        <v>375</v>
      </c>
      <c r="AF55" s="679">
        <v>475</v>
      </c>
    </row>
    <row r="56" spans="2:32">
      <c r="B56" s="679" t="s">
        <v>916</v>
      </c>
      <c r="C56" s="679"/>
      <c r="D56" s="679"/>
      <c r="E56" s="679"/>
      <c r="F56" s="679"/>
      <c r="G56" s="679"/>
      <c r="H56" s="679"/>
      <c r="I56" s="679"/>
      <c r="J56" s="679"/>
      <c r="K56" s="679"/>
      <c r="L56" s="679"/>
      <c r="P56" s="680">
        <v>12</v>
      </c>
      <c r="Q56" s="679">
        <v>2.8</v>
      </c>
      <c r="R56" s="679">
        <v>5.6</v>
      </c>
      <c r="S56" s="689">
        <v>0.75</v>
      </c>
      <c r="T56" s="679">
        <v>75</v>
      </c>
      <c r="U56" s="679">
        <v>95</v>
      </c>
      <c r="V56" s="679">
        <v>118</v>
      </c>
      <c r="W56" s="679">
        <v>150</v>
      </c>
      <c r="X56" s="679"/>
      <c r="Y56" s="681">
        <v>14</v>
      </c>
      <c r="Z56" s="689">
        <v>1.75</v>
      </c>
      <c r="AA56" s="679">
        <v>1.137</v>
      </c>
      <c r="AB56" s="679">
        <v>212</v>
      </c>
      <c r="AC56" s="679">
        <v>265</v>
      </c>
      <c r="AD56" s="679">
        <v>335</v>
      </c>
      <c r="AE56" s="679">
        <v>425</v>
      </c>
      <c r="AF56" s="679">
        <v>530</v>
      </c>
    </row>
    <row r="57" spans="2:32">
      <c r="B57" s="679"/>
      <c r="C57" s="679"/>
      <c r="D57" s="679"/>
      <c r="E57" s="679"/>
      <c r="F57" s="679"/>
      <c r="G57" s="679"/>
      <c r="H57" s="679"/>
      <c r="I57" s="679"/>
      <c r="J57" s="679"/>
      <c r="K57" s="679"/>
      <c r="L57" s="679"/>
      <c r="P57" s="680">
        <v>13</v>
      </c>
      <c r="Q57" s="679">
        <v>2.8</v>
      </c>
      <c r="R57" s="679">
        <v>5.6</v>
      </c>
      <c r="S57" s="689">
        <v>0.8</v>
      </c>
      <c r="T57" s="679">
        <v>80</v>
      </c>
      <c r="U57" s="679">
        <v>100</v>
      </c>
      <c r="V57" s="679">
        <v>125</v>
      </c>
      <c r="W57" s="679">
        <v>160</v>
      </c>
      <c r="X57" s="679">
        <v>200</v>
      </c>
      <c r="Y57" s="681">
        <v>15</v>
      </c>
      <c r="Z57" s="689">
        <v>2</v>
      </c>
      <c r="AA57" s="679">
        <v>1.3</v>
      </c>
      <c r="AB57" s="679">
        <v>236</v>
      </c>
      <c r="AC57" s="679">
        <v>300</v>
      </c>
      <c r="AD57" s="679">
        <v>375</v>
      </c>
      <c r="AE57" s="679">
        <v>475</v>
      </c>
      <c r="AF57" s="679">
        <v>600</v>
      </c>
    </row>
    <row r="58" spans="2:32">
      <c r="B58" s="679"/>
      <c r="C58" s="679"/>
      <c r="D58" s="679"/>
      <c r="E58" s="679"/>
      <c r="F58" s="679"/>
      <c r="G58" s="679"/>
      <c r="H58" s="679"/>
      <c r="I58" s="679"/>
      <c r="J58" s="679"/>
      <c r="K58" s="679"/>
      <c r="L58" s="679"/>
      <c r="P58" s="680">
        <v>14</v>
      </c>
      <c r="Q58" s="679">
        <v>5.6</v>
      </c>
      <c r="R58" s="679">
        <v>11.2</v>
      </c>
      <c r="S58" s="689">
        <v>0.75</v>
      </c>
      <c r="T58" s="679">
        <v>85</v>
      </c>
      <c r="U58" s="679">
        <v>106</v>
      </c>
      <c r="V58" s="679">
        <v>132</v>
      </c>
      <c r="W58" s="679">
        <v>170</v>
      </c>
      <c r="X58" s="679"/>
      <c r="Y58" s="681">
        <v>16</v>
      </c>
      <c r="Z58" s="689">
        <v>2.5</v>
      </c>
      <c r="AA58" s="679">
        <v>1.6240000000000001</v>
      </c>
      <c r="AB58" s="679">
        <v>280</v>
      </c>
      <c r="AC58" s="679">
        <v>355</v>
      </c>
      <c r="AD58" s="679">
        <v>450</v>
      </c>
      <c r="AE58" s="679">
        <v>560</v>
      </c>
      <c r="AF58" s="679">
        <v>710</v>
      </c>
    </row>
    <row r="59" spans="2:32">
      <c r="B59" s="679"/>
      <c r="C59" s="679"/>
      <c r="D59" s="679"/>
      <c r="E59" s="679"/>
      <c r="F59" s="679"/>
      <c r="G59" s="679"/>
      <c r="H59" s="679"/>
      <c r="I59" s="679"/>
      <c r="J59" s="679"/>
      <c r="K59" s="679"/>
      <c r="L59" s="679"/>
      <c r="P59" s="680">
        <v>15</v>
      </c>
      <c r="Q59" s="679">
        <v>5.6</v>
      </c>
      <c r="R59" s="679">
        <v>11.2</v>
      </c>
      <c r="S59" s="679">
        <v>1</v>
      </c>
      <c r="T59" s="679">
        <v>95</v>
      </c>
      <c r="U59" s="679">
        <v>118</v>
      </c>
      <c r="V59" s="679">
        <v>150</v>
      </c>
      <c r="W59" s="679">
        <v>190</v>
      </c>
      <c r="X59" s="679">
        <v>236</v>
      </c>
      <c r="Y59" s="681">
        <v>17</v>
      </c>
      <c r="Z59" s="689">
        <v>3</v>
      </c>
      <c r="AA59" s="679">
        <v>1.95</v>
      </c>
      <c r="AB59" s="679">
        <v>315</v>
      </c>
      <c r="AC59" s="679">
        <v>400</v>
      </c>
      <c r="AD59" s="679">
        <v>500</v>
      </c>
      <c r="AE59" s="679">
        <v>630</v>
      </c>
      <c r="AF59" s="679">
        <v>800</v>
      </c>
    </row>
    <row r="60" spans="2:32">
      <c r="B60" s="679"/>
      <c r="C60" s="679"/>
      <c r="D60" s="679"/>
      <c r="E60" s="679"/>
      <c r="F60" s="679"/>
      <c r="G60" s="679"/>
      <c r="H60" s="679"/>
      <c r="I60" s="679"/>
      <c r="J60" s="679"/>
      <c r="K60" s="679"/>
      <c r="L60" s="679"/>
      <c r="P60" s="680">
        <v>16</v>
      </c>
      <c r="Q60" s="679">
        <v>5.6</v>
      </c>
      <c r="R60" s="679">
        <v>11.2</v>
      </c>
      <c r="S60" s="689">
        <v>1.25</v>
      </c>
      <c r="T60" s="679">
        <v>100</v>
      </c>
      <c r="U60" s="679">
        <v>125</v>
      </c>
      <c r="V60" s="679">
        <v>160</v>
      </c>
      <c r="W60" s="679">
        <v>200</v>
      </c>
      <c r="X60" s="679">
        <v>250</v>
      </c>
      <c r="Y60" s="681">
        <v>18</v>
      </c>
      <c r="Z60" s="689">
        <v>3.5</v>
      </c>
      <c r="AA60" s="679">
        <v>2.2730000000000001</v>
      </c>
      <c r="AB60" s="679">
        <v>355</v>
      </c>
      <c r="AC60" s="679">
        <v>450</v>
      </c>
      <c r="AD60" s="679">
        <v>560</v>
      </c>
      <c r="AE60" s="679">
        <v>710</v>
      </c>
      <c r="AF60" s="679">
        <v>900</v>
      </c>
    </row>
    <row r="61" spans="2:32">
      <c r="B61" s="679"/>
      <c r="C61" s="679"/>
      <c r="D61" s="679"/>
      <c r="E61" s="679"/>
      <c r="F61" s="679"/>
      <c r="G61" s="679"/>
      <c r="H61" s="679"/>
      <c r="I61" s="679"/>
      <c r="J61" s="679"/>
      <c r="K61" s="679"/>
      <c r="L61" s="679"/>
      <c r="P61" s="680">
        <v>17</v>
      </c>
      <c r="Q61" s="679">
        <v>5.6</v>
      </c>
      <c r="R61" s="679">
        <v>11.2</v>
      </c>
      <c r="S61" s="689">
        <v>1.5</v>
      </c>
      <c r="T61" s="679">
        <v>112</v>
      </c>
      <c r="U61" s="679">
        <v>140</v>
      </c>
      <c r="V61" s="679">
        <v>180</v>
      </c>
      <c r="W61" s="679">
        <v>224</v>
      </c>
      <c r="X61" s="679">
        <v>280</v>
      </c>
      <c r="Y61" s="681">
        <v>19</v>
      </c>
      <c r="Z61" s="689">
        <v>4</v>
      </c>
      <c r="AA61" s="679">
        <v>2.5979999999999999</v>
      </c>
      <c r="AB61" s="679">
        <v>375</v>
      </c>
      <c r="AC61" s="679">
        <v>475</v>
      </c>
      <c r="AD61" s="679">
        <v>600</v>
      </c>
      <c r="AE61" s="679">
        <v>750</v>
      </c>
      <c r="AF61" s="679">
        <v>950</v>
      </c>
    </row>
    <row r="62" spans="2:32">
      <c r="B62" s="679"/>
      <c r="C62" s="679"/>
      <c r="D62" s="679"/>
      <c r="E62" s="679"/>
      <c r="F62" s="679"/>
      <c r="G62" s="679"/>
      <c r="H62" s="679"/>
      <c r="I62" s="679"/>
      <c r="J62" s="679"/>
      <c r="K62" s="679"/>
      <c r="L62" s="679"/>
      <c r="P62" s="680">
        <v>18</v>
      </c>
      <c r="Q62" s="679">
        <v>11.2</v>
      </c>
      <c r="R62" s="679">
        <v>22.4</v>
      </c>
      <c r="S62" s="689">
        <v>1</v>
      </c>
      <c r="T62" s="679">
        <v>100</v>
      </c>
      <c r="U62" s="679">
        <v>125</v>
      </c>
      <c r="V62" s="679">
        <v>160</v>
      </c>
      <c r="W62" s="679">
        <v>200</v>
      </c>
      <c r="X62" s="679">
        <v>250</v>
      </c>
      <c r="Y62" s="681">
        <v>20</v>
      </c>
      <c r="Z62" s="689">
        <v>4.5</v>
      </c>
      <c r="AA62" s="679">
        <v>2.923</v>
      </c>
      <c r="AB62" s="679">
        <v>425</v>
      </c>
      <c r="AC62" s="679">
        <v>530</v>
      </c>
      <c r="AD62" s="679">
        <v>670</v>
      </c>
      <c r="AE62" s="679">
        <v>850</v>
      </c>
      <c r="AF62" s="679">
        <v>1060</v>
      </c>
    </row>
    <row r="63" spans="2:32">
      <c r="B63" s="679"/>
      <c r="C63" s="679"/>
      <c r="D63" s="679"/>
      <c r="E63" s="679"/>
      <c r="F63" s="679"/>
      <c r="G63" s="679"/>
      <c r="H63" s="679"/>
      <c r="I63" s="679"/>
      <c r="J63" s="679"/>
      <c r="K63" s="679"/>
      <c r="L63" s="679"/>
      <c r="P63" s="680">
        <v>19</v>
      </c>
      <c r="Q63" s="679">
        <v>11.2</v>
      </c>
      <c r="R63" s="679">
        <v>22.4</v>
      </c>
      <c r="S63" s="689">
        <v>1.25</v>
      </c>
      <c r="T63" s="679">
        <v>112</v>
      </c>
      <c r="U63" s="679">
        <v>140</v>
      </c>
      <c r="V63" s="679">
        <v>180</v>
      </c>
      <c r="W63" s="679">
        <v>224</v>
      </c>
      <c r="X63" s="679">
        <v>280</v>
      </c>
      <c r="Y63" s="681">
        <v>21</v>
      </c>
      <c r="Z63" s="689">
        <v>5</v>
      </c>
      <c r="AA63" s="679">
        <v>3.25</v>
      </c>
      <c r="AB63" s="679">
        <v>450</v>
      </c>
      <c r="AC63" s="679">
        <v>560</v>
      </c>
      <c r="AD63" s="679">
        <v>710</v>
      </c>
      <c r="AE63" s="679">
        <v>900</v>
      </c>
      <c r="AF63" s="679">
        <v>1120</v>
      </c>
    </row>
    <row r="64" spans="2:32">
      <c r="B64" s="679"/>
      <c r="C64" s="679"/>
      <c r="D64" s="679"/>
      <c r="E64" s="679"/>
      <c r="F64" s="679"/>
      <c r="G64" s="679"/>
      <c r="H64" s="679"/>
      <c r="I64" s="679"/>
      <c r="J64" s="679"/>
      <c r="K64" s="679"/>
      <c r="L64" s="679"/>
      <c r="P64" s="680">
        <v>20</v>
      </c>
      <c r="Q64" s="679">
        <v>11.2</v>
      </c>
      <c r="R64" s="679">
        <v>22.4</v>
      </c>
      <c r="S64" s="689">
        <v>1.5</v>
      </c>
      <c r="T64" s="679">
        <v>118</v>
      </c>
      <c r="U64" s="679">
        <v>150</v>
      </c>
      <c r="V64" s="679">
        <v>190</v>
      </c>
      <c r="W64" s="679">
        <v>236</v>
      </c>
      <c r="X64" s="679">
        <v>300</v>
      </c>
      <c r="Y64" s="681">
        <v>22</v>
      </c>
      <c r="Z64" s="689">
        <v>5.5</v>
      </c>
      <c r="AA64" s="679">
        <v>3.5720000000000001</v>
      </c>
      <c r="AB64" s="679">
        <v>475</v>
      </c>
      <c r="AC64" s="679">
        <v>600</v>
      </c>
      <c r="AD64" s="679">
        <v>750</v>
      </c>
      <c r="AE64" s="679">
        <v>950</v>
      </c>
      <c r="AF64" s="679">
        <v>1180</v>
      </c>
    </row>
    <row r="65" spans="2:32">
      <c r="B65" s="679"/>
      <c r="C65" s="679"/>
      <c r="D65" s="679"/>
      <c r="E65" s="679"/>
      <c r="F65" s="679"/>
      <c r="G65" s="679"/>
      <c r="H65" s="679"/>
      <c r="I65" s="679"/>
      <c r="J65" s="679"/>
      <c r="K65" s="679"/>
      <c r="L65" s="679"/>
      <c r="P65" s="680">
        <v>21</v>
      </c>
      <c r="Q65" s="679">
        <v>11.2</v>
      </c>
      <c r="R65" s="679">
        <v>22.4</v>
      </c>
      <c r="S65" s="679">
        <v>1.75</v>
      </c>
      <c r="T65" s="679">
        <v>125</v>
      </c>
      <c r="U65" s="679">
        <v>160</v>
      </c>
      <c r="V65" s="679">
        <v>200</v>
      </c>
      <c r="W65" s="679">
        <v>250</v>
      </c>
      <c r="X65" s="679">
        <v>315</v>
      </c>
      <c r="Y65" s="681">
        <v>23</v>
      </c>
      <c r="Z65" s="689">
        <v>6</v>
      </c>
      <c r="AA65" s="679">
        <v>3.8969999999999998</v>
      </c>
      <c r="AB65" s="679">
        <v>500</v>
      </c>
      <c r="AC65" s="679">
        <v>630</v>
      </c>
      <c r="AD65" s="679">
        <v>800</v>
      </c>
      <c r="AE65" s="679">
        <v>1000</v>
      </c>
      <c r="AF65" s="679">
        <v>1250</v>
      </c>
    </row>
    <row r="66" spans="2:32">
      <c r="B66" s="679"/>
      <c r="C66" s="679"/>
      <c r="D66" s="679"/>
      <c r="E66" s="679"/>
      <c r="F66" s="679"/>
      <c r="G66" s="679"/>
      <c r="H66" s="679"/>
      <c r="I66" s="679"/>
      <c r="J66" s="679"/>
      <c r="K66" s="679"/>
      <c r="L66" s="679"/>
      <c r="P66" s="680">
        <v>22</v>
      </c>
      <c r="Q66" s="679">
        <v>11.2</v>
      </c>
      <c r="R66" s="679">
        <v>22.4</v>
      </c>
      <c r="S66" s="679">
        <v>2</v>
      </c>
      <c r="T66" s="679">
        <v>132</v>
      </c>
      <c r="U66" s="679">
        <v>170</v>
      </c>
      <c r="V66" s="679">
        <v>212</v>
      </c>
      <c r="W66" s="679">
        <v>265</v>
      </c>
      <c r="X66" s="679">
        <v>335</v>
      </c>
    </row>
    <row r="67" spans="2:32">
      <c r="B67" s="679"/>
      <c r="C67" s="679"/>
      <c r="D67" s="679"/>
      <c r="E67" s="679"/>
      <c r="F67" s="679"/>
      <c r="G67" s="679"/>
      <c r="H67" s="679"/>
      <c r="I67" s="679"/>
      <c r="J67" s="679"/>
      <c r="K67" s="679"/>
      <c r="L67" s="679"/>
      <c r="P67" s="680">
        <v>23</v>
      </c>
      <c r="Q67" s="679">
        <v>11.2</v>
      </c>
      <c r="R67" s="679">
        <v>22.4</v>
      </c>
      <c r="S67" s="679">
        <v>2.5</v>
      </c>
      <c r="T67" s="679">
        <v>140</v>
      </c>
      <c r="U67" s="679">
        <v>180</v>
      </c>
      <c r="V67" s="679">
        <v>224</v>
      </c>
      <c r="W67" s="679">
        <v>280</v>
      </c>
      <c r="X67" s="679">
        <v>355</v>
      </c>
    </row>
    <row r="68" spans="2:32">
      <c r="B68" s="679"/>
      <c r="C68" s="679"/>
      <c r="D68" s="679"/>
      <c r="E68" s="679"/>
      <c r="F68" s="679"/>
      <c r="G68" s="679"/>
      <c r="H68" s="679"/>
      <c r="I68" s="679"/>
      <c r="J68" s="679"/>
      <c r="K68" s="679"/>
      <c r="L68" s="679"/>
      <c r="P68" s="680">
        <v>24</v>
      </c>
      <c r="Q68" s="679">
        <v>22.4</v>
      </c>
      <c r="R68" s="679">
        <v>45</v>
      </c>
      <c r="S68" s="679">
        <v>1</v>
      </c>
      <c r="T68" s="679">
        <v>106</v>
      </c>
      <c r="U68" s="679">
        <v>132</v>
      </c>
      <c r="V68" s="679">
        <v>170</v>
      </c>
      <c r="W68" s="679">
        <v>212</v>
      </c>
      <c r="X68" s="679"/>
    </row>
    <row r="69" spans="2:32">
      <c r="B69" s="679"/>
      <c r="C69" s="679"/>
      <c r="D69" s="679"/>
      <c r="E69" s="679"/>
      <c r="F69" s="679"/>
      <c r="G69" s="679"/>
      <c r="H69" s="679"/>
      <c r="I69" s="679"/>
      <c r="J69" s="679"/>
      <c r="K69" s="679"/>
      <c r="L69" s="679"/>
      <c r="P69" s="680">
        <v>25</v>
      </c>
      <c r="Q69" s="679">
        <v>22.4</v>
      </c>
      <c r="R69" s="679">
        <v>45</v>
      </c>
      <c r="S69" s="679">
        <v>1.5</v>
      </c>
      <c r="T69" s="679">
        <v>125</v>
      </c>
      <c r="U69" s="679">
        <v>160</v>
      </c>
      <c r="V69" s="679">
        <v>200</v>
      </c>
      <c r="W69" s="679">
        <v>250</v>
      </c>
      <c r="X69" s="679">
        <v>315</v>
      </c>
    </row>
    <row r="70" spans="2:32">
      <c r="B70" s="679"/>
      <c r="C70" s="679"/>
      <c r="D70" s="679"/>
      <c r="E70" s="679"/>
      <c r="F70" s="679"/>
      <c r="G70" s="679"/>
      <c r="H70" s="679"/>
      <c r="I70" s="679"/>
      <c r="J70" s="679"/>
      <c r="K70" s="679"/>
      <c r="L70" s="679"/>
      <c r="P70" s="680">
        <v>26</v>
      </c>
      <c r="Q70" s="679">
        <v>22.4</v>
      </c>
      <c r="R70" s="679">
        <v>45</v>
      </c>
      <c r="S70" s="679">
        <v>2</v>
      </c>
      <c r="T70" s="679">
        <v>140</v>
      </c>
      <c r="U70" s="679">
        <v>180</v>
      </c>
      <c r="V70" s="679">
        <v>224</v>
      </c>
      <c r="W70" s="679">
        <v>280</v>
      </c>
      <c r="X70" s="679">
        <v>355</v>
      </c>
    </row>
    <row r="71" spans="2:32">
      <c r="B71" s="679"/>
      <c r="C71" s="679"/>
      <c r="D71" s="679"/>
      <c r="E71" s="679"/>
      <c r="F71" s="679"/>
      <c r="G71" s="679"/>
      <c r="H71" s="679"/>
      <c r="I71" s="679"/>
      <c r="J71" s="679"/>
      <c r="K71" s="679"/>
      <c r="L71" s="679"/>
      <c r="P71" s="680">
        <v>27</v>
      </c>
      <c r="Q71" s="679">
        <v>22.4</v>
      </c>
      <c r="R71" s="679">
        <v>45</v>
      </c>
      <c r="S71" s="679">
        <v>3</v>
      </c>
      <c r="T71" s="679">
        <v>170</v>
      </c>
      <c r="U71" s="679">
        <v>212</v>
      </c>
      <c r="V71" s="679">
        <v>265</v>
      </c>
      <c r="W71" s="679">
        <v>335</v>
      </c>
      <c r="X71" s="679">
        <v>425</v>
      </c>
    </row>
    <row r="72" spans="2:32">
      <c r="B72" s="679"/>
      <c r="C72" s="679"/>
      <c r="D72" s="679"/>
      <c r="E72" s="679"/>
      <c r="F72" s="679"/>
      <c r="G72" s="679"/>
      <c r="H72" s="679"/>
      <c r="I72" s="679"/>
      <c r="J72" s="679"/>
      <c r="K72" s="679"/>
      <c r="L72" s="679"/>
      <c r="P72" s="680">
        <v>28</v>
      </c>
      <c r="Q72" s="679">
        <v>22.4</v>
      </c>
      <c r="R72" s="679">
        <v>45</v>
      </c>
      <c r="S72" s="679">
        <v>3.5</v>
      </c>
      <c r="T72" s="679">
        <v>180</v>
      </c>
      <c r="U72" s="679">
        <v>224</v>
      </c>
      <c r="V72" s="679">
        <v>280</v>
      </c>
      <c r="W72" s="679">
        <v>355</v>
      </c>
      <c r="X72" s="679">
        <v>450</v>
      </c>
    </row>
    <row r="73" spans="2:32">
      <c r="B73" s="679"/>
      <c r="C73" s="679"/>
      <c r="D73" s="679"/>
      <c r="E73" s="679"/>
      <c r="F73" s="679"/>
      <c r="G73" s="679"/>
      <c r="H73" s="679"/>
      <c r="I73" s="679"/>
      <c r="J73" s="679"/>
      <c r="K73" s="679"/>
      <c r="L73" s="679"/>
      <c r="P73" s="680">
        <v>29</v>
      </c>
      <c r="Q73" s="679">
        <v>22.4</v>
      </c>
      <c r="R73" s="679">
        <v>45</v>
      </c>
      <c r="S73" s="679">
        <v>4</v>
      </c>
      <c r="T73" s="679">
        <v>190</v>
      </c>
      <c r="U73" s="679">
        <v>236</v>
      </c>
      <c r="V73" s="679">
        <v>300</v>
      </c>
      <c r="W73" s="679">
        <v>375</v>
      </c>
      <c r="X73" s="679">
        <v>475</v>
      </c>
    </row>
    <row r="74" spans="2:32">
      <c r="B74" s="679"/>
      <c r="C74" s="679"/>
      <c r="D74" s="679"/>
      <c r="E74" s="679"/>
      <c r="F74" s="679"/>
      <c r="G74" s="679"/>
      <c r="H74" s="679"/>
      <c r="I74" s="679"/>
      <c r="J74" s="679"/>
      <c r="K74" s="679"/>
      <c r="L74" s="679"/>
      <c r="P74" s="680">
        <v>30</v>
      </c>
      <c r="Q74" s="679">
        <v>22.4</v>
      </c>
      <c r="R74" s="679">
        <v>45</v>
      </c>
      <c r="S74" s="679">
        <v>4.5</v>
      </c>
      <c r="T74" s="679">
        <v>200</v>
      </c>
      <c r="U74" s="679">
        <v>250</v>
      </c>
      <c r="V74" s="679">
        <v>315</v>
      </c>
      <c r="W74" s="679">
        <v>400</v>
      </c>
      <c r="X74" s="679">
        <v>500</v>
      </c>
    </row>
    <row r="75" spans="2:32">
      <c r="B75" s="679"/>
      <c r="C75" s="679"/>
      <c r="D75" s="679"/>
      <c r="E75" s="679"/>
      <c r="F75" s="679"/>
      <c r="G75" s="679"/>
      <c r="H75" s="679"/>
      <c r="I75" s="679"/>
      <c r="J75" s="679"/>
      <c r="K75" s="679"/>
      <c r="L75" s="679"/>
      <c r="P75" s="680">
        <v>31</v>
      </c>
      <c r="Q75" s="679">
        <v>45</v>
      </c>
      <c r="R75" s="679">
        <v>90</v>
      </c>
      <c r="S75" s="679">
        <v>1.5</v>
      </c>
      <c r="T75" s="679">
        <v>132</v>
      </c>
      <c r="U75" s="679">
        <v>170</v>
      </c>
      <c r="V75" s="679">
        <v>212</v>
      </c>
      <c r="W75" s="679">
        <v>265</v>
      </c>
      <c r="X75" s="679">
        <v>335</v>
      </c>
    </row>
    <row r="76" spans="2:32">
      <c r="B76" s="679"/>
      <c r="C76" s="679"/>
      <c r="D76" s="679"/>
      <c r="E76" s="679"/>
      <c r="F76" s="679"/>
      <c r="G76" s="679"/>
      <c r="H76" s="679"/>
      <c r="I76" s="679"/>
      <c r="J76" s="679"/>
      <c r="K76" s="679"/>
      <c r="L76" s="679"/>
      <c r="P76" s="680">
        <v>32</v>
      </c>
      <c r="Q76" s="679">
        <v>45</v>
      </c>
      <c r="R76" s="679">
        <v>90</v>
      </c>
      <c r="S76" s="679">
        <v>2</v>
      </c>
      <c r="T76" s="679">
        <v>150</v>
      </c>
      <c r="U76" s="679">
        <v>190</v>
      </c>
      <c r="V76" s="679">
        <v>236</v>
      </c>
      <c r="W76" s="679">
        <v>300</v>
      </c>
      <c r="X76" s="679">
        <v>375</v>
      </c>
    </row>
    <row r="77" spans="2:32">
      <c r="B77" s="679"/>
      <c r="C77" s="679"/>
      <c r="D77" s="679"/>
      <c r="E77" s="679"/>
      <c r="F77" s="679"/>
      <c r="G77" s="679"/>
      <c r="H77" s="679"/>
      <c r="I77" s="679"/>
      <c r="J77" s="679"/>
      <c r="K77" s="679"/>
      <c r="L77" s="679"/>
      <c r="P77" s="680">
        <v>33</v>
      </c>
      <c r="Q77" s="679">
        <v>45</v>
      </c>
      <c r="R77" s="679">
        <v>90</v>
      </c>
      <c r="S77" s="679">
        <v>3</v>
      </c>
      <c r="T77" s="679">
        <v>180</v>
      </c>
      <c r="U77" s="679">
        <v>224</v>
      </c>
      <c r="V77" s="679">
        <v>280</v>
      </c>
      <c r="W77" s="679">
        <v>355</v>
      </c>
      <c r="X77" s="679">
        <v>450</v>
      </c>
    </row>
    <row r="78" spans="2:32">
      <c r="B78" s="679"/>
      <c r="C78" s="679"/>
      <c r="D78" s="679"/>
      <c r="E78" s="679"/>
      <c r="F78" s="679"/>
      <c r="G78" s="679"/>
      <c r="H78" s="679"/>
      <c r="I78" s="679"/>
      <c r="J78" s="679"/>
      <c r="K78" s="679"/>
      <c r="L78" s="679"/>
      <c r="P78" s="680">
        <v>34</v>
      </c>
      <c r="Q78" s="679">
        <v>45</v>
      </c>
      <c r="R78" s="679">
        <v>90</v>
      </c>
      <c r="S78" s="679">
        <v>4</v>
      </c>
      <c r="T78" s="679">
        <v>200</v>
      </c>
      <c r="U78" s="679">
        <v>250</v>
      </c>
      <c r="V78" s="679">
        <v>315</v>
      </c>
      <c r="W78" s="679">
        <v>400</v>
      </c>
      <c r="X78" s="679">
        <v>500</v>
      </c>
    </row>
    <row r="79" spans="2:32">
      <c r="B79" s="679"/>
      <c r="C79" s="679"/>
      <c r="D79" s="679"/>
      <c r="E79" s="679"/>
      <c r="F79" s="679"/>
      <c r="G79" s="679"/>
      <c r="H79" s="679"/>
      <c r="I79" s="679"/>
      <c r="J79" s="679"/>
      <c r="K79" s="679"/>
      <c r="L79" s="679"/>
      <c r="P79" s="680">
        <v>35</v>
      </c>
      <c r="Q79" s="679">
        <v>45</v>
      </c>
      <c r="R79" s="679">
        <v>90</v>
      </c>
      <c r="S79" s="679">
        <v>5</v>
      </c>
      <c r="T79" s="679">
        <v>212</v>
      </c>
      <c r="U79" s="679">
        <v>265</v>
      </c>
      <c r="V79" s="679">
        <v>335</v>
      </c>
      <c r="W79" s="679">
        <v>425</v>
      </c>
      <c r="X79" s="679">
        <v>530</v>
      </c>
    </row>
    <row r="80" spans="2:32">
      <c r="B80" s="679"/>
      <c r="C80" s="679"/>
      <c r="D80" s="679"/>
      <c r="E80" s="679"/>
      <c r="F80" s="679"/>
      <c r="G80" s="679"/>
      <c r="H80" s="679"/>
      <c r="I80" s="679"/>
      <c r="J80" s="679"/>
      <c r="K80" s="679"/>
      <c r="L80" s="679"/>
      <c r="P80" s="680">
        <v>36</v>
      </c>
      <c r="Q80" s="679">
        <v>45</v>
      </c>
      <c r="R80" s="679">
        <v>90</v>
      </c>
      <c r="S80" s="679">
        <v>5.5</v>
      </c>
      <c r="T80" s="679">
        <v>224</v>
      </c>
      <c r="U80" s="679">
        <v>280</v>
      </c>
      <c r="V80" s="679">
        <v>355</v>
      </c>
      <c r="W80" s="679">
        <v>450</v>
      </c>
      <c r="X80" s="679">
        <v>560</v>
      </c>
    </row>
    <row r="81" spans="2:24">
      <c r="B81" s="679"/>
      <c r="C81" s="679"/>
      <c r="D81" s="679"/>
      <c r="E81" s="679"/>
      <c r="F81" s="679"/>
      <c r="G81" s="679"/>
      <c r="H81" s="679"/>
      <c r="I81" s="679"/>
      <c r="J81" s="679"/>
      <c r="K81" s="679"/>
      <c r="L81" s="679"/>
      <c r="P81" s="680">
        <v>37</v>
      </c>
      <c r="Q81" s="679">
        <v>45</v>
      </c>
      <c r="R81" s="679">
        <v>90</v>
      </c>
      <c r="S81" s="679">
        <v>6</v>
      </c>
      <c r="T81" s="679">
        <v>236</v>
      </c>
      <c r="U81" s="679">
        <v>300</v>
      </c>
      <c r="V81" s="679">
        <v>375</v>
      </c>
      <c r="W81" s="679">
        <v>475</v>
      </c>
      <c r="X81" s="679">
        <v>600</v>
      </c>
    </row>
    <row r="82" spans="2:24">
      <c r="B82" s="679"/>
      <c r="C82" s="679"/>
      <c r="D82" s="679"/>
      <c r="E82" s="679"/>
      <c r="F82" s="679"/>
      <c r="G82" s="679"/>
      <c r="H82" s="679"/>
      <c r="I82" s="679"/>
      <c r="J82" s="679"/>
      <c r="K82" s="679"/>
      <c r="L82" s="679"/>
      <c r="P82" s="680">
        <v>38</v>
      </c>
      <c r="Q82" s="679">
        <v>90</v>
      </c>
      <c r="R82" s="679">
        <v>180</v>
      </c>
      <c r="S82" s="679">
        <v>2</v>
      </c>
      <c r="T82" s="679">
        <v>160</v>
      </c>
      <c r="U82" s="679">
        <v>200</v>
      </c>
      <c r="V82" s="679">
        <v>250</v>
      </c>
      <c r="W82" s="679">
        <v>315</v>
      </c>
      <c r="X82" s="679">
        <v>400</v>
      </c>
    </row>
    <row r="83" spans="2:24">
      <c r="B83" s="679"/>
      <c r="C83" s="679"/>
      <c r="D83" s="679"/>
      <c r="E83" s="679"/>
      <c r="F83" s="679"/>
      <c r="G83" s="679"/>
      <c r="H83" s="679"/>
      <c r="I83" s="679"/>
      <c r="J83" s="679"/>
      <c r="K83" s="679"/>
      <c r="L83" s="679"/>
      <c r="P83" s="680">
        <v>39</v>
      </c>
      <c r="Q83" s="679">
        <v>90</v>
      </c>
      <c r="R83" s="679">
        <v>180</v>
      </c>
      <c r="S83" s="679">
        <v>3</v>
      </c>
      <c r="T83" s="679">
        <v>190</v>
      </c>
      <c r="U83" s="679">
        <v>236</v>
      </c>
      <c r="V83" s="679">
        <v>300</v>
      </c>
      <c r="W83" s="679">
        <v>375</v>
      </c>
      <c r="X83" s="679">
        <v>475</v>
      </c>
    </row>
    <row r="84" spans="2:24">
      <c r="B84" s="679"/>
      <c r="C84" s="679"/>
      <c r="D84" s="679"/>
      <c r="E84" s="679"/>
      <c r="F84" s="679"/>
      <c r="G84" s="679"/>
      <c r="H84" s="679"/>
      <c r="I84" s="679"/>
      <c r="J84" s="679"/>
      <c r="K84" s="679"/>
      <c r="L84" s="679"/>
      <c r="P84" s="680">
        <v>40</v>
      </c>
      <c r="Q84" s="679">
        <v>90</v>
      </c>
      <c r="R84" s="679">
        <v>180</v>
      </c>
      <c r="S84" s="679">
        <v>4</v>
      </c>
      <c r="T84" s="679">
        <v>212</v>
      </c>
      <c r="U84" s="679">
        <v>265</v>
      </c>
      <c r="V84" s="679">
        <v>335</v>
      </c>
      <c r="W84" s="679">
        <v>425</v>
      </c>
      <c r="X84" s="679">
        <v>530</v>
      </c>
    </row>
    <row r="85" spans="2:24">
      <c r="B85" s="679"/>
      <c r="C85" s="679"/>
      <c r="D85" s="679"/>
      <c r="E85" s="679"/>
      <c r="F85" s="679"/>
      <c r="G85" s="679"/>
      <c r="H85" s="679"/>
      <c r="I85" s="679"/>
      <c r="J85" s="679"/>
      <c r="K85" s="679"/>
      <c r="L85" s="679"/>
      <c r="P85" s="680">
        <v>41</v>
      </c>
      <c r="Q85" s="679">
        <v>90</v>
      </c>
      <c r="R85" s="679">
        <v>180</v>
      </c>
      <c r="S85" s="679">
        <v>6</v>
      </c>
      <c r="T85" s="679">
        <v>250</v>
      </c>
      <c r="U85" s="679">
        <v>315</v>
      </c>
      <c r="V85" s="679">
        <v>400</v>
      </c>
      <c r="W85" s="679">
        <v>500</v>
      </c>
      <c r="X85" s="679">
        <v>630</v>
      </c>
    </row>
    <row r="86" spans="2:24">
      <c r="B86" s="679"/>
      <c r="C86" s="679"/>
      <c r="D86" s="679"/>
      <c r="E86" s="679"/>
      <c r="F86" s="679"/>
      <c r="G86" s="679"/>
      <c r="H86" s="679"/>
      <c r="I86" s="679"/>
      <c r="J86" s="679"/>
      <c r="K86" s="679"/>
      <c r="L86" s="679"/>
      <c r="P86" s="680">
        <v>42</v>
      </c>
      <c r="Q86" s="679">
        <v>180</v>
      </c>
      <c r="R86" s="679">
        <v>355</v>
      </c>
      <c r="S86" s="679">
        <v>3</v>
      </c>
      <c r="T86" s="679">
        <v>212</v>
      </c>
      <c r="U86" s="679">
        <v>265</v>
      </c>
      <c r="V86" s="679">
        <v>335</v>
      </c>
      <c r="W86" s="679">
        <v>425</v>
      </c>
      <c r="X86" s="679">
        <v>530</v>
      </c>
    </row>
    <row r="87" spans="2:24">
      <c r="B87" s="679"/>
      <c r="C87" s="679"/>
      <c r="D87" s="679"/>
      <c r="E87" s="679"/>
      <c r="F87" s="679"/>
      <c r="G87" s="679"/>
      <c r="H87" s="679"/>
      <c r="I87" s="679"/>
      <c r="J87" s="679"/>
      <c r="K87" s="679"/>
      <c r="L87" s="679"/>
      <c r="P87" s="680">
        <v>43</v>
      </c>
      <c r="Q87" s="679">
        <v>180</v>
      </c>
      <c r="R87" s="679">
        <v>355</v>
      </c>
      <c r="S87" s="679">
        <v>4</v>
      </c>
      <c r="T87" s="679">
        <v>236</v>
      </c>
      <c r="U87" s="679">
        <v>300</v>
      </c>
      <c r="V87" s="679">
        <v>375</v>
      </c>
      <c r="W87" s="679">
        <v>475</v>
      </c>
      <c r="X87" s="679">
        <v>600</v>
      </c>
    </row>
    <row r="88" spans="2:24">
      <c r="B88" s="690"/>
      <c r="C88" s="690"/>
      <c r="D88" s="690"/>
      <c r="E88" s="690"/>
      <c r="F88" s="690"/>
      <c r="G88" s="690"/>
      <c r="H88" s="690"/>
      <c r="I88" s="690"/>
      <c r="J88" s="690"/>
      <c r="K88" s="690"/>
      <c r="L88" s="690"/>
      <c r="P88" s="680">
        <v>44</v>
      </c>
      <c r="Q88" s="679">
        <v>180</v>
      </c>
      <c r="R88" s="679">
        <v>355</v>
      </c>
      <c r="S88" s="679">
        <v>6</v>
      </c>
      <c r="T88" s="679">
        <v>265</v>
      </c>
      <c r="U88" s="679">
        <v>355</v>
      </c>
      <c r="V88" s="679">
        <v>425</v>
      </c>
      <c r="W88" s="679">
        <v>530</v>
      </c>
      <c r="X88" s="679">
        <v>670</v>
      </c>
    </row>
    <row r="89" spans="2:24">
      <c r="B89" s="679"/>
      <c r="C89" s="679" t="s">
        <v>802</v>
      </c>
      <c r="D89" s="679"/>
      <c r="E89" s="679" t="s">
        <v>803</v>
      </c>
      <c r="F89" s="679"/>
      <c r="G89" s="679" t="s">
        <v>804</v>
      </c>
      <c r="H89" s="679"/>
      <c r="I89" s="679" t="s">
        <v>805</v>
      </c>
      <c r="J89" s="679"/>
      <c r="K89" s="679" t="s">
        <v>806</v>
      </c>
      <c r="L89" s="679"/>
    </row>
    <row r="90" spans="2:24">
      <c r="B90" s="679" t="s">
        <v>10</v>
      </c>
      <c r="C90" s="679" t="s">
        <v>808</v>
      </c>
      <c r="D90" s="679" t="s">
        <v>809</v>
      </c>
      <c r="E90" s="679" t="s">
        <v>808</v>
      </c>
      <c r="F90" s="679" t="s">
        <v>809</v>
      </c>
      <c r="G90" s="679" t="s">
        <v>808</v>
      </c>
      <c r="H90" s="679" t="s">
        <v>809</v>
      </c>
      <c r="I90" s="679" t="s">
        <v>808</v>
      </c>
      <c r="J90" s="679" t="s">
        <v>809</v>
      </c>
      <c r="K90" s="679" t="s">
        <v>808</v>
      </c>
      <c r="L90" s="679" t="s">
        <v>809</v>
      </c>
      <c r="Q90" s="784" t="s">
        <v>913</v>
      </c>
      <c r="R90" s="784" t="s">
        <v>914</v>
      </c>
      <c r="S90" s="784" t="s">
        <v>915</v>
      </c>
    </row>
    <row r="91" spans="2:24" ht="25.5">
      <c r="B91" s="679" t="s">
        <v>861</v>
      </c>
      <c r="C91" s="679">
        <v>0.40526122047244095</v>
      </c>
      <c r="D91" s="679">
        <v>0.40573366141732287</v>
      </c>
      <c r="E91" s="679">
        <v>0.41039999999999999</v>
      </c>
      <c r="F91" s="679">
        <v>0.41083307086614174</v>
      </c>
      <c r="G91" s="679">
        <v>0.43703287401574809</v>
      </c>
      <c r="H91" s="679">
        <v>0.43789901574803153</v>
      </c>
      <c r="I91" s="679">
        <v>0.42016377952755907</v>
      </c>
      <c r="J91" s="679">
        <v>0.42102992125984251</v>
      </c>
      <c r="K91" s="679">
        <v>5.4000000000000003E-3</v>
      </c>
      <c r="L91" s="679">
        <v>136.52500000000001</v>
      </c>
      <c r="Q91" s="788" t="s">
        <v>177</v>
      </c>
      <c r="R91" s="680" t="s">
        <v>715</v>
      </c>
      <c r="S91" s="680" t="s">
        <v>351</v>
      </c>
      <c r="T91" s="680" t="s">
        <v>912</v>
      </c>
    </row>
    <row r="92" spans="2:24">
      <c r="B92" s="679" t="s">
        <v>862</v>
      </c>
      <c r="C92" s="679">
        <v>0.40526122047244095</v>
      </c>
      <c r="D92" s="679">
        <v>0.40573366141732287</v>
      </c>
      <c r="E92" s="679">
        <v>0.41211161417322839</v>
      </c>
      <c r="F92" s="679">
        <v>0.41254468503937014</v>
      </c>
      <c r="G92" s="679">
        <v>0.43703287401574809</v>
      </c>
      <c r="H92" s="679">
        <v>0.43789901574803153</v>
      </c>
      <c r="I92" s="679">
        <v>0.41226909448818905</v>
      </c>
      <c r="J92" s="679">
        <v>0.41313523622047249</v>
      </c>
      <c r="K92" s="679">
        <v>0.38340000000000002</v>
      </c>
      <c r="L92" s="679">
        <v>0.39379999999999998</v>
      </c>
      <c r="Q92" s="680" t="str">
        <f ca="1">IFERROR('Test Data'!BJ23,"")</f>
        <v>25 mm TG</v>
      </c>
      <c r="R92" s="680">
        <f ca="1">IFERROR(IF(INDIRECT("[" &amp; 'Setup Data'!$A$3&amp; "]Dimensional!" &amp;$Q$90)="","",INDIRECT("[" &amp; 'Setup Data'!$A$3&amp; "]Dimensional!" &amp;$Q$90) ),"")</f>
        <v>1.2E-4</v>
      </c>
      <c r="S92" s="680">
        <f ca="1">IFERROR(IF(INDIRECT("[" &amp; 'Setup Data'!$A$3&amp; "]Dimensional!" &amp;$R$90)="","",INDIRECT("[" &amp; 'Setup Data'!$A$3&amp; "]Dimensional!" &amp;$R$90) ),"")</f>
        <v>1E-3</v>
      </c>
      <c r="T92" s="680">
        <f ca="1">IFERROR(IF(INDIRECT("[" &amp; 'Setup Data'!$A$3&amp; "]Dimensional!" &amp;$S$90)="","",INDIRECT("[" &amp; 'Setup Data'!$A$3&amp; "]Dimensional!" &amp;$S$90) ),"")</f>
        <v>3.0000000000000001E-3</v>
      </c>
    </row>
    <row r="93" spans="2:24">
      <c r="B93" s="679" t="s">
        <v>863</v>
      </c>
      <c r="C93" s="679">
        <v>0.58915288713910763</v>
      </c>
      <c r="D93" s="679">
        <v>0.58962532808398949</v>
      </c>
      <c r="E93" s="679">
        <v>0.5963969816272966</v>
      </c>
      <c r="F93" s="679">
        <v>0.59683005249343835</v>
      </c>
      <c r="G93" s="679">
        <v>0.62730249343832012</v>
      </c>
      <c r="H93" s="679">
        <v>0.62816863517060362</v>
      </c>
      <c r="I93" s="679">
        <v>0.59659820647419071</v>
      </c>
      <c r="J93" s="679">
        <v>0.59746434820647421</v>
      </c>
      <c r="K93" s="679">
        <v>0.56489999999999996</v>
      </c>
      <c r="L93" s="679">
        <v>0.57669999999999999</v>
      </c>
      <c r="Q93" s="680" t="str">
        <f ca="1">IFERROR('Test Data'!BJ24,"")</f>
        <v>50 mm TG</v>
      </c>
      <c r="R93" s="680">
        <f ca="1">IFERROR(IF(INDIRECT("[" &amp; 'Setup Data'!$A$3&amp; "]Dimensional!" &amp;$Q$90)="","",INDIRECT("[" &amp; 'Setup Data'!$A$3&amp; "]Dimensional!" &amp;$Q$90) ),"")</f>
        <v>1.2E-4</v>
      </c>
      <c r="S93" s="680">
        <f ca="1">IFERROR(IF(INDIRECT("[" &amp; 'Setup Data'!$A$3&amp; "]Dimensional!" &amp;$R$90)="","",INDIRECT("[" &amp; 'Setup Data'!$A$3&amp; "]Dimensional!" &amp;$R$90) ),"")</f>
        <v>1E-3</v>
      </c>
      <c r="T93" s="680">
        <f ca="1">IFERROR(IF(INDIRECT("[" &amp; 'Setup Data'!$A$3&amp; "]Dimensional!" &amp;$S$90)="","",INDIRECT("[" &amp; 'Setup Data'!$A$3&amp; "]Dimensional!" &amp;$S$90) ),"")</f>
        <v>3.0000000000000001E-3</v>
      </c>
    </row>
    <row r="94" spans="2:24">
      <c r="B94" s="679" t="s">
        <v>864</v>
      </c>
      <c r="C94" s="679">
        <v>0.56678131710808877</v>
      </c>
      <c r="D94" s="679">
        <v>0.56764745884037227</v>
      </c>
      <c r="E94" s="679">
        <v>0.59119999999999995</v>
      </c>
      <c r="F94" s="679">
        <v>0.59206614173228345</v>
      </c>
      <c r="G94" s="679">
        <v>0.63028525411596281</v>
      </c>
      <c r="H94" s="679">
        <v>0.63201753758052981</v>
      </c>
      <c r="I94" s="679">
        <v>0.60894874731567639</v>
      </c>
      <c r="J94" s="679">
        <v>0.61068103078024338</v>
      </c>
      <c r="K94" s="679">
        <v>0.52659999999999996</v>
      </c>
      <c r="L94" s="679">
        <v>0.54430000000000001</v>
      </c>
      <c r="Q94" s="680" t="str">
        <f ca="1">IFERROR('Test Data'!BJ25,"")</f>
        <v/>
      </c>
      <c r="R94" s="680" t="str">
        <f ca="1">IF(Q94="","",IFERROR(IF(INDIRECT("[" &amp; 'Setup Data'!$A$3&amp; "]Dimensional!" &amp;$Q$90)="","",INDIRECT("[" &amp; 'Setup Data'!$A$3&amp; "]Dimensional!" &amp;$Q$90) ),""))</f>
        <v/>
      </c>
      <c r="S94" s="680" t="str">
        <f ca="1">IF(Q94="","",IFERROR(IF(INDIRECT("[" &amp; 'Setup Data'!$A$3&amp; "]Dimensional!" &amp;$R$90)="","",INDIRECT("[" &amp; 'Setup Data'!$A$3&amp; "]Dimensional!" &amp;$R$90) ),""))</f>
        <v/>
      </c>
      <c r="T94" s="680" t="str">
        <f ca="1">IF(Q94="","",IFERROR(IF(INDIRECT("[" &amp; 'Setup Data'!$A$3&amp; "]Dimensional!" &amp;$S$90)="","",INDIRECT("[" &amp; 'Setup Data'!$A$3&amp; "]Dimensional!" &amp;$S$90) ),""))</f>
        <v/>
      </c>
    </row>
    <row r="95" spans="2:24">
      <c r="B95" s="679" t="s">
        <v>865</v>
      </c>
      <c r="C95" s="679">
        <v>0.28567372047244094</v>
      </c>
      <c r="D95" s="679">
        <v>0.28614616141732285</v>
      </c>
      <c r="E95" s="679">
        <v>0.29134301181102362</v>
      </c>
      <c r="F95" s="679">
        <v>0.29177608267716537</v>
      </c>
      <c r="G95" s="679">
        <v>0.31106742125984255</v>
      </c>
      <c r="H95" s="679">
        <v>0.31193356299212599</v>
      </c>
      <c r="I95" s="679">
        <v>0.29143487532808399</v>
      </c>
      <c r="J95" s="679">
        <v>0.29230101706036743</v>
      </c>
      <c r="K95" s="679">
        <v>0.26740000000000003</v>
      </c>
      <c r="L95" s="679">
        <v>0.2767</v>
      </c>
    </row>
    <row r="96" spans="2:24">
      <c r="B96" s="679" t="s">
        <v>866</v>
      </c>
      <c r="C96" s="679">
        <v>0.27665288713910757</v>
      </c>
      <c r="D96" s="679">
        <v>0.27712532808398949</v>
      </c>
      <c r="E96" s="679">
        <v>0.28170000000000001</v>
      </c>
      <c r="F96" s="679">
        <v>0.28213307086614176</v>
      </c>
      <c r="G96" s="679">
        <v>0.31480249343832017</v>
      </c>
      <c r="H96" s="679">
        <v>0.31566863517060362</v>
      </c>
      <c r="I96" s="679">
        <v>0.2925748906386702</v>
      </c>
      <c r="J96" s="679">
        <v>0.29344103237095365</v>
      </c>
      <c r="K96" s="679">
        <v>0.25240000000000001</v>
      </c>
      <c r="L96" s="679">
        <v>0.26419999999999999</v>
      </c>
    </row>
    <row r="97" spans="2:12">
      <c r="B97" s="679" t="s">
        <v>867</v>
      </c>
      <c r="C97" s="679">
        <v>0.34817372047244094</v>
      </c>
      <c r="D97" s="679">
        <v>0.34864616141732285</v>
      </c>
      <c r="E97" s="679">
        <v>0.35384301181102362</v>
      </c>
      <c r="F97" s="679">
        <v>0.35427608267716537</v>
      </c>
      <c r="G97" s="679">
        <v>0.37356742125984255</v>
      </c>
      <c r="H97" s="679">
        <v>0.37443356299212599</v>
      </c>
      <c r="I97" s="679">
        <v>0.35393487532808399</v>
      </c>
      <c r="J97" s="679">
        <v>0.35480101706036743</v>
      </c>
      <c r="K97" s="679">
        <v>0.32990000000000003</v>
      </c>
      <c r="L97" s="679">
        <v>0.3392</v>
      </c>
    </row>
    <row r="98" spans="2:12">
      <c r="B98" s="679" t="s">
        <v>868</v>
      </c>
      <c r="C98" s="679">
        <v>0.33499680118110237</v>
      </c>
      <c r="D98" s="679">
        <v>0.33570546259842521</v>
      </c>
      <c r="E98" s="679">
        <v>0.35039999999999999</v>
      </c>
      <c r="F98" s="679">
        <v>0.35110866141732283</v>
      </c>
      <c r="G98" s="679">
        <v>0.37298892716535431</v>
      </c>
      <c r="H98" s="679">
        <v>0.37440625</v>
      </c>
      <c r="I98" s="679">
        <v>0.36254566929133858</v>
      </c>
      <c r="J98" s="679">
        <v>0.36396299212598426</v>
      </c>
      <c r="K98" s="679">
        <v>406.24124999999998</v>
      </c>
      <c r="L98" s="679">
        <v>1.6E-2</v>
      </c>
    </row>
    <row r="99" spans="2:12">
      <c r="B99" s="679" t="s">
        <v>868</v>
      </c>
      <c r="C99" s="679">
        <v>0.33464247047244094</v>
      </c>
      <c r="D99" s="679">
        <v>0.33511491141732286</v>
      </c>
      <c r="E99" s="679">
        <v>0.34010000000000001</v>
      </c>
      <c r="F99" s="679">
        <v>0.34053307086614176</v>
      </c>
      <c r="G99" s="679">
        <v>0.37503937007874016</v>
      </c>
      <c r="H99" s="679">
        <v>0.37590551181102361</v>
      </c>
      <c r="I99" s="679">
        <v>0.3669637795275591</v>
      </c>
      <c r="J99" s="679">
        <v>0.36782992125984254</v>
      </c>
      <c r="K99" s="679">
        <v>144.62125</v>
      </c>
      <c r="L99" s="679">
        <v>5.7000000000000002E-3</v>
      </c>
    </row>
    <row r="100" spans="2:12">
      <c r="B100" s="679" t="s">
        <v>868</v>
      </c>
      <c r="C100" s="679">
        <v>0.33499680118110237</v>
      </c>
      <c r="D100" s="679">
        <v>0.33570546259842521</v>
      </c>
      <c r="E100" s="679">
        <v>0.35039999999999999</v>
      </c>
      <c r="F100" s="679">
        <v>0.35110866141732283</v>
      </c>
      <c r="G100" s="679">
        <v>0.37298892716535431</v>
      </c>
      <c r="H100" s="679">
        <v>0.37440625</v>
      </c>
      <c r="I100" s="679">
        <v>0.36254566929133858</v>
      </c>
      <c r="J100" s="679">
        <v>0.36396299212598426</v>
      </c>
      <c r="K100" s="679">
        <v>0.30730000000000002</v>
      </c>
      <c r="L100" s="679">
        <v>0.31919999999999998</v>
      </c>
    </row>
    <row r="101" spans="2:12">
      <c r="B101" s="679" t="s">
        <v>869</v>
      </c>
      <c r="C101" s="679">
        <v>0.709642470472441</v>
      </c>
      <c r="D101" s="679">
        <v>0.71011491141732286</v>
      </c>
      <c r="E101" s="679">
        <v>0.71688656496062997</v>
      </c>
      <c r="F101" s="679">
        <v>0.71731963582677172</v>
      </c>
      <c r="G101" s="679">
        <v>0.74779207677165349</v>
      </c>
      <c r="H101" s="679">
        <v>0.74865821850393699</v>
      </c>
      <c r="I101" s="679">
        <v>0.71714247047244095</v>
      </c>
      <c r="J101" s="679">
        <v>0.71800861220472445</v>
      </c>
      <c r="K101" s="679">
        <v>0.68230000000000002</v>
      </c>
      <c r="L101" s="679">
        <v>0.69420000000000004</v>
      </c>
    </row>
    <row r="102" spans="2:12">
      <c r="B102" s="679" t="s">
        <v>870</v>
      </c>
      <c r="C102" s="679">
        <v>0.68540433070866147</v>
      </c>
      <c r="D102" s="679">
        <v>0.68595551181102365</v>
      </c>
      <c r="E102" s="679">
        <v>0.69213661417322836</v>
      </c>
      <c r="F102" s="679">
        <v>0.69268779527559055</v>
      </c>
      <c r="G102" s="679">
        <v>0.74906574803149617</v>
      </c>
      <c r="H102" s="679">
        <v>0.75016811023622054</v>
      </c>
      <c r="I102" s="679">
        <v>0.69264842519685044</v>
      </c>
      <c r="J102" s="679">
        <v>0.69375078740157481</v>
      </c>
      <c r="K102" s="679">
        <v>0.64200000000000002</v>
      </c>
      <c r="L102" s="679">
        <v>0.65900000000000003</v>
      </c>
    </row>
    <row r="103" spans="2:12">
      <c r="B103" s="679" t="s">
        <v>871</v>
      </c>
      <c r="C103" s="679">
        <v>0.91916683070866145</v>
      </c>
      <c r="D103" s="679">
        <v>0.91971801181102364</v>
      </c>
      <c r="E103" s="679">
        <v>0.92759999999999998</v>
      </c>
      <c r="F103" s="679">
        <v>0.92815118110236217</v>
      </c>
      <c r="G103" s="679">
        <v>0.99566289370078742</v>
      </c>
      <c r="H103" s="679">
        <v>0.99676525590551179</v>
      </c>
      <c r="I103" s="679">
        <v>0.95232440944881891</v>
      </c>
      <c r="J103" s="679">
        <v>0.95342677165354328</v>
      </c>
      <c r="K103" s="679">
        <v>8.8000000000000005E-3</v>
      </c>
      <c r="L103" s="679">
        <v>223.20249999999999</v>
      </c>
    </row>
    <row r="104" spans="2:12">
      <c r="B104" s="679" t="s">
        <v>872</v>
      </c>
      <c r="C104" s="679">
        <v>0.9539614735658043</v>
      </c>
      <c r="D104" s="679">
        <v>0.95451265466816648</v>
      </c>
      <c r="E104" s="679">
        <v>0.96242604049493818</v>
      </c>
      <c r="F104" s="679">
        <v>0.96297722159730037</v>
      </c>
      <c r="G104" s="679">
        <v>1.0048669853768277</v>
      </c>
      <c r="H104" s="679">
        <v>1.0059693475815523</v>
      </c>
      <c r="I104" s="679">
        <v>0.96271287964004504</v>
      </c>
      <c r="J104" s="679">
        <v>0.96381524184476941</v>
      </c>
      <c r="K104" s="679">
        <v>0.92269999999999996</v>
      </c>
      <c r="L104" s="679">
        <v>0.93740000000000001</v>
      </c>
    </row>
    <row r="105" spans="2:12">
      <c r="B105" s="679" t="s">
        <v>873</v>
      </c>
      <c r="C105" s="679">
        <v>5.7609549999999992</v>
      </c>
      <c r="D105" s="679">
        <v>5.7699549999999995</v>
      </c>
      <c r="E105" s="679">
        <v>5.8769549999999997</v>
      </c>
      <c r="F105" s="679">
        <v>5.885955</v>
      </c>
      <c r="G105" s="679">
        <v>6.4059549999999996</v>
      </c>
      <c r="H105" s="679">
        <v>6.4239549999999994</v>
      </c>
      <c r="I105" s="679">
        <v>6.0539550000000002</v>
      </c>
      <c r="J105" s="679">
        <v>6.071955</v>
      </c>
      <c r="K105" s="679">
        <v>5.3650000000000002</v>
      </c>
      <c r="L105" s="679">
        <v>5.601</v>
      </c>
    </row>
    <row r="106" spans="2:12">
      <c r="B106" s="679" t="s">
        <v>873</v>
      </c>
      <c r="C106" s="679">
        <v>0.22703979190101239</v>
      </c>
      <c r="D106" s="679">
        <v>0.22751223284589428</v>
      </c>
      <c r="E106" s="679">
        <v>0.23270908323959505</v>
      </c>
      <c r="F106" s="679">
        <v>0.23314215410573677</v>
      </c>
      <c r="G106" s="679">
        <v>0.25243349268841397</v>
      </c>
      <c r="H106" s="679">
        <v>0.25329963442069742</v>
      </c>
      <c r="I106" s="679">
        <v>0.23275407761529807</v>
      </c>
      <c r="J106" s="679">
        <v>0.23362021934758154</v>
      </c>
      <c r="K106" s="679">
        <v>0.21129999999999999</v>
      </c>
      <c r="L106" s="679">
        <v>0.22059999999999999</v>
      </c>
    </row>
    <row r="107" spans="2:12">
      <c r="B107" s="679" t="s">
        <v>874</v>
      </c>
      <c r="C107" s="679">
        <v>0.21776122047244095</v>
      </c>
      <c r="D107" s="679">
        <v>0.21823366141732284</v>
      </c>
      <c r="E107" s="679">
        <v>0.22382421259842519</v>
      </c>
      <c r="F107" s="679">
        <v>0.22425728346456691</v>
      </c>
      <c r="G107" s="679">
        <v>0.24953287401574803</v>
      </c>
      <c r="H107" s="679">
        <v>0.25039901574803147</v>
      </c>
      <c r="I107" s="679">
        <v>0.22398169291338582</v>
      </c>
      <c r="J107" s="679">
        <v>0.22484783464566929</v>
      </c>
      <c r="K107" s="679">
        <v>0.19589999999999999</v>
      </c>
      <c r="L107" s="679">
        <v>0.20630000000000001</v>
      </c>
    </row>
    <row r="108" spans="2:12">
      <c r="B108" s="679" t="s">
        <v>875</v>
      </c>
      <c r="C108" s="679">
        <v>0.46776122047244095</v>
      </c>
      <c r="D108" s="679">
        <v>0.46823366141732287</v>
      </c>
      <c r="E108" s="679">
        <v>0.47303681102362205</v>
      </c>
      <c r="F108" s="679">
        <v>0.4734698818897638</v>
      </c>
      <c r="G108" s="679">
        <v>0.49953287401574809</v>
      </c>
      <c r="H108" s="679">
        <v>0.50039901574803158</v>
      </c>
      <c r="I108" s="679">
        <v>0.48280059055118113</v>
      </c>
      <c r="J108" s="679">
        <v>0.48366673228346457</v>
      </c>
      <c r="K108" s="679">
        <v>0.44590000000000002</v>
      </c>
      <c r="L108" s="679">
        <v>0.45629999999999998</v>
      </c>
    </row>
    <row r="109" spans="2:12">
      <c r="B109" s="679" t="s">
        <v>875</v>
      </c>
      <c r="C109" s="679">
        <v>0.46776122047244095</v>
      </c>
      <c r="D109" s="679">
        <v>0.46823366141732287</v>
      </c>
      <c r="E109" s="679">
        <v>0.47461161417322839</v>
      </c>
      <c r="F109" s="679">
        <v>0.47504468503937014</v>
      </c>
      <c r="G109" s="679">
        <v>0.49953287401574809</v>
      </c>
      <c r="H109" s="679">
        <v>0.50039901574803158</v>
      </c>
      <c r="I109" s="679">
        <v>0.47476909448818905</v>
      </c>
      <c r="J109" s="679">
        <v>0.47563523622047249</v>
      </c>
      <c r="K109" s="679">
        <v>0.44590000000000002</v>
      </c>
      <c r="L109" s="679">
        <v>0.45629999999999998</v>
      </c>
    </row>
    <row r="110" spans="2:12">
      <c r="B110" s="679" t="s">
        <v>876</v>
      </c>
      <c r="C110" s="679">
        <v>0.45027468201090248</v>
      </c>
      <c r="D110" s="679">
        <v>0.4507471229557844</v>
      </c>
      <c r="E110" s="679">
        <v>0.45650000000000002</v>
      </c>
      <c r="F110" s="679">
        <v>0.45693307086614177</v>
      </c>
      <c r="G110" s="679">
        <v>0.50003937007874011</v>
      </c>
      <c r="H110" s="679">
        <v>0.50090551181102361</v>
      </c>
      <c r="I110" s="679">
        <v>0.48956377952755908</v>
      </c>
      <c r="J110" s="679">
        <v>0.49042992125984253</v>
      </c>
      <c r="K110" s="679">
        <v>164.12307999999999</v>
      </c>
      <c r="L110" s="679">
        <v>6.4999999999999997E-3</v>
      </c>
    </row>
    <row r="111" spans="2:12">
      <c r="B111" s="679" t="s">
        <v>876</v>
      </c>
      <c r="C111" s="679">
        <v>0.45027468201090248</v>
      </c>
      <c r="D111" s="679">
        <v>0.4507471229557844</v>
      </c>
      <c r="E111" s="679">
        <v>0.47089999999999999</v>
      </c>
      <c r="F111" s="679">
        <v>0.47133307086614173</v>
      </c>
      <c r="G111" s="679">
        <v>0.50125893397940635</v>
      </c>
      <c r="H111" s="679">
        <v>0.50212507571168985</v>
      </c>
      <c r="I111" s="679">
        <v>0.48604839491217444</v>
      </c>
      <c r="J111" s="679">
        <v>0.48691453664445788</v>
      </c>
      <c r="K111" s="679">
        <v>0.41670000000000001</v>
      </c>
      <c r="L111" s="679">
        <v>0.4299</v>
      </c>
    </row>
    <row r="112" spans="2:12">
      <c r="B112" s="679" t="s">
        <v>876</v>
      </c>
      <c r="C112" s="679">
        <v>0.45027468201090248</v>
      </c>
      <c r="D112" s="679">
        <v>0.4507471229557844</v>
      </c>
      <c r="E112" s="679">
        <v>0.45673137492428834</v>
      </c>
      <c r="F112" s="679">
        <v>0.45716444579043009</v>
      </c>
      <c r="G112" s="679">
        <v>0.50125893397940635</v>
      </c>
      <c r="H112" s="679">
        <v>0.50212507571168985</v>
      </c>
      <c r="I112" s="679">
        <v>0.47187976983646279</v>
      </c>
      <c r="J112" s="679">
        <v>0.47274591156874624</v>
      </c>
      <c r="K112" s="679">
        <v>0.41670000000000001</v>
      </c>
      <c r="L112" s="679">
        <v>0.43540000000000001</v>
      </c>
    </row>
    <row r="113" spans="2:12">
      <c r="B113" s="679" t="s">
        <v>876</v>
      </c>
      <c r="C113" s="679">
        <v>0.45086523319200489</v>
      </c>
      <c r="D113" s="679">
        <v>0.45173137492428833</v>
      </c>
      <c r="E113" s="679">
        <v>0.47089999999999999</v>
      </c>
      <c r="F113" s="679">
        <v>0.47176614173228343</v>
      </c>
      <c r="G113" s="679">
        <v>0.50161326468806777</v>
      </c>
      <c r="H113" s="679">
        <v>0.50334554815263477</v>
      </c>
      <c r="I113" s="679">
        <v>0.48585154451847362</v>
      </c>
      <c r="J113" s="679">
        <v>0.48758382798304056</v>
      </c>
      <c r="K113" s="679">
        <v>0.41670000000000001</v>
      </c>
      <c r="L113" s="679">
        <v>0.43540000000000001</v>
      </c>
    </row>
    <row r="114" spans="2:12">
      <c r="B114" s="679" t="s">
        <v>876</v>
      </c>
      <c r="C114" s="679">
        <v>0.45027468201090248</v>
      </c>
      <c r="D114" s="679">
        <v>0.4507471229557844</v>
      </c>
      <c r="E114" s="679">
        <v>0.45673137492428834</v>
      </c>
      <c r="F114" s="679">
        <v>0.45716444579043009</v>
      </c>
      <c r="G114" s="679">
        <v>0.50125893397940635</v>
      </c>
      <c r="H114" s="679">
        <v>0.50212507571168985</v>
      </c>
      <c r="I114" s="679">
        <v>0.47187976983646279</v>
      </c>
      <c r="J114" s="679">
        <v>0.47274591156874624</v>
      </c>
      <c r="K114" s="679">
        <v>0.41670000000000001</v>
      </c>
      <c r="L114" s="679">
        <v>0.43540000000000001</v>
      </c>
    </row>
    <row r="115" spans="2:12">
      <c r="B115" s="679" t="s">
        <v>877</v>
      </c>
      <c r="C115" s="679">
        <v>1.3212293307086613</v>
      </c>
      <c r="D115" s="679">
        <v>1.3217805118110237</v>
      </c>
      <c r="E115" s="679">
        <v>1.3296938976377952</v>
      </c>
      <c r="F115" s="679">
        <v>1.3302450787401574</v>
      </c>
      <c r="G115" s="679">
        <v>1.3721348425196849</v>
      </c>
      <c r="H115" s="679">
        <v>1.3732372047244095</v>
      </c>
      <c r="I115" s="679">
        <v>1.3300744750656168</v>
      </c>
      <c r="J115" s="679">
        <v>1.3311768372703412</v>
      </c>
      <c r="K115" s="679">
        <v>1.2847999999999999</v>
      </c>
      <c r="L115" s="679">
        <v>1.2996000000000001</v>
      </c>
    </row>
    <row r="116" spans="2:12">
      <c r="B116" s="679" t="s">
        <v>878</v>
      </c>
      <c r="C116" s="679">
        <v>1.1575686164229471</v>
      </c>
      <c r="D116" s="679">
        <v>1.1581197975253095</v>
      </c>
      <c r="E116" s="679">
        <v>1.169025309336333</v>
      </c>
      <c r="F116" s="679">
        <v>1.1695764904386952</v>
      </c>
      <c r="G116" s="679">
        <v>1.259576490438695</v>
      </c>
      <c r="H116" s="679">
        <v>1.2606788526434196</v>
      </c>
      <c r="I116" s="679">
        <v>1.1698745781777278</v>
      </c>
      <c r="J116" s="679">
        <v>1.1709769403824521</v>
      </c>
      <c r="K116" s="679">
        <v>1.0953999999999999</v>
      </c>
      <c r="L116" s="679">
        <v>1.119</v>
      </c>
    </row>
    <row r="117" spans="2:12">
      <c r="B117" s="679" t="s">
        <v>879</v>
      </c>
      <c r="C117" s="679">
        <v>1.4462293307086613</v>
      </c>
      <c r="D117" s="679">
        <v>1.4467805118110237</v>
      </c>
      <c r="E117" s="679">
        <v>1.4546938976377952</v>
      </c>
      <c r="F117" s="679">
        <v>1.4552450787401574</v>
      </c>
      <c r="G117" s="679">
        <v>1.4971348425196849</v>
      </c>
      <c r="H117" s="679">
        <v>1.4982372047244095</v>
      </c>
      <c r="I117" s="679">
        <v>1.4550744750656168</v>
      </c>
      <c r="J117" s="679">
        <v>1.4561768372703412</v>
      </c>
      <c r="K117" s="679">
        <v>1.4097999999999999</v>
      </c>
      <c r="L117" s="679">
        <v>1.4246000000000001</v>
      </c>
    </row>
    <row r="118" spans="2:12">
      <c r="B118" s="679"/>
      <c r="C118" s="679"/>
      <c r="D118" s="679"/>
      <c r="E118" s="679"/>
      <c r="F118" s="679"/>
      <c r="G118" s="679"/>
      <c r="H118" s="679"/>
      <c r="I118" s="679"/>
      <c r="J118" s="679"/>
      <c r="K118" s="679"/>
      <c r="L118" s="679"/>
    </row>
    <row r="119" spans="2:12">
      <c r="B119" s="679"/>
      <c r="C119" s="679"/>
      <c r="D119" s="679"/>
      <c r="E119" s="679"/>
      <c r="F119" s="679"/>
      <c r="G119" s="679"/>
      <c r="H119" s="679"/>
      <c r="I119" s="679"/>
      <c r="J119" s="679"/>
      <c r="K119" s="679"/>
      <c r="L119" s="679"/>
    </row>
    <row r="120" spans="2:12">
      <c r="B120" s="679"/>
      <c r="C120" s="679"/>
      <c r="D120" s="679"/>
      <c r="E120" s="679"/>
      <c r="F120" s="679"/>
      <c r="G120" s="679"/>
      <c r="H120" s="679"/>
      <c r="I120" s="679"/>
      <c r="J120" s="679"/>
      <c r="K120" s="679"/>
      <c r="L120" s="679"/>
    </row>
    <row r="121" spans="2:12">
      <c r="B121" s="679"/>
      <c r="C121" s="679"/>
      <c r="D121" s="679"/>
      <c r="E121" s="679"/>
      <c r="F121" s="679"/>
      <c r="G121" s="679"/>
      <c r="H121" s="679"/>
      <c r="I121" s="679"/>
      <c r="J121" s="679"/>
      <c r="K121" s="679"/>
      <c r="L121" s="679"/>
    </row>
    <row r="122" spans="2:12">
      <c r="B122" s="679"/>
      <c r="C122" s="679"/>
      <c r="D122" s="679"/>
      <c r="E122" s="679"/>
      <c r="F122" s="679"/>
      <c r="G122" s="679"/>
      <c r="H122" s="679"/>
      <c r="I122" s="679"/>
      <c r="J122" s="679"/>
      <c r="K122" s="679"/>
      <c r="L122" s="679"/>
    </row>
    <row r="123" spans="2:12">
      <c r="B123" s="679"/>
      <c r="C123" s="679"/>
      <c r="D123" s="679"/>
      <c r="E123" s="679"/>
      <c r="F123" s="679"/>
      <c r="G123" s="679"/>
      <c r="H123" s="679"/>
      <c r="I123" s="679"/>
      <c r="J123" s="679"/>
      <c r="K123" s="679"/>
      <c r="L123" s="679"/>
    </row>
    <row r="124" spans="2:12">
      <c r="B124" s="679"/>
      <c r="C124" s="679"/>
      <c r="D124" s="679"/>
      <c r="E124" s="679"/>
      <c r="F124" s="679"/>
      <c r="G124" s="679"/>
      <c r="H124" s="679"/>
      <c r="I124" s="679"/>
      <c r="J124" s="679"/>
      <c r="K124" s="679"/>
      <c r="L124" s="679"/>
    </row>
    <row r="125" spans="2:12">
      <c r="B125" s="679"/>
      <c r="C125" s="679"/>
      <c r="D125" s="679"/>
      <c r="E125" s="679"/>
      <c r="F125" s="679"/>
      <c r="G125" s="679"/>
      <c r="H125" s="679"/>
      <c r="I125" s="679"/>
      <c r="J125" s="679"/>
      <c r="K125" s="679"/>
      <c r="L125" s="679"/>
    </row>
    <row r="126" spans="2:12">
      <c r="B126" s="679"/>
      <c r="C126" s="679"/>
      <c r="D126" s="679"/>
      <c r="E126" s="679"/>
      <c r="F126" s="679"/>
      <c r="G126" s="679"/>
      <c r="H126" s="679"/>
      <c r="I126" s="679"/>
      <c r="J126" s="679"/>
      <c r="K126" s="679"/>
      <c r="L126" s="679"/>
    </row>
    <row r="127" spans="2:12">
      <c r="B127" s="679"/>
      <c r="C127" s="679"/>
      <c r="D127" s="679"/>
      <c r="E127" s="679"/>
      <c r="F127" s="679"/>
      <c r="G127" s="679"/>
      <c r="H127" s="679"/>
      <c r="I127" s="679"/>
      <c r="J127" s="679"/>
      <c r="K127" s="679"/>
      <c r="L127" s="679"/>
    </row>
    <row r="128" spans="2:12">
      <c r="B128" s="679"/>
      <c r="C128" s="679"/>
      <c r="D128" s="679"/>
      <c r="E128" s="679"/>
      <c r="F128" s="679"/>
      <c r="G128" s="679"/>
      <c r="H128" s="679"/>
      <c r="I128" s="679"/>
      <c r="J128" s="679"/>
      <c r="K128" s="679"/>
      <c r="L128" s="679"/>
    </row>
    <row r="129" spans="2:12">
      <c r="B129" s="679"/>
      <c r="C129" s="679"/>
      <c r="D129" s="679"/>
      <c r="E129" s="679"/>
      <c r="F129" s="679"/>
      <c r="G129" s="679"/>
      <c r="H129" s="679"/>
      <c r="I129" s="679"/>
      <c r="J129" s="679"/>
      <c r="K129" s="679"/>
      <c r="L129" s="679"/>
    </row>
    <row r="130" spans="2:12">
      <c r="B130" s="679"/>
      <c r="C130" s="679"/>
      <c r="D130" s="679"/>
      <c r="E130" s="679"/>
      <c r="F130" s="679"/>
      <c r="G130" s="679"/>
      <c r="H130" s="679"/>
      <c r="I130" s="679"/>
      <c r="J130" s="679"/>
      <c r="K130" s="679"/>
      <c r="L130" s="679"/>
    </row>
    <row r="131" spans="2:12">
      <c r="B131" s="679"/>
      <c r="C131" s="679"/>
      <c r="D131" s="679"/>
      <c r="E131" s="679"/>
      <c r="F131" s="679"/>
      <c r="G131" s="679"/>
      <c r="H131" s="679"/>
      <c r="I131" s="679"/>
      <c r="J131" s="679"/>
      <c r="K131" s="679"/>
      <c r="L131" s="679"/>
    </row>
    <row r="132" spans="2:12">
      <c r="B132" s="679"/>
      <c r="C132" s="679"/>
      <c r="D132" s="679"/>
      <c r="E132" s="679"/>
      <c r="F132" s="679"/>
      <c r="G132" s="679"/>
      <c r="H132" s="679"/>
      <c r="I132" s="679"/>
      <c r="J132" s="679"/>
      <c r="K132" s="679"/>
      <c r="L132" s="679"/>
    </row>
    <row r="133" spans="2:12">
      <c r="B133" s="679"/>
      <c r="C133" s="679"/>
      <c r="D133" s="679"/>
      <c r="E133" s="679"/>
      <c r="F133" s="679"/>
      <c r="G133" s="679"/>
      <c r="H133" s="679"/>
      <c r="I133" s="679"/>
      <c r="J133" s="679"/>
      <c r="K133" s="679"/>
      <c r="L133" s="679"/>
    </row>
    <row r="134" spans="2:12">
      <c r="B134" s="679"/>
      <c r="C134" s="679"/>
      <c r="D134" s="679"/>
      <c r="E134" s="679"/>
      <c r="F134" s="679"/>
      <c r="G134" s="679"/>
      <c r="H134" s="679"/>
      <c r="I134" s="679"/>
      <c r="J134" s="679"/>
      <c r="K134" s="679"/>
      <c r="L134" s="679"/>
    </row>
    <row r="135" spans="2:12">
      <c r="B135" s="679"/>
      <c r="C135" s="679"/>
      <c r="D135" s="679"/>
      <c r="E135" s="679"/>
      <c r="F135" s="679"/>
      <c r="G135" s="679"/>
      <c r="H135" s="679"/>
      <c r="I135" s="679"/>
      <c r="J135" s="679"/>
      <c r="K135" s="679"/>
      <c r="L135" s="679"/>
    </row>
    <row r="136" spans="2:12">
      <c r="B136" s="679"/>
      <c r="C136" s="679"/>
      <c r="D136" s="679"/>
      <c r="E136" s="679"/>
      <c r="F136" s="679"/>
      <c r="G136" s="679"/>
      <c r="H136" s="679"/>
      <c r="I136" s="679"/>
      <c r="J136" s="679"/>
      <c r="K136" s="679"/>
      <c r="L136" s="679"/>
    </row>
    <row r="137" spans="2:12">
      <c r="B137" s="679"/>
      <c r="C137" s="679"/>
      <c r="D137" s="679"/>
      <c r="E137" s="679"/>
      <c r="F137" s="679"/>
      <c r="G137" s="679"/>
      <c r="H137" s="679"/>
      <c r="I137" s="679"/>
      <c r="J137" s="679"/>
      <c r="K137" s="679"/>
      <c r="L137" s="679"/>
    </row>
    <row r="138" spans="2:12">
      <c r="B138" s="679"/>
      <c r="C138" s="679"/>
      <c r="D138" s="679"/>
      <c r="E138" s="679"/>
      <c r="F138" s="679"/>
      <c r="G138" s="679"/>
      <c r="H138" s="679"/>
      <c r="I138" s="679"/>
      <c r="J138" s="679"/>
      <c r="K138" s="679"/>
      <c r="L138" s="679"/>
    </row>
    <row r="139" spans="2:12">
      <c r="B139" s="679"/>
      <c r="C139" s="679"/>
      <c r="D139" s="679"/>
      <c r="E139" s="679"/>
      <c r="F139" s="679"/>
      <c r="G139" s="679"/>
      <c r="H139" s="679"/>
      <c r="I139" s="679"/>
      <c r="J139" s="679"/>
      <c r="K139" s="679"/>
      <c r="L139" s="679"/>
    </row>
    <row r="140" spans="2:12">
      <c r="B140" s="679"/>
      <c r="C140" s="679"/>
      <c r="D140" s="679"/>
      <c r="E140" s="679"/>
      <c r="F140" s="679"/>
      <c r="G140" s="679"/>
      <c r="H140" s="679"/>
      <c r="I140" s="679"/>
      <c r="J140" s="679"/>
      <c r="K140" s="679"/>
      <c r="L140" s="679"/>
    </row>
  </sheetData>
  <mergeCells count="26">
    <mergeCell ref="Q41:R43"/>
    <mergeCell ref="S41:S43"/>
    <mergeCell ref="T41:X41"/>
    <mergeCell ref="Q27:R28"/>
    <mergeCell ref="S27:T27"/>
    <mergeCell ref="U27:U28"/>
    <mergeCell ref="V27:W27"/>
    <mergeCell ref="Q40:X40"/>
    <mergeCell ref="T42:X42"/>
    <mergeCell ref="R5:R7"/>
    <mergeCell ref="V4:W4"/>
    <mergeCell ref="X4:Y4"/>
    <mergeCell ref="Q26:W26"/>
    <mergeCell ref="U4:U5"/>
    <mergeCell ref="Q15:W15"/>
    <mergeCell ref="Q16:R17"/>
    <mergeCell ref="S16:T16"/>
    <mergeCell ref="U16:U17"/>
    <mergeCell ref="V16:W16"/>
    <mergeCell ref="S5:S7"/>
    <mergeCell ref="Z40:Z41"/>
    <mergeCell ref="AB4:AC4"/>
    <mergeCell ref="AB6:AB7"/>
    <mergeCell ref="AC6:AC7"/>
    <mergeCell ref="AB40:AF40"/>
    <mergeCell ref="AA40:AA41"/>
  </mergeCells>
  <conditionalFormatting sqref="B15:L140">
    <cfRule type="expression" dxfId="0" priority="1">
      <formula>ISEVEN(ROW())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93E84-1093-44D2-8502-521E8658281B}">
  <sheetPr codeName="Sheet3">
    <pageSetUpPr fitToPage="1"/>
  </sheetPr>
  <dimension ref="A1:AVG1048576"/>
  <sheetViews>
    <sheetView zoomScaleNormal="100" zoomScaleSheetLayoutView="100" workbookViewId="0">
      <selection activeCell="C4" sqref="C4"/>
    </sheetView>
  </sheetViews>
  <sheetFormatPr defaultColWidth="9.140625" defaultRowHeight="13.5" zeroHeight="1"/>
  <cols>
    <col min="1" max="1" width="3.85546875" style="441" customWidth="1"/>
    <col min="2" max="2" width="10.140625" style="441" customWidth="1"/>
    <col min="3" max="3" width="43" style="441" customWidth="1"/>
    <col min="4" max="4" width="8.140625" style="535" customWidth="1"/>
    <col min="5" max="5" width="7.42578125" style="535" customWidth="1"/>
    <col min="6" max="6" width="7.140625" style="535" customWidth="1"/>
    <col min="7" max="7" width="6" style="535" customWidth="1"/>
    <col min="8" max="8" width="6.5703125" style="535" customWidth="1"/>
    <col min="9" max="9" width="10.42578125" style="536" customWidth="1"/>
    <col min="10" max="10" width="8.140625" style="536" customWidth="1"/>
    <col min="11" max="11" width="7.85546875" style="536" customWidth="1"/>
    <col min="12" max="14" width="8" style="537" customWidth="1"/>
    <col min="15" max="15" width="14.42578125" style="537" customWidth="1"/>
    <col min="16" max="16" width="8.7109375" style="537" customWidth="1"/>
    <col min="17" max="17" width="25.28515625" style="441" customWidth="1"/>
    <col min="18" max="20" width="10.7109375" style="441" customWidth="1"/>
    <col min="21" max="21" width="2.85546875" style="441" customWidth="1"/>
    <col min="22" max="24" width="9.140625" style="440" customWidth="1"/>
    <col min="25" max="25" width="43" style="440" customWidth="1"/>
    <col min="26" max="1255" width="9.140625" style="440" customWidth="1"/>
    <col min="1256" max="16384" width="9.140625" style="441"/>
  </cols>
  <sheetData>
    <row r="1" spans="1:1255" ht="12.75" customHeight="1">
      <c r="A1" s="1099" t="e">
        <f ca="1">"Uncertainty Budget: Digital Pressure Gauge (" &amp; Q1&amp; ", "&amp; Q2 &amp; H1 &amp;" x " &amp; Division   &amp;H1 &amp; " )" &amp; " Test Point "&amp;D25</f>
        <v>#N/A</v>
      </c>
      <c r="B1" s="1100"/>
      <c r="C1" s="1100"/>
      <c r="D1" s="1100"/>
      <c r="E1" s="1100"/>
      <c r="F1" s="1101">
        <f ca="1">ABS(I1*UnitConvert)</f>
        <v>0</v>
      </c>
      <c r="G1" s="1102"/>
      <c r="H1" s="428" t="s">
        <v>371</v>
      </c>
      <c r="I1" s="429">
        <f ca="1">INDIRECT(A25)</f>
        <v>342.762</v>
      </c>
      <c r="J1" s="430" t="str">
        <f>_xlfn.SINGLE(Units)</f>
        <v>mm</v>
      </c>
      <c r="K1" s="431" t="e">
        <f ca="1">IF(C4="","","Uncertainty (U) = ±"&amp;TEXT(M22,"0.0")&amp;$F$4&amp;",  &amp;  (k="&amp;TEXT(M20,"0.00")&amp;", confidence level=95%)")</f>
        <v>#N/A</v>
      </c>
      <c r="L1" s="432"/>
      <c r="M1" s="432"/>
      <c r="N1" s="432"/>
      <c r="O1" s="433"/>
      <c r="P1" s="434" t="s">
        <v>372</v>
      </c>
      <c r="Q1" s="435" t="e">
        <f ca="1">VLOOKUP(VLOOKUP(I1,Worksheet!$A$18:$B$31,2),'1Test Data'!$M$6:$O$10,2,0)</f>
        <v>#N/A</v>
      </c>
      <c r="R1" s="436"/>
      <c r="S1" s="436"/>
      <c r="T1" s="437" t="str">
        <f ca="1">"TEX Ver "&amp;Mods!$A$1</f>
        <v>TEX Ver TAS-SST001v1</v>
      </c>
      <c r="U1" s="438"/>
      <c r="V1" s="439"/>
      <c r="W1" s="439"/>
      <c r="X1" s="439"/>
    </row>
    <row r="2" spans="1:1255" s="457" customFormat="1" ht="12" customHeight="1">
      <c r="A2" s="442" t="s">
        <v>373</v>
      </c>
      <c r="B2" s="443"/>
      <c r="C2" s="444"/>
      <c r="D2" s="445" t="s">
        <v>374</v>
      </c>
      <c r="E2" s="446">
        <f ca="1">Q2</f>
        <v>115</v>
      </c>
      <c r="F2" s="447"/>
      <c r="G2" s="447" t="e">
        <f ca="1">ROUND(M22/(F1/100),2)&amp;"% of Full Scale"</f>
        <v>#VALUE!</v>
      </c>
      <c r="H2" s="448"/>
      <c r="I2" s="448"/>
      <c r="J2" s="449" t="e">
        <f ca="1">M23</f>
        <v>#VALUE!</v>
      </c>
      <c r="K2" s="448"/>
      <c r="L2" s="450"/>
      <c r="M2" s="450"/>
      <c r="N2" s="450"/>
      <c r="O2" s="433"/>
      <c r="P2" s="451" t="s">
        <v>375</v>
      </c>
      <c r="Q2" s="452">
        <f ca="1">VLOOKUP(VLOOKUP(I1,Worksheet!$A$18:$B$31,2),'1Test Data'!$O$30:$T$49,6,0)</f>
        <v>115</v>
      </c>
      <c r="R2" s="453">
        <v>0</v>
      </c>
      <c r="S2" s="453"/>
      <c r="T2" s="454">
        <f ca="1">Mods!$A$4</f>
        <v>45809.486168981479</v>
      </c>
      <c r="U2" s="455"/>
      <c r="V2" s="439"/>
      <c r="W2" s="439"/>
      <c r="X2" s="439"/>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Y2" s="456"/>
      <c r="AZ2" s="456"/>
      <c r="BA2" s="456"/>
      <c r="BB2" s="456"/>
      <c r="BC2" s="456"/>
      <c r="BD2" s="456"/>
      <c r="BE2" s="456"/>
      <c r="BF2" s="456"/>
      <c r="BG2" s="456"/>
      <c r="BH2" s="456"/>
      <c r="BI2" s="456"/>
      <c r="BJ2" s="456"/>
      <c r="BK2" s="456"/>
      <c r="BL2" s="456"/>
      <c r="BM2" s="456"/>
      <c r="BN2" s="456"/>
      <c r="BO2" s="456"/>
      <c r="BP2" s="456"/>
      <c r="BQ2" s="456"/>
      <c r="BR2" s="456"/>
      <c r="BS2" s="456"/>
      <c r="BT2" s="456"/>
      <c r="BU2" s="456"/>
      <c r="BV2" s="456"/>
      <c r="BW2" s="456"/>
      <c r="BX2" s="456"/>
      <c r="BY2" s="456"/>
      <c r="BZ2" s="456"/>
      <c r="CA2" s="456"/>
      <c r="CB2" s="456"/>
      <c r="CC2" s="456"/>
      <c r="CD2" s="456"/>
      <c r="CE2" s="456"/>
      <c r="CF2" s="456"/>
      <c r="CG2" s="456"/>
      <c r="CH2" s="456"/>
      <c r="CI2" s="456"/>
      <c r="CJ2" s="456"/>
      <c r="CK2" s="456"/>
      <c r="CL2" s="456"/>
      <c r="CM2" s="456"/>
      <c r="CN2" s="456"/>
      <c r="CO2" s="456"/>
      <c r="CP2" s="456"/>
      <c r="CQ2" s="456"/>
      <c r="CR2" s="456"/>
      <c r="CS2" s="456"/>
      <c r="CT2" s="456"/>
      <c r="CU2" s="456"/>
      <c r="CV2" s="456"/>
      <c r="CW2" s="456"/>
      <c r="CX2" s="456"/>
      <c r="CY2" s="456"/>
      <c r="CZ2" s="456"/>
      <c r="DA2" s="456"/>
      <c r="DB2" s="456"/>
      <c r="DC2" s="456"/>
      <c r="DD2" s="456"/>
      <c r="DE2" s="456"/>
      <c r="DF2" s="456"/>
      <c r="DG2" s="456"/>
      <c r="DH2" s="456"/>
      <c r="DI2" s="456"/>
      <c r="DJ2" s="456"/>
      <c r="DK2" s="456"/>
      <c r="DL2" s="456"/>
      <c r="DM2" s="456"/>
      <c r="DN2" s="456"/>
      <c r="DO2" s="456"/>
      <c r="DP2" s="456"/>
      <c r="DQ2" s="456"/>
      <c r="DR2" s="456"/>
      <c r="DS2" s="456"/>
      <c r="DT2" s="456"/>
      <c r="DU2" s="456"/>
      <c r="DV2" s="456"/>
      <c r="DW2" s="456"/>
      <c r="DX2" s="456"/>
      <c r="DY2" s="456"/>
      <c r="DZ2" s="456"/>
      <c r="EA2" s="456"/>
      <c r="EB2" s="456"/>
      <c r="EC2" s="456"/>
      <c r="ED2" s="456"/>
      <c r="EE2" s="456"/>
      <c r="EF2" s="456"/>
      <c r="EG2" s="456"/>
      <c r="EH2" s="456"/>
      <c r="EI2" s="456"/>
      <c r="EJ2" s="456"/>
      <c r="EK2" s="456"/>
      <c r="EL2" s="456"/>
      <c r="EM2" s="456"/>
      <c r="EN2" s="456"/>
      <c r="EO2" s="456"/>
      <c r="EP2" s="456"/>
      <c r="EQ2" s="456"/>
      <c r="ER2" s="456"/>
      <c r="ES2" s="456"/>
      <c r="ET2" s="456"/>
      <c r="EU2" s="456"/>
      <c r="EV2" s="456"/>
      <c r="EW2" s="456"/>
      <c r="EX2" s="456"/>
      <c r="EY2" s="456"/>
      <c r="EZ2" s="456"/>
      <c r="FA2" s="456"/>
      <c r="FB2" s="456"/>
      <c r="FC2" s="456"/>
      <c r="FD2" s="456"/>
      <c r="FE2" s="456"/>
      <c r="FF2" s="456"/>
      <c r="FG2" s="456"/>
      <c r="FH2" s="456"/>
      <c r="FI2" s="456"/>
      <c r="FJ2" s="456"/>
      <c r="FK2" s="456"/>
      <c r="FL2" s="456"/>
      <c r="FM2" s="456"/>
      <c r="FN2" s="456"/>
      <c r="FO2" s="456"/>
      <c r="FP2" s="456"/>
      <c r="FQ2" s="456"/>
      <c r="FR2" s="456"/>
      <c r="FS2" s="456"/>
      <c r="FT2" s="456"/>
      <c r="FU2" s="456"/>
      <c r="FV2" s="456"/>
      <c r="FW2" s="456"/>
      <c r="FX2" s="456"/>
      <c r="FY2" s="456"/>
      <c r="FZ2" s="456"/>
      <c r="GA2" s="456"/>
      <c r="GB2" s="456"/>
      <c r="GC2" s="456"/>
      <c r="GD2" s="456"/>
      <c r="GE2" s="456"/>
      <c r="GF2" s="456"/>
      <c r="GG2" s="456"/>
      <c r="GH2" s="456"/>
      <c r="GI2" s="456"/>
      <c r="GJ2" s="456"/>
      <c r="GK2" s="456"/>
      <c r="GL2" s="456"/>
      <c r="GM2" s="456"/>
      <c r="GN2" s="456"/>
      <c r="GO2" s="456"/>
      <c r="GP2" s="456"/>
      <c r="GQ2" s="456"/>
      <c r="GR2" s="456"/>
      <c r="GS2" s="456"/>
      <c r="GT2" s="456"/>
      <c r="GU2" s="456"/>
      <c r="GV2" s="456"/>
      <c r="GW2" s="456"/>
      <c r="GX2" s="456"/>
      <c r="GY2" s="456"/>
      <c r="GZ2" s="456"/>
      <c r="HA2" s="456"/>
      <c r="HB2" s="456"/>
      <c r="HC2" s="456"/>
      <c r="HD2" s="456"/>
      <c r="HE2" s="456"/>
      <c r="HF2" s="456"/>
      <c r="HG2" s="456"/>
      <c r="HH2" s="456"/>
      <c r="HI2" s="456"/>
      <c r="HJ2" s="456"/>
      <c r="HK2" s="456"/>
      <c r="HL2" s="456"/>
      <c r="HM2" s="456"/>
      <c r="HN2" s="456"/>
      <c r="HO2" s="456"/>
      <c r="HP2" s="456"/>
      <c r="HQ2" s="456"/>
      <c r="HR2" s="456"/>
      <c r="HS2" s="456"/>
      <c r="HT2" s="456"/>
      <c r="HU2" s="456"/>
      <c r="HV2" s="456"/>
      <c r="HW2" s="456"/>
      <c r="HX2" s="456"/>
      <c r="HY2" s="456"/>
      <c r="HZ2" s="456"/>
      <c r="IA2" s="456"/>
      <c r="IB2" s="456"/>
      <c r="IC2" s="456"/>
      <c r="ID2" s="456"/>
      <c r="IE2" s="456"/>
      <c r="IF2" s="456"/>
      <c r="IG2" s="456"/>
      <c r="IH2" s="456"/>
      <c r="II2" s="456"/>
      <c r="IJ2" s="456"/>
      <c r="IK2" s="456"/>
      <c r="IL2" s="456"/>
      <c r="IM2" s="456"/>
      <c r="IN2" s="456"/>
      <c r="IO2" s="456"/>
      <c r="IP2" s="456"/>
      <c r="IQ2" s="456"/>
      <c r="IR2" s="456"/>
      <c r="IS2" s="456"/>
      <c r="IT2" s="456"/>
      <c r="IU2" s="456"/>
      <c r="IV2" s="456"/>
      <c r="IW2" s="456"/>
      <c r="IX2" s="456"/>
      <c r="IY2" s="456"/>
      <c r="IZ2" s="456"/>
      <c r="JA2" s="456"/>
      <c r="JB2" s="456"/>
      <c r="JC2" s="456"/>
      <c r="JD2" s="456"/>
      <c r="JE2" s="456"/>
      <c r="JF2" s="456"/>
      <c r="JG2" s="456"/>
      <c r="JH2" s="456"/>
      <c r="JI2" s="456"/>
      <c r="JJ2" s="456"/>
      <c r="JK2" s="456"/>
      <c r="JL2" s="456"/>
      <c r="JM2" s="456"/>
      <c r="JN2" s="456"/>
      <c r="JO2" s="456"/>
      <c r="JP2" s="456"/>
      <c r="JQ2" s="456"/>
      <c r="JR2" s="456"/>
      <c r="JS2" s="456"/>
      <c r="JT2" s="456"/>
      <c r="JU2" s="456"/>
      <c r="JV2" s="456"/>
      <c r="JW2" s="456"/>
      <c r="JX2" s="456"/>
      <c r="JY2" s="456"/>
      <c r="JZ2" s="456"/>
      <c r="KA2" s="456"/>
      <c r="KB2" s="456"/>
      <c r="KC2" s="456"/>
      <c r="KD2" s="456"/>
      <c r="KE2" s="456"/>
      <c r="KF2" s="456"/>
      <c r="KG2" s="456"/>
      <c r="KH2" s="456"/>
      <c r="KI2" s="456"/>
      <c r="KJ2" s="456"/>
      <c r="KK2" s="456"/>
      <c r="KL2" s="456"/>
      <c r="KM2" s="456"/>
      <c r="KN2" s="456"/>
      <c r="KO2" s="456"/>
      <c r="KP2" s="456"/>
      <c r="KQ2" s="456"/>
      <c r="KR2" s="456"/>
      <c r="KS2" s="456"/>
      <c r="KT2" s="456"/>
      <c r="KU2" s="456"/>
      <c r="KV2" s="456"/>
      <c r="KW2" s="456"/>
      <c r="KX2" s="456"/>
      <c r="KY2" s="456"/>
      <c r="KZ2" s="456"/>
      <c r="LA2" s="456"/>
      <c r="LB2" s="456"/>
      <c r="LC2" s="456"/>
      <c r="LD2" s="456"/>
      <c r="LE2" s="456"/>
      <c r="LF2" s="456"/>
      <c r="LG2" s="456"/>
      <c r="LH2" s="456"/>
      <c r="LI2" s="456"/>
      <c r="LJ2" s="456"/>
      <c r="LK2" s="456"/>
      <c r="LL2" s="456"/>
      <c r="LM2" s="456"/>
      <c r="LN2" s="456"/>
      <c r="LO2" s="456"/>
      <c r="LP2" s="456"/>
      <c r="LQ2" s="456"/>
      <c r="LR2" s="456"/>
      <c r="LS2" s="456"/>
      <c r="LT2" s="456"/>
      <c r="LU2" s="456"/>
      <c r="LV2" s="456"/>
      <c r="LW2" s="456"/>
      <c r="LX2" s="456"/>
      <c r="LY2" s="456"/>
      <c r="LZ2" s="456"/>
      <c r="MA2" s="456"/>
      <c r="MB2" s="456"/>
      <c r="MC2" s="456"/>
      <c r="MD2" s="456"/>
      <c r="ME2" s="456"/>
      <c r="MF2" s="456"/>
      <c r="MG2" s="456"/>
      <c r="MH2" s="456"/>
      <c r="MI2" s="456"/>
      <c r="MJ2" s="456"/>
      <c r="MK2" s="456"/>
      <c r="ML2" s="456"/>
      <c r="MM2" s="456"/>
      <c r="MN2" s="456"/>
      <c r="MO2" s="456"/>
      <c r="MP2" s="456"/>
      <c r="MQ2" s="456"/>
      <c r="MR2" s="456"/>
      <c r="MS2" s="456"/>
      <c r="MT2" s="456"/>
      <c r="MU2" s="456"/>
      <c r="MV2" s="456"/>
      <c r="MW2" s="456"/>
      <c r="MX2" s="456"/>
      <c r="MY2" s="456"/>
      <c r="MZ2" s="456"/>
      <c r="NA2" s="456"/>
      <c r="NB2" s="456"/>
      <c r="NC2" s="456"/>
      <c r="ND2" s="456"/>
      <c r="NE2" s="456"/>
      <c r="NF2" s="456"/>
      <c r="NG2" s="456"/>
      <c r="NH2" s="456"/>
      <c r="NI2" s="456"/>
      <c r="NJ2" s="456"/>
      <c r="NK2" s="456"/>
      <c r="NL2" s="456"/>
      <c r="NM2" s="456"/>
      <c r="NN2" s="456"/>
      <c r="NO2" s="456"/>
      <c r="NP2" s="456"/>
      <c r="NQ2" s="456"/>
      <c r="NR2" s="456"/>
      <c r="NS2" s="456"/>
      <c r="NT2" s="456"/>
      <c r="NU2" s="456"/>
      <c r="NV2" s="456"/>
      <c r="NW2" s="456"/>
      <c r="NX2" s="456"/>
      <c r="NY2" s="456"/>
      <c r="NZ2" s="456"/>
      <c r="OA2" s="456"/>
      <c r="OB2" s="456"/>
      <c r="OC2" s="456"/>
      <c r="OD2" s="456"/>
      <c r="OE2" s="456"/>
      <c r="OF2" s="456"/>
      <c r="OG2" s="456"/>
      <c r="OH2" s="456"/>
      <c r="OI2" s="456"/>
      <c r="OJ2" s="456"/>
      <c r="OK2" s="456"/>
      <c r="OL2" s="456"/>
      <c r="OM2" s="456"/>
      <c r="ON2" s="456"/>
      <c r="OO2" s="456"/>
      <c r="OP2" s="456"/>
      <c r="OQ2" s="456"/>
      <c r="OR2" s="456"/>
      <c r="OS2" s="456"/>
      <c r="OT2" s="456"/>
      <c r="OU2" s="456"/>
      <c r="OV2" s="456"/>
      <c r="OW2" s="456"/>
      <c r="OX2" s="456"/>
      <c r="OY2" s="456"/>
      <c r="OZ2" s="456"/>
      <c r="PA2" s="456"/>
      <c r="PB2" s="456"/>
      <c r="PC2" s="456"/>
      <c r="PD2" s="456"/>
      <c r="PE2" s="456"/>
      <c r="PF2" s="456"/>
      <c r="PG2" s="456"/>
      <c r="PH2" s="456"/>
      <c r="PI2" s="456"/>
      <c r="PJ2" s="456"/>
      <c r="PK2" s="456"/>
      <c r="PL2" s="456"/>
      <c r="PM2" s="456"/>
      <c r="PN2" s="456"/>
      <c r="PO2" s="456"/>
      <c r="PP2" s="456"/>
      <c r="PQ2" s="456"/>
      <c r="PR2" s="456"/>
      <c r="PS2" s="456"/>
      <c r="PT2" s="456"/>
      <c r="PU2" s="456"/>
      <c r="PV2" s="456"/>
      <c r="PW2" s="456"/>
      <c r="PX2" s="456"/>
      <c r="PY2" s="456"/>
      <c r="PZ2" s="456"/>
      <c r="QA2" s="456"/>
      <c r="QB2" s="456"/>
      <c r="QC2" s="456"/>
      <c r="QD2" s="456"/>
      <c r="QE2" s="456"/>
      <c r="QF2" s="456"/>
      <c r="QG2" s="456"/>
      <c r="QH2" s="456"/>
      <c r="QI2" s="456"/>
      <c r="QJ2" s="456"/>
      <c r="QK2" s="456"/>
      <c r="QL2" s="456"/>
      <c r="QM2" s="456"/>
      <c r="QN2" s="456"/>
      <c r="QO2" s="456"/>
      <c r="QP2" s="456"/>
      <c r="QQ2" s="456"/>
      <c r="QR2" s="456"/>
      <c r="QS2" s="456"/>
      <c r="QT2" s="456"/>
      <c r="QU2" s="456"/>
      <c r="QV2" s="456"/>
      <c r="QW2" s="456"/>
      <c r="QX2" s="456"/>
      <c r="QY2" s="456"/>
      <c r="QZ2" s="456"/>
      <c r="RA2" s="456"/>
      <c r="RB2" s="456"/>
      <c r="RC2" s="456"/>
      <c r="RD2" s="456"/>
      <c r="RE2" s="456"/>
      <c r="RF2" s="456"/>
      <c r="RG2" s="456"/>
      <c r="RH2" s="456"/>
      <c r="RI2" s="456"/>
      <c r="RJ2" s="456"/>
      <c r="RK2" s="456"/>
      <c r="RL2" s="456"/>
      <c r="RM2" s="456"/>
      <c r="RN2" s="456"/>
      <c r="RO2" s="456"/>
      <c r="RP2" s="456"/>
      <c r="RQ2" s="456"/>
      <c r="RR2" s="456"/>
      <c r="RS2" s="456"/>
      <c r="RT2" s="456"/>
      <c r="RU2" s="456"/>
      <c r="RV2" s="456"/>
      <c r="RW2" s="456"/>
      <c r="RX2" s="456"/>
      <c r="RY2" s="456"/>
      <c r="RZ2" s="456"/>
      <c r="SA2" s="456"/>
      <c r="SB2" s="456"/>
      <c r="SC2" s="456"/>
      <c r="SD2" s="456"/>
      <c r="SE2" s="456"/>
      <c r="SF2" s="456"/>
      <c r="SG2" s="456"/>
      <c r="SH2" s="456"/>
      <c r="SI2" s="456"/>
      <c r="SJ2" s="456"/>
      <c r="SK2" s="456"/>
      <c r="SL2" s="456"/>
      <c r="SM2" s="456"/>
      <c r="SN2" s="456"/>
      <c r="SO2" s="456"/>
      <c r="SP2" s="456"/>
      <c r="SQ2" s="456"/>
      <c r="SR2" s="456"/>
      <c r="SS2" s="456"/>
      <c r="ST2" s="456"/>
      <c r="SU2" s="456"/>
      <c r="SV2" s="456"/>
      <c r="SW2" s="456"/>
      <c r="SX2" s="456"/>
      <c r="SY2" s="456"/>
      <c r="SZ2" s="456"/>
      <c r="TA2" s="456"/>
      <c r="TB2" s="456"/>
      <c r="TC2" s="456"/>
      <c r="TD2" s="456"/>
      <c r="TE2" s="456"/>
      <c r="TF2" s="456"/>
      <c r="TG2" s="456"/>
      <c r="TH2" s="456"/>
      <c r="TI2" s="456"/>
      <c r="TJ2" s="456"/>
      <c r="TK2" s="456"/>
      <c r="TL2" s="456"/>
      <c r="TM2" s="456"/>
      <c r="TN2" s="456"/>
      <c r="TO2" s="456"/>
      <c r="TP2" s="456"/>
      <c r="TQ2" s="456"/>
      <c r="TR2" s="456"/>
      <c r="TS2" s="456"/>
      <c r="TT2" s="456"/>
      <c r="TU2" s="456"/>
      <c r="TV2" s="456"/>
      <c r="TW2" s="456"/>
      <c r="TX2" s="456"/>
      <c r="TY2" s="456"/>
      <c r="TZ2" s="456"/>
      <c r="UA2" s="456"/>
      <c r="UB2" s="456"/>
      <c r="UC2" s="456"/>
      <c r="UD2" s="456"/>
      <c r="UE2" s="456"/>
      <c r="UF2" s="456"/>
      <c r="UG2" s="456"/>
      <c r="UH2" s="456"/>
      <c r="UI2" s="456"/>
      <c r="UJ2" s="456"/>
      <c r="UK2" s="456"/>
      <c r="UL2" s="456"/>
      <c r="UM2" s="456"/>
      <c r="UN2" s="456"/>
      <c r="UO2" s="456"/>
      <c r="UP2" s="456"/>
      <c r="UQ2" s="456"/>
      <c r="UR2" s="456"/>
      <c r="US2" s="456"/>
      <c r="UT2" s="456"/>
      <c r="UU2" s="456"/>
      <c r="UV2" s="456"/>
      <c r="UW2" s="456"/>
      <c r="UX2" s="456"/>
      <c r="UY2" s="456"/>
      <c r="UZ2" s="456"/>
      <c r="VA2" s="456"/>
      <c r="VB2" s="456"/>
      <c r="VC2" s="456"/>
      <c r="VD2" s="456"/>
      <c r="VE2" s="456"/>
      <c r="VF2" s="456"/>
      <c r="VG2" s="456"/>
      <c r="VH2" s="456"/>
      <c r="VI2" s="456"/>
      <c r="VJ2" s="456"/>
      <c r="VK2" s="456"/>
      <c r="VL2" s="456"/>
      <c r="VM2" s="456"/>
      <c r="VN2" s="456"/>
      <c r="VO2" s="456"/>
      <c r="VP2" s="456"/>
      <c r="VQ2" s="456"/>
      <c r="VR2" s="456"/>
      <c r="VS2" s="456"/>
      <c r="VT2" s="456"/>
      <c r="VU2" s="456"/>
      <c r="VV2" s="456"/>
      <c r="VW2" s="456"/>
      <c r="VX2" s="456"/>
      <c r="VY2" s="456"/>
      <c r="VZ2" s="456"/>
      <c r="WA2" s="456"/>
      <c r="WB2" s="456"/>
      <c r="WC2" s="456"/>
      <c r="WD2" s="456"/>
      <c r="WE2" s="456"/>
      <c r="WF2" s="456"/>
      <c r="WG2" s="456"/>
      <c r="WH2" s="456"/>
      <c r="WI2" s="456"/>
      <c r="WJ2" s="456"/>
      <c r="WK2" s="456"/>
      <c r="WL2" s="456"/>
      <c r="WM2" s="456"/>
      <c r="WN2" s="456"/>
      <c r="WO2" s="456"/>
      <c r="WP2" s="456"/>
      <c r="WQ2" s="456"/>
      <c r="WR2" s="456"/>
      <c r="WS2" s="456"/>
      <c r="WT2" s="456"/>
      <c r="WU2" s="456"/>
      <c r="WV2" s="456"/>
      <c r="WW2" s="456"/>
      <c r="WX2" s="456"/>
      <c r="WY2" s="456"/>
      <c r="WZ2" s="456"/>
      <c r="XA2" s="456"/>
      <c r="XB2" s="456"/>
      <c r="XC2" s="456"/>
      <c r="XD2" s="456"/>
      <c r="XE2" s="456"/>
      <c r="XF2" s="456"/>
      <c r="XG2" s="456"/>
      <c r="XH2" s="456"/>
      <c r="XI2" s="456"/>
      <c r="XJ2" s="456"/>
      <c r="XK2" s="456"/>
      <c r="XL2" s="456"/>
      <c r="XM2" s="456"/>
      <c r="XN2" s="456"/>
      <c r="XO2" s="456"/>
      <c r="XP2" s="456"/>
      <c r="XQ2" s="456"/>
      <c r="XR2" s="456"/>
      <c r="XS2" s="456"/>
      <c r="XT2" s="456"/>
      <c r="XU2" s="456"/>
      <c r="XV2" s="456"/>
      <c r="XW2" s="456"/>
      <c r="XX2" s="456"/>
      <c r="XY2" s="456"/>
      <c r="XZ2" s="456"/>
      <c r="YA2" s="456"/>
      <c r="YB2" s="456"/>
      <c r="YC2" s="456"/>
      <c r="YD2" s="456"/>
      <c r="YE2" s="456"/>
      <c r="YF2" s="456"/>
      <c r="YG2" s="456"/>
      <c r="YH2" s="456"/>
      <c r="YI2" s="456"/>
      <c r="YJ2" s="456"/>
      <c r="YK2" s="456"/>
      <c r="YL2" s="456"/>
      <c r="YM2" s="456"/>
      <c r="YN2" s="456"/>
      <c r="YO2" s="456"/>
      <c r="YP2" s="456"/>
      <c r="YQ2" s="456"/>
      <c r="YR2" s="456"/>
      <c r="YS2" s="456"/>
      <c r="YT2" s="456"/>
      <c r="YU2" s="456"/>
      <c r="YV2" s="456"/>
      <c r="YW2" s="456"/>
      <c r="YX2" s="456"/>
      <c r="YY2" s="456"/>
      <c r="YZ2" s="456"/>
      <c r="ZA2" s="456"/>
      <c r="ZB2" s="456"/>
      <c r="ZC2" s="456"/>
      <c r="ZD2" s="456"/>
      <c r="ZE2" s="456"/>
      <c r="ZF2" s="456"/>
      <c r="ZG2" s="456"/>
      <c r="ZH2" s="456"/>
      <c r="ZI2" s="456"/>
      <c r="ZJ2" s="456"/>
      <c r="ZK2" s="456"/>
      <c r="ZL2" s="456"/>
      <c r="ZM2" s="456"/>
      <c r="ZN2" s="456"/>
      <c r="ZO2" s="456"/>
      <c r="ZP2" s="456"/>
      <c r="ZQ2" s="456"/>
      <c r="ZR2" s="456"/>
      <c r="ZS2" s="456"/>
      <c r="ZT2" s="456"/>
      <c r="ZU2" s="456"/>
      <c r="ZV2" s="456"/>
      <c r="ZW2" s="456"/>
      <c r="ZX2" s="456"/>
      <c r="ZY2" s="456"/>
      <c r="ZZ2" s="456"/>
      <c r="AAA2" s="456"/>
      <c r="AAB2" s="456"/>
      <c r="AAC2" s="456"/>
      <c r="AAD2" s="456"/>
      <c r="AAE2" s="456"/>
      <c r="AAF2" s="456"/>
      <c r="AAG2" s="456"/>
      <c r="AAH2" s="456"/>
      <c r="AAI2" s="456"/>
      <c r="AAJ2" s="456"/>
      <c r="AAK2" s="456"/>
      <c r="AAL2" s="456"/>
      <c r="AAM2" s="456"/>
      <c r="AAN2" s="456"/>
      <c r="AAO2" s="456"/>
      <c r="AAP2" s="456"/>
      <c r="AAQ2" s="456"/>
      <c r="AAR2" s="456"/>
      <c r="AAS2" s="456"/>
      <c r="AAT2" s="456"/>
      <c r="AAU2" s="456"/>
      <c r="AAV2" s="456"/>
      <c r="AAW2" s="456"/>
      <c r="AAX2" s="456"/>
      <c r="AAY2" s="456"/>
      <c r="AAZ2" s="456"/>
      <c r="ABA2" s="456"/>
      <c r="ABB2" s="456"/>
      <c r="ABC2" s="456"/>
      <c r="ABD2" s="456"/>
      <c r="ABE2" s="456"/>
      <c r="ABF2" s="456"/>
      <c r="ABG2" s="456"/>
      <c r="ABH2" s="456"/>
      <c r="ABI2" s="456"/>
      <c r="ABJ2" s="456"/>
      <c r="ABK2" s="456"/>
      <c r="ABL2" s="456"/>
      <c r="ABM2" s="456"/>
      <c r="ABN2" s="456"/>
      <c r="ABO2" s="456"/>
      <c r="ABP2" s="456"/>
      <c r="ABQ2" s="456"/>
      <c r="ABR2" s="456"/>
      <c r="ABS2" s="456"/>
      <c r="ABT2" s="456"/>
      <c r="ABU2" s="456"/>
      <c r="ABV2" s="456"/>
      <c r="ABW2" s="456"/>
      <c r="ABX2" s="456"/>
      <c r="ABY2" s="456"/>
      <c r="ABZ2" s="456"/>
      <c r="ACA2" s="456"/>
      <c r="ACB2" s="456"/>
      <c r="ACC2" s="456"/>
      <c r="ACD2" s="456"/>
      <c r="ACE2" s="456"/>
      <c r="ACF2" s="456"/>
      <c r="ACG2" s="456"/>
      <c r="ACH2" s="456"/>
      <c r="ACI2" s="456"/>
      <c r="ACJ2" s="456"/>
      <c r="ACK2" s="456"/>
      <c r="ACL2" s="456"/>
      <c r="ACM2" s="456"/>
      <c r="ACN2" s="456"/>
      <c r="ACO2" s="456"/>
      <c r="ACP2" s="456"/>
      <c r="ACQ2" s="456"/>
      <c r="ACR2" s="456"/>
      <c r="ACS2" s="456"/>
      <c r="ACT2" s="456"/>
      <c r="ACU2" s="456"/>
      <c r="ACV2" s="456"/>
      <c r="ACW2" s="456"/>
      <c r="ACX2" s="456"/>
      <c r="ACY2" s="456"/>
      <c r="ACZ2" s="456"/>
      <c r="ADA2" s="456"/>
      <c r="ADB2" s="456"/>
      <c r="ADC2" s="456"/>
      <c r="ADD2" s="456"/>
      <c r="ADE2" s="456"/>
      <c r="ADF2" s="456"/>
      <c r="ADG2" s="456"/>
      <c r="ADH2" s="456"/>
      <c r="ADI2" s="456"/>
      <c r="ADJ2" s="456"/>
      <c r="ADK2" s="456"/>
      <c r="ADL2" s="456"/>
      <c r="ADM2" s="456"/>
      <c r="ADN2" s="456"/>
      <c r="ADO2" s="456"/>
      <c r="ADP2" s="456"/>
      <c r="ADQ2" s="456"/>
      <c r="ADR2" s="456"/>
      <c r="ADS2" s="456"/>
      <c r="ADT2" s="456"/>
      <c r="ADU2" s="456"/>
      <c r="ADV2" s="456"/>
      <c r="ADW2" s="456"/>
      <c r="ADX2" s="456"/>
      <c r="ADY2" s="456"/>
      <c r="ADZ2" s="456"/>
      <c r="AEA2" s="456"/>
      <c r="AEB2" s="456"/>
      <c r="AEC2" s="456"/>
      <c r="AED2" s="456"/>
      <c r="AEE2" s="456"/>
      <c r="AEF2" s="456"/>
      <c r="AEG2" s="456"/>
      <c r="AEH2" s="456"/>
      <c r="AEI2" s="456"/>
      <c r="AEJ2" s="456"/>
      <c r="AEK2" s="456"/>
      <c r="AEL2" s="456"/>
      <c r="AEM2" s="456"/>
      <c r="AEN2" s="456"/>
      <c r="AEO2" s="456"/>
      <c r="AEP2" s="456"/>
      <c r="AEQ2" s="456"/>
      <c r="AER2" s="456"/>
      <c r="AES2" s="456"/>
      <c r="AET2" s="456"/>
      <c r="AEU2" s="456"/>
      <c r="AEV2" s="456"/>
      <c r="AEW2" s="456"/>
      <c r="AEX2" s="456"/>
      <c r="AEY2" s="456"/>
      <c r="AEZ2" s="456"/>
      <c r="AFA2" s="456"/>
      <c r="AFB2" s="456"/>
      <c r="AFC2" s="456"/>
      <c r="AFD2" s="456"/>
      <c r="AFE2" s="456"/>
      <c r="AFF2" s="456"/>
      <c r="AFG2" s="456"/>
      <c r="AFH2" s="456"/>
      <c r="AFI2" s="456"/>
      <c r="AFJ2" s="456"/>
      <c r="AFK2" s="456"/>
      <c r="AFL2" s="456"/>
      <c r="AFM2" s="456"/>
      <c r="AFN2" s="456"/>
      <c r="AFO2" s="456"/>
      <c r="AFP2" s="456"/>
      <c r="AFQ2" s="456"/>
      <c r="AFR2" s="456"/>
      <c r="AFS2" s="456"/>
      <c r="AFT2" s="456"/>
      <c r="AFU2" s="456"/>
      <c r="AFV2" s="456"/>
      <c r="AFW2" s="456"/>
      <c r="AFX2" s="456"/>
      <c r="AFY2" s="456"/>
      <c r="AFZ2" s="456"/>
      <c r="AGA2" s="456"/>
      <c r="AGB2" s="456"/>
      <c r="AGC2" s="456"/>
      <c r="AGD2" s="456"/>
      <c r="AGE2" s="456"/>
      <c r="AGF2" s="456"/>
      <c r="AGG2" s="456"/>
      <c r="AGH2" s="456"/>
      <c r="AGI2" s="456"/>
      <c r="AGJ2" s="456"/>
      <c r="AGK2" s="456"/>
      <c r="AGL2" s="456"/>
      <c r="AGM2" s="456"/>
      <c r="AGN2" s="456"/>
      <c r="AGO2" s="456"/>
      <c r="AGP2" s="456"/>
      <c r="AGQ2" s="456"/>
      <c r="AGR2" s="456"/>
      <c r="AGS2" s="456"/>
      <c r="AGT2" s="456"/>
      <c r="AGU2" s="456"/>
      <c r="AGV2" s="456"/>
      <c r="AGW2" s="456"/>
      <c r="AGX2" s="456"/>
      <c r="AGY2" s="456"/>
      <c r="AGZ2" s="456"/>
      <c r="AHA2" s="456"/>
      <c r="AHB2" s="456"/>
      <c r="AHC2" s="456"/>
      <c r="AHD2" s="456"/>
      <c r="AHE2" s="456"/>
      <c r="AHF2" s="456"/>
      <c r="AHG2" s="456"/>
      <c r="AHH2" s="456"/>
      <c r="AHI2" s="456"/>
      <c r="AHJ2" s="456"/>
      <c r="AHK2" s="456"/>
      <c r="AHL2" s="456"/>
      <c r="AHM2" s="456"/>
      <c r="AHN2" s="456"/>
      <c r="AHO2" s="456"/>
      <c r="AHP2" s="456"/>
      <c r="AHQ2" s="456"/>
      <c r="AHR2" s="456"/>
      <c r="AHS2" s="456"/>
      <c r="AHT2" s="456"/>
      <c r="AHU2" s="456"/>
      <c r="AHV2" s="456"/>
      <c r="AHW2" s="456"/>
      <c r="AHX2" s="456"/>
      <c r="AHY2" s="456"/>
      <c r="AHZ2" s="456"/>
      <c r="AIA2" s="456"/>
      <c r="AIB2" s="456"/>
      <c r="AIC2" s="456"/>
      <c r="AID2" s="456"/>
      <c r="AIE2" s="456"/>
      <c r="AIF2" s="456"/>
      <c r="AIG2" s="456"/>
      <c r="AIH2" s="456"/>
      <c r="AII2" s="456"/>
      <c r="AIJ2" s="456"/>
      <c r="AIK2" s="456"/>
      <c r="AIL2" s="456"/>
      <c r="AIM2" s="456"/>
      <c r="AIN2" s="456"/>
      <c r="AIO2" s="456"/>
      <c r="AIP2" s="456"/>
      <c r="AIQ2" s="456"/>
      <c r="AIR2" s="456"/>
      <c r="AIS2" s="456"/>
      <c r="AIT2" s="456"/>
      <c r="AIU2" s="456"/>
      <c r="AIV2" s="456"/>
      <c r="AIW2" s="456"/>
      <c r="AIX2" s="456"/>
      <c r="AIY2" s="456"/>
      <c r="AIZ2" s="456"/>
      <c r="AJA2" s="456"/>
      <c r="AJB2" s="456"/>
      <c r="AJC2" s="456"/>
      <c r="AJD2" s="456"/>
      <c r="AJE2" s="456"/>
      <c r="AJF2" s="456"/>
      <c r="AJG2" s="456"/>
      <c r="AJH2" s="456"/>
      <c r="AJI2" s="456"/>
      <c r="AJJ2" s="456"/>
      <c r="AJK2" s="456"/>
      <c r="AJL2" s="456"/>
      <c r="AJM2" s="456"/>
      <c r="AJN2" s="456"/>
      <c r="AJO2" s="456"/>
      <c r="AJP2" s="456"/>
      <c r="AJQ2" s="456"/>
      <c r="AJR2" s="456"/>
      <c r="AJS2" s="456"/>
      <c r="AJT2" s="456"/>
      <c r="AJU2" s="456"/>
      <c r="AJV2" s="456"/>
      <c r="AJW2" s="456"/>
      <c r="AJX2" s="456"/>
      <c r="AJY2" s="456"/>
      <c r="AJZ2" s="456"/>
      <c r="AKA2" s="456"/>
      <c r="AKB2" s="456"/>
      <c r="AKC2" s="456"/>
      <c r="AKD2" s="456"/>
      <c r="AKE2" s="456"/>
      <c r="AKF2" s="456"/>
      <c r="AKG2" s="456"/>
      <c r="AKH2" s="456"/>
      <c r="AKI2" s="456"/>
      <c r="AKJ2" s="456"/>
      <c r="AKK2" s="456"/>
      <c r="AKL2" s="456"/>
      <c r="AKM2" s="456"/>
      <c r="AKN2" s="456"/>
      <c r="AKO2" s="456"/>
      <c r="AKP2" s="456"/>
      <c r="AKQ2" s="456"/>
      <c r="AKR2" s="456"/>
      <c r="AKS2" s="456"/>
      <c r="AKT2" s="456"/>
      <c r="AKU2" s="456"/>
      <c r="AKV2" s="456"/>
      <c r="AKW2" s="456"/>
      <c r="AKX2" s="456"/>
      <c r="AKY2" s="456"/>
      <c r="AKZ2" s="456"/>
      <c r="ALA2" s="456"/>
      <c r="ALB2" s="456"/>
      <c r="ALC2" s="456"/>
      <c r="ALD2" s="456"/>
      <c r="ALE2" s="456"/>
      <c r="ALF2" s="456"/>
      <c r="ALG2" s="456"/>
      <c r="ALH2" s="456"/>
      <c r="ALI2" s="456"/>
      <c r="ALJ2" s="456"/>
      <c r="ALK2" s="456"/>
      <c r="ALL2" s="456"/>
      <c r="ALM2" s="456"/>
      <c r="ALN2" s="456"/>
      <c r="ALO2" s="456"/>
      <c r="ALP2" s="456"/>
      <c r="ALQ2" s="456"/>
      <c r="ALR2" s="456"/>
      <c r="ALS2" s="456"/>
      <c r="ALT2" s="456"/>
      <c r="ALU2" s="456"/>
      <c r="ALV2" s="456"/>
      <c r="ALW2" s="456"/>
      <c r="ALX2" s="456"/>
      <c r="ALY2" s="456"/>
      <c r="ALZ2" s="456"/>
      <c r="AMA2" s="456"/>
      <c r="AMB2" s="456"/>
      <c r="AMC2" s="456"/>
      <c r="AMD2" s="456"/>
      <c r="AME2" s="456"/>
      <c r="AMF2" s="456"/>
      <c r="AMG2" s="456"/>
      <c r="AMH2" s="456"/>
      <c r="AMI2" s="456"/>
      <c r="AMJ2" s="456"/>
      <c r="AMK2" s="456"/>
      <c r="AML2" s="456"/>
      <c r="AMM2" s="456"/>
      <c r="AMN2" s="456"/>
      <c r="AMO2" s="456"/>
      <c r="AMP2" s="456"/>
      <c r="AMQ2" s="456"/>
      <c r="AMR2" s="456"/>
      <c r="AMS2" s="456"/>
      <c r="AMT2" s="456"/>
      <c r="AMU2" s="456"/>
      <c r="AMV2" s="456"/>
      <c r="AMW2" s="456"/>
      <c r="AMX2" s="456"/>
      <c r="AMY2" s="456"/>
      <c r="AMZ2" s="456"/>
      <c r="ANA2" s="456"/>
      <c r="ANB2" s="456"/>
      <c r="ANC2" s="456"/>
      <c r="AND2" s="456"/>
      <c r="ANE2" s="456"/>
      <c r="ANF2" s="456"/>
      <c r="ANG2" s="456"/>
      <c r="ANH2" s="456"/>
      <c r="ANI2" s="456"/>
      <c r="ANJ2" s="456"/>
      <c r="ANK2" s="456"/>
      <c r="ANL2" s="456"/>
      <c r="ANM2" s="456"/>
      <c r="ANN2" s="456"/>
      <c r="ANO2" s="456"/>
      <c r="ANP2" s="456"/>
      <c r="ANQ2" s="456"/>
      <c r="ANR2" s="456"/>
      <c r="ANS2" s="456"/>
      <c r="ANT2" s="456"/>
      <c r="ANU2" s="456"/>
      <c r="ANV2" s="456"/>
      <c r="ANW2" s="456"/>
      <c r="ANX2" s="456"/>
      <c r="ANY2" s="456"/>
      <c r="ANZ2" s="456"/>
      <c r="AOA2" s="456"/>
      <c r="AOB2" s="456"/>
      <c r="AOC2" s="456"/>
      <c r="AOD2" s="456"/>
      <c r="AOE2" s="456"/>
      <c r="AOF2" s="456"/>
      <c r="AOG2" s="456"/>
      <c r="AOH2" s="456"/>
      <c r="AOI2" s="456"/>
      <c r="AOJ2" s="456"/>
      <c r="AOK2" s="456"/>
      <c r="AOL2" s="456"/>
      <c r="AOM2" s="456"/>
      <c r="AON2" s="456"/>
      <c r="AOO2" s="456"/>
      <c r="AOP2" s="456"/>
      <c r="AOQ2" s="456"/>
      <c r="AOR2" s="456"/>
      <c r="AOS2" s="456"/>
      <c r="AOT2" s="456"/>
      <c r="AOU2" s="456"/>
      <c r="AOV2" s="456"/>
      <c r="AOW2" s="456"/>
      <c r="AOX2" s="456"/>
      <c r="AOY2" s="456"/>
      <c r="AOZ2" s="456"/>
      <c r="APA2" s="456"/>
      <c r="APB2" s="456"/>
      <c r="APC2" s="456"/>
      <c r="APD2" s="456"/>
      <c r="APE2" s="456"/>
      <c r="APF2" s="456"/>
      <c r="APG2" s="456"/>
      <c r="APH2" s="456"/>
      <c r="API2" s="456"/>
      <c r="APJ2" s="456"/>
      <c r="APK2" s="456"/>
      <c r="APL2" s="456"/>
      <c r="APM2" s="456"/>
      <c r="APN2" s="456"/>
      <c r="APO2" s="456"/>
      <c r="APP2" s="456"/>
      <c r="APQ2" s="456"/>
      <c r="APR2" s="456"/>
      <c r="APS2" s="456"/>
      <c r="APT2" s="456"/>
      <c r="APU2" s="456"/>
      <c r="APV2" s="456"/>
      <c r="APW2" s="456"/>
      <c r="APX2" s="456"/>
      <c r="APY2" s="456"/>
      <c r="APZ2" s="456"/>
      <c r="AQA2" s="456"/>
      <c r="AQB2" s="456"/>
      <c r="AQC2" s="456"/>
      <c r="AQD2" s="456"/>
      <c r="AQE2" s="456"/>
      <c r="AQF2" s="456"/>
      <c r="AQG2" s="456"/>
      <c r="AQH2" s="456"/>
      <c r="AQI2" s="456"/>
      <c r="AQJ2" s="456"/>
      <c r="AQK2" s="456"/>
      <c r="AQL2" s="456"/>
      <c r="AQM2" s="456"/>
      <c r="AQN2" s="456"/>
      <c r="AQO2" s="456"/>
      <c r="AQP2" s="456"/>
      <c r="AQQ2" s="456"/>
      <c r="AQR2" s="456"/>
      <c r="AQS2" s="456"/>
      <c r="AQT2" s="456"/>
      <c r="AQU2" s="456"/>
      <c r="AQV2" s="456"/>
      <c r="AQW2" s="456"/>
      <c r="AQX2" s="456"/>
      <c r="AQY2" s="456"/>
      <c r="AQZ2" s="456"/>
      <c r="ARA2" s="456"/>
      <c r="ARB2" s="456"/>
      <c r="ARC2" s="456"/>
      <c r="ARD2" s="456"/>
      <c r="ARE2" s="456"/>
      <c r="ARF2" s="456"/>
      <c r="ARG2" s="456"/>
      <c r="ARH2" s="456"/>
      <c r="ARI2" s="456"/>
      <c r="ARJ2" s="456"/>
      <c r="ARK2" s="456"/>
      <c r="ARL2" s="456"/>
      <c r="ARM2" s="456"/>
      <c r="ARN2" s="456"/>
      <c r="ARO2" s="456"/>
      <c r="ARP2" s="456"/>
      <c r="ARQ2" s="456"/>
      <c r="ARR2" s="456"/>
      <c r="ARS2" s="456"/>
      <c r="ART2" s="456"/>
      <c r="ARU2" s="456"/>
      <c r="ARV2" s="456"/>
      <c r="ARW2" s="456"/>
      <c r="ARX2" s="456"/>
      <c r="ARY2" s="456"/>
      <c r="ARZ2" s="456"/>
      <c r="ASA2" s="456"/>
      <c r="ASB2" s="456"/>
      <c r="ASC2" s="456"/>
      <c r="ASD2" s="456"/>
      <c r="ASE2" s="456"/>
      <c r="ASF2" s="456"/>
      <c r="ASG2" s="456"/>
      <c r="ASH2" s="456"/>
      <c r="ASI2" s="456"/>
      <c r="ASJ2" s="456"/>
      <c r="ASK2" s="456"/>
      <c r="ASL2" s="456"/>
      <c r="ASM2" s="456"/>
      <c r="ASN2" s="456"/>
      <c r="ASO2" s="456"/>
      <c r="ASP2" s="456"/>
      <c r="ASQ2" s="456"/>
      <c r="ASR2" s="456"/>
      <c r="ASS2" s="456"/>
      <c r="AST2" s="456"/>
      <c r="ASU2" s="456"/>
      <c r="ASV2" s="456"/>
      <c r="ASW2" s="456"/>
      <c r="ASX2" s="456"/>
      <c r="ASY2" s="456"/>
      <c r="ASZ2" s="456"/>
      <c r="ATA2" s="456"/>
      <c r="ATB2" s="456"/>
      <c r="ATC2" s="456"/>
      <c r="ATD2" s="456"/>
      <c r="ATE2" s="456"/>
      <c r="ATF2" s="456"/>
      <c r="ATG2" s="456"/>
      <c r="ATH2" s="456"/>
      <c r="ATI2" s="456"/>
      <c r="ATJ2" s="456"/>
      <c r="ATK2" s="456"/>
      <c r="ATL2" s="456"/>
      <c r="ATM2" s="456"/>
      <c r="ATN2" s="456"/>
      <c r="ATO2" s="456"/>
      <c r="ATP2" s="456"/>
      <c r="ATQ2" s="456"/>
      <c r="ATR2" s="456"/>
      <c r="ATS2" s="456"/>
      <c r="ATT2" s="456"/>
      <c r="ATU2" s="456"/>
      <c r="ATV2" s="456"/>
      <c r="ATW2" s="456"/>
      <c r="ATX2" s="456"/>
      <c r="ATY2" s="456"/>
      <c r="ATZ2" s="456"/>
      <c r="AUA2" s="456"/>
      <c r="AUB2" s="456"/>
      <c r="AUC2" s="456"/>
      <c r="AUD2" s="456"/>
      <c r="AUE2" s="456"/>
      <c r="AUF2" s="456"/>
      <c r="AUG2" s="456"/>
      <c r="AUH2" s="456"/>
      <c r="AUI2" s="456"/>
      <c r="AUJ2" s="456"/>
      <c r="AUK2" s="456"/>
      <c r="AUL2" s="456"/>
      <c r="AUM2" s="456"/>
      <c r="AUN2" s="456"/>
      <c r="AUO2" s="456"/>
      <c r="AUP2" s="456"/>
      <c r="AUQ2" s="456"/>
      <c r="AUR2" s="456"/>
      <c r="AUS2" s="456"/>
      <c r="AUT2" s="456"/>
      <c r="AUU2" s="456"/>
      <c r="AUV2" s="456"/>
      <c r="AUW2" s="456"/>
      <c r="AUX2" s="456"/>
      <c r="AUY2" s="456"/>
      <c r="AUZ2" s="456"/>
      <c r="AVA2" s="456"/>
      <c r="AVB2" s="456"/>
      <c r="AVC2" s="456"/>
      <c r="AVD2" s="456"/>
      <c r="AVE2" s="456"/>
      <c r="AVF2" s="456"/>
      <c r="AVG2" s="456"/>
    </row>
    <row r="3" spans="1:1255" s="469" customFormat="1" ht="34.5" customHeight="1">
      <c r="A3" s="458" t="s">
        <v>376</v>
      </c>
      <c r="B3" s="459" t="s">
        <v>377</v>
      </c>
      <c r="C3" s="460" t="s">
        <v>378</v>
      </c>
      <c r="D3" s="460" t="s">
        <v>379</v>
      </c>
      <c r="E3" s="460" t="s">
        <v>380</v>
      </c>
      <c r="F3" s="460" t="s">
        <v>381</v>
      </c>
      <c r="G3" s="460" t="s">
        <v>178</v>
      </c>
      <c r="H3" s="461" t="s">
        <v>382</v>
      </c>
      <c r="I3" s="461" t="s">
        <v>383</v>
      </c>
      <c r="J3" s="462" t="s">
        <v>384</v>
      </c>
      <c r="K3" s="463" t="s">
        <v>385</v>
      </c>
      <c r="L3" s="461" t="s">
        <v>386</v>
      </c>
      <c r="M3" s="461" t="s">
        <v>387</v>
      </c>
      <c r="N3" s="461" t="s">
        <v>388</v>
      </c>
      <c r="O3" s="461" t="s">
        <v>389</v>
      </c>
      <c r="P3" s="464" t="s">
        <v>390</v>
      </c>
      <c r="Q3" s="452">
        <f ca="1">VLOOKUP(VLOOKUP(I1,Worksheet!$A$18:$B$31,2),'1Test Data'!$O$30:$V$49,8,0)</f>
        <v>0</v>
      </c>
      <c r="R3" s="465" t="s">
        <v>391</v>
      </c>
      <c r="S3" s="465" t="s">
        <v>391</v>
      </c>
      <c r="T3" s="466" t="s">
        <v>392</v>
      </c>
      <c r="U3" s="467"/>
      <c r="V3" s="439"/>
      <c r="W3" s="439"/>
      <c r="X3" s="439"/>
      <c r="Y3" s="468"/>
      <c r="Z3" s="439"/>
      <c r="AA3" s="439"/>
      <c r="AB3" s="468"/>
      <c r="AC3" s="468"/>
      <c r="AD3" s="468"/>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468"/>
      <c r="BH3" s="468"/>
      <c r="BI3" s="468"/>
      <c r="BJ3" s="468"/>
      <c r="BK3" s="468"/>
      <c r="BL3" s="468"/>
      <c r="BM3" s="468"/>
      <c r="BN3" s="468"/>
      <c r="BO3" s="468"/>
      <c r="BP3" s="468"/>
      <c r="BQ3" s="468"/>
      <c r="BR3" s="468"/>
      <c r="BS3" s="468"/>
      <c r="BT3" s="468"/>
      <c r="BU3" s="468"/>
      <c r="BV3" s="468"/>
      <c r="BW3" s="468"/>
      <c r="BX3" s="468"/>
      <c r="BY3" s="468"/>
      <c r="BZ3" s="468"/>
      <c r="CA3" s="468"/>
      <c r="CB3" s="468"/>
      <c r="CC3" s="468"/>
      <c r="CD3" s="468"/>
      <c r="CE3" s="468"/>
      <c r="CF3" s="468"/>
      <c r="CG3" s="468"/>
      <c r="CH3" s="468"/>
      <c r="CI3" s="468"/>
      <c r="CJ3" s="468"/>
      <c r="CK3" s="468"/>
      <c r="CL3" s="468"/>
      <c r="CM3" s="468"/>
      <c r="CN3" s="468"/>
      <c r="CO3" s="468"/>
      <c r="CP3" s="468"/>
      <c r="CQ3" s="468"/>
      <c r="CR3" s="468"/>
      <c r="CS3" s="468"/>
      <c r="CT3" s="468"/>
      <c r="CU3" s="468"/>
      <c r="CV3" s="468"/>
      <c r="CW3" s="468"/>
      <c r="CX3" s="468"/>
      <c r="CY3" s="468"/>
      <c r="CZ3" s="468"/>
      <c r="DA3" s="468"/>
      <c r="DB3" s="468"/>
      <c r="DC3" s="468"/>
      <c r="DD3" s="468"/>
      <c r="DE3" s="468"/>
      <c r="DF3" s="468"/>
      <c r="DG3" s="468"/>
      <c r="DH3" s="468"/>
      <c r="DI3" s="468"/>
      <c r="DJ3" s="468"/>
      <c r="DK3" s="468"/>
      <c r="DL3" s="468"/>
      <c r="DM3" s="468"/>
      <c r="DN3" s="468"/>
      <c r="DO3" s="468"/>
      <c r="DP3" s="468"/>
      <c r="DQ3" s="468"/>
      <c r="DR3" s="468"/>
      <c r="DS3" s="468"/>
      <c r="DT3" s="468"/>
      <c r="DU3" s="468"/>
      <c r="DV3" s="468"/>
      <c r="DW3" s="468"/>
      <c r="DX3" s="468"/>
      <c r="DY3" s="468"/>
      <c r="DZ3" s="468"/>
      <c r="EA3" s="468"/>
      <c r="EB3" s="468"/>
      <c r="EC3" s="468"/>
      <c r="ED3" s="468"/>
      <c r="EE3" s="468"/>
      <c r="EF3" s="468"/>
      <c r="EG3" s="468"/>
      <c r="EH3" s="468"/>
      <c r="EI3" s="468"/>
      <c r="EJ3" s="468"/>
      <c r="EK3" s="468"/>
      <c r="EL3" s="468"/>
      <c r="EM3" s="468"/>
      <c r="EN3" s="468"/>
      <c r="EO3" s="468"/>
      <c r="EP3" s="468"/>
      <c r="EQ3" s="468"/>
      <c r="ER3" s="468"/>
      <c r="ES3" s="468"/>
      <c r="ET3" s="468"/>
      <c r="EU3" s="468"/>
      <c r="EV3" s="468"/>
      <c r="EW3" s="468"/>
      <c r="EX3" s="468"/>
      <c r="EY3" s="468"/>
      <c r="EZ3" s="468"/>
      <c r="FA3" s="468"/>
      <c r="FB3" s="468"/>
      <c r="FC3" s="468"/>
      <c r="FD3" s="468"/>
      <c r="FE3" s="468"/>
      <c r="FF3" s="468"/>
      <c r="FG3" s="468"/>
      <c r="FH3" s="468"/>
      <c r="FI3" s="468"/>
      <c r="FJ3" s="468"/>
      <c r="FK3" s="468"/>
      <c r="FL3" s="468"/>
      <c r="FM3" s="468"/>
      <c r="FN3" s="468"/>
      <c r="FO3" s="468"/>
      <c r="FP3" s="468"/>
      <c r="FQ3" s="468"/>
      <c r="FR3" s="468"/>
      <c r="FS3" s="468"/>
      <c r="FT3" s="468"/>
      <c r="FU3" s="468"/>
      <c r="FV3" s="468"/>
      <c r="FW3" s="468"/>
      <c r="FX3" s="468"/>
      <c r="FY3" s="468"/>
      <c r="FZ3" s="468"/>
      <c r="GA3" s="468"/>
      <c r="GB3" s="468"/>
      <c r="GC3" s="468"/>
      <c r="GD3" s="468"/>
      <c r="GE3" s="468"/>
      <c r="GF3" s="468"/>
      <c r="GG3" s="468"/>
      <c r="GH3" s="468"/>
      <c r="GI3" s="468"/>
      <c r="GJ3" s="468"/>
      <c r="GK3" s="468"/>
      <c r="GL3" s="468"/>
      <c r="GM3" s="468"/>
      <c r="GN3" s="468"/>
      <c r="GO3" s="468"/>
      <c r="GP3" s="468"/>
      <c r="GQ3" s="468"/>
      <c r="GR3" s="468"/>
      <c r="GS3" s="468"/>
      <c r="GT3" s="468"/>
      <c r="GU3" s="468"/>
      <c r="GV3" s="468"/>
      <c r="GW3" s="468"/>
      <c r="GX3" s="468"/>
      <c r="GY3" s="468"/>
      <c r="GZ3" s="468"/>
      <c r="HA3" s="468"/>
      <c r="HB3" s="468"/>
      <c r="HC3" s="468"/>
      <c r="HD3" s="468"/>
      <c r="HE3" s="468"/>
      <c r="HF3" s="468"/>
      <c r="HG3" s="468"/>
      <c r="HH3" s="468"/>
      <c r="HI3" s="468"/>
      <c r="HJ3" s="468"/>
      <c r="HK3" s="468"/>
      <c r="HL3" s="468"/>
      <c r="HM3" s="468"/>
      <c r="HN3" s="468"/>
      <c r="HO3" s="468"/>
      <c r="HP3" s="468"/>
      <c r="HQ3" s="468"/>
      <c r="HR3" s="468"/>
      <c r="HS3" s="468"/>
      <c r="HT3" s="468"/>
      <c r="HU3" s="468"/>
      <c r="HV3" s="468"/>
      <c r="HW3" s="468"/>
      <c r="HX3" s="468"/>
      <c r="HY3" s="468"/>
      <c r="HZ3" s="468"/>
      <c r="IA3" s="468"/>
      <c r="IB3" s="468"/>
      <c r="IC3" s="468"/>
      <c r="ID3" s="468"/>
      <c r="IE3" s="468"/>
      <c r="IF3" s="468"/>
      <c r="IG3" s="468"/>
      <c r="IH3" s="468"/>
      <c r="II3" s="468"/>
      <c r="IJ3" s="468"/>
      <c r="IK3" s="468"/>
      <c r="IL3" s="468"/>
      <c r="IM3" s="468"/>
      <c r="IN3" s="468"/>
      <c r="IO3" s="468"/>
      <c r="IP3" s="468"/>
      <c r="IQ3" s="468"/>
      <c r="IR3" s="468"/>
      <c r="IS3" s="468"/>
      <c r="IT3" s="468"/>
      <c r="IU3" s="468"/>
      <c r="IV3" s="468"/>
      <c r="IW3" s="468"/>
      <c r="IX3" s="468"/>
      <c r="IY3" s="468"/>
      <c r="IZ3" s="468"/>
      <c r="JA3" s="468"/>
      <c r="JB3" s="468"/>
      <c r="JC3" s="468"/>
      <c r="JD3" s="468"/>
      <c r="JE3" s="468"/>
      <c r="JF3" s="468"/>
      <c r="JG3" s="468"/>
      <c r="JH3" s="468"/>
      <c r="JI3" s="468"/>
      <c r="JJ3" s="468"/>
      <c r="JK3" s="468"/>
      <c r="JL3" s="468"/>
      <c r="JM3" s="468"/>
      <c r="JN3" s="468"/>
      <c r="JO3" s="468"/>
      <c r="JP3" s="468"/>
      <c r="JQ3" s="468"/>
      <c r="JR3" s="468"/>
      <c r="JS3" s="468"/>
      <c r="JT3" s="468"/>
      <c r="JU3" s="468"/>
      <c r="JV3" s="468"/>
      <c r="JW3" s="468"/>
      <c r="JX3" s="468"/>
      <c r="JY3" s="468"/>
      <c r="JZ3" s="468"/>
      <c r="KA3" s="468"/>
      <c r="KB3" s="468"/>
      <c r="KC3" s="468"/>
      <c r="KD3" s="468"/>
      <c r="KE3" s="468"/>
      <c r="KF3" s="468"/>
      <c r="KG3" s="468"/>
      <c r="KH3" s="468"/>
      <c r="KI3" s="468"/>
      <c r="KJ3" s="468"/>
      <c r="KK3" s="468"/>
      <c r="KL3" s="468"/>
      <c r="KM3" s="468"/>
      <c r="KN3" s="468"/>
      <c r="KO3" s="468"/>
      <c r="KP3" s="468"/>
      <c r="KQ3" s="468"/>
      <c r="KR3" s="468"/>
      <c r="KS3" s="468"/>
      <c r="KT3" s="468"/>
      <c r="KU3" s="468"/>
      <c r="KV3" s="468"/>
      <c r="KW3" s="468"/>
      <c r="KX3" s="468"/>
      <c r="KY3" s="468"/>
      <c r="KZ3" s="468"/>
      <c r="LA3" s="468"/>
      <c r="LB3" s="468"/>
      <c r="LC3" s="468"/>
      <c r="LD3" s="468"/>
      <c r="LE3" s="468"/>
      <c r="LF3" s="468"/>
      <c r="LG3" s="468"/>
      <c r="LH3" s="468"/>
      <c r="LI3" s="468"/>
      <c r="LJ3" s="468"/>
      <c r="LK3" s="468"/>
      <c r="LL3" s="468"/>
      <c r="LM3" s="468"/>
      <c r="LN3" s="468"/>
      <c r="LO3" s="468"/>
      <c r="LP3" s="468"/>
      <c r="LQ3" s="468"/>
      <c r="LR3" s="468"/>
      <c r="LS3" s="468"/>
      <c r="LT3" s="468"/>
      <c r="LU3" s="468"/>
      <c r="LV3" s="468"/>
      <c r="LW3" s="468"/>
      <c r="LX3" s="468"/>
      <c r="LY3" s="468"/>
      <c r="LZ3" s="468"/>
      <c r="MA3" s="468"/>
      <c r="MB3" s="468"/>
      <c r="MC3" s="468"/>
      <c r="MD3" s="468"/>
      <c r="ME3" s="468"/>
      <c r="MF3" s="468"/>
      <c r="MG3" s="468"/>
      <c r="MH3" s="468"/>
      <c r="MI3" s="468"/>
      <c r="MJ3" s="468"/>
      <c r="MK3" s="468"/>
      <c r="ML3" s="468"/>
      <c r="MM3" s="468"/>
      <c r="MN3" s="468"/>
      <c r="MO3" s="468"/>
      <c r="MP3" s="468"/>
      <c r="MQ3" s="468"/>
      <c r="MR3" s="468"/>
      <c r="MS3" s="468"/>
      <c r="MT3" s="468"/>
      <c r="MU3" s="468"/>
      <c r="MV3" s="468"/>
      <c r="MW3" s="468"/>
      <c r="MX3" s="468"/>
      <c r="MY3" s="468"/>
      <c r="MZ3" s="468"/>
      <c r="NA3" s="468"/>
      <c r="NB3" s="468"/>
      <c r="NC3" s="468"/>
      <c r="ND3" s="468"/>
      <c r="NE3" s="468"/>
      <c r="NF3" s="468"/>
      <c r="NG3" s="468"/>
      <c r="NH3" s="468"/>
      <c r="NI3" s="468"/>
      <c r="NJ3" s="468"/>
      <c r="NK3" s="468"/>
      <c r="NL3" s="468"/>
      <c r="NM3" s="468"/>
      <c r="NN3" s="468"/>
      <c r="NO3" s="468"/>
      <c r="NP3" s="468"/>
      <c r="NQ3" s="468"/>
      <c r="NR3" s="468"/>
      <c r="NS3" s="468"/>
      <c r="NT3" s="468"/>
      <c r="NU3" s="468"/>
      <c r="NV3" s="468"/>
      <c r="NW3" s="468"/>
      <c r="NX3" s="468"/>
      <c r="NY3" s="468"/>
      <c r="NZ3" s="468"/>
      <c r="OA3" s="468"/>
      <c r="OB3" s="468"/>
      <c r="OC3" s="468"/>
      <c r="OD3" s="468"/>
      <c r="OE3" s="468"/>
      <c r="OF3" s="468"/>
      <c r="OG3" s="468"/>
      <c r="OH3" s="468"/>
      <c r="OI3" s="468"/>
      <c r="OJ3" s="468"/>
      <c r="OK3" s="468"/>
      <c r="OL3" s="468"/>
      <c r="OM3" s="468"/>
      <c r="ON3" s="468"/>
      <c r="OO3" s="468"/>
      <c r="OP3" s="468"/>
      <c r="OQ3" s="468"/>
      <c r="OR3" s="468"/>
      <c r="OS3" s="468"/>
      <c r="OT3" s="468"/>
      <c r="OU3" s="468"/>
      <c r="OV3" s="468"/>
      <c r="OW3" s="468"/>
      <c r="OX3" s="468"/>
      <c r="OY3" s="468"/>
      <c r="OZ3" s="468"/>
      <c r="PA3" s="468"/>
      <c r="PB3" s="468"/>
      <c r="PC3" s="468"/>
      <c r="PD3" s="468"/>
      <c r="PE3" s="468"/>
      <c r="PF3" s="468"/>
      <c r="PG3" s="468"/>
      <c r="PH3" s="468"/>
      <c r="PI3" s="468"/>
      <c r="PJ3" s="468"/>
      <c r="PK3" s="468"/>
      <c r="PL3" s="468"/>
      <c r="PM3" s="468"/>
      <c r="PN3" s="468"/>
      <c r="PO3" s="468"/>
      <c r="PP3" s="468"/>
      <c r="PQ3" s="468"/>
      <c r="PR3" s="468"/>
      <c r="PS3" s="468"/>
      <c r="PT3" s="468"/>
      <c r="PU3" s="468"/>
      <c r="PV3" s="468"/>
      <c r="PW3" s="468"/>
      <c r="PX3" s="468"/>
      <c r="PY3" s="468"/>
      <c r="PZ3" s="468"/>
      <c r="QA3" s="468"/>
      <c r="QB3" s="468"/>
      <c r="QC3" s="468"/>
      <c r="QD3" s="468"/>
      <c r="QE3" s="468"/>
      <c r="QF3" s="468"/>
      <c r="QG3" s="468"/>
      <c r="QH3" s="468"/>
      <c r="QI3" s="468"/>
      <c r="QJ3" s="468"/>
      <c r="QK3" s="468"/>
      <c r="QL3" s="468"/>
      <c r="QM3" s="468"/>
      <c r="QN3" s="468"/>
      <c r="QO3" s="468"/>
      <c r="QP3" s="468"/>
      <c r="QQ3" s="468"/>
      <c r="QR3" s="468"/>
      <c r="QS3" s="468"/>
      <c r="QT3" s="468"/>
      <c r="QU3" s="468"/>
      <c r="QV3" s="468"/>
      <c r="QW3" s="468"/>
      <c r="QX3" s="468"/>
      <c r="QY3" s="468"/>
      <c r="QZ3" s="468"/>
      <c r="RA3" s="468"/>
      <c r="RB3" s="468"/>
      <c r="RC3" s="468"/>
      <c r="RD3" s="468"/>
      <c r="RE3" s="468"/>
      <c r="RF3" s="468"/>
      <c r="RG3" s="468"/>
      <c r="RH3" s="468"/>
      <c r="RI3" s="468"/>
      <c r="RJ3" s="468"/>
      <c r="RK3" s="468"/>
      <c r="RL3" s="468"/>
      <c r="RM3" s="468"/>
      <c r="RN3" s="468"/>
      <c r="RO3" s="468"/>
      <c r="RP3" s="468"/>
      <c r="RQ3" s="468"/>
      <c r="RR3" s="468"/>
      <c r="RS3" s="468"/>
      <c r="RT3" s="468"/>
      <c r="RU3" s="468"/>
      <c r="RV3" s="468"/>
      <c r="RW3" s="468"/>
      <c r="RX3" s="468"/>
      <c r="RY3" s="468"/>
      <c r="RZ3" s="468"/>
      <c r="SA3" s="468"/>
      <c r="SB3" s="468"/>
      <c r="SC3" s="468"/>
      <c r="SD3" s="468"/>
      <c r="SE3" s="468"/>
      <c r="SF3" s="468"/>
      <c r="SG3" s="468"/>
      <c r="SH3" s="468"/>
      <c r="SI3" s="468"/>
      <c r="SJ3" s="468"/>
      <c r="SK3" s="468"/>
      <c r="SL3" s="468"/>
      <c r="SM3" s="468"/>
      <c r="SN3" s="468"/>
      <c r="SO3" s="468"/>
      <c r="SP3" s="468"/>
      <c r="SQ3" s="468"/>
      <c r="SR3" s="468"/>
      <c r="SS3" s="468"/>
      <c r="ST3" s="468"/>
      <c r="SU3" s="468"/>
      <c r="SV3" s="468"/>
      <c r="SW3" s="468"/>
      <c r="SX3" s="468"/>
      <c r="SY3" s="468"/>
      <c r="SZ3" s="468"/>
      <c r="TA3" s="468"/>
      <c r="TB3" s="468"/>
      <c r="TC3" s="468"/>
      <c r="TD3" s="468"/>
      <c r="TE3" s="468"/>
      <c r="TF3" s="468"/>
      <c r="TG3" s="468"/>
      <c r="TH3" s="468"/>
      <c r="TI3" s="468"/>
      <c r="TJ3" s="468"/>
      <c r="TK3" s="468"/>
      <c r="TL3" s="468"/>
      <c r="TM3" s="468"/>
      <c r="TN3" s="468"/>
      <c r="TO3" s="468"/>
      <c r="TP3" s="468"/>
      <c r="TQ3" s="468"/>
      <c r="TR3" s="468"/>
      <c r="TS3" s="468"/>
      <c r="TT3" s="468"/>
      <c r="TU3" s="468"/>
      <c r="TV3" s="468"/>
      <c r="TW3" s="468"/>
      <c r="TX3" s="468"/>
      <c r="TY3" s="468"/>
      <c r="TZ3" s="468"/>
      <c r="UA3" s="468"/>
      <c r="UB3" s="468"/>
      <c r="UC3" s="468"/>
      <c r="UD3" s="468"/>
      <c r="UE3" s="468"/>
      <c r="UF3" s="468"/>
      <c r="UG3" s="468"/>
      <c r="UH3" s="468"/>
      <c r="UI3" s="468"/>
      <c r="UJ3" s="468"/>
      <c r="UK3" s="468"/>
      <c r="UL3" s="468"/>
      <c r="UM3" s="468"/>
      <c r="UN3" s="468"/>
      <c r="UO3" s="468"/>
      <c r="UP3" s="468"/>
      <c r="UQ3" s="468"/>
      <c r="UR3" s="468"/>
      <c r="US3" s="468"/>
      <c r="UT3" s="468"/>
      <c r="UU3" s="468"/>
      <c r="UV3" s="468"/>
      <c r="UW3" s="468"/>
      <c r="UX3" s="468"/>
      <c r="UY3" s="468"/>
      <c r="UZ3" s="468"/>
      <c r="VA3" s="468"/>
      <c r="VB3" s="468"/>
      <c r="VC3" s="468"/>
      <c r="VD3" s="468"/>
      <c r="VE3" s="468"/>
      <c r="VF3" s="468"/>
      <c r="VG3" s="468"/>
      <c r="VH3" s="468"/>
      <c r="VI3" s="468"/>
      <c r="VJ3" s="468"/>
      <c r="VK3" s="468"/>
      <c r="VL3" s="468"/>
      <c r="VM3" s="468"/>
      <c r="VN3" s="468"/>
      <c r="VO3" s="468"/>
      <c r="VP3" s="468"/>
      <c r="VQ3" s="468"/>
      <c r="VR3" s="468"/>
      <c r="VS3" s="468"/>
      <c r="VT3" s="468"/>
      <c r="VU3" s="468"/>
      <c r="VV3" s="468"/>
      <c r="VW3" s="468"/>
      <c r="VX3" s="468"/>
      <c r="VY3" s="468"/>
      <c r="VZ3" s="468"/>
      <c r="WA3" s="468"/>
      <c r="WB3" s="468"/>
      <c r="WC3" s="468"/>
      <c r="WD3" s="468"/>
      <c r="WE3" s="468"/>
      <c r="WF3" s="468"/>
      <c r="WG3" s="468"/>
      <c r="WH3" s="468"/>
      <c r="WI3" s="468"/>
      <c r="WJ3" s="468"/>
      <c r="WK3" s="468"/>
      <c r="WL3" s="468"/>
      <c r="WM3" s="468"/>
      <c r="WN3" s="468"/>
      <c r="WO3" s="468"/>
      <c r="WP3" s="468"/>
      <c r="WQ3" s="468"/>
      <c r="WR3" s="468"/>
      <c r="WS3" s="468"/>
      <c r="WT3" s="468"/>
      <c r="WU3" s="468"/>
      <c r="WV3" s="468"/>
      <c r="WW3" s="468"/>
      <c r="WX3" s="468"/>
      <c r="WY3" s="468"/>
      <c r="WZ3" s="468"/>
      <c r="XA3" s="468"/>
      <c r="XB3" s="468"/>
      <c r="XC3" s="468"/>
      <c r="XD3" s="468"/>
      <c r="XE3" s="468"/>
      <c r="XF3" s="468"/>
      <c r="XG3" s="468"/>
      <c r="XH3" s="468"/>
      <c r="XI3" s="468"/>
      <c r="XJ3" s="468"/>
      <c r="XK3" s="468"/>
      <c r="XL3" s="468"/>
      <c r="XM3" s="468"/>
      <c r="XN3" s="468"/>
      <c r="XO3" s="468"/>
      <c r="XP3" s="468"/>
      <c r="XQ3" s="468"/>
      <c r="XR3" s="468"/>
      <c r="XS3" s="468"/>
      <c r="XT3" s="468"/>
      <c r="XU3" s="468"/>
      <c r="XV3" s="468"/>
      <c r="XW3" s="468"/>
      <c r="XX3" s="468"/>
      <c r="XY3" s="468"/>
      <c r="XZ3" s="468"/>
      <c r="YA3" s="468"/>
      <c r="YB3" s="468"/>
      <c r="YC3" s="468"/>
      <c r="YD3" s="468"/>
      <c r="YE3" s="468"/>
      <c r="YF3" s="468"/>
      <c r="YG3" s="468"/>
      <c r="YH3" s="468"/>
      <c r="YI3" s="468"/>
      <c r="YJ3" s="468"/>
      <c r="YK3" s="468"/>
      <c r="YL3" s="468"/>
      <c r="YM3" s="468"/>
      <c r="YN3" s="468"/>
      <c r="YO3" s="468"/>
      <c r="YP3" s="468"/>
      <c r="YQ3" s="468"/>
      <c r="YR3" s="468"/>
      <c r="YS3" s="468"/>
      <c r="YT3" s="468"/>
      <c r="YU3" s="468"/>
      <c r="YV3" s="468"/>
      <c r="YW3" s="468"/>
      <c r="YX3" s="468"/>
      <c r="YY3" s="468"/>
      <c r="YZ3" s="468"/>
      <c r="ZA3" s="468"/>
      <c r="ZB3" s="468"/>
      <c r="ZC3" s="468"/>
      <c r="ZD3" s="468"/>
      <c r="ZE3" s="468"/>
      <c r="ZF3" s="468"/>
      <c r="ZG3" s="468"/>
      <c r="ZH3" s="468"/>
      <c r="ZI3" s="468"/>
      <c r="ZJ3" s="468"/>
      <c r="ZK3" s="468"/>
      <c r="ZL3" s="468"/>
      <c r="ZM3" s="468"/>
      <c r="ZN3" s="468"/>
      <c r="ZO3" s="468"/>
      <c r="ZP3" s="468"/>
      <c r="ZQ3" s="468"/>
      <c r="ZR3" s="468"/>
      <c r="ZS3" s="468"/>
      <c r="ZT3" s="468"/>
      <c r="ZU3" s="468"/>
      <c r="ZV3" s="468"/>
      <c r="ZW3" s="468"/>
      <c r="ZX3" s="468"/>
      <c r="ZY3" s="468"/>
      <c r="ZZ3" s="468"/>
      <c r="AAA3" s="468"/>
      <c r="AAB3" s="468"/>
      <c r="AAC3" s="468"/>
      <c r="AAD3" s="468"/>
      <c r="AAE3" s="468"/>
      <c r="AAF3" s="468"/>
      <c r="AAG3" s="468"/>
      <c r="AAH3" s="468"/>
      <c r="AAI3" s="468"/>
      <c r="AAJ3" s="468"/>
      <c r="AAK3" s="468"/>
      <c r="AAL3" s="468"/>
      <c r="AAM3" s="468"/>
      <c r="AAN3" s="468"/>
      <c r="AAO3" s="468"/>
      <c r="AAP3" s="468"/>
      <c r="AAQ3" s="468"/>
      <c r="AAR3" s="468"/>
      <c r="AAS3" s="468"/>
      <c r="AAT3" s="468"/>
      <c r="AAU3" s="468"/>
      <c r="AAV3" s="468"/>
      <c r="AAW3" s="468"/>
      <c r="AAX3" s="468"/>
      <c r="AAY3" s="468"/>
      <c r="AAZ3" s="468"/>
      <c r="ABA3" s="468"/>
      <c r="ABB3" s="468"/>
      <c r="ABC3" s="468"/>
      <c r="ABD3" s="468"/>
      <c r="ABE3" s="468"/>
      <c r="ABF3" s="468"/>
      <c r="ABG3" s="468"/>
      <c r="ABH3" s="468"/>
      <c r="ABI3" s="468"/>
      <c r="ABJ3" s="468"/>
      <c r="ABK3" s="468"/>
      <c r="ABL3" s="468"/>
      <c r="ABM3" s="468"/>
      <c r="ABN3" s="468"/>
      <c r="ABO3" s="468"/>
      <c r="ABP3" s="468"/>
      <c r="ABQ3" s="468"/>
      <c r="ABR3" s="468"/>
      <c r="ABS3" s="468"/>
      <c r="ABT3" s="468"/>
      <c r="ABU3" s="468"/>
      <c r="ABV3" s="468"/>
      <c r="ABW3" s="468"/>
      <c r="ABX3" s="468"/>
      <c r="ABY3" s="468"/>
      <c r="ABZ3" s="468"/>
      <c r="ACA3" s="468"/>
      <c r="ACB3" s="468"/>
      <c r="ACC3" s="468"/>
      <c r="ACD3" s="468"/>
      <c r="ACE3" s="468"/>
      <c r="ACF3" s="468"/>
      <c r="ACG3" s="468"/>
      <c r="ACH3" s="468"/>
      <c r="ACI3" s="468"/>
      <c r="ACJ3" s="468"/>
      <c r="ACK3" s="468"/>
      <c r="ACL3" s="468"/>
      <c r="ACM3" s="468"/>
      <c r="ACN3" s="468"/>
      <c r="ACO3" s="468"/>
      <c r="ACP3" s="468"/>
      <c r="ACQ3" s="468"/>
      <c r="ACR3" s="468"/>
      <c r="ACS3" s="468"/>
      <c r="ACT3" s="468"/>
      <c r="ACU3" s="468"/>
      <c r="ACV3" s="468"/>
      <c r="ACW3" s="468"/>
      <c r="ACX3" s="468"/>
      <c r="ACY3" s="468"/>
      <c r="ACZ3" s="468"/>
      <c r="ADA3" s="468"/>
      <c r="ADB3" s="468"/>
      <c r="ADC3" s="468"/>
      <c r="ADD3" s="468"/>
      <c r="ADE3" s="468"/>
      <c r="ADF3" s="468"/>
      <c r="ADG3" s="468"/>
      <c r="ADH3" s="468"/>
      <c r="ADI3" s="468"/>
      <c r="ADJ3" s="468"/>
      <c r="ADK3" s="468"/>
      <c r="ADL3" s="468"/>
      <c r="ADM3" s="468"/>
      <c r="ADN3" s="468"/>
      <c r="ADO3" s="468"/>
      <c r="ADP3" s="468"/>
      <c r="ADQ3" s="468"/>
      <c r="ADR3" s="468"/>
      <c r="ADS3" s="468"/>
      <c r="ADT3" s="468"/>
      <c r="ADU3" s="468"/>
      <c r="ADV3" s="468"/>
      <c r="ADW3" s="468"/>
      <c r="ADX3" s="468"/>
      <c r="ADY3" s="468"/>
      <c r="ADZ3" s="468"/>
      <c r="AEA3" s="468"/>
      <c r="AEB3" s="468"/>
      <c r="AEC3" s="468"/>
      <c r="AED3" s="468"/>
      <c r="AEE3" s="468"/>
      <c r="AEF3" s="468"/>
      <c r="AEG3" s="468"/>
      <c r="AEH3" s="468"/>
      <c r="AEI3" s="468"/>
      <c r="AEJ3" s="468"/>
      <c r="AEK3" s="468"/>
      <c r="AEL3" s="468"/>
      <c r="AEM3" s="468"/>
      <c r="AEN3" s="468"/>
      <c r="AEO3" s="468"/>
      <c r="AEP3" s="468"/>
      <c r="AEQ3" s="468"/>
      <c r="AER3" s="468"/>
      <c r="AES3" s="468"/>
      <c r="AET3" s="468"/>
      <c r="AEU3" s="468"/>
      <c r="AEV3" s="468"/>
      <c r="AEW3" s="468"/>
      <c r="AEX3" s="468"/>
      <c r="AEY3" s="468"/>
      <c r="AEZ3" s="468"/>
      <c r="AFA3" s="468"/>
      <c r="AFB3" s="468"/>
      <c r="AFC3" s="468"/>
      <c r="AFD3" s="468"/>
      <c r="AFE3" s="468"/>
      <c r="AFF3" s="468"/>
      <c r="AFG3" s="468"/>
      <c r="AFH3" s="468"/>
      <c r="AFI3" s="468"/>
      <c r="AFJ3" s="468"/>
      <c r="AFK3" s="468"/>
      <c r="AFL3" s="468"/>
      <c r="AFM3" s="468"/>
      <c r="AFN3" s="468"/>
      <c r="AFO3" s="468"/>
      <c r="AFP3" s="468"/>
      <c r="AFQ3" s="468"/>
      <c r="AFR3" s="468"/>
      <c r="AFS3" s="468"/>
      <c r="AFT3" s="468"/>
      <c r="AFU3" s="468"/>
      <c r="AFV3" s="468"/>
      <c r="AFW3" s="468"/>
      <c r="AFX3" s="468"/>
      <c r="AFY3" s="468"/>
      <c r="AFZ3" s="468"/>
      <c r="AGA3" s="468"/>
      <c r="AGB3" s="468"/>
      <c r="AGC3" s="468"/>
      <c r="AGD3" s="468"/>
      <c r="AGE3" s="468"/>
      <c r="AGF3" s="468"/>
      <c r="AGG3" s="468"/>
      <c r="AGH3" s="468"/>
      <c r="AGI3" s="468"/>
      <c r="AGJ3" s="468"/>
      <c r="AGK3" s="468"/>
      <c r="AGL3" s="468"/>
      <c r="AGM3" s="468"/>
      <c r="AGN3" s="468"/>
      <c r="AGO3" s="468"/>
      <c r="AGP3" s="468"/>
      <c r="AGQ3" s="468"/>
      <c r="AGR3" s="468"/>
      <c r="AGS3" s="468"/>
      <c r="AGT3" s="468"/>
      <c r="AGU3" s="468"/>
      <c r="AGV3" s="468"/>
      <c r="AGW3" s="468"/>
      <c r="AGX3" s="468"/>
      <c r="AGY3" s="468"/>
      <c r="AGZ3" s="468"/>
      <c r="AHA3" s="468"/>
      <c r="AHB3" s="468"/>
      <c r="AHC3" s="468"/>
      <c r="AHD3" s="468"/>
      <c r="AHE3" s="468"/>
      <c r="AHF3" s="468"/>
      <c r="AHG3" s="468"/>
      <c r="AHH3" s="468"/>
      <c r="AHI3" s="468"/>
      <c r="AHJ3" s="468"/>
      <c r="AHK3" s="468"/>
      <c r="AHL3" s="468"/>
      <c r="AHM3" s="468"/>
      <c r="AHN3" s="468"/>
      <c r="AHO3" s="468"/>
      <c r="AHP3" s="468"/>
      <c r="AHQ3" s="468"/>
      <c r="AHR3" s="468"/>
      <c r="AHS3" s="468"/>
      <c r="AHT3" s="468"/>
      <c r="AHU3" s="468"/>
      <c r="AHV3" s="468"/>
      <c r="AHW3" s="468"/>
      <c r="AHX3" s="468"/>
      <c r="AHY3" s="468"/>
      <c r="AHZ3" s="468"/>
      <c r="AIA3" s="468"/>
      <c r="AIB3" s="468"/>
      <c r="AIC3" s="468"/>
      <c r="AID3" s="468"/>
      <c r="AIE3" s="468"/>
      <c r="AIF3" s="468"/>
      <c r="AIG3" s="468"/>
      <c r="AIH3" s="468"/>
      <c r="AII3" s="468"/>
      <c r="AIJ3" s="468"/>
      <c r="AIK3" s="468"/>
      <c r="AIL3" s="468"/>
      <c r="AIM3" s="468"/>
      <c r="AIN3" s="468"/>
      <c r="AIO3" s="468"/>
      <c r="AIP3" s="468"/>
      <c r="AIQ3" s="468"/>
      <c r="AIR3" s="468"/>
      <c r="AIS3" s="468"/>
      <c r="AIT3" s="468"/>
      <c r="AIU3" s="468"/>
      <c r="AIV3" s="468"/>
      <c r="AIW3" s="468"/>
      <c r="AIX3" s="468"/>
      <c r="AIY3" s="468"/>
      <c r="AIZ3" s="468"/>
      <c r="AJA3" s="468"/>
      <c r="AJB3" s="468"/>
      <c r="AJC3" s="468"/>
      <c r="AJD3" s="468"/>
      <c r="AJE3" s="468"/>
      <c r="AJF3" s="468"/>
      <c r="AJG3" s="468"/>
      <c r="AJH3" s="468"/>
      <c r="AJI3" s="468"/>
      <c r="AJJ3" s="468"/>
      <c r="AJK3" s="468"/>
      <c r="AJL3" s="468"/>
      <c r="AJM3" s="468"/>
      <c r="AJN3" s="468"/>
      <c r="AJO3" s="468"/>
      <c r="AJP3" s="468"/>
      <c r="AJQ3" s="468"/>
      <c r="AJR3" s="468"/>
      <c r="AJS3" s="468"/>
      <c r="AJT3" s="468"/>
      <c r="AJU3" s="468"/>
      <c r="AJV3" s="468"/>
      <c r="AJW3" s="468"/>
      <c r="AJX3" s="468"/>
      <c r="AJY3" s="468"/>
      <c r="AJZ3" s="468"/>
      <c r="AKA3" s="468"/>
      <c r="AKB3" s="468"/>
      <c r="AKC3" s="468"/>
      <c r="AKD3" s="468"/>
      <c r="AKE3" s="468"/>
      <c r="AKF3" s="468"/>
      <c r="AKG3" s="468"/>
      <c r="AKH3" s="468"/>
      <c r="AKI3" s="468"/>
      <c r="AKJ3" s="468"/>
      <c r="AKK3" s="468"/>
      <c r="AKL3" s="468"/>
      <c r="AKM3" s="468"/>
      <c r="AKN3" s="468"/>
      <c r="AKO3" s="468"/>
      <c r="AKP3" s="468"/>
      <c r="AKQ3" s="468"/>
      <c r="AKR3" s="468"/>
      <c r="AKS3" s="468"/>
      <c r="AKT3" s="468"/>
      <c r="AKU3" s="468"/>
      <c r="AKV3" s="468"/>
      <c r="AKW3" s="468"/>
      <c r="AKX3" s="468"/>
      <c r="AKY3" s="468"/>
      <c r="AKZ3" s="468"/>
      <c r="ALA3" s="468"/>
      <c r="ALB3" s="468"/>
      <c r="ALC3" s="468"/>
      <c r="ALD3" s="468"/>
      <c r="ALE3" s="468"/>
      <c r="ALF3" s="468"/>
      <c r="ALG3" s="468"/>
      <c r="ALH3" s="468"/>
      <c r="ALI3" s="468"/>
      <c r="ALJ3" s="468"/>
      <c r="ALK3" s="468"/>
      <c r="ALL3" s="468"/>
      <c r="ALM3" s="468"/>
      <c r="ALN3" s="468"/>
      <c r="ALO3" s="468"/>
      <c r="ALP3" s="468"/>
      <c r="ALQ3" s="468"/>
      <c r="ALR3" s="468"/>
      <c r="ALS3" s="468"/>
      <c r="ALT3" s="468"/>
      <c r="ALU3" s="468"/>
      <c r="ALV3" s="468"/>
      <c r="ALW3" s="468"/>
      <c r="ALX3" s="468"/>
      <c r="ALY3" s="468"/>
      <c r="ALZ3" s="468"/>
      <c r="AMA3" s="468"/>
      <c r="AMB3" s="468"/>
      <c r="AMC3" s="468"/>
      <c r="AMD3" s="468"/>
      <c r="AME3" s="468"/>
      <c r="AMF3" s="468"/>
      <c r="AMG3" s="468"/>
      <c r="AMH3" s="468"/>
      <c r="AMI3" s="468"/>
      <c r="AMJ3" s="468"/>
      <c r="AMK3" s="468"/>
      <c r="AML3" s="468"/>
      <c r="AMM3" s="468"/>
      <c r="AMN3" s="468"/>
      <c r="AMO3" s="468"/>
      <c r="AMP3" s="468"/>
      <c r="AMQ3" s="468"/>
      <c r="AMR3" s="468"/>
      <c r="AMS3" s="468"/>
      <c r="AMT3" s="468"/>
      <c r="AMU3" s="468"/>
      <c r="AMV3" s="468"/>
      <c r="AMW3" s="468"/>
      <c r="AMX3" s="468"/>
      <c r="AMY3" s="468"/>
      <c r="AMZ3" s="468"/>
      <c r="ANA3" s="468"/>
      <c r="ANB3" s="468"/>
      <c r="ANC3" s="468"/>
      <c r="AND3" s="468"/>
      <c r="ANE3" s="468"/>
      <c r="ANF3" s="468"/>
      <c r="ANG3" s="468"/>
      <c r="ANH3" s="468"/>
      <c r="ANI3" s="468"/>
      <c r="ANJ3" s="468"/>
      <c r="ANK3" s="468"/>
      <c r="ANL3" s="468"/>
      <c r="ANM3" s="468"/>
      <c r="ANN3" s="468"/>
      <c r="ANO3" s="468"/>
      <c r="ANP3" s="468"/>
      <c r="ANQ3" s="468"/>
      <c r="ANR3" s="468"/>
      <c r="ANS3" s="468"/>
      <c r="ANT3" s="468"/>
      <c r="ANU3" s="468"/>
      <c r="ANV3" s="468"/>
      <c r="ANW3" s="468"/>
      <c r="ANX3" s="468"/>
      <c r="ANY3" s="468"/>
      <c r="ANZ3" s="468"/>
      <c r="AOA3" s="468"/>
      <c r="AOB3" s="468"/>
      <c r="AOC3" s="468"/>
      <c r="AOD3" s="468"/>
      <c r="AOE3" s="468"/>
      <c r="AOF3" s="468"/>
      <c r="AOG3" s="468"/>
      <c r="AOH3" s="468"/>
      <c r="AOI3" s="468"/>
      <c r="AOJ3" s="468"/>
      <c r="AOK3" s="468"/>
      <c r="AOL3" s="468"/>
      <c r="AOM3" s="468"/>
      <c r="AON3" s="468"/>
      <c r="AOO3" s="468"/>
      <c r="AOP3" s="468"/>
      <c r="AOQ3" s="468"/>
      <c r="AOR3" s="468"/>
      <c r="AOS3" s="468"/>
      <c r="AOT3" s="468"/>
      <c r="AOU3" s="468"/>
      <c r="AOV3" s="468"/>
      <c r="AOW3" s="468"/>
      <c r="AOX3" s="468"/>
      <c r="AOY3" s="468"/>
      <c r="AOZ3" s="468"/>
      <c r="APA3" s="468"/>
      <c r="APB3" s="468"/>
      <c r="APC3" s="468"/>
      <c r="APD3" s="468"/>
      <c r="APE3" s="468"/>
      <c r="APF3" s="468"/>
      <c r="APG3" s="468"/>
      <c r="APH3" s="468"/>
      <c r="API3" s="468"/>
      <c r="APJ3" s="468"/>
      <c r="APK3" s="468"/>
      <c r="APL3" s="468"/>
      <c r="APM3" s="468"/>
      <c r="APN3" s="468"/>
      <c r="APO3" s="468"/>
      <c r="APP3" s="468"/>
      <c r="APQ3" s="468"/>
      <c r="APR3" s="468"/>
      <c r="APS3" s="468"/>
      <c r="APT3" s="468"/>
      <c r="APU3" s="468"/>
      <c r="APV3" s="468"/>
      <c r="APW3" s="468"/>
      <c r="APX3" s="468"/>
      <c r="APY3" s="468"/>
      <c r="APZ3" s="468"/>
      <c r="AQA3" s="468"/>
      <c r="AQB3" s="468"/>
      <c r="AQC3" s="468"/>
      <c r="AQD3" s="468"/>
      <c r="AQE3" s="468"/>
      <c r="AQF3" s="468"/>
      <c r="AQG3" s="468"/>
      <c r="AQH3" s="468"/>
      <c r="AQI3" s="468"/>
      <c r="AQJ3" s="468"/>
      <c r="AQK3" s="468"/>
      <c r="AQL3" s="468"/>
      <c r="AQM3" s="468"/>
      <c r="AQN3" s="468"/>
      <c r="AQO3" s="468"/>
      <c r="AQP3" s="468"/>
      <c r="AQQ3" s="468"/>
      <c r="AQR3" s="468"/>
      <c r="AQS3" s="468"/>
      <c r="AQT3" s="468"/>
      <c r="AQU3" s="468"/>
      <c r="AQV3" s="468"/>
      <c r="AQW3" s="468"/>
      <c r="AQX3" s="468"/>
      <c r="AQY3" s="468"/>
      <c r="AQZ3" s="468"/>
      <c r="ARA3" s="468"/>
      <c r="ARB3" s="468"/>
      <c r="ARC3" s="468"/>
      <c r="ARD3" s="468"/>
      <c r="ARE3" s="468"/>
      <c r="ARF3" s="468"/>
      <c r="ARG3" s="468"/>
      <c r="ARH3" s="468"/>
      <c r="ARI3" s="468"/>
      <c r="ARJ3" s="468"/>
      <c r="ARK3" s="468"/>
      <c r="ARL3" s="468"/>
      <c r="ARM3" s="468"/>
      <c r="ARN3" s="468"/>
      <c r="ARO3" s="468"/>
      <c r="ARP3" s="468"/>
      <c r="ARQ3" s="468"/>
      <c r="ARR3" s="468"/>
      <c r="ARS3" s="468"/>
      <c r="ART3" s="468"/>
      <c r="ARU3" s="468"/>
      <c r="ARV3" s="468"/>
      <c r="ARW3" s="468"/>
      <c r="ARX3" s="468"/>
      <c r="ARY3" s="468"/>
      <c r="ARZ3" s="468"/>
      <c r="ASA3" s="468"/>
      <c r="ASB3" s="468"/>
      <c r="ASC3" s="468"/>
      <c r="ASD3" s="468"/>
      <c r="ASE3" s="468"/>
      <c r="ASF3" s="468"/>
      <c r="ASG3" s="468"/>
      <c r="ASH3" s="468"/>
      <c r="ASI3" s="468"/>
      <c r="ASJ3" s="468"/>
      <c r="ASK3" s="468"/>
      <c r="ASL3" s="468"/>
      <c r="ASM3" s="468"/>
      <c r="ASN3" s="468"/>
      <c r="ASO3" s="468"/>
      <c r="ASP3" s="468"/>
      <c r="ASQ3" s="468"/>
      <c r="ASR3" s="468"/>
      <c r="ASS3" s="468"/>
      <c r="AST3" s="468"/>
      <c r="ASU3" s="468"/>
      <c r="ASV3" s="468"/>
      <c r="ASW3" s="468"/>
      <c r="ASX3" s="468"/>
      <c r="ASY3" s="468"/>
      <c r="ASZ3" s="468"/>
      <c r="ATA3" s="468"/>
      <c r="ATB3" s="468"/>
      <c r="ATC3" s="468"/>
      <c r="ATD3" s="468"/>
      <c r="ATE3" s="468"/>
      <c r="ATF3" s="468"/>
      <c r="ATG3" s="468"/>
      <c r="ATH3" s="468"/>
      <c r="ATI3" s="468"/>
      <c r="ATJ3" s="468"/>
      <c r="ATK3" s="468"/>
      <c r="ATL3" s="468"/>
      <c r="ATM3" s="468"/>
      <c r="ATN3" s="468"/>
      <c r="ATO3" s="468"/>
      <c r="ATP3" s="468"/>
      <c r="ATQ3" s="468"/>
      <c r="ATR3" s="468"/>
      <c r="ATS3" s="468"/>
      <c r="ATT3" s="468"/>
      <c r="ATU3" s="468"/>
      <c r="ATV3" s="468"/>
      <c r="ATW3" s="468"/>
      <c r="ATX3" s="468"/>
      <c r="ATY3" s="468"/>
      <c r="ATZ3" s="468"/>
      <c r="AUA3" s="468"/>
      <c r="AUB3" s="468"/>
      <c r="AUC3" s="468"/>
      <c r="AUD3" s="468"/>
      <c r="AUE3" s="468"/>
      <c r="AUF3" s="468"/>
      <c r="AUG3" s="468"/>
      <c r="AUH3" s="468"/>
      <c r="AUI3" s="468"/>
      <c r="AUJ3" s="468"/>
      <c r="AUK3" s="468"/>
      <c r="AUL3" s="468"/>
      <c r="AUM3" s="468"/>
      <c r="AUN3" s="468"/>
      <c r="AUO3" s="468"/>
      <c r="AUP3" s="468"/>
      <c r="AUQ3" s="468"/>
      <c r="AUR3" s="468"/>
      <c r="AUS3" s="468"/>
      <c r="AUT3" s="468"/>
      <c r="AUU3" s="468"/>
      <c r="AUV3" s="468"/>
      <c r="AUW3" s="468"/>
      <c r="AUX3" s="468"/>
      <c r="AUY3" s="468"/>
      <c r="AUZ3" s="468"/>
      <c r="AVA3" s="468"/>
      <c r="AVB3" s="468"/>
      <c r="AVC3" s="468"/>
      <c r="AVD3" s="468"/>
      <c r="AVE3" s="468"/>
      <c r="AVF3" s="468"/>
      <c r="AVG3" s="468"/>
    </row>
    <row r="4" spans="1:1255" s="488" customFormat="1" ht="32.1" customHeight="1">
      <c r="A4" s="470">
        <v>1</v>
      </c>
      <c r="B4" s="471">
        <v>1</v>
      </c>
      <c r="C4" s="472" t="e">
        <f ca="1">"Reference Device  ("&amp;Q2&amp;" Druck Transducer) + Sey
Uncertainty from Calibration Report - "&amp;Q1</f>
        <v>#N/A</v>
      </c>
      <c r="D4" s="471" t="s">
        <v>393</v>
      </c>
      <c r="E4" s="473" t="e">
        <f ca="1">Q8+Q9</f>
        <v>#VALUE!</v>
      </c>
      <c r="F4" s="474" t="str">
        <f>H1</f>
        <v>ABS kPa</v>
      </c>
      <c r="G4" s="475" t="str">
        <f>IF(OR(D4="",B4=0),"",IF(D4="ESDM","A","B"))</f>
        <v>B</v>
      </c>
      <c r="H4" s="476" t="e">
        <f ca="1">IF(OR(E4="",B4=0),"",IF(D4="ESDM",1,IF(D4="N95",2,IF(D4="Rect",(3^0.5)))))</f>
        <v>#VALUE!</v>
      </c>
      <c r="I4" s="477">
        <f>IF(D4="N95",60,100)</f>
        <v>60</v>
      </c>
      <c r="J4" s="478" t="e">
        <f ca="1">IF(OR(E4="",B4=0),"",(E4/H4))</f>
        <v>#VALUE!</v>
      </c>
      <c r="K4" s="479">
        <v>1</v>
      </c>
      <c r="L4" s="480" t="e">
        <f ca="1">IF(OR(E4="",B4=0),"",K4*J4)</f>
        <v>#VALUE!</v>
      </c>
      <c r="M4" s="480" t="e">
        <f t="shared" ref="M4:M15" ca="1" si="0">IF(OR(E4="",B4=0),"0",L4^2)</f>
        <v>#VALUE!</v>
      </c>
      <c r="N4" s="481" t="e">
        <f t="shared" ref="N4:N15" ca="1" si="1">IF(OR(D4="",B4=0),"0",(L4)^4/I4)</f>
        <v>#VALUE!</v>
      </c>
      <c r="O4" s="482" t="e">
        <f t="shared" ref="O4:O15" ca="1" si="2">T4</f>
        <v>#VALUE!</v>
      </c>
      <c r="P4" s="464" t="s">
        <v>394</v>
      </c>
      <c r="Q4" s="483" t="e">
        <f ca="1">VLOOKUP(VLOOKUP(I1,Worksheet!$A$18:$B$31,2),'1Test Data'!$O$30:$Y$49,11,0)</f>
        <v>#VALUE!</v>
      </c>
      <c r="R4" s="484" t="e">
        <f ca="1">IF(OR(E4="",B4=0),"",K4*J4)</f>
        <v>#VALUE!</v>
      </c>
      <c r="S4" s="465" t="e">
        <f ca="1">IF(OR(E4="",B4=0),"",ABS(R4))</f>
        <v>#VALUE!</v>
      </c>
      <c r="T4" s="465" t="e">
        <f ca="1">IF(OR(E4="",B4=0),"",ABS(L4/S16))</f>
        <v>#VALUE!</v>
      </c>
      <c r="U4" s="485"/>
      <c r="V4" s="486"/>
      <c r="W4" s="486"/>
      <c r="X4" s="487"/>
      <c r="Y4" s="439"/>
      <c r="Z4" s="487"/>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c r="BK4" s="487"/>
      <c r="BL4" s="487"/>
      <c r="BM4" s="487"/>
      <c r="BN4" s="487"/>
      <c r="BO4" s="487"/>
      <c r="BP4" s="487"/>
      <c r="BQ4" s="487"/>
      <c r="BR4" s="487"/>
      <c r="BS4" s="487"/>
      <c r="BT4" s="487"/>
      <c r="BU4" s="487"/>
      <c r="BV4" s="487"/>
      <c r="BW4" s="487"/>
      <c r="BX4" s="487"/>
      <c r="BY4" s="487"/>
      <c r="BZ4" s="487"/>
      <c r="CA4" s="487"/>
      <c r="CB4" s="487"/>
      <c r="CC4" s="487"/>
      <c r="CD4" s="487"/>
      <c r="CE4" s="487"/>
      <c r="CF4" s="487"/>
      <c r="CG4" s="487"/>
      <c r="CH4" s="487"/>
      <c r="CI4" s="487"/>
      <c r="CJ4" s="487"/>
      <c r="CK4" s="487"/>
      <c r="CL4" s="487"/>
      <c r="CM4" s="487"/>
      <c r="CN4" s="487"/>
      <c r="CO4" s="487"/>
      <c r="CP4" s="487"/>
      <c r="CQ4" s="487"/>
      <c r="CR4" s="487"/>
      <c r="CS4" s="487"/>
      <c r="CT4" s="487"/>
      <c r="CU4" s="487"/>
      <c r="CV4" s="487"/>
      <c r="CW4" s="487"/>
      <c r="CX4" s="487"/>
      <c r="CY4" s="487"/>
      <c r="CZ4" s="487"/>
      <c r="DA4" s="487"/>
      <c r="DB4" s="487"/>
      <c r="DC4" s="487"/>
      <c r="DD4" s="487"/>
      <c r="DE4" s="487"/>
      <c r="DF4" s="487"/>
      <c r="DG4" s="487"/>
      <c r="DH4" s="487"/>
      <c r="DI4" s="487"/>
      <c r="DJ4" s="487"/>
      <c r="DK4" s="487"/>
      <c r="DL4" s="487"/>
      <c r="DM4" s="487"/>
      <c r="DN4" s="487"/>
      <c r="DO4" s="487"/>
      <c r="DP4" s="487"/>
      <c r="DQ4" s="487"/>
      <c r="DR4" s="487"/>
      <c r="DS4" s="487"/>
      <c r="DT4" s="487"/>
      <c r="DU4" s="487"/>
      <c r="DV4" s="487"/>
      <c r="DW4" s="487"/>
      <c r="DX4" s="487"/>
      <c r="DY4" s="487"/>
      <c r="DZ4" s="487"/>
      <c r="EA4" s="487"/>
      <c r="EB4" s="487"/>
      <c r="EC4" s="487"/>
      <c r="ED4" s="487"/>
      <c r="EE4" s="487"/>
      <c r="EF4" s="487"/>
      <c r="EG4" s="487"/>
      <c r="EH4" s="487"/>
      <c r="EI4" s="487"/>
      <c r="EJ4" s="487"/>
      <c r="EK4" s="487"/>
      <c r="EL4" s="487"/>
      <c r="EM4" s="487"/>
      <c r="EN4" s="487"/>
      <c r="EO4" s="487"/>
      <c r="EP4" s="487"/>
      <c r="EQ4" s="487"/>
      <c r="ER4" s="487"/>
      <c r="ES4" s="487"/>
      <c r="ET4" s="487"/>
      <c r="EU4" s="487"/>
      <c r="EV4" s="487"/>
      <c r="EW4" s="487"/>
      <c r="EX4" s="487"/>
      <c r="EY4" s="487"/>
      <c r="EZ4" s="487"/>
      <c r="FA4" s="487"/>
      <c r="FB4" s="487"/>
      <c r="FC4" s="487"/>
      <c r="FD4" s="487"/>
      <c r="FE4" s="487"/>
      <c r="FF4" s="487"/>
      <c r="FG4" s="487"/>
      <c r="FH4" s="487"/>
      <c r="FI4" s="487"/>
      <c r="FJ4" s="487"/>
      <c r="FK4" s="487"/>
      <c r="FL4" s="487"/>
      <c r="FM4" s="487"/>
      <c r="FN4" s="487"/>
      <c r="FO4" s="487"/>
      <c r="FP4" s="487"/>
      <c r="FQ4" s="487"/>
      <c r="FR4" s="487"/>
      <c r="FS4" s="487"/>
      <c r="FT4" s="487"/>
      <c r="FU4" s="487"/>
      <c r="FV4" s="487"/>
      <c r="FW4" s="487"/>
      <c r="FX4" s="487"/>
      <c r="FY4" s="487"/>
      <c r="FZ4" s="487"/>
      <c r="GA4" s="487"/>
      <c r="GB4" s="487"/>
      <c r="GC4" s="487"/>
      <c r="GD4" s="487"/>
      <c r="GE4" s="487"/>
      <c r="GF4" s="487"/>
      <c r="GG4" s="487"/>
      <c r="GH4" s="487"/>
      <c r="GI4" s="487"/>
      <c r="GJ4" s="487"/>
      <c r="GK4" s="487"/>
      <c r="GL4" s="487"/>
      <c r="GM4" s="487"/>
      <c r="GN4" s="487"/>
      <c r="GO4" s="487"/>
      <c r="GP4" s="487"/>
      <c r="GQ4" s="487"/>
      <c r="GR4" s="487"/>
      <c r="GS4" s="487"/>
      <c r="GT4" s="487"/>
      <c r="GU4" s="487"/>
      <c r="GV4" s="487"/>
      <c r="GW4" s="487"/>
      <c r="GX4" s="487"/>
      <c r="GY4" s="487"/>
      <c r="GZ4" s="487"/>
      <c r="HA4" s="487"/>
      <c r="HB4" s="487"/>
      <c r="HC4" s="487"/>
      <c r="HD4" s="487"/>
      <c r="HE4" s="487"/>
      <c r="HF4" s="487"/>
      <c r="HG4" s="487"/>
      <c r="HH4" s="487"/>
      <c r="HI4" s="487"/>
      <c r="HJ4" s="487"/>
      <c r="HK4" s="487"/>
      <c r="HL4" s="487"/>
      <c r="HM4" s="487"/>
      <c r="HN4" s="487"/>
      <c r="HO4" s="487"/>
      <c r="HP4" s="487"/>
      <c r="HQ4" s="487"/>
      <c r="HR4" s="487"/>
      <c r="HS4" s="487"/>
      <c r="HT4" s="487"/>
      <c r="HU4" s="487"/>
      <c r="HV4" s="487"/>
      <c r="HW4" s="487"/>
      <c r="HX4" s="487"/>
      <c r="HY4" s="487"/>
      <c r="HZ4" s="487"/>
      <c r="IA4" s="487"/>
      <c r="IB4" s="487"/>
      <c r="IC4" s="487"/>
      <c r="ID4" s="487"/>
      <c r="IE4" s="487"/>
      <c r="IF4" s="487"/>
      <c r="IG4" s="487"/>
      <c r="IH4" s="487"/>
      <c r="II4" s="487"/>
      <c r="IJ4" s="487"/>
      <c r="IK4" s="487"/>
      <c r="IL4" s="487"/>
      <c r="IM4" s="487"/>
      <c r="IN4" s="487"/>
      <c r="IO4" s="487"/>
      <c r="IP4" s="487"/>
      <c r="IQ4" s="487"/>
      <c r="IR4" s="487"/>
      <c r="IS4" s="487"/>
      <c r="IT4" s="487"/>
      <c r="IU4" s="487"/>
      <c r="IV4" s="487"/>
      <c r="IW4" s="487"/>
      <c r="IX4" s="487"/>
      <c r="IY4" s="487"/>
      <c r="IZ4" s="487"/>
      <c r="JA4" s="487"/>
      <c r="JB4" s="487"/>
      <c r="JC4" s="487"/>
      <c r="JD4" s="487"/>
      <c r="JE4" s="487"/>
      <c r="JF4" s="487"/>
      <c r="JG4" s="487"/>
      <c r="JH4" s="487"/>
      <c r="JI4" s="487"/>
      <c r="JJ4" s="487"/>
      <c r="JK4" s="487"/>
      <c r="JL4" s="487"/>
      <c r="JM4" s="487"/>
      <c r="JN4" s="487"/>
      <c r="JO4" s="487"/>
      <c r="JP4" s="487"/>
      <c r="JQ4" s="487"/>
      <c r="JR4" s="487"/>
      <c r="JS4" s="487"/>
      <c r="JT4" s="487"/>
      <c r="JU4" s="487"/>
      <c r="JV4" s="487"/>
      <c r="JW4" s="487"/>
      <c r="JX4" s="487"/>
      <c r="JY4" s="487"/>
      <c r="JZ4" s="487"/>
      <c r="KA4" s="487"/>
      <c r="KB4" s="487"/>
      <c r="KC4" s="487"/>
      <c r="KD4" s="487"/>
      <c r="KE4" s="487"/>
      <c r="KF4" s="487"/>
      <c r="KG4" s="487"/>
      <c r="KH4" s="487"/>
      <c r="KI4" s="487"/>
      <c r="KJ4" s="487"/>
      <c r="KK4" s="487"/>
      <c r="KL4" s="487"/>
      <c r="KM4" s="487"/>
      <c r="KN4" s="487"/>
      <c r="KO4" s="487"/>
      <c r="KP4" s="487"/>
      <c r="KQ4" s="487"/>
      <c r="KR4" s="487"/>
      <c r="KS4" s="487"/>
      <c r="KT4" s="487"/>
      <c r="KU4" s="487"/>
      <c r="KV4" s="487"/>
      <c r="KW4" s="487"/>
      <c r="KX4" s="487"/>
      <c r="KY4" s="487"/>
      <c r="KZ4" s="487"/>
      <c r="LA4" s="487"/>
      <c r="LB4" s="487"/>
      <c r="LC4" s="487"/>
      <c r="LD4" s="487"/>
      <c r="LE4" s="487"/>
      <c r="LF4" s="487"/>
      <c r="LG4" s="487"/>
      <c r="LH4" s="487"/>
      <c r="LI4" s="487"/>
      <c r="LJ4" s="487"/>
      <c r="LK4" s="487"/>
      <c r="LL4" s="487"/>
      <c r="LM4" s="487"/>
      <c r="LN4" s="487"/>
      <c r="LO4" s="487"/>
      <c r="LP4" s="487"/>
      <c r="LQ4" s="487"/>
      <c r="LR4" s="487"/>
      <c r="LS4" s="487"/>
      <c r="LT4" s="487"/>
      <c r="LU4" s="487"/>
      <c r="LV4" s="487"/>
      <c r="LW4" s="487"/>
      <c r="LX4" s="487"/>
      <c r="LY4" s="487"/>
      <c r="LZ4" s="487"/>
      <c r="MA4" s="487"/>
      <c r="MB4" s="487"/>
      <c r="MC4" s="487"/>
      <c r="MD4" s="487"/>
      <c r="ME4" s="487"/>
      <c r="MF4" s="487"/>
      <c r="MG4" s="487"/>
      <c r="MH4" s="487"/>
      <c r="MI4" s="487"/>
      <c r="MJ4" s="487"/>
      <c r="MK4" s="487"/>
      <c r="ML4" s="487"/>
      <c r="MM4" s="487"/>
      <c r="MN4" s="487"/>
      <c r="MO4" s="487"/>
      <c r="MP4" s="487"/>
      <c r="MQ4" s="487"/>
      <c r="MR4" s="487"/>
      <c r="MS4" s="487"/>
      <c r="MT4" s="487"/>
      <c r="MU4" s="487"/>
      <c r="MV4" s="487"/>
      <c r="MW4" s="487"/>
      <c r="MX4" s="487"/>
      <c r="MY4" s="487"/>
      <c r="MZ4" s="487"/>
      <c r="NA4" s="487"/>
      <c r="NB4" s="487"/>
      <c r="NC4" s="487"/>
      <c r="ND4" s="487"/>
      <c r="NE4" s="487"/>
      <c r="NF4" s="487"/>
      <c r="NG4" s="487"/>
      <c r="NH4" s="487"/>
      <c r="NI4" s="487"/>
      <c r="NJ4" s="487"/>
      <c r="NK4" s="487"/>
      <c r="NL4" s="487"/>
      <c r="NM4" s="487"/>
      <c r="NN4" s="487"/>
      <c r="NO4" s="487"/>
      <c r="NP4" s="487"/>
      <c r="NQ4" s="487"/>
      <c r="NR4" s="487"/>
      <c r="NS4" s="487"/>
      <c r="NT4" s="487"/>
      <c r="NU4" s="487"/>
      <c r="NV4" s="487"/>
      <c r="NW4" s="487"/>
      <c r="NX4" s="487"/>
      <c r="NY4" s="487"/>
      <c r="NZ4" s="487"/>
      <c r="OA4" s="487"/>
      <c r="OB4" s="487"/>
      <c r="OC4" s="487"/>
      <c r="OD4" s="487"/>
      <c r="OE4" s="487"/>
      <c r="OF4" s="487"/>
      <c r="OG4" s="487"/>
      <c r="OH4" s="487"/>
      <c r="OI4" s="487"/>
      <c r="OJ4" s="487"/>
      <c r="OK4" s="487"/>
      <c r="OL4" s="487"/>
      <c r="OM4" s="487"/>
      <c r="ON4" s="487"/>
      <c r="OO4" s="487"/>
      <c r="OP4" s="487"/>
      <c r="OQ4" s="487"/>
      <c r="OR4" s="487"/>
      <c r="OS4" s="487"/>
      <c r="OT4" s="487"/>
      <c r="OU4" s="487"/>
      <c r="OV4" s="487"/>
      <c r="OW4" s="487"/>
      <c r="OX4" s="487"/>
      <c r="OY4" s="487"/>
      <c r="OZ4" s="487"/>
      <c r="PA4" s="487"/>
      <c r="PB4" s="487"/>
      <c r="PC4" s="487"/>
      <c r="PD4" s="487"/>
      <c r="PE4" s="487"/>
      <c r="PF4" s="487"/>
      <c r="PG4" s="487"/>
      <c r="PH4" s="487"/>
      <c r="PI4" s="487"/>
      <c r="PJ4" s="487"/>
      <c r="PK4" s="487"/>
      <c r="PL4" s="487"/>
      <c r="PM4" s="487"/>
      <c r="PN4" s="487"/>
      <c r="PO4" s="487"/>
      <c r="PP4" s="487"/>
      <c r="PQ4" s="487"/>
      <c r="PR4" s="487"/>
      <c r="PS4" s="487"/>
      <c r="PT4" s="487"/>
      <c r="PU4" s="487"/>
      <c r="PV4" s="487"/>
      <c r="PW4" s="487"/>
      <c r="PX4" s="487"/>
      <c r="PY4" s="487"/>
      <c r="PZ4" s="487"/>
      <c r="QA4" s="487"/>
      <c r="QB4" s="487"/>
      <c r="QC4" s="487"/>
      <c r="QD4" s="487"/>
      <c r="QE4" s="487"/>
      <c r="QF4" s="487"/>
      <c r="QG4" s="487"/>
      <c r="QH4" s="487"/>
      <c r="QI4" s="487"/>
      <c r="QJ4" s="487"/>
      <c r="QK4" s="487"/>
      <c r="QL4" s="487"/>
      <c r="QM4" s="487"/>
      <c r="QN4" s="487"/>
      <c r="QO4" s="487"/>
      <c r="QP4" s="487"/>
      <c r="QQ4" s="487"/>
      <c r="QR4" s="487"/>
      <c r="QS4" s="487"/>
      <c r="QT4" s="487"/>
      <c r="QU4" s="487"/>
      <c r="QV4" s="487"/>
      <c r="QW4" s="487"/>
      <c r="QX4" s="487"/>
      <c r="QY4" s="487"/>
      <c r="QZ4" s="487"/>
      <c r="RA4" s="487"/>
      <c r="RB4" s="487"/>
      <c r="RC4" s="487"/>
      <c r="RD4" s="487"/>
      <c r="RE4" s="487"/>
      <c r="RF4" s="487"/>
      <c r="RG4" s="487"/>
      <c r="RH4" s="487"/>
      <c r="RI4" s="487"/>
      <c r="RJ4" s="487"/>
      <c r="RK4" s="487"/>
      <c r="RL4" s="487"/>
      <c r="RM4" s="487"/>
      <c r="RN4" s="487"/>
      <c r="RO4" s="487"/>
      <c r="RP4" s="487"/>
      <c r="RQ4" s="487"/>
      <c r="RR4" s="487"/>
      <c r="RS4" s="487"/>
      <c r="RT4" s="487"/>
      <c r="RU4" s="487"/>
      <c r="RV4" s="487"/>
      <c r="RW4" s="487"/>
      <c r="RX4" s="487"/>
      <c r="RY4" s="487"/>
      <c r="RZ4" s="487"/>
      <c r="SA4" s="487"/>
      <c r="SB4" s="487"/>
      <c r="SC4" s="487"/>
      <c r="SD4" s="487"/>
      <c r="SE4" s="487"/>
      <c r="SF4" s="487"/>
      <c r="SG4" s="487"/>
      <c r="SH4" s="487"/>
      <c r="SI4" s="487"/>
      <c r="SJ4" s="487"/>
      <c r="SK4" s="487"/>
      <c r="SL4" s="487"/>
      <c r="SM4" s="487"/>
      <c r="SN4" s="487"/>
      <c r="SO4" s="487"/>
      <c r="SP4" s="487"/>
      <c r="SQ4" s="487"/>
      <c r="SR4" s="487"/>
      <c r="SS4" s="487"/>
      <c r="ST4" s="487"/>
      <c r="SU4" s="487"/>
      <c r="SV4" s="487"/>
      <c r="SW4" s="487"/>
      <c r="SX4" s="487"/>
      <c r="SY4" s="487"/>
      <c r="SZ4" s="487"/>
      <c r="TA4" s="487"/>
      <c r="TB4" s="487"/>
      <c r="TC4" s="487"/>
      <c r="TD4" s="487"/>
      <c r="TE4" s="487"/>
      <c r="TF4" s="487"/>
      <c r="TG4" s="487"/>
      <c r="TH4" s="487"/>
      <c r="TI4" s="487"/>
      <c r="TJ4" s="487"/>
      <c r="TK4" s="487"/>
      <c r="TL4" s="487"/>
      <c r="TM4" s="487"/>
      <c r="TN4" s="487"/>
      <c r="TO4" s="487"/>
      <c r="TP4" s="487"/>
      <c r="TQ4" s="487"/>
      <c r="TR4" s="487"/>
      <c r="TS4" s="487"/>
      <c r="TT4" s="487"/>
      <c r="TU4" s="487"/>
      <c r="TV4" s="487"/>
      <c r="TW4" s="487"/>
      <c r="TX4" s="487"/>
      <c r="TY4" s="487"/>
      <c r="TZ4" s="487"/>
      <c r="UA4" s="487"/>
      <c r="UB4" s="487"/>
      <c r="UC4" s="487"/>
      <c r="UD4" s="487"/>
      <c r="UE4" s="487"/>
      <c r="UF4" s="487"/>
      <c r="UG4" s="487"/>
      <c r="UH4" s="487"/>
      <c r="UI4" s="487"/>
      <c r="UJ4" s="487"/>
      <c r="UK4" s="487"/>
      <c r="UL4" s="487"/>
      <c r="UM4" s="487"/>
      <c r="UN4" s="487"/>
      <c r="UO4" s="487"/>
      <c r="UP4" s="487"/>
      <c r="UQ4" s="487"/>
      <c r="UR4" s="487"/>
      <c r="US4" s="487"/>
      <c r="UT4" s="487"/>
      <c r="UU4" s="487"/>
      <c r="UV4" s="487"/>
      <c r="UW4" s="487"/>
      <c r="UX4" s="487"/>
      <c r="UY4" s="487"/>
      <c r="UZ4" s="487"/>
      <c r="VA4" s="487"/>
      <c r="VB4" s="487"/>
      <c r="VC4" s="487"/>
      <c r="VD4" s="487"/>
      <c r="VE4" s="487"/>
      <c r="VF4" s="487"/>
      <c r="VG4" s="487"/>
      <c r="VH4" s="487"/>
      <c r="VI4" s="487"/>
      <c r="VJ4" s="487"/>
      <c r="VK4" s="487"/>
      <c r="VL4" s="487"/>
      <c r="VM4" s="487"/>
      <c r="VN4" s="487"/>
      <c r="VO4" s="487"/>
      <c r="VP4" s="487"/>
      <c r="VQ4" s="487"/>
      <c r="VR4" s="487"/>
      <c r="VS4" s="487"/>
      <c r="VT4" s="487"/>
      <c r="VU4" s="487"/>
      <c r="VV4" s="487"/>
      <c r="VW4" s="487"/>
      <c r="VX4" s="487"/>
      <c r="VY4" s="487"/>
      <c r="VZ4" s="487"/>
      <c r="WA4" s="487"/>
      <c r="WB4" s="487"/>
      <c r="WC4" s="487"/>
      <c r="WD4" s="487"/>
      <c r="WE4" s="487"/>
      <c r="WF4" s="487"/>
      <c r="WG4" s="487"/>
      <c r="WH4" s="487"/>
      <c r="WI4" s="487"/>
      <c r="WJ4" s="487"/>
      <c r="WK4" s="487"/>
      <c r="WL4" s="487"/>
      <c r="WM4" s="487"/>
      <c r="WN4" s="487"/>
      <c r="WO4" s="487"/>
      <c r="WP4" s="487"/>
      <c r="WQ4" s="487"/>
      <c r="WR4" s="487"/>
      <c r="WS4" s="487"/>
      <c r="WT4" s="487"/>
      <c r="WU4" s="487"/>
      <c r="WV4" s="487"/>
      <c r="WW4" s="487"/>
      <c r="WX4" s="487"/>
      <c r="WY4" s="487"/>
      <c r="WZ4" s="487"/>
      <c r="XA4" s="487"/>
      <c r="XB4" s="487"/>
      <c r="XC4" s="487"/>
      <c r="XD4" s="487"/>
      <c r="XE4" s="487"/>
      <c r="XF4" s="487"/>
      <c r="XG4" s="487"/>
      <c r="XH4" s="487"/>
      <c r="XI4" s="487"/>
      <c r="XJ4" s="487"/>
      <c r="XK4" s="487"/>
      <c r="XL4" s="487"/>
      <c r="XM4" s="487"/>
      <c r="XN4" s="487"/>
      <c r="XO4" s="487"/>
      <c r="XP4" s="487"/>
      <c r="XQ4" s="487"/>
      <c r="XR4" s="487"/>
      <c r="XS4" s="487"/>
      <c r="XT4" s="487"/>
      <c r="XU4" s="487"/>
      <c r="XV4" s="487"/>
      <c r="XW4" s="487"/>
      <c r="XX4" s="487"/>
      <c r="XY4" s="487"/>
      <c r="XZ4" s="487"/>
      <c r="YA4" s="487"/>
      <c r="YB4" s="487"/>
      <c r="YC4" s="487"/>
      <c r="YD4" s="487"/>
      <c r="YE4" s="487"/>
      <c r="YF4" s="487"/>
      <c r="YG4" s="487"/>
      <c r="YH4" s="487"/>
      <c r="YI4" s="487"/>
      <c r="YJ4" s="487"/>
      <c r="YK4" s="487"/>
      <c r="YL4" s="487"/>
      <c r="YM4" s="487"/>
      <c r="YN4" s="487"/>
      <c r="YO4" s="487"/>
      <c r="YP4" s="487"/>
      <c r="YQ4" s="487"/>
      <c r="YR4" s="487"/>
      <c r="YS4" s="487"/>
      <c r="YT4" s="487"/>
      <c r="YU4" s="487"/>
      <c r="YV4" s="487"/>
      <c r="YW4" s="487"/>
      <c r="YX4" s="487"/>
      <c r="YY4" s="487"/>
      <c r="YZ4" s="487"/>
      <c r="ZA4" s="487"/>
      <c r="ZB4" s="487"/>
      <c r="ZC4" s="487"/>
      <c r="ZD4" s="487"/>
      <c r="ZE4" s="487"/>
      <c r="ZF4" s="487"/>
      <c r="ZG4" s="487"/>
      <c r="ZH4" s="487"/>
      <c r="ZI4" s="487"/>
      <c r="ZJ4" s="487"/>
      <c r="ZK4" s="487"/>
      <c r="ZL4" s="487"/>
      <c r="ZM4" s="487"/>
      <c r="ZN4" s="487"/>
      <c r="ZO4" s="487"/>
      <c r="ZP4" s="487"/>
      <c r="ZQ4" s="487"/>
      <c r="ZR4" s="487"/>
      <c r="ZS4" s="487"/>
      <c r="ZT4" s="487"/>
      <c r="ZU4" s="487"/>
      <c r="ZV4" s="487"/>
      <c r="ZW4" s="487"/>
      <c r="ZX4" s="487"/>
      <c r="ZY4" s="487"/>
      <c r="ZZ4" s="487"/>
      <c r="AAA4" s="487"/>
      <c r="AAB4" s="487"/>
      <c r="AAC4" s="487"/>
      <c r="AAD4" s="487"/>
      <c r="AAE4" s="487"/>
      <c r="AAF4" s="487"/>
      <c r="AAG4" s="487"/>
      <c r="AAH4" s="487"/>
      <c r="AAI4" s="487"/>
      <c r="AAJ4" s="487"/>
      <c r="AAK4" s="487"/>
      <c r="AAL4" s="487"/>
      <c r="AAM4" s="487"/>
      <c r="AAN4" s="487"/>
      <c r="AAO4" s="487"/>
      <c r="AAP4" s="487"/>
      <c r="AAQ4" s="487"/>
      <c r="AAR4" s="487"/>
      <c r="AAS4" s="487"/>
      <c r="AAT4" s="487"/>
      <c r="AAU4" s="487"/>
      <c r="AAV4" s="487"/>
      <c r="AAW4" s="487"/>
      <c r="AAX4" s="487"/>
      <c r="AAY4" s="487"/>
      <c r="AAZ4" s="487"/>
      <c r="ABA4" s="487"/>
      <c r="ABB4" s="487"/>
      <c r="ABC4" s="487"/>
      <c r="ABD4" s="487"/>
      <c r="ABE4" s="487"/>
      <c r="ABF4" s="487"/>
      <c r="ABG4" s="487"/>
      <c r="ABH4" s="487"/>
      <c r="ABI4" s="487"/>
      <c r="ABJ4" s="487"/>
      <c r="ABK4" s="487"/>
      <c r="ABL4" s="487"/>
      <c r="ABM4" s="487"/>
      <c r="ABN4" s="487"/>
      <c r="ABO4" s="487"/>
      <c r="ABP4" s="487"/>
      <c r="ABQ4" s="487"/>
      <c r="ABR4" s="487"/>
      <c r="ABS4" s="487"/>
      <c r="ABT4" s="487"/>
      <c r="ABU4" s="487"/>
      <c r="ABV4" s="487"/>
      <c r="ABW4" s="487"/>
      <c r="ABX4" s="487"/>
      <c r="ABY4" s="487"/>
      <c r="ABZ4" s="487"/>
      <c r="ACA4" s="487"/>
      <c r="ACB4" s="487"/>
      <c r="ACC4" s="487"/>
      <c r="ACD4" s="487"/>
      <c r="ACE4" s="487"/>
      <c r="ACF4" s="487"/>
      <c r="ACG4" s="487"/>
      <c r="ACH4" s="487"/>
      <c r="ACI4" s="487"/>
      <c r="ACJ4" s="487"/>
      <c r="ACK4" s="487"/>
      <c r="ACL4" s="487"/>
      <c r="ACM4" s="487"/>
      <c r="ACN4" s="487"/>
      <c r="ACO4" s="487"/>
      <c r="ACP4" s="487"/>
      <c r="ACQ4" s="487"/>
      <c r="ACR4" s="487"/>
      <c r="ACS4" s="487"/>
      <c r="ACT4" s="487"/>
      <c r="ACU4" s="487"/>
      <c r="ACV4" s="487"/>
      <c r="ACW4" s="487"/>
      <c r="ACX4" s="487"/>
      <c r="ACY4" s="487"/>
      <c r="ACZ4" s="487"/>
      <c r="ADA4" s="487"/>
      <c r="ADB4" s="487"/>
      <c r="ADC4" s="487"/>
      <c r="ADD4" s="487"/>
      <c r="ADE4" s="487"/>
      <c r="ADF4" s="487"/>
      <c r="ADG4" s="487"/>
      <c r="ADH4" s="487"/>
      <c r="ADI4" s="487"/>
      <c r="ADJ4" s="487"/>
      <c r="ADK4" s="487"/>
      <c r="ADL4" s="487"/>
      <c r="ADM4" s="487"/>
      <c r="ADN4" s="487"/>
      <c r="ADO4" s="487"/>
      <c r="ADP4" s="487"/>
      <c r="ADQ4" s="487"/>
      <c r="ADR4" s="487"/>
      <c r="ADS4" s="487"/>
      <c r="ADT4" s="487"/>
      <c r="ADU4" s="487"/>
      <c r="ADV4" s="487"/>
      <c r="ADW4" s="487"/>
      <c r="ADX4" s="487"/>
      <c r="ADY4" s="487"/>
      <c r="ADZ4" s="487"/>
      <c r="AEA4" s="487"/>
      <c r="AEB4" s="487"/>
      <c r="AEC4" s="487"/>
      <c r="AED4" s="487"/>
      <c r="AEE4" s="487"/>
      <c r="AEF4" s="487"/>
      <c r="AEG4" s="487"/>
      <c r="AEH4" s="487"/>
      <c r="AEI4" s="487"/>
      <c r="AEJ4" s="487"/>
      <c r="AEK4" s="487"/>
      <c r="AEL4" s="487"/>
      <c r="AEM4" s="487"/>
      <c r="AEN4" s="487"/>
      <c r="AEO4" s="487"/>
      <c r="AEP4" s="487"/>
      <c r="AEQ4" s="487"/>
      <c r="AER4" s="487"/>
      <c r="AES4" s="487"/>
      <c r="AET4" s="487"/>
      <c r="AEU4" s="487"/>
      <c r="AEV4" s="487"/>
      <c r="AEW4" s="487"/>
      <c r="AEX4" s="487"/>
      <c r="AEY4" s="487"/>
      <c r="AEZ4" s="487"/>
      <c r="AFA4" s="487"/>
      <c r="AFB4" s="487"/>
      <c r="AFC4" s="487"/>
      <c r="AFD4" s="487"/>
      <c r="AFE4" s="487"/>
      <c r="AFF4" s="487"/>
      <c r="AFG4" s="487"/>
      <c r="AFH4" s="487"/>
      <c r="AFI4" s="487"/>
      <c r="AFJ4" s="487"/>
      <c r="AFK4" s="487"/>
      <c r="AFL4" s="487"/>
      <c r="AFM4" s="487"/>
      <c r="AFN4" s="487"/>
      <c r="AFO4" s="487"/>
      <c r="AFP4" s="487"/>
      <c r="AFQ4" s="487"/>
      <c r="AFR4" s="487"/>
      <c r="AFS4" s="487"/>
      <c r="AFT4" s="487"/>
      <c r="AFU4" s="487"/>
      <c r="AFV4" s="487"/>
      <c r="AFW4" s="487"/>
      <c r="AFX4" s="487"/>
      <c r="AFY4" s="487"/>
      <c r="AFZ4" s="487"/>
      <c r="AGA4" s="487"/>
      <c r="AGB4" s="487"/>
      <c r="AGC4" s="487"/>
      <c r="AGD4" s="487"/>
      <c r="AGE4" s="487"/>
      <c r="AGF4" s="487"/>
      <c r="AGG4" s="487"/>
      <c r="AGH4" s="487"/>
      <c r="AGI4" s="487"/>
      <c r="AGJ4" s="487"/>
      <c r="AGK4" s="487"/>
      <c r="AGL4" s="487"/>
      <c r="AGM4" s="487"/>
      <c r="AGN4" s="487"/>
      <c r="AGO4" s="487"/>
      <c r="AGP4" s="487"/>
      <c r="AGQ4" s="487"/>
      <c r="AGR4" s="487"/>
      <c r="AGS4" s="487"/>
      <c r="AGT4" s="487"/>
      <c r="AGU4" s="487"/>
      <c r="AGV4" s="487"/>
      <c r="AGW4" s="487"/>
      <c r="AGX4" s="487"/>
      <c r="AGY4" s="487"/>
      <c r="AGZ4" s="487"/>
      <c r="AHA4" s="487"/>
      <c r="AHB4" s="487"/>
      <c r="AHC4" s="487"/>
      <c r="AHD4" s="487"/>
      <c r="AHE4" s="487"/>
      <c r="AHF4" s="487"/>
      <c r="AHG4" s="487"/>
      <c r="AHH4" s="487"/>
      <c r="AHI4" s="487"/>
      <c r="AHJ4" s="487"/>
      <c r="AHK4" s="487"/>
      <c r="AHL4" s="487"/>
      <c r="AHM4" s="487"/>
      <c r="AHN4" s="487"/>
      <c r="AHO4" s="487"/>
      <c r="AHP4" s="487"/>
      <c r="AHQ4" s="487"/>
      <c r="AHR4" s="487"/>
      <c r="AHS4" s="487"/>
      <c r="AHT4" s="487"/>
      <c r="AHU4" s="487"/>
      <c r="AHV4" s="487"/>
      <c r="AHW4" s="487"/>
      <c r="AHX4" s="487"/>
      <c r="AHY4" s="487"/>
      <c r="AHZ4" s="487"/>
      <c r="AIA4" s="487"/>
      <c r="AIB4" s="487"/>
      <c r="AIC4" s="487"/>
      <c r="AID4" s="487"/>
      <c r="AIE4" s="487"/>
      <c r="AIF4" s="487"/>
      <c r="AIG4" s="487"/>
      <c r="AIH4" s="487"/>
      <c r="AII4" s="487"/>
      <c r="AIJ4" s="487"/>
      <c r="AIK4" s="487"/>
      <c r="AIL4" s="487"/>
      <c r="AIM4" s="487"/>
      <c r="AIN4" s="487"/>
      <c r="AIO4" s="487"/>
      <c r="AIP4" s="487"/>
      <c r="AIQ4" s="487"/>
      <c r="AIR4" s="487"/>
      <c r="AIS4" s="487"/>
      <c r="AIT4" s="487"/>
      <c r="AIU4" s="487"/>
      <c r="AIV4" s="487"/>
      <c r="AIW4" s="487"/>
      <c r="AIX4" s="487"/>
      <c r="AIY4" s="487"/>
      <c r="AIZ4" s="487"/>
      <c r="AJA4" s="487"/>
      <c r="AJB4" s="487"/>
      <c r="AJC4" s="487"/>
      <c r="AJD4" s="487"/>
      <c r="AJE4" s="487"/>
      <c r="AJF4" s="487"/>
      <c r="AJG4" s="487"/>
      <c r="AJH4" s="487"/>
      <c r="AJI4" s="487"/>
      <c r="AJJ4" s="487"/>
      <c r="AJK4" s="487"/>
      <c r="AJL4" s="487"/>
      <c r="AJM4" s="487"/>
      <c r="AJN4" s="487"/>
      <c r="AJO4" s="487"/>
      <c r="AJP4" s="487"/>
      <c r="AJQ4" s="487"/>
      <c r="AJR4" s="487"/>
      <c r="AJS4" s="487"/>
      <c r="AJT4" s="487"/>
      <c r="AJU4" s="487"/>
      <c r="AJV4" s="487"/>
      <c r="AJW4" s="487"/>
      <c r="AJX4" s="487"/>
      <c r="AJY4" s="487"/>
      <c r="AJZ4" s="487"/>
      <c r="AKA4" s="487"/>
      <c r="AKB4" s="487"/>
      <c r="AKC4" s="487"/>
      <c r="AKD4" s="487"/>
      <c r="AKE4" s="487"/>
      <c r="AKF4" s="487"/>
      <c r="AKG4" s="487"/>
      <c r="AKH4" s="487"/>
      <c r="AKI4" s="487"/>
      <c r="AKJ4" s="487"/>
      <c r="AKK4" s="487"/>
      <c r="AKL4" s="487"/>
      <c r="AKM4" s="487"/>
      <c r="AKN4" s="487"/>
      <c r="AKO4" s="487"/>
      <c r="AKP4" s="487"/>
      <c r="AKQ4" s="487"/>
      <c r="AKR4" s="487"/>
      <c r="AKS4" s="487"/>
      <c r="AKT4" s="487"/>
      <c r="AKU4" s="487"/>
      <c r="AKV4" s="487"/>
      <c r="AKW4" s="487"/>
      <c r="AKX4" s="487"/>
      <c r="AKY4" s="487"/>
      <c r="AKZ4" s="487"/>
      <c r="ALA4" s="487"/>
      <c r="ALB4" s="487"/>
      <c r="ALC4" s="487"/>
      <c r="ALD4" s="487"/>
      <c r="ALE4" s="487"/>
      <c r="ALF4" s="487"/>
      <c r="ALG4" s="487"/>
      <c r="ALH4" s="487"/>
      <c r="ALI4" s="487"/>
      <c r="ALJ4" s="487"/>
      <c r="ALK4" s="487"/>
      <c r="ALL4" s="487"/>
      <c r="ALM4" s="487"/>
      <c r="ALN4" s="487"/>
      <c r="ALO4" s="487"/>
      <c r="ALP4" s="487"/>
      <c r="ALQ4" s="487"/>
      <c r="ALR4" s="487"/>
      <c r="ALS4" s="487"/>
      <c r="ALT4" s="487"/>
      <c r="ALU4" s="487"/>
      <c r="ALV4" s="487"/>
      <c r="ALW4" s="487"/>
      <c r="ALX4" s="487"/>
      <c r="ALY4" s="487"/>
      <c r="ALZ4" s="487"/>
      <c r="AMA4" s="487"/>
      <c r="AMB4" s="487"/>
      <c r="AMC4" s="487"/>
      <c r="AMD4" s="487"/>
      <c r="AME4" s="487"/>
      <c r="AMF4" s="487"/>
      <c r="AMG4" s="487"/>
      <c r="AMH4" s="487"/>
      <c r="AMI4" s="487"/>
      <c r="AMJ4" s="487"/>
      <c r="AMK4" s="487"/>
      <c r="AML4" s="487"/>
      <c r="AMM4" s="487"/>
      <c r="AMN4" s="487"/>
      <c r="AMO4" s="487"/>
      <c r="AMP4" s="487"/>
      <c r="AMQ4" s="487"/>
      <c r="AMR4" s="487"/>
      <c r="AMS4" s="487"/>
      <c r="AMT4" s="487"/>
      <c r="AMU4" s="487"/>
      <c r="AMV4" s="487"/>
      <c r="AMW4" s="487"/>
      <c r="AMX4" s="487"/>
      <c r="AMY4" s="487"/>
      <c r="AMZ4" s="487"/>
      <c r="ANA4" s="487"/>
      <c r="ANB4" s="487"/>
      <c r="ANC4" s="487"/>
      <c r="AND4" s="487"/>
      <c r="ANE4" s="487"/>
      <c r="ANF4" s="487"/>
      <c r="ANG4" s="487"/>
      <c r="ANH4" s="487"/>
      <c r="ANI4" s="487"/>
      <c r="ANJ4" s="487"/>
      <c r="ANK4" s="487"/>
      <c r="ANL4" s="487"/>
      <c r="ANM4" s="487"/>
      <c r="ANN4" s="487"/>
      <c r="ANO4" s="487"/>
      <c r="ANP4" s="487"/>
      <c r="ANQ4" s="487"/>
      <c r="ANR4" s="487"/>
      <c r="ANS4" s="487"/>
      <c r="ANT4" s="487"/>
      <c r="ANU4" s="487"/>
      <c r="ANV4" s="487"/>
      <c r="ANW4" s="487"/>
      <c r="ANX4" s="487"/>
      <c r="ANY4" s="487"/>
      <c r="ANZ4" s="487"/>
      <c r="AOA4" s="487"/>
      <c r="AOB4" s="487"/>
      <c r="AOC4" s="487"/>
      <c r="AOD4" s="487"/>
      <c r="AOE4" s="487"/>
      <c r="AOF4" s="487"/>
      <c r="AOG4" s="487"/>
      <c r="AOH4" s="487"/>
      <c r="AOI4" s="487"/>
      <c r="AOJ4" s="487"/>
      <c r="AOK4" s="487"/>
      <c r="AOL4" s="487"/>
      <c r="AOM4" s="487"/>
      <c r="AON4" s="487"/>
      <c r="AOO4" s="487"/>
      <c r="AOP4" s="487"/>
      <c r="AOQ4" s="487"/>
      <c r="AOR4" s="487"/>
      <c r="AOS4" s="487"/>
      <c r="AOT4" s="487"/>
      <c r="AOU4" s="487"/>
      <c r="AOV4" s="487"/>
      <c r="AOW4" s="487"/>
      <c r="AOX4" s="487"/>
      <c r="AOY4" s="487"/>
      <c r="AOZ4" s="487"/>
      <c r="APA4" s="487"/>
      <c r="APB4" s="487"/>
      <c r="APC4" s="487"/>
      <c r="APD4" s="487"/>
      <c r="APE4" s="487"/>
      <c r="APF4" s="487"/>
      <c r="APG4" s="487"/>
      <c r="APH4" s="487"/>
      <c r="API4" s="487"/>
      <c r="APJ4" s="487"/>
      <c r="APK4" s="487"/>
      <c r="APL4" s="487"/>
      <c r="APM4" s="487"/>
      <c r="APN4" s="487"/>
      <c r="APO4" s="487"/>
      <c r="APP4" s="487"/>
      <c r="APQ4" s="487"/>
      <c r="APR4" s="487"/>
      <c r="APS4" s="487"/>
      <c r="APT4" s="487"/>
      <c r="APU4" s="487"/>
      <c r="APV4" s="487"/>
      <c r="APW4" s="487"/>
      <c r="APX4" s="487"/>
      <c r="APY4" s="487"/>
      <c r="APZ4" s="487"/>
      <c r="AQA4" s="487"/>
      <c r="AQB4" s="487"/>
      <c r="AQC4" s="487"/>
      <c r="AQD4" s="487"/>
      <c r="AQE4" s="487"/>
      <c r="AQF4" s="487"/>
      <c r="AQG4" s="487"/>
      <c r="AQH4" s="487"/>
      <c r="AQI4" s="487"/>
      <c r="AQJ4" s="487"/>
      <c r="AQK4" s="487"/>
      <c r="AQL4" s="487"/>
      <c r="AQM4" s="487"/>
      <c r="AQN4" s="487"/>
      <c r="AQO4" s="487"/>
      <c r="AQP4" s="487"/>
      <c r="AQQ4" s="487"/>
      <c r="AQR4" s="487"/>
      <c r="AQS4" s="487"/>
      <c r="AQT4" s="487"/>
      <c r="AQU4" s="487"/>
      <c r="AQV4" s="487"/>
      <c r="AQW4" s="487"/>
      <c r="AQX4" s="487"/>
      <c r="AQY4" s="487"/>
      <c r="AQZ4" s="487"/>
      <c r="ARA4" s="487"/>
      <c r="ARB4" s="487"/>
      <c r="ARC4" s="487"/>
      <c r="ARD4" s="487"/>
      <c r="ARE4" s="487"/>
      <c r="ARF4" s="487"/>
      <c r="ARG4" s="487"/>
      <c r="ARH4" s="487"/>
      <c r="ARI4" s="487"/>
      <c r="ARJ4" s="487"/>
      <c r="ARK4" s="487"/>
      <c r="ARL4" s="487"/>
      <c r="ARM4" s="487"/>
      <c r="ARN4" s="487"/>
      <c r="ARO4" s="487"/>
      <c r="ARP4" s="487"/>
      <c r="ARQ4" s="487"/>
      <c r="ARR4" s="487"/>
      <c r="ARS4" s="487"/>
      <c r="ART4" s="487"/>
      <c r="ARU4" s="487"/>
      <c r="ARV4" s="487"/>
      <c r="ARW4" s="487"/>
      <c r="ARX4" s="487"/>
      <c r="ARY4" s="487"/>
      <c r="ARZ4" s="487"/>
      <c r="ASA4" s="487"/>
      <c r="ASB4" s="487"/>
      <c r="ASC4" s="487"/>
      <c r="ASD4" s="487"/>
      <c r="ASE4" s="487"/>
      <c r="ASF4" s="487"/>
      <c r="ASG4" s="487"/>
      <c r="ASH4" s="487"/>
      <c r="ASI4" s="487"/>
      <c r="ASJ4" s="487"/>
      <c r="ASK4" s="487"/>
      <c r="ASL4" s="487"/>
      <c r="ASM4" s="487"/>
      <c r="ASN4" s="487"/>
      <c r="ASO4" s="487"/>
      <c r="ASP4" s="487"/>
      <c r="ASQ4" s="487"/>
      <c r="ASR4" s="487"/>
      <c r="ASS4" s="487"/>
      <c r="AST4" s="487"/>
      <c r="ASU4" s="487"/>
      <c r="ASV4" s="487"/>
      <c r="ASW4" s="487"/>
      <c r="ASX4" s="487"/>
      <c r="ASY4" s="487"/>
      <c r="ASZ4" s="487"/>
      <c r="ATA4" s="487"/>
      <c r="ATB4" s="487"/>
      <c r="ATC4" s="487"/>
      <c r="ATD4" s="487"/>
      <c r="ATE4" s="487"/>
      <c r="ATF4" s="487"/>
      <c r="ATG4" s="487"/>
      <c r="ATH4" s="487"/>
      <c r="ATI4" s="487"/>
      <c r="ATJ4" s="487"/>
      <c r="ATK4" s="487"/>
      <c r="ATL4" s="487"/>
      <c r="ATM4" s="487"/>
      <c r="ATN4" s="487"/>
      <c r="ATO4" s="487"/>
      <c r="ATP4" s="487"/>
      <c r="ATQ4" s="487"/>
      <c r="ATR4" s="487"/>
      <c r="ATS4" s="487"/>
      <c r="ATT4" s="487"/>
      <c r="ATU4" s="487"/>
      <c r="ATV4" s="487"/>
      <c r="ATW4" s="487"/>
      <c r="ATX4" s="487"/>
      <c r="ATY4" s="487"/>
      <c r="ATZ4" s="487"/>
      <c r="AUA4" s="487"/>
      <c r="AUB4" s="487"/>
      <c r="AUC4" s="487"/>
      <c r="AUD4" s="487"/>
      <c r="AUE4" s="487"/>
      <c r="AUF4" s="487"/>
      <c r="AUG4" s="487"/>
      <c r="AUH4" s="487"/>
      <c r="AUI4" s="487"/>
      <c r="AUJ4" s="487"/>
      <c r="AUK4" s="487"/>
      <c r="AUL4" s="487"/>
      <c r="AUM4" s="487"/>
      <c r="AUN4" s="487"/>
      <c r="AUO4" s="487"/>
      <c r="AUP4" s="487"/>
      <c r="AUQ4" s="487"/>
      <c r="AUR4" s="487"/>
      <c r="AUS4" s="487"/>
      <c r="AUT4" s="487"/>
      <c r="AUU4" s="487"/>
      <c r="AUV4" s="487"/>
      <c r="AUW4" s="487"/>
      <c r="AUX4" s="487"/>
      <c r="AUY4" s="487"/>
      <c r="AUZ4" s="487"/>
      <c r="AVA4" s="487"/>
      <c r="AVB4" s="487"/>
      <c r="AVC4" s="487"/>
      <c r="AVD4" s="487"/>
      <c r="AVE4" s="487"/>
      <c r="AVF4" s="487"/>
      <c r="AVG4" s="487"/>
    </row>
    <row r="5" spans="1:1255" s="488" customFormat="1" ht="32.1" customHeight="1">
      <c r="A5" s="470">
        <v>2</v>
      </c>
      <c r="B5" s="471">
        <f>IF(correction="Y",0,1)</f>
        <v>1</v>
      </c>
      <c r="C5" s="472" t="e">
        <f ca="1">"Reference Device  Specs +Sey
(" &amp; Q2 &amp; H1 &amp; " Druck Transducer)
"&amp;Q3 &amp; "% of F.S. from Calibration Report - " &amp; Q1</f>
        <v>#N/A</v>
      </c>
      <c r="D5" s="471" t="s">
        <v>395</v>
      </c>
      <c r="E5" s="473">
        <f ca="1">Q21+Q22</f>
        <v>1.7722764049999999E-15</v>
      </c>
      <c r="F5" s="474" t="str">
        <f ca="1">IF(OR(E5="",B5=0),"",$F$4)</f>
        <v>ABS kPa</v>
      </c>
      <c r="G5" s="475" t="str">
        <f t="shared" ref="G5:G15" si="3">IF(OR(D5="",B5=0),"",IF(D5="ESDM","A","B"))</f>
        <v>B</v>
      </c>
      <c r="H5" s="476">
        <f t="shared" ref="H5:H15" ca="1" si="4">IF(OR(E5="",B5=0),"",IF(D5="ESDM",1,IF(D5="N95",2,IF(D5="Rect",(3^0.5)))))</f>
        <v>1.7320508075688772</v>
      </c>
      <c r="I5" s="477">
        <f t="shared" ref="I5:I15" si="5">IF(D5="N95",60,100)</f>
        <v>100</v>
      </c>
      <c r="J5" s="478">
        <f t="shared" ref="J5:J15" ca="1" si="6">IF(OR(E5="",B5=0),"",(E5/H5))</f>
        <v>1.0232242595051723E-15</v>
      </c>
      <c r="K5" s="479">
        <v>1</v>
      </c>
      <c r="L5" s="480">
        <f t="shared" ref="L5:L15" ca="1" si="7">IF(OR(E5="",B5=0),"",K5*J5)</f>
        <v>1.0232242595051723E-15</v>
      </c>
      <c r="M5" s="480">
        <f t="shared" ca="1" si="0"/>
        <v>1.0469878852399082E-30</v>
      </c>
      <c r="N5" s="481">
        <f t="shared" ca="1" si="1"/>
        <v>1.0961836318391352E-62</v>
      </c>
      <c r="O5" s="482" t="e">
        <f t="shared" ca="1" si="2"/>
        <v>#VALUE!</v>
      </c>
      <c r="P5" s="464" t="s">
        <v>396</v>
      </c>
      <c r="Q5" s="483" t="e">
        <f ca="1">VLOOKUP(VLOOKUP(I1,Worksheet!$A$18:$B$31,2),'1Test Data'!$O$30:$Z$49,12,0)</f>
        <v>#VALUE!</v>
      </c>
      <c r="R5" s="484">
        <f t="shared" ref="R5:R15" ca="1" si="8">IF(OR(E5="",B5=0),"",K5*J5)</f>
        <v>1.0232242595051723E-15</v>
      </c>
      <c r="S5" s="465">
        <f t="shared" ref="S5:S15" ca="1" si="9">IF(OR(E5="",B5=0),"",ABS(R5))</f>
        <v>1.0232242595051723E-15</v>
      </c>
      <c r="T5" s="465" t="e">
        <f ca="1">IF(OR(E5="",B5=0),"",ABS(L5/S16))</f>
        <v>#VALUE!</v>
      </c>
      <c r="U5" s="485"/>
      <c r="V5" s="486"/>
      <c r="W5" s="486"/>
      <c r="X5" s="487"/>
      <c r="Y5" s="439"/>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487"/>
      <c r="CQ5" s="487"/>
      <c r="CR5" s="487"/>
      <c r="CS5" s="487"/>
      <c r="CT5" s="487"/>
      <c r="CU5" s="487"/>
      <c r="CV5" s="487"/>
      <c r="CW5" s="487"/>
      <c r="CX5" s="487"/>
      <c r="CY5" s="487"/>
      <c r="CZ5" s="487"/>
      <c r="DA5" s="487"/>
      <c r="DB5" s="487"/>
      <c r="DC5" s="487"/>
      <c r="DD5" s="487"/>
      <c r="DE5" s="487"/>
      <c r="DF5" s="487"/>
      <c r="DG5" s="487"/>
      <c r="DH5" s="487"/>
      <c r="DI5" s="487"/>
      <c r="DJ5" s="487"/>
      <c r="DK5" s="487"/>
      <c r="DL5" s="487"/>
      <c r="DM5" s="487"/>
      <c r="DN5" s="487"/>
      <c r="DO5" s="487"/>
      <c r="DP5" s="487"/>
      <c r="DQ5" s="487"/>
      <c r="DR5" s="487"/>
      <c r="DS5" s="487"/>
      <c r="DT5" s="487"/>
      <c r="DU5" s="487"/>
      <c r="DV5" s="487"/>
      <c r="DW5" s="487"/>
      <c r="DX5" s="487"/>
      <c r="DY5" s="487"/>
      <c r="DZ5" s="487"/>
      <c r="EA5" s="487"/>
      <c r="EB5" s="487"/>
      <c r="EC5" s="487"/>
      <c r="ED5" s="487"/>
      <c r="EE5" s="487"/>
      <c r="EF5" s="487"/>
      <c r="EG5" s="487"/>
      <c r="EH5" s="487"/>
      <c r="EI5" s="487"/>
      <c r="EJ5" s="487"/>
      <c r="EK5" s="487"/>
      <c r="EL5" s="487"/>
      <c r="EM5" s="487"/>
      <c r="EN5" s="487"/>
      <c r="EO5" s="487"/>
      <c r="EP5" s="487"/>
      <c r="EQ5" s="487"/>
      <c r="ER5" s="487"/>
      <c r="ES5" s="487"/>
      <c r="ET5" s="487"/>
      <c r="EU5" s="487"/>
      <c r="EV5" s="487"/>
      <c r="EW5" s="487"/>
      <c r="EX5" s="487"/>
      <c r="EY5" s="487"/>
      <c r="EZ5" s="487"/>
      <c r="FA5" s="487"/>
      <c r="FB5" s="487"/>
      <c r="FC5" s="487"/>
      <c r="FD5" s="487"/>
      <c r="FE5" s="487"/>
      <c r="FF5" s="487"/>
      <c r="FG5" s="487"/>
      <c r="FH5" s="487"/>
      <c r="FI5" s="487"/>
      <c r="FJ5" s="487"/>
      <c r="FK5" s="487"/>
      <c r="FL5" s="487"/>
      <c r="FM5" s="487"/>
      <c r="FN5" s="487"/>
      <c r="FO5" s="487"/>
      <c r="FP5" s="487"/>
      <c r="FQ5" s="487"/>
      <c r="FR5" s="487"/>
      <c r="FS5" s="487"/>
      <c r="FT5" s="487"/>
      <c r="FU5" s="487"/>
      <c r="FV5" s="487"/>
      <c r="FW5" s="487"/>
      <c r="FX5" s="487"/>
      <c r="FY5" s="487"/>
      <c r="FZ5" s="487"/>
      <c r="GA5" s="487"/>
      <c r="GB5" s="487"/>
      <c r="GC5" s="487"/>
      <c r="GD5" s="487"/>
      <c r="GE5" s="487"/>
      <c r="GF5" s="487"/>
      <c r="GG5" s="487"/>
      <c r="GH5" s="487"/>
      <c r="GI5" s="487"/>
      <c r="GJ5" s="487"/>
      <c r="GK5" s="487"/>
      <c r="GL5" s="487"/>
      <c r="GM5" s="487"/>
      <c r="GN5" s="487"/>
      <c r="GO5" s="487"/>
      <c r="GP5" s="487"/>
      <c r="GQ5" s="487"/>
      <c r="GR5" s="487"/>
      <c r="GS5" s="487"/>
      <c r="GT5" s="487"/>
      <c r="GU5" s="487"/>
      <c r="GV5" s="487"/>
      <c r="GW5" s="487"/>
      <c r="GX5" s="487"/>
      <c r="GY5" s="487"/>
      <c r="GZ5" s="487"/>
      <c r="HA5" s="487"/>
      <c r="HB5" s="487"/>
      <c r="HC5" s="487"/>
      <c r="HD5" s="487"/>
      <c r="HE5" s="487"/>
      <c r="HF5" s="487"/>
      <c r="HG5" s="487"/>
      <c r="HH5" s="487"/>
      <c r="HI5" s="487"/>
      <c r="HJ5" s="487"/>
      <c r="HK5" s="487"/>
      <c r="HL5" s="487"/>
      <c r="HM5" s="487"/>
      <c r="HN5" s="487"/>
      <c r="HO5" s="487"/>
      <c r="HP5" s="487"/>
      <c r="HQ5" s="487"/>
      <c r="HR5" s="487"/>
      <c r="HS5" s="487"/>
      <c r="HT5" s="487"/>
      <c r="HU5" s="487"/>
      <c r="HV5" s="487"/>
      <c r="HW5" s="487"/>
      <c r="HX5" s="487"/>
      <c r="HY5" s="487"/>
      <c r="HZ5" s="487"/>
      <c r="IA5" s="487"/>
      <c r="IB5" s="487"/>
      <c r="IC5" s="487"/>
      <c r="ID5" s="487"/>
      <c r="IE5" s="487"/>
      <c r="IF5" s="487"/>
      <c r="IG5" s="487"/>
      <c r="IH5" s="487"/>
      <c r="II5" s="487"/>
      <c r="IJ5" s="487"/>
      <c r="IK5" s="487"/>
      <c r="IL5" s="487"/>
      <c r="IM5" s="487"/>
      <c r="IN5" s="487"/>
      <c r="IO5" s="487"/>
      <c r="IP5" s="487"/>
      <c r="IQ5" s="487"/>
      <c r="IR5" s="487"/>
      <c r="IS5" s="487"/>
      <c r="IT5" s="487"/>
      <c r="IU5" s="487"/>
      <c r="IV5" s="487"/>
      <c r="IW5" s="487"/>
      <c r="IX5" s="487"/>
      <c r="IY5" s="487"/>
      <c r="IZ5" s="487"/>
      <c r="JA5" s="487"/>
      <c r="JB5" s="487"/>
      <c r="JC5" s="487"/>
      <c r="JD5" s="487"/>
      <c r="JE5" s="487"/>
      <c r="JF5" s="487"/>
      <c r="JG5" s="487"/>
      <c r="JH5" s="487"/>
      <c r="JI5" s="487"/>
      <c r="JJ5" s="487"/>
      <c r="JK5" s="487"/>
      <c r="JL5" s="487"/>
      <c r="JM5" s="487"/>
      <c r="JN5" s="487"/>
      <c r="JO5" s="487"/>
      <c r="JP5" s="487"/>
      <c r="JQ5" s="487"/>
      <c r="JR5" s="487"/>
      <c r="JS5" s="487"/>
      <c r="JT5" s="487"/>
      <c r="JU5" s="487"/>
      <c r="JV5" s="487"/>
      <c r="JW5" s="487"/>
      <c r="JX5" s="487"/>
      <c r="JY5" s="487"/>
      <c r="JZ5" s="487"/>
      <c r="KA5" s="487"/>
      <c r="KB5" s="487"/>
      <c r="KC5" s="487"/>
      <c r="KD5" s="487"/>
      <c r="KE5" s="487"/>
      <c r="KF5" s="487"/>
      <c r="KG5" s="487"/>
      <c r="KH5" s="487"/>
      <c r="KI5" s="487"/>
      <c r="KJ5" s="487"/>
      <c r="KK5" s="487"/>
      <c r="KL5" s="487"/>
      <c r="KM5" s="487"/>
      <c r="KN5" s="487"/>
      <c r="KO5" s="487"/>
      <c r="KP5" s="487"/>
      <c r="KQ5" s="487"/>
      <c r="KR5" s="487"/>
      <c r="KS5" s="487"/>
      <c r="KT5" s="487"/>
      <c r="KU5" s="487"/>
      <c r="KV5" s="487"/>
      <c r="KW5" s="487"/>
      <c r="KX5" s="487"/>
      <c r="KY5" s="487"/>
      <c r="KZ5" s="487"/>
      <c r="LA5" s="487"/>
      <c r="LB5" s="487"/>
      <c r="LC5" s="487"/>
      <c r="LD5" s="487"/>
      <c r="LE5" s="487"/>
      <c r="LF5" s="487"/>
      <c r="LG5" s="487"/>
      <c r="LH5" s="487"/>
      <c r="LI5" s="487"/>
      <c r="LJ5" s="487"/>
      <c r="LK5" s="487"/>
      <c r="LL5" s="487"/>
      <c r="LM5" s="487"/>
      <c r="LN5" s="487"/>
      <c r="LO5" s="487"/>
      <c r="LP5" s="487"/>
      <c r="LQ5" s="487"/>
      <c r="LR5" s="487"/>
      <c r="LS5" s="487"/>
      <c r="LT5" s="487"/>
      <c r="LU5" s="487"/>
      <c r="LV5" s="487"/>
      <c r="LW5" s="487"/>
      <c r="LX5" s="487"/>
      <c r="LY5" s="487"/>
      <c r="LZ5" s="487"/>
      <c r="MA5" s="487"/>
      <c r="MB5" s="487"/>
      <c r="MC5" s="487"/>
      <c r="MD5" s="487"/>
      <c r="ME5" s="487"/>
      <c r="MF5" s="487"/>
      <c r="MG5" s="487"/>
      <c r="MH5" s="487"/>
      <c r="MI5" s="487"/>
      <c r="MJ5" s="487"/>
      <c r="MK5" s="487"/>
      <c r="ML5" s="487"/>
      <c r="MM5" s="487"/>
      <c r="MN5" s="487"/>
      <c r="MO5" s="487"/>
      <c r="MP5" s="487"/>
      <c r="MQ5" s="487"/>
      <c r="MR5" s="487"/>
      <c r="MS5" s="487"/>
      <c r="MT5" s="487"/>
      <c r="MU5" s="487"/>
      <c r="MV5" s="487"/>
      <c r="MW5" s="487"/>
      <c r="MX5" s="487"/>
      <c r="MY5" s="487"/>
      <c r="MZ5" s="487"/>
      <c r="NA5" s="487"/>
      <c r="NB5" s="487"/>
      <c r="NC5" s="487"/>
      <c r="ND5" s="487"/>
      <c r="NE5" s="487"/>
      <c r="NF5" s="487"/>
      <c r="NG5" s="487"/>
      <c r="NH5" s="487"/>
      <c r="NI5" s="487"/>
      <c r="NJ5" s="487"/>
      <c r="NK5" s="487"/>
      <c r="NL5" s="487"/>
      <c r="NM5" s="487"/>
      <c r="NN5" s="487"/>
      <c r="NO5" s="487"/>
      <c r="NP5" s="487"/>
      <c r="NQ5" s="487"/>
      <c r="NR5" s="487"/>
      <c r="NS5" s="487"/>
      <c r="NT5" s="487"/>
      <c r="NU5" s="487"/>
      <c r="NV5" s="487"/>
      <c r="NW5" s="487"/>
      <c r="NX5" s="487"/>
      <c r="NY5" s="487"/>
      <c r="NZ5" s="487"/>
      <c r="OA5" s="487"/>
      <c r="OB5" s="487"/>
      <c r="OC5" s="487"/>
      <c r="OD5" s="487"/>
      <c r="OE5" s="487"/>
      <c r="OF5" s="487"/>
      <c r="OG5" s="487"/>
      <c r="OH5" s="487"/>
      <c r="OI5" s="487"/>
      <c r="OJ5" s="487"/>
      <c r="OK5" s="487"/>
      <c r="OL5" s="487"/>
      <c r="OM5" s="487"/>
      <c r="ON5" s="487"/>
      <c r="OO5" s="487"/>
      <c r="OP5" s="487"/>
      <c r="OQ5" s="487"/>
      <c r="OR5" s="487"/>
      <c r="OS5" s="487"/>
      <c r="OT5" s="487"/>
      <c r="OU5" s="487"/>
      <c r="OV5" s="487"/>
      <c r="OW5" s="487"/>
      <c r="OX5" s="487"/>
      <c r="OY5" s="487"/>
      <c r="OZ5" s="487"/>
      <c r="PA5" s="487"/>
      <c r="PB5" s="487"/>
      <c r="PC5" s="487"/>
      <c r="PD5" s="487"/>
      <c r="PE5" s="487"/>
      <c r="PF5" s="487"/>
      <c r="PG5" s="487"/>
      <c r="PH5" s="487"/>
      <c r="PI5" s="487"/>
      <c r="PJ5" s="487"/>
      <c r="PK5" s="487"/>
      <c r="PL5" s="487"/>
      <c r="PM5" s="487"/>
      <c r="PN5" s="487"/>
      <c r="PO5" s="487"/>
      <c r="PP5" s="487"/>
      <c r="PQ5" s="487"/>
      <c r="PR5" s="487"/>
      <c r="PS5" s="487"/>
      <c r="PT5" s="487"/>
      <c r="PU5" s="487"/>
      <c r="PV5" s="487"/>
      <c r="PW5" s="487"/>
      <c r="PX5" s="487"/>
      <c r="PY5" s="487"/>
      <c r="PZ5" s="487"/>
      <c r="QA5" s="487"/>
      <c r="QB5" s="487"/>
      <c r="QC5" s="487"/>
      <c r="QD5" s="487"/>
      <c r="QE5" s="487"/>
      <c r="QF5" s="487"/>
      <c r="QG5" s="487"/>
      <c r="QH5" s="487"/>
      <c r="QI5" s="487"/>
      <c r="QJ5" s="487"/>
      <c r="QK5" s="487"/>
      <c r="QL5" s="487"/>
      <c r="QM5" s="487"/>
      <c r="QN5" s="487"/>
      <c r="QO5" s="487"/>
      <c r="QP5" s="487"/>
      <c r="QQ5" s="487"/>
      <c r="QR5" s="487"/>
      <c r="QS5" s="487"/>
      <c r="QT5" s="487"/>
      <c r="QU5" s="487"/>
      <c r="QV5" s="487"/>
      <c r="QW5" s="487"/>
      <c r="QX5" s="487"/>
      <c r="QY5" s="487"/>
      <c r="QZ5" s="487"/>
      <c r="RA5" s="487"/>
      <c r="RB5" s="487"/>
      <c r="RC5" s="487"/>
      <c r="RD5" s="487"/>
      <c r="RE5" s="487"/>
      <c r="RF5" s="487"/>
      <c r="RG5" s="487"/>
      <c r="RH5" s="487"/>
      <c r="RI5" s="487"/>
      <c r="RJ5" s="487"/>
      <c r="RK5" s="487"/>
      <c r="RL5" s="487"/>
      <c r="RM5" s="487"/>
      <c r="RN5" s="487"/>
      <c r="RO5" s="487"/>
      <c r="RP5" s="487"/>
      <c r="RQ5" s="487"/>
      <c r="RR5" s="487"/>
      <c r="RS5" s="487"/>
      <c r="RT5" s="487"/>
      <c r="RU5" s="487"/>
      <c r="RV5" s="487"/>
      <c r="RW5" s="487"/>
      <c r="RX5" s="487"/>
      <c r="RY5" s="487"/>
      <c r="RZ5" s="487"/>
      <c r="SA5" s="487"/>
      <c r="SB5" s="487"/>
      <c r="SC5" s="487"/>
      <c r="SD5" s="487"/>
      <c r="SE5" s="487"/>
      <c r="SF5" s="487"/>
      <c r="SG5" s="487"/>
      <c r="SH5" s="487"/>
      <c r="SI5" s="487"/>
      <c r="SJ5" s="487"/>
      <c r="SK5" s="487"/>
      <c r="SL5" s="487"/>
      <c r="SM5" s="487"/>
      <c r="SN5" s="487"/>
      <c r="SO5" s="487"/>
      <c r="SP5" s="487"/>
      <c r="SQ5" s="487"/>
      <c r="SR5" s="487"/>
      <c r="SS5" s="487"/>
      <c r="ST5" s="487"/>
      <c r="SU5" s="487"/>
      <c r="SV5" s="487"/>
      <c r="SW5" s="487"/>
      <c r="SX5" s="487"/>
      <c r="SY5" s="487"/>
      <c r="SZ5" s="487"/>
      <c r="TA5" s="487"/>
      <c r="TB5" s="487"/>
      <c r="TC5" s="487"/>
      <c r="TD5" s="487"/>
      <c r="TE5" s="487"/>
      <c r="TF5" s="487"/>
      <c r="TG5" s="487"/>
      <c r="TH5" s="487"/>
      <c r="TI5" s="487"/>
      <c r="TJ5" s="487"/>
      <c r="TK5" s="487"/>
      <c r="TL5" s="487"/>
      <c r="TM5" s="487"/>
      <c r="TN5" s="487"/>
      <c r="TO5" s="487"/>
      <c r="TP5" s="487"/>
      <c r="TQ5" s="487"/>
      <c r="TR5" s="487"/>
      <c r="TS5" s="487"/>
      <c r="TT5" s="487"/>
      <c r="TU5" s="487"/>
      <c r="TV5" s="487"/>
      <c r="TW5" s="487"/>
      <c r="TX5" s="487"/>
      <c r="TY5" s="487"/>
      <c r="TZ5" s="487"/>
      <c r="UA5" s="487"/>
      <c r="UB5" s="487"/>
      <c r="UC5" s="487"/>
      <c r="UD5" s="487"/>
      <c r="UE5" s="487"/>
      <c r="UF5" s="487"/>
      <c r="UG5" s="487"/>
      <c r="UH5" s="487"/>
      <c r="UI5" s="487"/>
      <c r="UJ5" s="487"/>
      <c r="UK5" s="487"/>
      <c r="UL5" s="487"/>
      <c r="UM5" s="487"/>
      <c r="UN5" s="487"/>
      <c r="UO5" s="487"/>
      <c r="UP5" s="487"/>
      <c r="UQ5" s="487"/>
      <c r="UR5" s="487"/>
      <c r="US5" s="487"/>
      <c r="UT5" s="487"/>
      <c r="UU5" s="487"/>
      <c r="UV5" s="487"/>
      <c r="UW5" s="487"/>
      <c r="UX5" s="487"/>
      <c r="UY5" s="487"/>
      <c r="UZ5" s="487"/>
      <c r="VA5" s="487"/>
      <c r="VB5" s="487"/>
      <c r="VC5" s="487"/>
      <c r="VD5" s="487"/>
      <c r="VE5" s="487"/>
      <c r="VF5" s="487"/>
      <c r="VG5" s="487"/>
      <c r="VH5" s="487"/>
      <c r="VI5" s="487"/>
      <c r="VJ5" s="487"/>
      <c r="VK5" s="487"/>
      <c r="VL5" s="487"/>
      <c r="VM5" s="487"/>
      <c r="VN5" s="487"/>
      <c r="VO5" s="487"/>
      <c r="VP5" s="487"/>
      <c r="VQ5" s="487"/>
      <c r="VR5" s="487"/>
      <c r="VS5" s="487"/>
      <c r="VT5" s="487"/>
      <c r="VU5" s="487"/>
      <c r="VV5" s="487"/>
      <c r="VW5" s="487"/>
      <c r="VX5" s="487"/>
      <c r="VY5" s="487"/>
      <c r="VZ5" s="487"/>
      <c r="WA5" s="487"/>
      <c r="WB5" s="487"/>
      <c r="WC5" s="487"/>
      <c r="WD5" s="487"/>
      <c r="WE5" s="487"/>
      <c r="WF5" s="487"/>
      <c r="WG5" s="487"/>
      <c r="WH5" s="487"/>
      <c r="WI5" s="487"/>
      <c r="WJ5" s="487"/>
      <c r="WK5" s="487"/>
      <c r="WL5" s="487"/>
      <c r="WM5" s="487"/>
      <c r="WN5" s="487"/>
      <c r="WO5" s="487"/>
      <c r="WP5" s="487"/>
      <c r="WQ5" s="487"/>
      <c r="WR5" s="487"/>
      <c r="WS5" s="487"/>
      <c r="WT5" s="487"/>
      <c r="WU5" s="487"/>
      <c r="WV5" s="487"/>
      <c r="WW5" s="487"/>
      <c r="WX5" s="487"/>
      <c r="WY5" s="487"/>
      <c r="WZ5" s="487"/>
      <c r="XA5" s="487"/>
      <c r="XB5" s="487"/>
      <c r="XC5" s="487"/>
      <c r="XD5" s="487"/>
      <c r="XE5" s="487"/>
      <c r="XF5" s="487"/>
      <c r="XG5" s="487"/>
      <c r="XH5" s="487"/>
      <c r="XI5" s="487"/>
      <c r="XJ5" s="487"/>
      <c r="XK5" s="487"/>
      <c r="XL5" s="487"/>
      <c r="XM5" s="487"/>
      <c r="XN5" s="487"/>
      <c r="XO5" s="487"/>
      <c r="XP5" s="487"/>
      <c r="XQ5" s="487"/>
      <c r="XR5" s="487"/>
      <c r="XS5" s="487"/>
      <c r="XT5" s="487"/>
      <c r="XU5" s="487"/>
      <c r="XV5" s="487"/>
      <c r="XW5" s="487"/>
      <c r="XX5" s="487"/>
      <c r="XY5" s="487"/>
      <c r="XZ5" s="487"/>
      <c r="YA5" s="487"/>
      <c r="YB5" s="487"/>
      <c r="YC5" s="487"/>
      <c r="YD5" s="487"/>
      <c r="YE5" s="487"/>
      <c r="YF5" s="487"/>
      <c r="YG5" s="487"/>
      <c r="YH5" s="487"/>
      <c r="YI5" s="487"/>
      <c r="YJ5" s="487"/>
      <c r="YK5" s="487"/>
      <c r="YL5" s="487"/>
      <c r="YM5" s="487"/>
      <c r="YN5" s="487"/>
      <c r="YO5" s="487"/>
      <c r="YP5" s="487"/>
      <c r="YQ5" s="487"/>
      <c r="YR5" s="487"/>
      <c r="YS5" s="487"/>
      <c r="YT5" s="487"/>
      <c r="YU5" s="487"/>
      <c r="YV5" s="487"/>
      <c r="YW5" s="487"/>
      <c r="YX5" s="487"/>
      <c r="YY5" s="487"/>
      <c r="YZ5" s="487"/>
      <c r="ZA5" s="487"/>
      <c r="ZB5" s="487"/>
      <c r="ZC5" s="487"/>
      <c r="ZD5" s="487"/>
      <c r="ZE5" s="487"/>
      <c r="ZF5" s="487"/>
      <c r="ZG5" s="487"/>
      <c r="ZH5" s="487"/>
      <c r="ZI5" s="487"/>
      <c r="ZJ5" s="487"/>
      <c r="ZK5" s="487"/>
      <c r="ZL5" s="487"/>
      <c r="ZM5" s="487"/>
      <c r="ZN5" s="487"/>
      <c r="ZO5" s="487"/>
      <c r="ZP5" s="487"/>
      <c r="ZQ5" s="487"/>
      <c r="ZR5" s="487"/>
      <c r="ZS5" s="487"/>
      <c r="ZT5" s="487"/>
      <c r="ZU5" s="487"/>
      <c r="ZV5" s="487"/>
      <c r="ZW5" s="487"/>
      <c r="ZX5" s="487"/>
      <c r="ZY5" s="487"/>
      <c r="ZZ5" s="487"/>
      <c r="AAA5" s="487"/>
      <c r="AAB5" s="487"/>
      <c r="AAC5" s="487"/>
      <c r="AAD5" s="487"/>
      <c r="AAE5" s="487"/>
      <c r="AAF5" s="487"/>
      <c r="AAG5" s="487"/>
      <c r="AAH5" s="487"/>
      <c r="AAI5" s="487"/>
      <c r="AAJ5" s="487"/>
      <c r="AAK5" s="487"/>
      <c r="AAL5" s="487"/>
      <c r="AAM5" s="487"/>
      <c r="AAN5" s="487"/>
      <c r="AAO5" s="487"/>
      <c r="AAP5" s="487"/>
      <c r="AAQ5" s="487"/>
      <c r="AAR5" s="487"/>
      <c r="AAS5" s="487"/>
      <c r="AAT5" s="487"/>
      <c r="AAU5" s="487"/>
      <c r="AAV5" s="487"/>
      <c r="AAW5" s="487"/>
      <c r="AAX5" s="487"/>
      <c r="AAY5" s="487"/>
      <c r="AAZ5" s="487"/>
      <c r="ABA5" s="487"/>
      <c r="ABB5" s="487"/>
      <c r="ABC5" s="487"/>
      <c r="ABD5" s="487"/>
      <c r="ABE5" s="487"/>
      <c r="ABF5" s="487"/>
      <c r="ABG5" s="487"/>
      <c r="ABH5" s="487"/>
      <c r="ABI5" s="487"/>
      <c r="ABJ5" s="487"/>
      <c r="ABK5" s="487"/>
      <c r="ABL5" s="487"/>
      <c r="ABM5" s="487"/>
      <c r="ABN5" s="487"/>
      <c r="ABO5" s="487"/>
      <c r="ABP5" s="487"/>
      <c r="ABQ5" s="487"/>
      <c r="ABR5" s="487"/>
      <c r="ABS5" s="487"/>
      <c r="ABT5" s="487"/>
      <c r="ABU5" s="487"/>
      <c r="ABV5" s="487"/>
      <c r="ABW5" s="487"/>
      <c r="ABX5" s="487"/>
      <c r="ABY5" s="487"/>
      <c r="ABZ5" s="487"/>
      <c r="ACA5" s="487"/>
      <c r="ACB5" s="487"/>
      <c r="ACC5" s="487"/>
      <c r="ACD5" s="487"/>
      <c r="ACE5" s="487"/>
      <c r="ACF5" s="487"/>
      <c r="ACG5" s="487"/>
      <c r="ACH5" s="487"/>
      <c r="ACI5" s="487"/>
      <c r="ACJ5" s="487"/>
      <c r="ACK5" s="487"/>
      <c r="ACL5" s="487"/>
      <c r="ACM5" s="487"/>
      <c r="ACN5" s="487"/>
      <c r="ACO5" s="487"/>
      <c r="ACP5" s="487"/>
      <c r="ACQ5" s="487"/>
      <c r="ACR5" s="487"/>
      <c r="ACS5" s="487"/>
      <c r="ACT5" s="487"/>
      <c r="ACU5" s="487"/>
      <c r="ACV5" s="487"/>
      <c r="ACW5" s="487"/>
      <c r="ACX5" s="487"/>
      <c r="ACY5" s="487"/>
      <c r="ACZ5" s="487"/>
      <c r="ADA5" s="487"/>
      <c r="ADB5" s="487"/>
      <c r="ADC5" s="487"/>
      <c r="ADD5" s="487"/>
      <c r="ADE5" s="487"/>
      <c r="ADF5" s="487"/>
      <c r="ADG5" s="487"/>
      <c r="ADH5" s="487"/>
      <c r="ADI5" s="487"/>
      <c r="ADJ5" s="487"/>
      <c r="ADK5" s="487"/>
      <c r="ADL5" s="487"/>
      <c r="ADM5" s="487"/>
      <c r="ADN5" s="487"/>
      <c r="ADO5" s="487"/>
      <c r="ADP5" s="487"/>
      <c r="ADQ5" s="487"/>
      <c r="ADR5" s="487"/>
      <c r="ADS5" s="487"/>
      <c r="ADT5" s="487"/>
      <c r="ADU5" s="487"/>
      <c r="ADV5" s="487"/>
      <c r="ADW5" s="487"/>
      <c r="ADX5" s="487"/>
      <c r="ADY5" s="487"/>
      <c r="ADZ5" s="487"/>
      <c r="AEA5" s="487"/>
      <c r="AEB5" s="487"/>
      <c r="AEC5" s="487"/>
      <c r="AED5" s="487"/>
      <c r="AEE5" s="487"/>
      <c r="AEF5" s="487"/>
      <c r="AEG5" s="487"/>
      <c r="AEH5" s="487"/>
      <c r="AEI5" s="487"/>
      <c r="AEJ5" s="487"/>
      <c r="AEK5" s="487"/>
      <c r="AEL5" s="487"/>
      <c r="AEM5" s="487"/>
      <c r="AEN5" s="487"/>
      <c r="AEO5" s="487"/>
      <c r="AEP5" s="487"/>
      <c r="AEQ5" s="487"/>
      <c r="AER5" s="487"/>
      <c r="AES5" s="487"/>
      <c r="AET5" s="487"/>
      <c r="AEU5" s="487"/>
      <c r="AEV5" s="487"/>
      <c r="AEW5" s="487"/>
      <c r="AEX5" s="487"/>
      <c r="AEY5" s="487"/>
      <c r="AEZ5" s="487"/>
      <c r="AFA5" s="487"/>
      <c r="AFB5" s="487"/>
      <c r="AFC5" s="487"/>
      <c r="AFD5" s="487"/>
      <c r="AFE5" s="487"/>
      <c r="AFF5" s="487"/>
      <c r="AFG5" s="487"/>
      <c r="AFH5" s="487"/>
      <c r="AFI5" s="487"/>
      <c r="AFJ5" s="487"/>
      <c r="AFK5" s="487"/>
      <c r="AFL5" s="487"/>
      <c r="AFM5" s="487"/>
      <c r="AFN5" s="487"/>
      <c r="AFO5" s="487"/>
      <c r="AFP5" s="487"/>
      <c r="AFQ5" s="487"/>
      <c r="AFR5" s="487"/>
      <c r="AFS5" s="487"/>
      <c r="AFT5" s="487"/>
      <c r="AFU5" s="487"/>
      <c r="AFV5" s="487"/>
      <c r="AFW5" s="487"/>
      <c r="AFX5" s="487"/>
      <c r="AFY5" s="487"/>
      <c r="AFZ5" s="487"/>
      <c r="AGA5" s="487"/>
      <c r="AGB5" s="487"/>
      <c r="AGC5" s="487"/>
      <c r="AGD5" s="487"/>
      <c r="AGE5" s="487"/>
      <c r="AGF5" s="487"/>
      <c r="AGG5" s="487"/>
      <c r="AGH5" s="487"/>
      <c r="AGI5" s="487"/>
      <c r="AGJ5" s="487"/>
      <c r="AGK5" s="487"/>
      <c r="AGL5" s="487"/>
      <c r="AGM5" s="487"/>
      <c r="AGN5" s="487"/>
      <c r="AGO5" s="487"/>
      <c r="AGP5" s="487"/>
      <c r="AGQ5" s="487"/>
      <c r="AGR5" s="487"/>
      <c r="AGS5" s="487"/>
      <c r="AGT5" s="487"/>
      <c r="AGU5" s="487"/>
      <c r="AGV5" s="487"/>
      <c r="AGW5" s="487"/>
      <c r="AGX5" s="487"/>
      <c r="AGY5" s="487"/>
      <c r="AGZ5" s="487"/>
      <c r="AHA5" s="487"/>
      <c r="AHB5" s="487"/>
      <c r="AHC5" s="487"/>
      <c r="AHD5" s="487"/>
      <c r="AHE5" s="487"/>
      <c r="AHF5" s="487"/>
      <c r="AHG5" s="487"/>
      <c r="AHH5" s="487"/>
      <c r="AHI5" s="487"/>
      <c r="AHJ5" s="487"/>
      <c r="AHK5" s="487"/>
      <c r="AHL5" s="487"/>
      <c r="AHM5" s="487"/>
      <c r="AHN5" s="487"/>
      <c r="AHO5" s="487"/>
      <c r="AHP5" s="487"/>
      <c r="AHQ5" s="487"/>
      <c r="AHR5" s="487"/>
      <c r="AHS5" s="487"/>
      <c r="AHT5" s="487"/>
      <c r="AHU5" s="487"/>
      <c r="AHV5" s="487"/>
      <c r="AHW5" s="487"/>
      <c r="AHX5" s="487"/>
      <c r="AHY5" s="487"/>
      <c r="AHZ5" s="487"/>
      <c r="AIA5" s="487"/>
      <c r="AIB5" s="487"/>
      <c r="AIC5" s="487"/>
      <c r="AID5" s="487"/>
      <c r="AIE5" s="487"/>
      <c r="AIF5" s="487"/>
      <c r="AIG5" s="487"/>
      <c r="AIH5" s="487"/>
      <c r="AII5" s="487"/>
      <c r="AIJ5" s="487"/>
      <c r="AIK5" s="487"/>
      <c r="AIL5" s="487"/>
      <c r="AIM5" s="487"/>
      <c r="AIN5" s="487"/>
      <c r="AIO5" s="487"/>
      <c r="AIP5" s="487"/>
      <c r="AIQ5" s="487"/>
      <c r="AIR5" s="487"/>
      <c r="AIS5" s="487"/>
      <c r="AIT5" s="487"/>
      <c r="AIU5" s="487"/>
      <c r="AIV5" s="487"/>
      <c r="AIW5" s="487"/>
      <c r="AIX5" s="487"/>
      <c r="AIY5" s="487"/>
      <c r="AIZ5" s="487"/>
      <c r="AJA5" s="487"/>
      <c r="AJB5" s="487"/>
      <c r="AJC5" s="487"/>
      <c r="AJD5" s="487"/>
      <c r="AJE5" s="487"/>
      <c r="AJF5" s="487"/>
      <c r="AJG5" s="487"/>
      <c r="AJH5" s="487"/>
      <c r="AJI5" s="487"/>
      <c r="AJJ5" s="487"/>
      <c r="AJK5" s="487"/>
      <c r="AJL5" s="487"/>
      <c r="AJM5" s="487"/>
      <c r="AJN5" s="487"/>
      <c r="AJO5" s="487"/>
      <c r="AJP5" s="487"/>
      <c r="AJQ5" s="487"/>
      <c r="AJR5" s="487"/>
      <c r="AJS5" s="487"/>
      <c r="AJT5" s="487"/>
      <c r="AJU5" s="487"/>
      <c r="AJV5" s="487"/>
      <c r="AJW5" s="487"/>
      <c r="AJX5" s="487"/>
      <c r="AJY5" s="487"/>
      <c r="AJZ5" s="487"/>
      <c r="AKA5" s="487"/>
      <c r="AKB5" s="487"/>
      <c r="AKC5" s="487"/>
      <c r="AKD5" s="487"/>
      <c r="AKE5" s="487"/>
      <c r="AKF5" s="487"/>
      <c r="AKG5" s="487"/>
      <c r="AKH5" s="487"/>
      <c r="AKI5" s="487"/>
      <c r="AKJ5" s="487"/>
      <c r="AKK5" s="487"/>
      <c r="AKL5" s="487"/>
      <c r="AKM5" s="487"/>
      <c r="AKN5" s="487"/>
      <c r="AKO5" s="487"/>
      <c r="AKP5" s="487"/>
      <c r="AKQ5" s="487"/>
      <c r="AKR5" s="487"/>
      <c r="AKS5" s="487"/>
      <c r="AKT5" s="487"/>
      <c r="AKU5" s="487"/>
      <c r="AKV5" s="487"/>
      <c r="AKW5" s="487"/>
      <c r="AKX5" s="487"/>
      <c r="AKY5" s="487"/>
      <c r="AKZ5" s="487"/>
      <c r="ALA5" s="487"/>
      <c r="ALB5" s="487"/>
      <c r="ALC5" s="487"/>
      <c r="ALD5" s="487"/>
      <c r="ALE5" s="487"/>
      <c r="ALF5" s="487"/>
      <c r="ALG5" s="487"/>
      <c r="ALH5" s="487"/>
      <c r="ALI5" s="487"/>
      <c r="ALJ5" s="487"/>
      <c r="ALK5" s="487"/>
      <c r="ALL5" s="487"/>
      <c r="ALM5" s="487"/>
      <c r="ALN5" s="487"/>
      <c r="ALO5" s="487"/>
      <c r="ALP5" s="487"/>
      <c r="ALQ5" s="487"/>
      <c r="ALR5" s="487"/>
      <c r="ALS5" s="487"/>
      <c r="ALT5" s="487"/>
      <c r="ALU5" s="487"/>
      <c r="ALV5" s="487"/>
      <c r="ALW5" s="487"/>
      <c r="ALX5" s="487"/>
      <c r="ALY5" s="487"/>
      <c r="ALZ5" s="487"/>
      <c r="AMA5" s="487"/>
      <c r="AMB5" s="487"/>
      <c r="AMC5" s="487"/>
      <c r="AMD5" s="487"/>
      <c r="AME5" s="487"/>
      <c r="AMF5" s="487"/>
      <c r="AMG5" s="487"/>
      <c r="AMH5" s="487"/>
      <c r="AMI5" s="487"/>
      <c r="AMJ5" s="487"/>
      <c r="AMK5" s="487"/>
      <c r="AML5" s="487"/>
      <c r="AMM5" s="487"/>
      <c r="AMN5" s="487"/>
      <c r="AMO5" s="487"/>
      <c r="AMP5" s="487"/>
      <c r="AMQ5" s="487"/>
      <c r="AMR5" s="487"/>
      <c r="AMS5" s="487"/>
      <c r="AMT5" s="487"/>
      <c r="AMU5" s="487"/>
      <c r="AMV5" s="487"/>
      <c r="AMW5" s="487"/>
      <c r="AMX5" s="487"/>
      <c r="AMY5" s="487"/>
      <c r="AMZ5" s="487"/>
      <c r="ANA5" s="487"/>
      <c r="ANB5" s="487"/>
      <c r="ANC5" s="487"/>
      <c r="AND5" s="487"/>
      <c r="ANE5" s="487"/>
      <c r="ANF5" s="487"/>
      <c r="ANG5" s="487"/>
      <c r="ANH5" s="487"/>
      <c r="ANI5" s="487"/>
      <c r="ANJ5" s="487"/>
      <c r="ANK5" s="487"/>
      <c r="ANL5" s="487"/>
      <c r="ANM5" s="487"/>
      <c r="ANN5" s="487"/>
      <c r="ANO5" s="487"/>
      <c r="ANP5" s="487"/>
      <c r="ANQ5" s="487"/>
      <c r="ANR5" s="487"/>
      <c r="ANS5" s="487"/>
      <c r="ANT5" s="487"/>
      <c r="ANU5" s="487"/>
      <c r="ANV5" s="487"/>
      <c r="ANW5" s="487"/>
      <c r="ANX5" s="487"/>
      <c r="ANY5" s="487"/>
      <c r="ANZ5" s="487"/>
      <c r="AOA5" s="487"/>
      <c r="AOB5" s="487"/>
      <c r="AOC5" s="487"/>
      <c r="AOD5" s="487"/>
      <c r="AOE5" s="487"/>
      <c r="AOF5" s="487"/>
      <c r="AOG5" s="487"/>
      <c r="AOH5" s="487"/>
      <c r="AOI5" s="487"/>
      <c r="AOJ5" s="487"/>
      <c r="AOK5" s="487"/>
      <c r="AOL5" s="487"/>
      <c r="AOM5" s="487"/>
      <c r="AON5" s="487"/>
      <c r="AOO5" s="487"/>
      <c r="AOP5" s="487"/>
      <c r="AOQ5" s="487"/>
      <c r="AOR5" s="487"/>
      <c r="AOS5" s="487"/>
      <c r="AOT5" s="487"/>
      <c r="AOU5" s="487"/>
      <c r="AOV5" s="487"/>
      <c r="AOW5" s="487"/>
      <c r="AOX5" s="487"/>
      <c r="AOY5" s="487"/>
      <c r="AOZ5" s="487"/>
      <c r="APA5" s="487"/>
      <c r="APB5" s="487"/>
      <c r="APC5" s="487"/>
      <c r="APD5" s="487"/>
      <c r="APE5" s="487"/>
      <c r="APF5" s="487"/>
      <c r="APG5" s="487"/>
      <c r="APH5" s="487"/>
      <c r="API5" s="487"/>
      <c r="APJ5" s="487"/>
      <c r="APK5" s="487"/>
      <c r="APL5" s="487"/>
      <c r="APM5" s="487"/>
      <c r="APN5" s="487"/>
      <c r="APO5" s="487"/>
      <c r="APP5" s="487"/>
      <c r="APQ5" s="487"/>
      <c r="APR5" s="487"/>
      <c r="APS5" s="487"/>
      <c r="APT5" s="487"/>
      <c r="APU5" s="487"/>
      <c r="APV5" s="487"/>
      <c r="APW5" s="487"/>
      <c r="APX5" s="487"/>
      <c r="APY5" s="487"/>
      <c r="APZ5" s="487"/>
      <c r="AQA5" s="487"/>
      <c r="AQB5" s="487"/>
      <c r="AQC5" s="487"/>
      <c r="AQD5" s="487"/>
      <c r="AQE5" s="487"/>
      <c r="AQF5" s="487"/>
      <c r="AQG5" s="487"/>
      <c r="AQH5" s="487"/>
      <c r="AQI5" s="487"/>
      <c r="AQJ5" s="487"/>
      <c r="AQK5" s="487"/>
      <c r="AQL5" s="487"/>
      <c r="AQM5" s="487"/>
      <c r="AQN5" s="487"/>
      <c r="AQO5" s="487"/>
      <c r="AQP5" s="487"/>
      <c r="AQQ5" s="487"/>
      <c r="AQR5" s="487"/>
      <c r="AQS5" s="487"/>
      <c r="AQT5" s="487"/>
      <c r="AQU5" s="487"/>
      <c r="AQV5" s="487"/>
      <c r="AQW5" s="487"/>
      <c r="AQX5" s="487"/>
      <c r="AQY5" s="487"/>
      <c r="AQZ5" s="487"/>
      <c r="ARA5" s="487"/>
      <c r="ARB5" s="487"/>
      <c r="ARC5" s="487"/>
      <c r="ARD5" s="487"/>
      <c r="ARE5" s="487"/>
      <c r="ARF5" s="487"/>
      <c r="ARG5" s="487"/>
      <c r="ARH5" s="487"/>
      <c r="ARI5" s="487"/>
      <c r="ARJ5" s="487"/>
      <c r="ARK5" s="487"/>
      <c r="ARL5" s="487"/>
      <c r="ARM5" s="487"/>
      <c r="ARN5" s="487"/>
      <c r="ARO5" s="487"/>
      <c r="ARP5" s="487"/>
      <c r="ARQ5" s="487"/>
      <c r="ARR5" s="487"/>
      <c r="ARS5" s="487"/>
      <c r="ART5" s="487"/>
      <c r="ARU5" s="487"/>
      <c r="ARV5" s="487"/>
      <c r="ARW5" s="487"/>
      <c r="ARX5" s="487"/>
      <c r="ARY5" s="487"/>
      <c r="ARZ5" s="487"/>
      <c r="ASA5" s="487"/>
      <c r="ASB5" s="487"/>
      <c r="ASC5" s="487"/>
      <c r="ASD5" s="487"/>
      <c r="ASE5" s="487"/>
      <c r="ASF5" s="487"/>
      <c r="ASG5" s="487"/>
      <c r="ASH5" s="487"/>
      <c r="ASI5" s="487"/>
      <c r="ASJ5" s="487"/>
      <c r="ASK5" s="487"/>
      <c r="ASL5" s="487"/>
      <c r="ASM5" s="487"/>
      <c r="ASN5" s="487"/>
      <c r="ASO5" s="487"/>
      <c r="ASP5" s="487"/>
      <c r="ASQ5" s="487"/>
      <c r="ASR5" s="487"/>
      <c r="ASS5" s="487"/>
      <c r="AST5" s="487"/>
      <c r="ASU5" s="487"/>
      <c r="ASV5" s="487"/>
      <c r="ASW5" s="487"/>
      <c r="ASX5" s="487"/>
      <c r="ASY5" s="487"/>
      <c r="ASZ5" s="487"/>
      <c r="ATA5" s="487"/>
      <c r="ATB5" s="487"/>
      <c r="ATC5" s="487"/>
      <c r="ATD5" s="487"/>
      <c r="ATE5" s="487"/>
      <c r="ATF5" s="487"/>
      <c r="ATG5" s="487"/>
      <c r="ATH5" s="487"/>
      <c r="ATI5" s="487"/>
      <c r="ATJ5" s="487"/>
      <c r="ATK5" s="487"/>
      <c r="ATL5" s="487"/>
      <c r="ATM5" s="487"/>
      <c r="ATN5" s="487"/>
      <c r="ATO5" s="487"/>
      <c r="ATP5" s="487"/>
      <c r="ATQ5" s="487"/>
      <c r="ATR5" s="487"/>
      <c r="ATS5" s="487"/>
      <c r="ATT5" s="487"/>
      <c r="ATU5" s="487"/>
      <c r="ATV5" s="487"/>
      <c r="ATW5" s="487"/>
      <c r="ATX5" s="487"/>
      <c r="ATY5" s="487"/>
      <c r="ATZ5" s="487"/>
      <c r="AUA5" s="487"/>
      <c r="AUB5" s="487"/>
      <c r="AUC5" s="487"/>
      <c r="AUD5" s="487"/>
      <c r="AUE5" s="487"/>
      <c r="AUF5" s="487"/>
      <c r="AUG5" s="487"/>
      <c r="AUH5" s="487"/>
      <c r="AUI5" s="487"/>
      <c r="AUJ5" s="487"/>
      <c r="AUK5" s="487"/>
      <c r="AUL5" s="487"/>
      <c r="AUM5" s="487"/>
      <c r="AUN5" s="487"/>
      <c r="AUO5" s="487"/>
      <c r="AUP5" s="487"/>
      <c r="AUQ5" s="487"/>
      <c r="AUR5" s="487"/>
      <c r="AUS5" s="487"/>
      <c r="AUT5" s="487"/>
      <c r="AUU5" s="487"/>
      <c r="AUV5" s="487"/>
      <c r="AUW5" s="487"/>
      <c r="AUX5" s="487"/>
      <c r="AUY5" s="487"/>
      <c r="AUZ5" s="487"/>
      <c r="AVA5" s="487"/>
      <c r="AVB5" s="487"/>
      <c r="AVC5" s="487"/>
      <c r="AVD5" s="487"/>
      <c r="AVE5" s="487"/>
      <c r="AVF5" s="487"/>
      <c r="AVG5" s="487"/>
    </row>
    <row r="6" spans="1:1255" s="488" customFormat="1" ht="32.1" customHeight="1">
      <c r="A6" s="470">
        <v>3</v>
      </c>
      <c r="B6" s="471">
        <v>1</v>
      </c>
      <c r="C6" s="472" t="s">
        <v>397</v>
      </c>
      <c r="D6" s="471" t="s">
        <v>395</v>
      </c>
      <c r="E6" s="473">
        <f ca="1">Q10*F1/100</f>
        <v>0</v>
      </c>
      <c r="F6" s="474" t="str">
        <f ca="1">IF(OR(E6="",B6=0),"",$F$4)</f>
        <v>ABS kPa</v>
      </c>
      <c r="G6" s="475" t="str">
        <f t="shared" si="3"/>
        <v>B</v>
      </c>
      <c r="H6" s="476">
        <f t="shared" ca="1" si="4"/>
        <v>1.7320508075688772</v>
      </c>
      <c r="I6" s="477">
        <f t="shared" si="5"/>
        <v>100</v>
      </c>
      <c r="J6" s="478">
        <f t="shared" ca="1" si="6"/>
        <v>0</v>
      </c>
      <c r="K6" s="479">
        <v>1</v>
      </c>
      <c r="L6" s="480">
        <f t="shared" ca="1" si="7"/>
        <v>0</v>
      </c>
      <c r="M6" s="480">
        <f t="shared" ca="1" si="0"/>
        <v>0</v>
      </c>
      <c r="N6" s="481">
        <f t="shared" ca="1" si="1"/>
        <v>0</v>
      </c>
      <c r="O6" s="482" t="e">
        <f t="shared" ca="1" si="2"/>
        <v>#VALUE!</v>
      </c>
      <c r="P6" s="464" t="s">
        <v>201</v>
      </c>
      <c r="Q6" s="483" t="e">
        <f ca="1">VLOOKUP(VLOOKUP(I1,Worksheet!$A$18:$B$31,2),'1Test Data'!$O$30:$AA$49,13,0)</f>
        <v>#VALUE!</v>
      </c>
      <c r="R6" s="484">
        <f t="shared" ca="1" si="8"/>
        <v>0</v>
      </c>
      <c r="S6" s="465">
        <f t="shared" ca="1" si="9"/>
        <v>0</v>
      </c>
      <c r="T6" s="465" t="e">
        <f ca="1">IF(OR(E6="",B6=0),"",ABS(L6/S16))</f>
        <v>#VALUE!</v>
      </c>
      <c r="U6" s="485"/>
      <c r="V6" s="486"/>
      <c r="W6" s="486"/>
      <c r="X6" s="487"/>
      <c r="Y6" s="439"/>
      <c r="Z6" s="439"/>
      <c r="AA6" s="439"/>
      <c r="AB6" s="439"/>
      <c r="AC6" s="439"/>
      <c r="AD6" s="487"/>
      <c r="AE6" s="487"/>
      <c r="AF6" s="487"/>
      <c r="AG6" s="487"/>
      <c r="AH6" s="487"/>
      <c r="AI6" s="487"/>
      <c r="AJ6" s="487"/>
      <c r="AK6" s="487"/>
      <c r="AL6" s="487"/>
      <c r="AM6" s="487"/>
      <c r="AN6" s="487"/>
      <c r="AO6" s="487"/>
      <c r="AP6" s="487"/>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487"/>
      <c r="CN6" s="487"/>
      <c r="CO6" s="487"/>
      <c r="CP6" s="487"/>
      <c r="CQ6" s="487"/>
      <c r="CR6" s="487"/>
      <c r="CS6" s="487"/>
      <c r="CT6" s="487"/>
      <c r="CU6" s="487"/>
      <c r="CV6" s="487"/>
      <c r="CW6" s="487"/>
      <c r="CX6" s="487"/>
      <c r="CY6" s="487"/>
      <c r="CZ6" s="487"/>
      <c r="DA6" s="487"/>
      <c r="DB6" s="487"/>
      <c r="DC6" s="487"/>
      <c r="DD6" s="487"/>
      <c r="DE6" s="487"/>
      <c r="DF6" s="487"/>
      <c r="DG6" s="487"/>
      <c r="DH6" s="487"/>
      <c r="DI6" s="487"/>
      <c r="DJ6" s="487"/>
      <c r="DK6" s="487"/>
      <c r="DL6" s="487"/>
      <c r="DM6" s="487"/>
      <c r="DN6" s="487"/>
      <c r="DO6" s="487"/>
      <c r="DP6" s="487"/>
      <c r="DQ6" s="487"/>
      <c r="DR6" s="487"/>
      <c r="DS6" s="487"/>
      <c r="DT6" s="487"/>
      <c r="DU6" s="487"/>
      <c r="DV6" s="487"/>
      <c r="DW6" s="487"/>
      <c r="DX6" s="487"/>
      <c r="DY6" s="487"/>
      <c r="DZ6" s="487"/>
      <c r="EA6" s="487"/>
      <c r="EB6" s="487"/>
      <c r="EC6" s="487"/>
      <c r="ED6" s="487"/>
      <c r="EE6" s="487"/>
      <c r="EF6" s="487"/>
      <c r="EG6" s="487"/>
      <c r="EH6" s="487"/>
      <c r="EI6" s="487"/>
      <c r="EJ6" s="487"/>
      <c r="EK6" s="487"/>
      <c r="EL6" s="487"/>
      <c r="EM6" s="487"/>
      <c r="EN6" s="487"/>
      <c r="EO6" s="487"/>
      <c r="EP6" s="487"/>
      <c r="EQ6" s="487"/>
      <c r="ER6" s="487"/>
      <c r="ES6" s="487"/>
      <c r="ET6" s="487"/>
      <c r="EU6" s="487"/>
      <c r="EV6" s="487"/>
      <c r="EW6" s="487"/>
      <c r="EX6" s="487"/>
      <c r="EY6" s="487"/>
      <c r="EZ6" s="487"/>
      <c r="FA6" s="487"/>
      <c r="FB6" s="487"/>
      <c r="FC6" s="487"/>
      <c r="FD6" s="487"/>
      <c r="FE6" s="487"/>
      <c r="FF6" s="487"/>
      <c r="FG6" s="487"/>
      <c r="FH6" s="487"/>
      <c r="FI6" s="487"/>
      <c r="FJ6" s="487"/>
      <c r="FK6" s="487"/>
      <c r="FL6" s="487"/>
      <c r="FM6" s="487"/>
      <c r="FN6" s="487"/>
      <c r="FO6" s="487"/>
      <c r="FP6" s="487"/>
      <c r="FQ6" s="487"/>
      <c r="FR6" s="487"/>
      <c r="FS6" s="487"/>
      <c r="FT6" s="487"/>
      <c r="FU6" s="487"/>
      <c r="FV6" s="487"/>
      <c r="FW6" s="487"/>
      <c r="FX6" s="487"/>
      <c r="FY6" s="487"/>
      <c r="FZ6" s="487"/>
      <c r="GA6" s="487"/>
      <c r="GB6" s="487"/>
      <c r="GC6" s="487"/>
      <c r="GD6" s="487"/>
      <c r="GE6" s="487"/>
      <c r="GF6" s="487"/>
      <c r="GG6" s="487"/>
      <c r="GH6" s="487"/>
      <c r="GI6" s="487"/>
      <c r="GJ6" s="487"/>
      <c r="GK6" s="487"/>
      <c r="GL6" s="487"/>
      <c r="GM6" s="487"/>
      <c r="GN6" s="487"/>
      <c r="GO6" s="487"/>
      <c r="GP6" s="487"/>
      <c r="GQ6" s="487"/>
      <c r="GR6" s="487"/>
      <c r="GS6" s="487"/>
      <c r="GT6" s="487"/>
      <c r="GU6" s="487"/>
      <c r="GV6" s="487"/>
      <c r="GW6" s="487"/>
      <c r="GX6" s="487"/>
      <c r="GY6" s="487"/>
      <c r="GZ6" s="487"/>
      <c r="HA6" s="487"/>
      <c r="HB6" s="487"/>
      <c r="HC6" s="487"/>
      <c r="HD6" s="487"/>
      <c r="HE6" s="487"/>
      <c r="HF6" s="487"/>
      <c r="HG6" s="487"/>
      <c r="HH6" s="487"/>
      <c r="HI6" s="487"/>
      <c r="HJ6" s="487"/>
      <c r="HK6" s="487"/>
      <c r="HL6" s="487"/>
      <c r="HM6" s="487"/>
      <c r="HN6" s="487"/>
      <c r="HO6" s="487"/>
      <c r="HP6" s="487"/>
      <c r="HQ6" s="487"/>
      <c r="HR6" s="487"/>
      <c r="HS6" s="487"/>
      <c r="HT6" s="487"/>
      <c r="HU6" s="487"/>
      <c r="HV6" s="487"/>
      <c r="HW6" s="487"/>
      <c r="HX6" s="487"/>
      <c r="HY6" s="487"/>
      <c r="HZ6" s="487"/>
      <c r="IA6" s="487"/>
      <c r="IB6" s="487"/>
      <c r="IC6" s="487"/>
      <c r="ID6" s="487"/>
      <c r="IE6" s="487"/>
      <c r="IF6" s="487"/>
      <c r="IG6" s="487"/>
      <c r="IH6" s="487"/>
      <c r="II6" s="487"/>
      <c r="IJ6" s="487"/>
      <c r="IK6" s="487"/>
      <c r="IL6" s="487"/>
      <c r="IM6" s="487"/>
      <c r="IN6" s="487"/>
      <c r="IO6" s="487"/>
      <c r="IP6" s="487"/>
      <c r="IQ6" s="487"/>
      <c r="IR6" s="487"/>
      <c r="IS6" s="487"/>
      <c r="IT6" s="487"/>
      <c r="IU6" s="487"/>
      <c r="IV6" s="487"/>
      <c r="IW6" s="487"/>
      <c r="IX6" s="487"/>
      <c r="IY6" s="487"/>
      <c r="IZ6" s="487"/>
      <c r="JA6" s="487"/>
      <c r="JB6" s="487"/>
      <c r="JC6" s="487"/>
      <c r="JD6" s="487"/>
      <c r="JE6" s="487"/>
      <c r="JF6" s="487"/>
      <c r="JG6" s="487"/>
      <c r="JH6" s="487"/>
      <c r="JI6" s="487"/>
      <c r="JJ6" s="487"/>
      <c r="JK6" s="487"/>
      <c r="JL6" s="487"/>
      <c r="JM6" s="487"/>
      <c r="JN6" s="487"/>
      <c r="JO6" s="487"/>
      <c r="JP6" s="487"/>
      <c r="JQ6" s="487"/>
      <c r="JR6" s="487"/>
      <c r="JS6" s="487"/>
      <c r="JT6" s="487"/>
      <c r="JU6" s="487"/>
      <c r="JV6" s="487"/>
      <c r="JW6" s="487"/>
      <c r="JX6" s="487"/>
      <c r="JY6" s="487"/>
      <c r="JZ6" s="487"/>
      <c r="KA6" s="487"/>
      <c r="KB6" s="487"/>
      <c r="KC6" s="487"/>
      <c r="KD6" s="487"/>
      <c r="KE6" s="487"/>
      <c r="KF6" s="487"/>
      <c r="KG6" s="487"/>
      <c r="KH6" s="487"/>
      <c r="KI6" s="487"/>
      <c r="KJ6" s="487"/>
      <c r="KK6" s="487"/>
      <c r="KL6" s="487"/>
      <c r="KM6" s="487"/>
      <c r="KN6" s="487"/>
      <c r="KO6" s="487"/>
      <c r="KP6" s="487"/>
      <c r="KQ6" s="487"/>
      <c r="KR6" s="487"/>
      <c r="KS6" s="487"/>
      <c r="KT6" s="487"/>
      <c r="KU6" s="487"/>
      <c r="KV6" s="487"/>
      <c r="KW6" s="487"/>
      <c r="KX6" s="487"/>
      <c r="KY6" s="487"/>
      <c r="KZ6" s="487"/>
      <c r="LA6" s="487"/>
      <c r="LB6" s="487"/>
      <c r="LC6" s="487"/>
      <c r="LD6" s="487"/>
      <c r="LE6" s="487"/>
      <c r="LF6" s="487"/>
      <c r="LG6" s="487"/>
      <c r="LH6" s="487"/>
      <c r="LI6" s="487"/>
      <c r="LJ6" s="487"/>
      <c r="LK6" s="487"/>
      <c r="LL6" s="487"/>
      <c r="LM6" s="487"/>
      <c r="LN6" s="487"/>
      <c r="LO6" s="487"/>
      <c r="LP6" s="487"/>
      <c r="LQ6" s="487"/>
      <c r="LR6" s="487"/>
      <c r="LS6" s="487"/>
      <c r="LT6" s="487"/>
      <c r="LU6" s="487"/>
      <c r="LV6" s="487"/>
      <c r="LW6" s="487"/>
      <c r="LX6" s="487"/>
      <c r="LY6" s="487"/>
      <c r="LZ6" s="487"/>
      <c r="MA6" s="487"/>
      <c r="MB6" s="487"/>
      <c r="MC6" s="487"/>
      <c r="MD6" s="487"/>
      <c r="ME6" s="487"/>
      <c r="MF6" s="487"/>
      <c r="MG6" s="487"/>
      <c r="MH6" s="487"/>
      <c r="MI6" s="487"/>
      <c r="MJ6" s="487"/>
      <c r="MK6" s="487"/>
      <c r="ML6" s="487"/>
      <c r="MM6" s="487"/>
      <c r="MN6" s="487"/>
      <c r="MO6" s="487"/>
      <c r="MP6" s="487"/>
      <c r="MQ6" s="487"/>
      <c r="MR6" s="487"/>
      <c r="MS6" s="487"/>
      <c r="MT6" s="487"/>
      <c r="MU6" s="487"/>
      <c r="MV6" s="487"/>
      <c r="MW6" s="487"/>
      <c r="MX6" s="487"/>
      <c r="MY6" s="487"/>
      <c r="MZ6" s="487"/>
      <c r="NA6" s="487"/>
      <c r="NB6" s="487"/>
      <c r="NC6" s="487"/>
      <c r="ND6" s="487"/>
      <c r="NE6" s="487"/>
      <c r="NF6" s="487"/>
      <c r="NG6" s="487"/>
      <c r="NH6" s="487"/>
      <c r="NI6" s="487"/>
      <c r="NJ6" s="487"/>
      <c r="NK6" s="487"/>
      <c r="NL6" s="487"/>
      <c r="NM6" s="487"/>
      <c r="NN6" s="487"/>
      <c r="NO6" s="487"/>
      <c r="NP6" s="487"/>
      <c r="NQ6" s="487"/>
      <c r="NR6" s="487"/>
      <c r="NS6" s="487"/>
      <c r="NT6" s="487"/>
      <c r="NU6" s="487"/>
      <c r="NV6" s="487"/>
      <c r="NW6" s="487"/>
      <c r="NX6" s="487"/>
      <c r="NY6" s="487"/>
      <c r="NZ6" s="487"/>
      <c r="OA6" s="487"/>
      <c r="OB6" s="487"/>
      <c r="OC6" s="487"/>
      <c r="OD6" s="487"/>
      <c r="OE6" s="487"/>
      <c r="OF6" s="487"/>
      <c r="OG6" s="487"/>
      <c r="OH6" s="487"/>
      <c r="OI6" s="487"/>
      <c r="OJ6" s="487"/>
      <c r="OK6" s="487"/>
      <c r="OL6" s="487"/>
      <c r="OM6" s="487"/>
      <c r="ON6" s="487"/>
      <c r="OO6" s="487"/>
      <c r="OP6" s="487"/>
      <c r="OQ6" s="487"/>
      <c r="OR6" s="487"/>
      <c r="OS6" s="487"/>
      <c r="OT6" s="487"/>
      <c r="OU6" s="487"/>
      <c r="OV6" s="487"/>
      <c r="OW6" s="487"/>
      <c r="OX6" s="487"/>
      <c r="OY6" s="487"/>
      <c r="OZ6" s="487"/>
      <c r="PA6" s="487"/>
      <c r="PB6" s="487"/>
      <c r="PC6" s="487"/>
      <c r="PD6" s="487"/>
      <c r="PE6" s="487"/>
      <c r="PF6" s="487"/>
      <c r="PG6" s="487"/>
      <c r="PH6" s="487"/>
      <c r="PI6" s="487"/>
      <c r="PJ6" s="487"/>
      <c r="PK6" s="487"/>
      <c r="PL6" s="487"/>
      <c r="PM6" s="487"/>
      <c r="PN6" s="487"/>
      <c r="PO6" s="487"/>
      <c r="PP6" s="487"/>
      <c r="PQ6" s="487"/>
      <c r="PR6" s="487"/>
      <c r="PS6" s="487"/>
      <c r="PT6" s="487"/>
      <c r="PU6" s="487"/>
      <c r="PV6" s="487"/>
      <c r="PW6" s="487"/>
      <c r="PX6" s="487"/>
      <c r="PY6" s="487"/>
      <c r="PZ6" s="487"/>
      <c r="QA6" s="487"/>
      <c r="QB6" s="487"/>
      <c r="QC6" s="487"/>
      <c r="QD6" s="487"/>
      <c r="QE6" s="487"/>
      <c r="QF6" s="487"/>
      <c r="QG6" s="487"/>
      <c r="QH6" s="487"/>
      <c r="QI6" s="487"/>
      <c r="QJ6" s="487"/>
      <c r="QK6" s="487"/>
      <c r="QL6" s="487"/>
      <c r="QM6" s="487"/>
      <c r="QN6" s="487"/>
      <c r="QO6" s="487"/>
      <c r="QP6" s="487"/>
      <c r="QQ6" s="487"/>
      <c r="QR6" s="487"/>
      <c r="QS6" s="487"/>
      <c r="QT6" s="487"/>
      <c r="QU6" s="487"/>
      <c r="QV6" s="487"/>
      <c r="QW6" s="487"/>
      <c r="QX6" s="487"/>
      <c r="QY6" s="487"/>
      <c r="QZ6" s="487"/>
      <c r="RA6" s="487"/>
      <c r="RB6" s="487"/>
      <c r="RC6" s="487"/>
      <c r="RD6" s="487"/>
      <c r="RE6" s="487"/>
      <c r="RF6" s="487"/>
      <c r="RG6" s="487"/>
      <c r="RH6" s="487"/>
      <c r="RI6" s="487"/>
      <c r="RJ6" s="487"/>
      <c r="RK6" s="487"/>
      <c r="RL6" s="487"/>
      <c r="RM6" s="487"/>
      <c r="RN6" s="487"/>
      <c r="RO6" s="487"/>
      <c r="RP6" s="487"/>
      <c r="RQ6" s="487"/>
      <c r="RR6" s="487"/>
      <c r="RS6" s="487"/>
      <c r="RT6" s="487"/>
      <c r="RU6" s="487"/>
      <c r="RV6" s="487"/>
      <c r="RW6" s="487"/>
      <c r="RX6" s="487"/>
      <c r="RY6" s="487"/>
      <c r="RZ6" s="487"/>
      <c r="SA6" s="487"/>
      <c r="SB6" s="487"/>
      <c r="SC6" s="487"/>
      <c r="SD6" s="487"/>
      <c r="SE6" s="487"/>
      <c r="SF6" s="487"/>
      <c r="SG6" s="487"/>
      <c r="SH6" s="487"/>
      <c r="SI6" s="487"/>
      <c r="SJ6" s="487"/>
      <c r="SK6" s="487"/>
      <c r="SL6" s="487"/>
      <c r="SM6" s="487"/>
      <c r="SN6" s="487"/>
      <c r="SO6" s="487"/>
      <c r="SP6" s="487"/>
      <c r="SQ6" s="487"/>
      <c r="SR6" s="487"/>
      <c r="SS6" s="487"/>
      <c r="ST6" s="487"/>
      <c r="SU6" s="487"/>
      <c r="SV6" s="487"/>
      <c r="SW6" s="487"/>
      <c r="SX6" s="487"/>
      <c r="SY6" s="487"/>
      <c r="SZ6" s="487"/>
      <c r="TA6" s="487"/>
      <c r="TB6" s="487"/>
      <c r="TC6" s="487"/>
      <c r="TD6" s="487"/>
      <c r="TE6" s="487"/>
      <c r="TF6" s="487"/>
      <c r="TG6" s="487"/>
      <c r="TH6" s="487"/>
      <c r="TI6" s="487"/>
      <c r="TJ6" s="487"/>
      <c r="TK6" s="487"/>
      <c r="TL6" s="487"/>
      <c r="TM6" s="487"/>
      <c r="TN6" s="487"/>
      <c r="TO6" s="487"/>
      <c r="TP6" s="487"/>
      <c r="TQ6" s="487"/>
      <c r="TR6" s="487"/>
      <c r="TS6" s="487"/>
      <c r="TT6" s="487"/>
      <c r="TU6" s="487"/>
      <c r="TV6" s="487"/>
      <c r="TW6" s="487"/>
      <c r="TX6" s="487"/>
      <c r="TY6" s="487"/>
      <c r="TZ6" s="487"/>
      <c r="UA6" s="487"/>
      <c r="UB6" s="487"/>
      <c r="UC6" s="487"/>
      <c r="UD6" s="487"/>
      <c r="UE6" s="487"/>
      <c r="UF6" s="487"/>
      <c r="UG6" s="487"/>
      <c r="UH6" s="487"/>
      <c r="UI6" s="487"/>
      <c r="UJ6" s="487"/>
      <c r="UK6" s="487"/>
      <c r="UL6" s="487"/>
      <c r="UM6" s="487"/>
      <c r="UN6" s="487"/>
      <c r="UO6" s="487"/>
      <c r="UP6" s="487"/>
      <c r="UQ6" s="487"/>
      <c r="UR6" s="487"/>
      <c r="US6" s="487"/>
      <c r="UT6" s="487"/>
      <c r="UU6" s="487"/>
      <c r="UV6" s="487"/>
      <c r="UW6" s="487"/>
      <c r="UX6" s="487"/>
      <c r="UY6" s="487"/>
      <c r="UZ6" s="487"/>
      <c r="VA6" s="487"/>
      <c r="VB6" s="487"/>
      <c r="VC6" s="487"/>
      <c r="VD6" s="487"/>
      <c r="VE6" s="487"/>
      <c r="VF6" s="487"/>
      <c r="VG6" s="487"/>
      <c r="VH6" s="487"/>
      <c r="VI6" s="487"/>
      <c r="VJ6" s="487"/>
      <c r="VK6" s="487"/>
      <c r="VL6" s="487"/>
      <c r="VM6" s="487"/>
      <c r="VN6" s="487"/>
      <c r="VO6" s="487"/>
      <c r="VP6" s="487"/>
      <c r="VQ6" s="487"/>
      <c r="VR6" s="487"/>
      <c r="VS6" s="487"/>
      <c r="VT6" s="487"/>
      <c r="VU6" s="487"/>
      <c r="VV6" s="487"/>
      <c r="VW6" s="487"/>
      <c r="VX6" s="487"/>
      <c r="VY6" s="487"/>
      <c r="VZ6" s="487"/>
      <c r="WA6" s="487"/>
      <c r="WB6" s="487"/>
      <c r="WC6" s="487"/>
      <c r="WD6" s="487"/>
      <c r="WE6" s="487"/>
      <c r="WF6" s="487"/>
      <c r="WG6" s="487"/>
      <c r="WH6" s="487"/>
      <c r="WI6" s="487"/>
      <c r="WJ6" s="487"/>
      <c r="WK6" s="487"/>
      <c r="WL6" s="487"/>
      <c r="WM6" s="487"/>
      <c r="WN6" s="487"/>
      <c r="WO6" s="487"/>
      <c r="WP6" s="487"/>
      <c r="WQ6" s="487"/>
      <c r="WR6" s="487"/>
      <c r="WS6" s="487"/>
      <c r="WT6" s="487"/>
      <c r="WU6" s="487"/>
      <c r="WV6" s="487"/>
      <c r="WW6" s="487"/>
      <c r="WX6" s="487"/>
      <c r="WY6" s="487"/>
      <c r="WZ6" s="487"/>
      <c r="XA6" s="487"/>
      <c r="XB6" s="487"/>
      <c r="XC6" s="487"/>
      <c r="XD6" s="487"/>
      <c r="XE6" s="487"/>
      <c r="XF6" s="487"/>
      <c r="XG6" s="487"/>
      <c r="XH6" s="487"/>
      <c r="XI6" s="487"/>
      <c r="XJ6" s="487"/>
      <c r="XK6" s="487"/>
      <c r="XL6" s="487"/>
      <c r="XM6" s="487"/>
      <c r="XN6" s="487"/>
      <c r="XO6" s="487"/>
      <c r="XP6" s="487"/>
      <c r="XQ6" s="487"/>
      <c r="XR6" s="487"/>
      <c r="XS6" s="487"/>
      <c r="XT6" s="487"/>
      <c r="XU6" s="487"/>
      <c r="XV6" s="487"/>
      <c r="XW6" s="487"/>
      <c r="XX6" s="487"/>
      <c r="XY6" s="487"/>
      <c r="XZ6" s="487"/>
      <c r="YA6" s="487"/>
      <c r="YB6" s="487"/>
      <c r="YC6" s="487"/>
      <c r="YD6" s="487"/>
      <c r="YE6" s="487"/>
      <c r="YF6" s="487"/>
      <c r="YG6" s="487"/>
      <c r="YH6" s="487"/>
      <c r="YI6" s="487"/>
      <c r="YJ6" s="487"/>
      <c r="YK6" s="487"/>
      <c r="YL6" s="487"/>
      <c r="YM6" s="487"/>
      <c r="YN6" s="487"/>
      <c r="YO6" s="487"/>
      <c r="YP6" s="487"/>
      <c r="YQ6" s="487"/>
      <c r="YR6" s="487"/>
      <c r="YS6" s="487"/>
      <c r="YT6" s="487"/>
      <c r="YU6" s="487"/>
      <c r="YV6" s="487"/>
      <c r="YW6" s="487"/>
      <c r="YX6" s="487"/>
      <c r="YY6" s="487"/>
      <c r="YZ6" s="487"/>
      <c r="ZA6" s="487"/>
      <c r="ZB6" s="487"/>
      <c r="ZC6" s="487"/>
      <c r="ZD6" s="487"/>
      <c r="ZE6" s="487"/>
      <c r="ZF6" s="487"/>
      <c r="ZG6" s="487"/>
      <c r="ZH6" s="487"/>
      <c r="ZI6" s="487"/>
      <c r="ZJ6" s="487"/>
      <c r="ZK6" s="487"/>
      <c r="ZL6" s="487"/>
      <c r="ZM6" s="487"/>
      <c r="ZN6" s="487"/>
      <c r="ZO6" s="487"/>
      <c r="ZP6" s="487"/>
      <c r="ZQ6" s="487"/>
      <c r="ZR6" s="487"/>
      <c r="ZS6" s="487"/>
      <c r="ZT6" s="487"/>
      <c r="ZU6" s="487"/>
      <c r="ZV6" s="487"/>
      <c r="ZW6" s="487"/>
      <c r="ZX6" s="487"/>
      <c r="ZY6" s="487"/>
      <c r="ZZ6" s="487"/>
      <c r="AAA6" s="487"/>
      <c r="AAB6" s="487"/>
      <c r="AAC6" s="487"/>
      <c r="AAD6" s="487"/>
      <c r="AAE6" s="487"/>
      <c r="AAF6" s="487"/>
      <c r="AAG6" s="487"/>
      <c r="AAH6" s="487"/>
      <c r="AAI6" s="487"/>
      <c r="AAJ6" s="487"/>
      <c r="AAK6" s="487"/>
      <c r="AAL6" s="487"/>
      <c r="AAM6" s="487"/>
      <c r="AAN6" s="487"/>
      <c r="AAO6" s="487"/>
      <c r="AAP6" s="487"/>
      <c r="AAQ6" s="487"/>
      <c r="AAR6" s="487"/>
      <c r="AAS6" s="487"/>
      <c r="AAT6" s="487"/>
      <c r="AAU6" s="487"/>
      <c r="AAV6" s="487"/>
      <c r="AAW6" s="487"/>
      <c r="AAX6" s="487"/>
      <c r="AAY6" s="487"/>
      <c r="AAZ6" s="487"/>
      <c r="ABA6" s="487"/>
      <c r="ABB6" s="487"/>
      <c r="ABC6" s="487"/>
      <c r="ABD6" s="487"/>
      <c r="ABE6" s="487"/>
      <c r="ABF6" s="487"/>
      <c r="ABG6" s="487"/>
      <c r="ABH6" s="487"/>
      <c r="ABI6" s="487"/>
      <c r="ABJ6" s="487"/>
      <c r="ABK6" s="487"/>
      <c r="ABL6" s="487"/>
      <c r="ABM6" s="487"/>
      <c r="ABN6" s="487"/>
      <c r="ABO6" s="487"/>
      <c r="ABP6" s="487"/>
      <c r="ABQ6" s="487"/>
      <c r="ABR6" s="487"/>
      <c r="ABS6" s="487"/>
      <c r="ABT6" s="487"/>
      <c r="ABU6" s="487"/>
      <c r="ABV6" s="487"/>
      <c r="ABW6" s="487"/>
      <c r="ABX6" s="487"/>
      <c r="ABY6" s="487"/>
      <c r="ABZ6" s="487"/>
      <c r="ACA6" s="487"/>
      <c r="ACB6" s="487"/>
      <c r="ACC6" s="487"/>
      <c r="ACD6" s="487"/>
      <c r="ACE6" s="487"/>
      <c r="ACF6" s="487"/>
      <c r="ACG6" s="487"/>
      <c r="ACH6" s="487"/>
      <c r="ACI6" s="487"/>
      <c r="ACJ6" s="487"/>
      <c r="ACK6" s="487"/>
      <c r="ACL6" s="487"/>
      <c r="ACM6" s="487"/>
      <c r="ACN6" s="487"/>
      <c r="ACO6" s="487"/>
      <c r="ACP6" s="487"/>
      <c r="ACQ6" s="487"/>
      <c r="ACR6" s="487"/>
      <c r="ACS6" s="487"/>
      <c r="ACT6" s="487"/>
      <c r="ACU6" s="487"/>
      <c r="ACV6" s="487"/>
      <c r="ACW6" s="487"/>
      <c r="ACX6" s="487"/>
      <c r="ACY6" s="487"/>
      <c r="ACZ6" s="487"/>
      <c r="ADA6" s="487"/>
      <c r="ADB6" s="487"/>
      <c r="ADC6" s="487"/>
      <c r="ADD6" s="487"/>
      <c r="ADE6" s="487"/>
      <c r="ADF6" s="487"/>
      <c r="ADG6" s="487"/>
      <c r="ADH6" s="487"/>
      <c r="ADI6" s="487"/>
      <c r="ADJ6" s="487"/>
      <c r="ADK6" s="487"/>
      <c r="ADL6" s="487"/>
      <c r="ADM6" s="487"/>
      <c r="ADN6" s="487"/>
      <c r="ADO6" s="487"/>
      <c r="ADP6" s="487"/>
      <c r="ADQ6" s="487"/>
      <c r="ADR6" s="487"/>
      <c r="ADS6" s="487"/>
      <c r="ADT6" s="487"/>
      <c r="ADU6" s="487"/>
      <c r="ADV6" s="487"/>
      <c r="ADW6" s="487"/>
      <c r="ADX6" s="487"/>
      <c r="ADY6" s="487"/>
      <c r="ADZ6" s="487"/>
      <c r="AEA6" s="487"/>
      <c r="AEB6" s="487"/>
      <c r="AEC6" s="487"/>
      <c r="AED6" s="487"/>
      <c r="AEE6" s="487"/>
      <c r="AEF6" s="487"/>
      <c r="AEG6" s="487"/>
      <c r="AEH6" s="487"/>
      <c r="AEI6" s="487"/>
      <c r="AEJ6" s="487"/>
      <c r="AEK6" s="487"/>
      <c r="AEL6" s="487"/>
      <c r="AEM6" s="487"/>
      <c r="AEN6" s="487"/>
      <c r="AEO6" s="487"/>
      <c r="AEP6" s="487"/>
      <c r="AEQ6" s="487"/>
      <c r="AER6" s="487"/>
      <c r="AES6" s="487"/>
      <c r="AET6" s="487"/>
      <c r="AEU6" s="487"/>
      <c r="AEV6" s="487"/>
      <c r="AEW6" s="487"/>
      <c r="AEX6" s="487"/>
      <c r="AEY6" s="487"/>
      <c r="AEZ6" s="487"/>
      <c r="AFA6" s="487"/>
      <c r="AFB6" s="487"/>
      <c r="AFC6" s="487"/>
      <c r="AFD6" s="487"/>
      <c r="AFE6" s="487"/>
      <c r="AFF6" s="487"/>
      <c r="AFG6" s="487"/>
      <c r="AFH6" s="487"/>
      <c r="AFI6" s="487"/>
      <c r="AFJ6" s="487"/>
      <c r="AFK6" s="487"/>
      <c r="AFL6" s="487"/>
      <c r="AFM6" s="487"/>
      <c r="AFN6" s="487"/>
      <c r="AFO6" s="487"/>
      <c r="AFP6" s="487"/>
      <c r="AFQ6" s="487"/>
      <c r="AFR6" s="487"/>
      <c r="AFS6" s="487"/>
      <c r="AFT6" s="487"/>
      <c r="AFU6" s="487"/>
      <c r="AFV6" s="487"/>
      <c r="AFW6" s="487"/>
      <c r="AFX6" s="487"/>
      <c r="AFY6" s="487"/>
      <c r="AFZ6" s="487"/>
      <c r="AGA6" s="487"/>
      <c r="AGB6" s="487"/>
      <c r="AGC6" s="487"/>
      <c r="AGD6" s="487"/>
      <c r="AGE6" s="487"/>
      <c r="AGF6" s="487"/>
      <c r="AGG6" s="487"/>
      <c r="AGH6" s="487"/>
      <c r="AGI6" s="487"/>
      <c r="AGJ6" s="487"/>
      <c r="AGK6" s="487"/>
      <c r="AGL6" s="487"/>
      <c r="AGM6" s="487"/>
      <c r="AGN6" s="487"/>
      <c r="AGO6" s="487"/>
      <c r="AGP6" s="487"/>
      <c r="AGQ6" s="487"/>
      <c r="AGR6" s="487"/>
      <c r="AGS6" s="487"/>
      <c r="AGT6" s="487"/>
      <c r="AGU6" s="487"/>
      <c r="AGV6" s="487"/>
      <c r="AGW6" s="487"/>
      <c r="AGX6" s="487"/>
      <c r="AGY6" s="487"/>
      <c r="AGZ6" s="487"/>
      <c r="AHA6" s="487"/>
      <c r="AHB6" s="487"/>
      <c r="AHC6" s="487"/>
      <c r="AHD6" s="487"/>
      <c r="AHE6" s="487"/>
      <c r="AHF6" s="487"/>
      <c r="AHG6" s="487"/>
      <c r="AHH6" s="487"/>
      <c r="AHI6" s="487"/>
      <c r="AHJ6" s="487"/>
      <c r="AHK6" s="487"/>
      <c r="AHL6" s="487"/>
      <c r="AHM6" s="487"/>
      <c r="AHN6" s="487"/>
      <c r="AHO6" s="487"/>
      <c r="AHP6" s="487"/>
      <c r="AHQ6" s="487"/>
      <c r="AHR6" s="487"/>
      <c r="AHS6" s="487"/>
      <c r="AHT6" s="487"/>
      <c r="AHU6" s="487"/>
      <c r="AHV6" s="487"/>
      <c r="AHW6" s="487"/>
      <c r="AHX6" s="487"/>
      <c r="AHY6" s="487"/>
      <c r="AHZ6" s="487"/>
      <c r="AIA6" s="487"/>
      <c r="AIB6" s="487"/>
      <c r="AIC6" s="487"/>
      <c r="AID6" s="487"/>
      <c r="AIE6" s="487"/>
      <c r="AIF6" s="487"/>
      <c r="AIG6" s="487"/>
      <c r="AIH6" s="487"/>
      <c r="AII6" s="487"/>
      <c r="AIJ6" s="487"/>
      <c r="AIK6" s="487"/>
      <c r="AIL6" s="487"/>
      <c r="AIM6" s="487"/>
      <c r="AIN6" s="487"/>
      <c r="AIO6" s="487"/>
      <c r="AIP6" s="487"/>
      <c r="AIQ6" s="487"/>
      <c r="AIR6" s="487"/>
      <c r="AIS6" s="487"/>
      <c r="AIT6" s="487"/>
      <c r="AIU6" s="487"/>
      <c r="AIV6" s="487"/>
      <c r="AIW6" s="487"/>
      <c r="AIX6" s="487"/>
      <c r="AIY6" s="487"/>
      <c r="AIZ6" s="487"/>
      <c r="AJA6" s="487"/>
      <c r="AJB6" s="487"/>
      <c r="AJC6" s="487"/>
      <c r="AJD6" s="487"/>
      <c r="AJE6" s="487"/>
      <c r="AJF6" s="487"/>
      <c r="AJG6" s="487"/>
      <c r="AJH6" s="487"/>
      <c r="AJI6" s="487"/>
      <c r="AJJ6" s="487"/>
      <c r="AJK6" s="487"/>
      <c r="AJL6" s="487"/>
      <c r="AJM6" s="487"/>
      <c r="AJN6" s="487"/>
      <c r="AJO6" s="487"/>
      <c r="AJP6" s="487"/>
      <c r="AJQ6" s="487"/>
      <c r="AJR6" s="487"/>
      <c r="AJS6" s="487"/>
      <c r="AJT6" s="487"/>
      <c r="AJU6" s="487"/>
      <c r="AJV6" s="487"/>
      <c r="AJW6" s="487"/>
      <c r="AJX6" s="487"/>
      <c r="AJY6" s="487"/>
      <c r="AJZ6" s="487"/>
      <c r="AKA6" s="487"/>
      <c r="AKB6" s="487"/>
      <c r="AKC6" s="487"/>
      <c r="AKD6" s="487"/>
      <c r="AKE6" s="487"/>
      <c r="AKF6" s="487"/>
      <c r="AKG6" s="487"/>
      <c r="AKH6" s="487"/>
      <c r="AKI6" s="487"/>
      <c r="AKJ6" s="487"/>
      <c r="AKK6" s="487"/>
      <c r="AKL6" s="487"/>
      <c r="AKM6" s="487"/>
      <c r="AKN6" s="487"/>
      <c r="AKO6" s="487"/>
      <c r="AKP6" s="487"/>
      <c r="AKQ6" s="487"/>
      <c r="AKR6" s="487"/>
      <c r="AKS6" s="487"/>
      <c r="AKT6" s="487"/>
      <c r="AKU6" s="487"/>
      <c r="AKV6" s="487"/>
      <c r="AKW6" s="487"/>
      <c r="AKX6" s="487"/>
      <c r="AKY6" s="487"/>
      <c r="AKZ6" s="487"/>
      <c r="ALA6" s="487"/>
      <c r="ALB6" s="487"/>
      <c r="ALC6" s="487"/>
      <c r="ALD6" s="487"/>
      <c r="ALE6" s="487"/>
      <c r="ALF6" s="487"/>
      <c r="ALG6" s="487"/>
      <c r="ALH6" s="487"/>
      <c r="ALI6" s="487"/>
      <c r="ALJ6" s="487"/>
      <c r="ALK6" s="487"/>
      <c r="ALL6" s="487"/>
      <c r="ALM6" s="487"/>
      <c r="ALN6" s="487"/>
      <c r="ALO6" s="487"/>
      <c r="ALP6" s="487"/>
      <c r="ALQ6" s="487"/>
      <c r="ALR6" s="487"/>
      <c r="ALS6" s="487"/>
      <c r="ALT6" s="487"/>
      <c r="ALU6" s="487"/>
      <c r="ALV6" s="487"/>
      <c r="ALW6" s="487"/>
      <c r="ALX6" s="487"/>
      <c r="ALY6" s="487"/>
      <c r="ALZ6" s="487"/>
      <c r="AMA6" s="487"/>
      <c r="AMB6" s="487"/>
      <c r="AMC6" s="487"/>
      <c r="AMD6" s="487"/>
      <c r="AME6" s="487"/>
      <c r="AMF6" s="487"/>
      <c r="AMG6" s="487"/>
      <c r="AMH6" s="487"/>
      <c r="AMI6" s="487"/>
      <c r="AMJ6" s="487"/>
      <c r="AMK6" s="487"/>
      <c r="AML6" s="487"/>
      <c r="AMM6" s="487"/>
      <c r="AMN6" s="487"/>
      <c r="AMO6" s="487"/>
      <c r="AMP6" s="487"/>
      <c r="AMQ6" s="487"/>
      <c r="AMR6" s="487"/>
      <c r="AMS6" s="487"/>
      <c r="AMT6" s="487"/>
      <c r="AMU6" s="487"/>
      <c r="AMV6" s="487"/>
      <c r="AMW6" s="487"/>
      <c r="AMX6" s="487"/>
      <c r="AMY6" s="487"/>
      <c r="AMZ6" s="487"/>
      <c r="ANA6" s="487"/>
      <c r="ANB6" s="487"/>
      <c r="ANC6" s="487"/>
      <c r="AND6" s="487"/>
      <c r="ANE6" s="487"/>
      <c r="ANF6" s="487"/>
      <c r="ANG6" s="487"/>
      <c r="ANH6" s="487"/>
      <c r="ANI6" s="487"/>
      <c r="ANJ6" s="487"/>
      <c r="ANK6" s="487"/>
      <c r="ANL6" s="487"/>
      <c r="ANM6" s="487"/>
      <c r="ANN6" s="487"/>
      <c r="ANO6" s="487"/>
      <c r="ANP6" s="487"/>
      <c r="ANQ6" s="487"/>
      <c r="ANR6" s="487"/>
      <c r="ANS6" s="487"/>
      <c r="ANT6" s="487"/>
      <c r="ANU6" s="487"/>
      <c r="ANV6" s="487"/>
      <c r="ANW6" s="487"/>
      <c r="ANX6" s="487"/>
      <c r="ANY6" s="487"/>
      <c r="ANZ6" s="487"/>
      <c r="AOA6" s="487"/>
      <c r="AOB6" s="487"/>
      <c r="AOC6" s="487"/>
      <c r="AOD6" s="487"/>
      <c r="AOE6" s="487"/>
      <c r="AOF6" s="487"/>
      <c r="AOG6" s="487"/>
      <c r="AOH6" s="487"/>
      <c r="AOI6" s="487"/>
      <c r="AOJ6" s="487"/>
      <c r="AOK6" s="487"/>
      <c r="AOL6" s="487"/>
      <c r="AOM6" s="487"/>
      <c r="AON6" s="487"/>
      <c r="AOO6" s="487"/>
      <c r="AOP6" s="487"/>
      <c r="AOQ6" s="487"/>
      <c r="AOR6" s="487"/>
      <c r="AOS6" s="487"/>
      <c r="AOT6" s="487"/>
      <c r="AOU6" s="487"/>
      <c r="AOV6" s="487"/>
      <c r="AOW6" s="487"/>
      <c r="AOX6" s="487"/>
      <c r="AOY6" s="487"/>
      <c r="AOZ6" s="487"/>
      <c r="APA6" s="487"/>
      <c r="APB6" s="487"/>
      <c r="APC6" s="487"/>
      <c r="APD6" s="487"/>
      <c r="APE6" s="487"/>
      <c r="APF6" s="487"/>
      <c r="APG6" s="487"/>
      <c r="APH6" s="487"/>
      <c r="API6" s="487"/>
      <c r="APJ6" s="487"/>
      <c r="APK6" s="487"/>
      <c r="APL6" s="487"/>
      <c r="APM6" s="487"/>
      <c r="APN6" s="487"/>
      <c r="APO6" s="487"/>
      <c r="APP6" s="487"/>
      <c r="APQ6" s="487"/>
      <c r="APR6" s="487"/>
      <c r="APS6" s="487"/>
      <c r="APT6" s="487"/>
      <c r="APU6" s="487"/>
      <c r="APV6" s="487"/>
      <c r="APW6" s="487"/>
      <c r="APX6" s="487"/>
      <c r="APY6" s="487"/>
      <c r="APZ6" s="487"/>
      <c r="AQA6" s="487"/>
      <c r="AQB6" s="487"/>
      <c r="AQC6" s="487"/>
      <c r="AQD6" s="487"/>
      <c r="AQE6" s="487"/>
      <c r="AQF6" s="487"/>
      <c r="AQG6" s="487"/>
      <c r="AQH6" s="487"/>
      <c r="AQI6" s="487"/>
      <c r="AQJ6" s="487"/>
      <c r="AQK6" s="487"/>
      <c r="AQL6" s="487"/>
      <c r="AQM6" s="487"/>
      <c r="AQN6" s="487"/>
      <c r="AQO6" s="487"/>
      <c r="AQP6" s="487"/>
      <c r="AQQ6" s="487"/>
      <c r="AQR6" s="487"/>
      <c r="AQS6" s="487"/>
      <c r="AQT6" s="487"/>
      <c r="AQU6" s="487"/>
      <c r="AQV6" s="487"/>
      <c r="AQW6" s="487"/>
      <c r="AQX6" s="487"/>
      <c r="AQY6" s="487"/>
      <c r="AQZ6" s="487"/>
      <c r="ARA6" s="487"/>
      <c r="ARB6" s="487"/>
      <c r="ARC6" s="487"/>
      <c r="ARD6" s="487"/>
      <c r="ARE6" s="487"/>
      <c r="ARF6" s="487"/>
      <c r="ARG6" s="487"/>
      <c r="ARH6" s="487"/>
      <c r="ARI6" s="487"/>
      <c r="ARJ6" s="487"/>
      <c r="ARK6" s="487"/>
      <c r="ARL6" s="487"/>
      <c r="ARM6" s="487"/>
      <c r="ARN6" s="487"/>
      <c r="ARO6" s="487"/>
      <c r="ARP6" s="487"/>
      <c r="ARQ6" s="487"/>
      <c r="ARR6" s="487"/>
      <c r="ARS6" s="487"/>
      <c r="ART6" s="487"/>
      <c r="ARU6" s="487"/>
      <c r="ARV6" s="487"/>
      <c r="ARW6" s="487"/>
      <c r="ARX6" s="487"/>
      <c r="ARY6" s="487"/>
      <c r="ARZ6" s="487"/>
      <c r="ASA6" s="487"/>
      <c r="ASB6" s="487"/>
      <c r="ASC6" s="487"/>
      <c r="ASD6" s="487"/>
      <c r="ASE6" s="487"/>
      <c r="ASF6" s="487"/>
      <c r="ASG6" s="487"/>
      <c r="ASH6" s="487"/>
      <c r="ASI6" s="487"/>
      <c r="ASJ6" s="487"/>
      <c r="ASK6" s="487"/>
      <c r="ASL6" s="487"/>
      <c r="ASM6" s="487"/>
      <c r="ASN6" s="487"/>
      <c r="ASO6" s="487"/>
      <c r="ASP6" s="487"/>
      <c r="ASQ6" s="487"/>
      <c r="ASR6" s="487"/>
      <c r="ASS6" s="487"/>
      <c r="AST6" s="487"/>
      <c r="ASU6" s="487"/>
      <c r="ASV6" s="487"/>
      <c r="ASW6" s="487"/>
      <c r="ASX6" s="487"/>
      <c r="ASY6" s="487"/>
      <c r="ASZ6" s="487"/>
      <c r="ATA6" s="487"/>
      <c r="ATB6" s="487"/>
      <c r="ATC6" s="487"/>
      <c r="ATD6" s="487"/>
      <c r="ATE6" s="487"/>
      <c r="ATF6" s="487"/>
      <c r="ATG6" s="487"/>
      <c r="ATH6" s="487"/>
      <c r="ATI6" s="487"/>
      <c r="ATJ6" s="487"/>
      <c r="ATK6" s="487"/>
      <c r="ATL6" s="487"/>
      <c r="ATM6" s="487"/>
      <c r="ATN6" s="487"/>
      <c r="ATO6" s="487"/>
      <c r="ATP6" s="487"/>
      <c r="ATQ6" s="487"/>
      <c r="ATR6" s="487"/>
      <c r="ATS6" s="487"/>
      <c r="ATT6" s="487"/>
      <c r="ATU6" s="487"/>
      <c r="ATV6" s="487"/>
      <c r="ATW6" s="487"/>
      <c r="ATX6" s="487"/>
      <c r="ATY6" s="487"/>
      <c r="ATZ6" s="487"/>
      <c r="AUA6" s="487"/>
      <c r="AUB6" s="487"/>
      <c r="AUC6" s="487"/>
      <c r="AUD6" s="487"/>
      <c r="AUE6" s="487"/>
      <c r="AUF6" s="487"/>
      <c r="AUG6" s="487"/>
      <c r="AUH6" s="487"/>
      <c r="AUI6" s="487"/>
      <c r="AUJ6" s="487"/>
      <c r="AUK6" s="487"/>
      <c r="AUL6" s="487"/>
      <c r="AUM6" s="487"/>
      <c r="AUN6" s="487"/>
      <c r="AUO6" s="487"/>
      <c r="AUP6" s="487"/>
      <c r="AUQ6" s="487"/>
      <c r="AUR6" s="487"/>
      <c r="AUS6" s="487"/>
      <c r="AUT6" s="487"/>
      <c r="AUU6" s="487"/>
      <c r="AUV6" s="487"/>
      <c r="AUW6" s="487"/>
      <c r="AUX6" s="487"/>
      <c r="AUY6" s="487"/>
      <c r="AUZ6" s="487"/>
      <c r="AVA6" s="487"/>
      <c r="AVB6" s="487"/>
      <c r="AVC6" s="487"/>
      <c r="AVD6" s="487"/>
      <c r="AVE6" s="487"/>
      <c r="AVF6" s="487"/>
      <c r="AVG6" s="487"/>
    </row>
    <row r="7" spans="1:1255" s="488" customFormat="1" ht="32.1" customHeight="1">
      <c r="A7" s="470">
        <v>4</v>
      </c>
      <c r="B7" s="471" t="e">
        <f>IF(EDMS&gt;=Readability,1,0)</f>
        <v>#NAME?</v>
      </c>
      <c r="C7" s="472" t="s">
        <v>398</v>
      </c>
      <c r="D7" s="471" t="s">
        <v>399</v>
      </c>
      <c r="E7" s="473">
        <f>EDMS*UnitConvert</f>
        <v>0</v>
      </c>
      <c r="F7" s="474" t="e">
        <f>IF(OR(E7="",B7=0),"",$F$4)</f>
        <v>#NAME?</v>
      </c>
      <c r="G7" s="475" t="e">
        <f t="shared" si="3"/>
        <v>#NAME?</v>
      </c>
      <c r="H7" s="476" t="e">
        <f t="shared" si="4"/>
        <v>#NAME?</v>
      </c>
      <c r="I7" s="477">
        <f t="shared" si="5"/>
        <v>100</v>
      </c>
      <c r="J7" s="478" t="e">
        <f t="shared" si="6"/>
        <v>#NAME?</v>
      </c>
      <c r="K7" s="479">
        <v>1</v>
      </c>
      <c r="L7" s="480" t="e">
        <f t="shared" si="7"/>
        <v>#NAME?</v>
      </c>
      <c r="M7" s="480" t="e">
        <f t="shared" si="0"/>
        <v>#NAME?</v>
      </c>
      <c r="N7" s="481" t="e">
        <f t="shared" si="1"/>
        <v>#NAME?</v>
      </c>
      <c r="O7" s="482" t="e">
        <f t="shared" si="2"/>
        <v>#NAME?</v>
      </c>
      <c r="P7" s="464" t="s">
        <v>88</v>
      </c>
      <c r="Q7" s="483" t="e">
        <f ca="1">VLOOKUP(VLOOKUP(I1,Worksheet!$A$18:$B$31,2),'1Test Data'!$O$30:$AB$49,14,0)</f>
        <v>#VALUE!</v>
      </c>
      <c r="R7" s="484" t="e">
        <f t="shared" si="8"/>
        <v>#NAME?</v>
      </c>
      <c r="S7" s="465" t="e">
        <f t="shared" si="9"/>
        <v>#NAME?</v>
      </c>
      <c r="T7" s="465" t="e">
        <f>IF(OR(E7="",B7=0),"",ABS(L7/S16))</f>
        <v>#NAME?</v>
      </c>
      <c r="U7" s="485"/>
      <c r="V7" s="486"/>
      <c r="W7" s="486"/>
      <c r="X7" s="487"/>
      <c r="Y7" s="489"/>
      <c r="Z7" s="439"/>
      <c r="AA7" s="439"/>
      <c r="AB7" s="439"/>
      <c r="AC7" s="439"/>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487"/>
      <c r="CN7" s="487"/>
      <c r="CO7" s="487"/>
      <c r="CP7" s="487"/>
      <c r="CQ7" s="487"/>
      <c r="CR7" s="487"/>
      <c r="CS7" s="487"/>
      <c r="CT7" s="487"/>
      <c r="CU7" s="487"/>
      <c r="CV7" s="487"/>
      <c r="CW7" s="487"/>
      <c r="CX7" s="487"/>
      <c r="CY7" s="487"/>
      <c r="CZ7" s="487"/>
      <c r="DA7" s="487"/>
      <c r="DB7" s="487"/>
      <c r="DC7" s="487"/>
      <c r="DD7" s="487"/>
      <c r="DE7" s="487"/>
      <c r="DF7" s="487"/>
      <c r="DG7" s="487"/>
      <c r="DH7" s="487"/>
      <c r="DI7" s="487"/>
      <c r="DJ7" s="487"/>
      <c r="DK7" s="487"/>
      <c r="DL7" s="487"/>
      <c r="DM7" s="487"/>
      <c r="DN7" s="487"/>
      <c r="DO7" s="487"/>
      <c r="DP7" s="487"/>
      <c r="DQ7" s="487"/>
      <c r="DR7" s="487"/>
      <c r="DS7" s="487"/>
      <c r="DT7" s="487"/>
      <c r="DU7" s="487"/>
      <c r="DV7" s="487"/>
      <c r="DW7" s="487"/>
      <c r="DX7" s="487"/>
      <c r="DY7" s="487"/>
      <c r="DZ7" s="487"/>
      <c r="EA7" s="487"/>
      <c r="EB7" s="487"/>
      <c r="EC7" s="487"/>
      <c r="ED7" s="487"/>
      <c r="EE7" s="487"/>
      <c r="EF7" s="487"/>
      <c r="EG7" s="487"/>
      <c r="EH7" s="487"/>
      <c r="EI7" s="487"/>
      <c r="EJ7" s="487"/>
      <c r="EK7" s="487"/>
      <c r="EL7" s="487"/>
      <c r="EM7" s="487"/>
      <c r="EN7" s="487"/>
      <c r="EO7" s="487"/>
      <c r="EP7" s="487"/>
      <c r="EQ7" s="487"/>
      <c r="ER7" s="487"/>
      <c r="ES7" s="487"/>
      <c r="ET7" s="487"/>
      <c r="EU7" s="487"/>
      <c r="EV7" s="487"/>
      <c r="EW7" s="487"/>
      <c r="EX7" s="487"/>
      <c r="EY7" s="487"/>
      <c r="EZ7" s="487"/>
      <c r="FA7" s="487"/>
      <c r="FB7" s="487"/>
      <c r="FC7" s="487"/>
      <c r="FD7" s="487"/>
      <c r="FE7" s="487"/>
      <c r="FF7" s="487"/>
      <c r="FG7" s="487"/>
      <c r="FH7" s="487"/>
      <c r="FI7" s="487"/>
      <c r="FJ7" s="487"/>
      <c r="FK7" s="487"/>
      <c r="FL7" s="487"/>
      <c r="FM7" s="487"/>
      <c r="FN7" s="487"/>
      <c r="FO7" s="487"/>
      <c r="FP7" s="487"/>
      <c r="FQ7" s="487"/>
      <c r="FR7" s="487"/>
      <c r="FS7" s="487"/>
      <c r="FT7" s="487"/>
      <c r="FU7" s="487"/>
      <c r="FV7" s="487"/>
      <c r="FW7" s="487"/>
      <c r="FX7" s="487"/>
      <c r="FY7" s="487"/>
      <c r="FZ7" s="487"/>
      <c r="GA7" s="487"/>
      <c r="GB7" s="487"/>
      <c r="GC7" s="487"/>
      <c r="GD7" s="487"/>
      <c r="GE7" s="487"/>
      <c r="GF7" s="487"/>
      <c r="GG7" s="487"/>
      <c r="GH7" s="487"/>
      <c r="GI7" s="487"/>
      <c r="GJ7" s="487"/>
      <c r="GK7" s="487"/>
      <c r="GL7" s="487"/>
      <c r="GM7" s="487"/>
      <c r="GN7" s="487"/>
      <c r="GO7" s="487"/>
      <c r="GP7" s="487"/>
      <c r="GQ7" s="487"/>
      <c r="GR7" s="487"/>
      <c r="GS7" s="487"/>
      <c r="GT7" s="487"/>
      <c r="GU7" s="487"/>
      <c r="GV7" s="487"/>
      <c r="GW7" s="487"/>
      <c r="GX7" s="487"/>
      <c r="GY7" s="487"/>
      <c r="GZ7" s="487"/>
      <c r="HA7" s="487"/>
      <c r="HB7" s="487"/>
      <c r="HC7" s="487"/>
      <c r="HD7" s="487"/>
      <c r="HE7" s="487"/>
      <c r="HF7" s="487"/>
      <c r="HG7" s="487"/>
      <c r="HH7" s="487"/>
      <c r="HI7" s="487"/>
      <c r="HJ7" s="487"/>
      <c r="HK7" s="487"/>
      <c r="HL7" s="487"/>
      <c r="HM7" s="487"/>
      <c r="HN7" s="487"/>
      <c r="HO7" s="487"/>
      <c r="HP7" s="487"/>
      <c r="HQ7" s="487"/>
      <c r="HR7" s="487"/>
      <c r="HS7" s="487"/>
      <c r="HT7" s="487"/>
      <c r="HU7" s="487"/>
      <c r="HV7" s="487"/>
      <c r="HW7" s="487"/>
      <c r="HX7" s="487"/>
      <c r="HY7" s="487"/>
      <c r="HZ7" s="487"/>
      <c r="IA7" s="487"/>
      <c r="IB7" s="487"/>
      <c r="IC7" s="487"/>
      <c r="ID7" s="487"/>
      <c r="IE7" s="487"/>
      <c r="IF7" s="487"/>
      <c r="IG7" s="487"/>
      <c r="IH7" s="487"/>
      <c r="II7" s="487"/>
      <c r="IJ7" s="487"/>
      <c r="IK7" s="487"/>
      <c r="IL7" s="487"/>
      <c r="IM7" s="487"/>
      <c r="IN7" s="487"/>
      <c r="IO7" s="487"/>
      <c r="IP7" s="487"/>
      <c r="IQ7" s="487"/>
      <c r="IR7" s="487"/>
      <c r="IS7" s="487"/>
      <c r="IT7" s="487"/>
      <c r="IU7" s="487"/>
      <c r="IV7" s="487"/>
      <c r="IW7" s="487"/>
      <c r="IX7" s="487"/>
      <c r="IY7" s="487"/>
      <c r="IZ7" s="487"/>
      <c r="JA7" s="487"/>
      <c r="JB7" s="487"/>
      <c r="JC7" s="487"/>
      <c r="JD7" s="487"/>
      <c r="JE7" s="487"/>
      <c r="JF7" s="487"/>
      <c r="JG7" s="487"/>
      <c r="JH7" s="487"/>
      <c r="JI7" s="487"/>
      <c r="JJ7" s="487"/>
      <c r="JK7" s="487"/>
      <c r="JL7" s="487"/>
      <c r="JM7" s="487"/>
      <c r="JN7" s="487"/>
      <c r="JO7" s="487"/>
      <c r="JP7" s="487"/>
      <c r="JQ7" s="487"/>
      <c r="JR7" s="487"/>
      <c r="JS7" s="487"/>
      <c r="JT7" s="487"/>
      <c r="JU7" s="487"/>
      <c r="JV7" s="487"/>
      <c r="JW7" s="487"/>
      <c r="JX7" s="487"/>
      <c r="JY7" s="487"/>
      <c r="JZ7" s="487"/>
      <c r="KA7" s="487"/>
      <c r="KB7" s="487"/>
      <c r="KC7" s="487"/>
      <c r="KD7" s="487"/>
      <c r="KE7" s="487"/>
      <c r="KF7" s="487"/>
      <c r="KG7" s="487"/>
      <c r="KH7" s="487"/>
      <c r="KI7" s="487"/>
      <c r="KJ7" s="487"/>
      <c r="KK7" s="487"/>
      <c r="KL7" s="487"/>
      <c r="KM7" s="487"/>
      <c r="KN7" s="487"/>
      <c r="KO7" s="487"/>
      <c r="KP7" s="487"/>
      <c r="KQ7" s="487"/>
      <c r="KR7" s="487"/>
      <c r="KS7" s="487"/>
      <c r="KT7" s="487"/>
      <c r="KU7" s="487"/>
      <c r="KV7" s="487"/>
      <c r="KW7" s="487"/>
      <c r="KX7" s="487"/>
      <c r="KY7" s="487"/>
      <c r="KZ7" s="487"/>
      <c r="LA7" s="487"/>
      <c r="LB7" s="487"/>
      <c r="LC7" s="487"/>
      <c r="LD7" s="487"/>
      <c r="LE7" s="487"/>
      <c r="LF7" s="487"/>
      <c r="LG7" s="487"/>
      <c r="LH7" s="487"/>
      <c r="LI7" s="487"/>
      <c r="LJ7" s="487"/>
      <c r="LK7" s="487"/>
      <c r="LL7" s="487"/>
      <c r="LM7" s="487"/>
      <c r="LN7" s="487"/>
      <c r="LO7" s="487"/>
      <c r="LP7" s="487"/>
      <c r="LQ7" s="487"/>
      <c r="LR7" s="487"/>
      <c r="LS7" s="487"/>
      <c r="LT7" s="487"/>
      <c r="LU7" s="487"/>
      <c r="LV7" s="487"/>
      <c r="LW7" s="487"/>
      <c r="LX7" s="487"/>
      <c r="LY7" s="487"/>
      <c r="LZ7" s="487"/>
      <c r="MA7" s="487"/>
      <c r="MB7" s="487"/>
      <c r="MC7" s="487"/>
      <c r="MD7" s="487"/>
      <c r="ME7" s="487"/>
      <c r="MF7" s="487"/>
      <c r="MG7" s="487"/>
      <c r="MH7" s="487"/>
      <c r="MI7" s="487"/>
      <c r="MJ7" s="487"/>
      <c r="MK7" s="487"/>
      <c r="ML7" s="487"/>
      <c r="MM7" s="487"/>
      <c r="MN7" s="487"/>
      <c r="MO7" s="487"/>
      <c r="MP7" s="487"/>
      <c r="MQ7" s="487"/>
      <c r="MR7" s="487"/>
      <c r="MS7" s="487"/>
      <c r="MT7" s="487"/>
      <c r="MU7" s="487"/>
      <c r="MV7" s="487"/>
      <c r="MW7" s="487"/>
      <c r="MX7" s="487"/>
      <c r="MY7" s="487"/>
      <c r="MZ7" s="487"/>
      <c r="NA7" s="487"/>
      <c r="NB7" s="487"/>
      <c r="NC7" s="487"/>
      <c r="ND7" s="487"/>
      <c r="NE7" s="487"/>
      <c r="NF7" s="487"/>
      <c r="NG7" s="487"/>
      <c r="NH7" s="487"/>
      <c r="NI7" s="487"/>
      <c r="NJ7" s="487"/>
      <c r="NK7" s="487"/>
      <c r="NL7" s="487"/>
      <c r="NM7" s="487"/>
      <c r="NN7" s="487"/>
      <c r="NO7" s="487"/>
      <c r="NP7" s="487"/>
      <c r="NQ7" s="487"/>
      <c r="NR7" s="487"/>
      <c r="NS7" s="487"/>
      <c r="NT7" s="487"/>
      <c r="NU7" s="487"/>
      <c r="NV7" s="487"/>
      <c r="NW7" s="487"/>
      <c r="NX7" s="487"/>
      <c r="NY7" s="487"/>
      <c r="NZ7" s="487"/>
      <c r="OA7" s="487"/>
      <c r="OB7" s="487"/>
      <c r="OC7" s="487"/>
      <c r="OD7" s="487"/>
      <c r="OE7" s="487"/>
      <c r="OF7" s="487"/>
      <c r="OG7" s="487"/>
      <c r="OH7" s="487"/>
      <c r="OI7" s="487"/>
      <c r="OJ7" s="487"/>
      <c r="OK7" s="487"/>
      <c r="OL7" s="487"/>
      <c r="OM7" s="487"/>
      <c r="ON7" s="487"/>
      <c r="OO7" s="487"/>
      <c r="OP7" s="487"/>
      <c r="OQ7" s="487"/>
      <c r="OR7" s="487"/>
      <c r="OS7" s="487"/>
      <c r="OT7" s="487"/>
      <c r="OU7" s="487"/>
      <c r="OV7" s="487"/>
      <c r="OW7" s="487"/>
      <c r="OX7" s="487"/>
      <c r="OY7" s="487"/>
      <c r="OZ7" s="487"/>
      <c r="PA7" s="487"/>
      <c r="PB7" s="487"/>
      <c r="PC7" s="487"/>
      <c r="PD7" s="487"/>
      <c r="PE7" s="487"/>
      <c r="PF7" s="487"/>
      <c r="PG7" s="487"/>
      <c r="PH7" s="487"/>
      <c r="PI7" s="487"/>
      <c r="PJ7" s="487"/>
      <c r="PK7" s="487"/>
      <c r="PL7" s="487"/>
      <c r="PM7" s="487"/>
      <c r="PN7" s="487"/>
      <c r="PO7" s="487"/>
      <c r="PP7" s="487"/>
      <c r="PQ7" s="487"/>
      <c r="PR7" s="487"/>
      <c r="PS7" s="487"/>
      <c r="PT7" s="487"/>
      <c r="PU7" s="487"/>
      <c r="PV7" s="487"/>
      <c r="PW7" s="487"/>
      <c r="PX7" s="487"/>
      <c r="PY7" s="487"/>
      <c r="PZ7" s="487"/>
      <c r="QA7" s="487"/>
      <c r="QB7" s="487"/>
      <c r="QC7" s="487"/>
      <c r="QD7" s="487"/>
      <c r="QE7" s="487"/>
      <c r="QF7" s="487"/>
      <c r="QG7" s="487"/>
      <c r="QH7" s="487"/>
      <c r="QI7" s="487"/>
      <c r="QJ7" s="487"/>
      <c r="QK7" s="487"/>
      <c r="QL7" s="487"/>
      <c r="QM7" s="487"/>
      <c r="QN7" s="487"/>
      <c r="QO7" s="487"/>
      <c r="QP7" s="487"/>
      <c r="QQ7" s="487"/>
      <c r="QR7" s="487"/>
      <c r="QS7" s="487"/>
      <c r="QT7" s="487"/>
      <c r="QU7" s="487"/>
      <c r="QV7" s="487"/>
      <c r="QW7" s="487"/>
      <c r="QX7" s="487"/>
      <c r="QY7" s="487"/>
      <c r="QZ7" s="487"/>
      <c r="RA7" s="487"/>
      <c r="RB7" s="487"/>
      <c r="RC7" s="487"/>
      <c r="RD7" s="487"/>
      <c r="RE7" s="487"/>
      <c r="RF7" s="487"/>
      <c r="RG7" s="487"/>
      <c r="RH7" s="487"/>
      <c r="RI7" s="487"/>
      <c r="RJ7" s="487"/>
      <c r="RK7" s="487"/>
      <c r="RL7" s="487"/>
      <c r="RM7" s="487"/>
      <c r="RN7" s="487"/>
      <c r="RO7" s="487"/>
      <c r="RP7" s="487"/>
      <c r="RQ7" s="487"/>
      <c r="RR7" s="487"/>
      <c r="RS7" s="487"/>
      <c r="RT7" s="487"/>
      <c r="RU7" s="487"/>
      <c r="RV7" s="487"/>
      <c r="RW7" s="487"/>
      <c r="RX7" s="487"/>
      <c r="RY7" s="487"/>
      <c r="RZ7" s="487"/>
      <c r="SA7" s="487"/>
      <c r="SB7" s="487"/>
      <c r="SC7" s="487"/>
      <c r="SD7" s="487"/>
      <c r="SE7" s="487"/>
      <c r="SF7" s="487"/>
      <c r="SG7" s="487"/>
      <c r="SH7" s="487"/>
      <c r="SI7" s="487"/>
      <c r="SJ7" s="487"/>
      <c r="SK7" s="487"/>
      <c r="SL7" s="487"/>
      <c r="SM7" s="487"/>
      <c r="SN7" s="487"/>
      <c r="SO7" s="487"/>
      <c r="SP7" s="487"/>
      <c r="SQ7" s="487"/>
      <c r="SR7" s="487"/>
      <c r="SS7" s="487"/>
      <c r="ST7" s="487"/>
      <c r="SU7" s="487"/>
      <c r="SV7" s="487"/>
      <c r="SW7" s="487"/>
      <c r="SX7" s="487"/>
      <c r="SY7" s="487"/>
      <c r="SZ7" s="487"/>
      <c r="TA7" s="487"/>
      <c r="TB7" s="487"/>
      <c r="TC7" s="487"/>
      <c r="TD7" s="487"/>
      <c r="TE7" s="487"/>
      <c r="TF7" s="487"/>
      <c r="TG7" s="487"/>
      <c r="TH7" s="487"/>
      <c r="TI7" s="487"/>
      <c r="TJ7" s="487"/>
      <c r="TK7" s="487"/>
      <c r="TL7" s="487"/>
      <c r="TM7" s="487"/>
      <c r="TN7" s="487"/>
      <c r="TO7" s="487"/>
      <c r="TP7" s="487"/>
      <c r="TQ7" s="487"/>
      <c r="TR7" s="487"/>
      <c r="TS7" s="487"/>
      <c r="TT7" s="487"/>
      <c r="TU7" s="487"/>
      <c r="TV7" s="487"/>
      <c r="TW7" s="487"/>
      <c r="TX7" s="487"/>
      <c r="TY7" s="487"/>
      <c r="TZ7" s="487"/>
      <c r="UA7" s="487"/>
      <c r="UB7" s="487"/>
      <c r="UC7" s="487"/>
      <c r="UD7" s="487"/>
      <c r="UE7" s="487"/>
      <c r="UF7" s="487"/>
      <c r="UG7" s="487"/>
      <c r="UH7" s="487"/>
      <c r="UI7" s="487"/>
      <c r="UJ7" s="487"/>
      <c r="UK7" s="487"/>
      <c r="UL7" s="487"/>
      <c r="UM7" s="487"/>
      <c r="UN7" s="487"/>
      <c r="UO7" s="487"/>
      <c r="UP7" s="487"/>
      <c r="UQ7" s="487"/>
      <c r="UR7" s="487"/>
      <c r="US7" s="487"/>
      <c r="UT7" s="487"/>
      <c r="UU7" s="487"/>
      <c r="UV7" s="487"/>
      <c r="UW7" s="487"/>
      <c r="UX7" s="487"/>
      <c r="UY7" s="487"/>
      <c r="UZ7" s="487"/>
      <c r="VA7" s="487"/>
      <c r="VB7" s="487"/>
      <c r="VC7" s="487"/>
      <c r="VD7" s="487"/>
      <c r="VE7" s="487"/>
      <c r="VF7" s="487"/>
      <c r="VG7" s="487"/>
      <c r="VH7" s="487"/>
      <c r="VI7" s="487"/>
      <c r="VJ7" s="487"/>
      <c r="VK7" s="487"/>
      <c r="VL7" s="487"/>
      <c r="VM7" s="487"/>
      <c r="VN7" s="487"/>
      <c r="VO7" s="487"/>
      <c r="VP7" s="487"/>
      <c r="VQ7" s="487"/>
      <c r="VR7" s="487"/>
      <c r="VS7" s="487"/>
      <c r="VT7" s="487"/>
      <c r="VU7" s="487"/>
      <c r="VV7" s="487"/>
      <c r="VW7" s="487"/>
      <c r="VX7" s="487"/>
      <c r="VY7" s="487"/>
      <c r="VZ7" s="487"/>
      <c r="WA7" s="487"/>
      <c r="WB7" s="487"/>
      <c r="WC7" s="487"/>
      <c r="WD7" s="487"/>
      <c r="WE7" s="487"/>
      <c r="WF7" s="487"/>
      <c r="WG7" s="487"/>
      <c r="WH7" s="487"/>
      <c r="WI7" s="487"/>
      <c r="WJ7" s="487"/>
      <c r="WK7" s="487"/>
      <c r="WL7" s="487"/>
      <c r="WM7" s="487"/>
      <c r="WN7" s="487"/>
      <c r="WO7" s="487"/>
      <c r="WP7" s="487"/>
      <c r="WQ7" s="487"/>
      <c r="WR7" s="487"/>
      <c r="WS7" s="487"/>
      <c r="WT7" s="487"/>
      <c r="WU7" s="487"/>
      <c r="WV7" s="487"/>
      <c r="WW7" s="487"/>
      <c r="WX7" s="487"/>
      <c r="WY7" s="487"/>
      <c r="WZ7" s="487"/>
      <c r="XA7" s="487"/>
      <c r="XB7" s="487"/>
      <c r="XC7" s="487"/>
      <c r="XD7" s="487"/>
      <c r="XE7" s="487"/>
      <c r="XF7" s="487"/>
      <c r="XG7" s="487"/>
      <c r="XH7" s="487"/>
      <c r="XI7" s="487"/>
      <c r="XJ7" s="487"/>
      <c r="XK7" s="487"/>
      <c r="XL7" s="487"/>
      <c r="XM7" s="487"/>
      <c r="XN7" s="487"/>
      <c r="XO7" s="487"/>
      <c r="XP7" s="487"/>
      <c r="XQ7" s="487"/>
      <c r="XR7" s="487"/>
      <c r="XS7" s="487"/>
      <c r="XT7" s="487"/>
      <c r="XU7" s="487"/>
      <c r="XV7" s="487"/>
      <c r="XW7" s="487"/>
      <c r="XX7" s="487"/>
      <c r="XY7" s="487"/>
      <c r="XZ7" s="487"/>
      <c r="YA7" s="487"/>
      <c r="YB7" s="487"/>
      <c r="YC7" s="487"/>
      <c r="YD7" s="487"/>
      <c r="YE7" s="487"/>
      <c r="YF7" s="487"/>
      <c r="YG7" s="487"/>
      <c r="YH7" s="487"/>
      <c r="YI7" s="487"/>
      <c r="YJ7" s="487"/>
      <c r="YK7" s="487"/>
      <c r="YL7" s="487"/>
      <c r="YM7" s="487"/>
      <c r="YN7" s="487"/>
      <c r="YO7" s="487"/>
      <c r="YP7" s="487"/>
      <c r="YQ7" s="487"/>
      <c r="YR7" s="487"/>
      <c r="YS7" s="487"/>
      <c r="YT7" s="487"/>
      <c r="YU7" s="487"/>
      <c r="YV7" s="487"/>
      <c r="YW7" s="487"/>
      <c r="YX7" s="487"/>
      <c r="YY7" s="487"/>
      <c r="YZ7" s="487"/>
      <c r="ZA7" s="487"/>
      <c r="ZB7" s="487"/>
      <c r="ZC7" s="487"/>
      <c r="ZD7" s="487"/>
      <c r="ZE7" s="487"/>
      <c r="ZF7" s="487"/>
      <c r="ZG7" s="487"/>
      <c r="ZH7" s="487"/>
      <c r="ZI7" s="487"/>
      <c r="ZJ7" s="487"/>
      <c r="ZK7" s="487"/>
      <c r="ZL7" s="487"/>
      <c r="ZM7" s="487"/>
      <c r="ZN7" s="487"/>
      <c r="ZO7" s="487"/>
      <c r="ZP7" s="487"/>
      <c r="ZQ7" s="487"/>
      <c r="ZR7" s="487"/>
      <c r="ZS7" s="487"/>
      <c r="ZT7" s="487"/>
      <c r="ZU7" s="487"/>
      <c r="ZV7" s="487"/>
      <c r="ZW7" s="487"/>
      <c r="ZX7" s="487"/>
      <c r="ZY7" s="487"/>
      <c r="ZZ7" s="487"/>
      <c r="AAA7" s="487"/>
      <c r="AAB7" s="487"/>
      <c r="AAC7" s="487"/>
      <c r="AAD7" s="487"/>
      <c r="AAE7" s="487"/>
      <c r="AAF7" s="487"/>
      <c r="AAG7" s="487"/>
      <c r="AAH7" s="487"/>
      <c r="AAI7" s="487"/>
      <c r="AAJ7" s="487"/>
      <c r="AAK7" s="487"/>
      <c r="AAL7" s="487"/>
      <c r="AAM7" s="487"/>
      <c r="AAN7" s="487"/>
      <c r="AAO7" s="487"/>
      <c r="AAP7" s="487"/>
      <c r="AAQ7" s="487"/>
      <c r="AAR7" s="487"/>
      <c r="AAS7" s="487"/>
      <c r="AAT7" s="487"/>
      <c r="AAU7" s="487"/>
      <c r="AAV7" s="487"/>
      <c r="AAW7" s="487"/>
      <c r="AAX7" s="487"/>
      <c r="AAY7" s="487"/>
      <c r="AAZ7" s="487"/>
      <c r="ABA7" s="487"/>
      <c r="ABB7" s="487"/>
      <c r="ABC7" s="487"/>
      <c r="ABD7" s="487"/>
      <c r="ABE7" s="487"/>
      <c r="ABF7" s="487"/>
      <c r="ABG7" s="487"/>
      <c r="ABH7" s="487"/>
      <c r="ABI7" s="487"/>
      <c r="ABJ7" s="487"/>
      <c r="ABK7" s="487"/>
      <c r="ABL7" s="487"/>
      <c r="ABM7" s="487"/>
      <c r="ABN7" s="487"/>
      <c r="ABO7" s="487"/>
      <c r="ABP7" s="487"/>
      <c r="ABQ7" s="487"/>
      <c r="ABR7" s="487"/>
      <c r="ABS7" s="487"/>
      <c r="ABT7" s="487"/>
      <c r="ABU7" s="487"/>
      <c r="ABV7" s="487"/>
      <c r="ABW7" s="487"/>
      <c r="ABX7" s="487"/>
      <c r="ABY7" s="487"/>
      <c r="ABZ7" s="487"/>
      <c r="ACA7" s="487"/>
      <c r="ACB7" s="487"/>
      <c r="ACC7" s="487"/>
      <c r="ACD7" s="487"/>
      <c r="ACE7" s="487"/>
      <c r="ACF7" s="487"/>
      <c r="ACG7" s="487"/>
      <c r="ACH7" s="487"/>
      <c r="ACI7" s="487"/>
      <c r="ACJ7" s="487"/>
      <c r="ACK7" s="487"/>
      <c r="ACL7" s="487"/>
      <c r="ACM7" s="487"/>
      <c r="ACN7" s="487"/>
      <c r="ACO7" s="487"/>
      <c r="ACP7" s="487"/>
      <c r="ACQ7" s="487"/>
      <c r="ACR7" s="487"/>
      <c r="ACS7" s="487"/>
      <c r="ACT7" s="487"/>
      <c r="ACU7" s="487"/>
      <c r="ACV7" s="487"/>
      <c r="ACW7" s="487"/>
      <c r="ACX7" s="487"/>
      <c r="ACY7" s="487"/>
      <c r="ACZ7" s="487"/>
      <c r="ADA7" s="487"/>
      <c r="ADB7" s="487"/>
      <c r="ADC7" s="487"/>
      <c r="ADD7" s="487"/>
      <c r="ADE7" s="487"/>
      <c r="ADF7" s="487"/>
      <c r="ADG7" s="487"/>
      <c r="ADH7" s="487"/>
      <c r="ADI7" s="487"/>
      <c r="ADJ7" s="487"/>
      <c r="ADK7" s="487"/>
      <c r="ADL7" s="487"/>
      <c r="ADM7" s="487"/>
      <c r="ADN7" s="487"/>
      <c r="ADO7" s="487"/>
      <c r="ADP7" s="487"/>
      <c r="ADQ7" s="487"/>
      <c r="ADR7" s="487"/>
      <c r="ADS7" s="487"/>
      <c r="ADT7" s="487"/>
      <c r="ADU7" s="487"/>
      <c r="ADV7" s="487"/>
      <c r="ADW7" s="487"/>
      <c r="ADX7" s="487"/>
      <c r="ADY7" s="487"/>
      <c r="ADZ7" s="487"/>
      <c r="AEA7" s="487"/>
      <c r="AEB7" s="487"/>
      <c r="AEC7" s="487"/>
      <c r="AED7" s="487"/>
      <c r="AEE7" s="487"/>
      <c r="AEF7" s="487"/>
      <c r="AEG7" s="487"/>
      <c r="AEH7" s="487"/>
      <c r="AEI7" s="487"/>
      <c r="AEJ7" s="487"/>
      <c r="AEK7" s="487"/>
      <c r="AEL7" s="487"/>
      <c r="AEM7" s="487"/>
      <c r="AEN7" s="487"/>
      <c r="AEO7" s="487"/>
      <c r="AEP7" s="487"/>
      <c r="AEQ7" s="487"/>
      <c r="AER7" s="487"/>
      <c r="AES7" s="487"/>
      <c r="AET7" s="487"/>
      <c r="AEU7" s="487"/>
      <c r="AEV7" s="487"/>
      <c r="AEW7" s="487"/>
      <c r="AEX7" s="487"/>
      <c r="AEY7" s="487"/>
      <c r="AEZ7" s="487"/>
      <c r="AFA7" s="487"/>
      <c r="AFB7" s="487"/>
      <c r="AFC7" s="487"/>
      <c r="AFD7" s="487"/>
      <c r="AFE7" s="487"/>
      <c r="AFF7" s="487"/>
      <c r="AFG7" s="487"/>
      <c r="AFH7" s="487"/>
      <c r="AFI7" s="487"/>
      <c r="AFJ7" s="487"/>
      <c r="AFK7" s="487"/>
      <c r="AFL7" s="487"/>
      <c r="AFM7" s="487"/>
      <c r="AFN7" s="487"/>
      <c r="AFO7" s="487"/>
      <c r="AFP7" s="487"/>
      <c r="AFQ7" s="487"/>
      <c r="AFR7" s="487"/>
      <c r="AFS7" s="487"/>
      <c r="AFT7" s="487"/>
      <c r="AFU7" s="487"/>
      <c r="AFV7" s="487"/>
      <c r="AFW7" s="487"/>
      <c r="AFX7" s="487"/>
      <c r="AFY7" s="487"/>
      <c r="AFZ7" s="487"/>
      <c r="AGA7" s="487"/>
      <c r="AGB7" s="487"/>
      <c r="AGC7" s="487"/>
      <c r="AGD7" s="487"/>
      <c r="AGE7" s="487"/>
      <c r="AGF7" s="487"/>
      <c r="AGG7" s="487"/>
      <c r="AGH7" s="487"/>
      <c r="AGI7" s="487"/>
      <c r="AGJ7" s="487"/>
      <c r="AGK7" s="487"/>
      <c r="AGL7" s="487"/>
      <c r="AGM7" s="487"/>
      <c r="AGN7" s="487"/>
      <c r="AGO7" s="487"/>
      <c r="AGP7" s="487"/>
      <c r="AGQ7" s="487"/>
      <c r="AGR7" s="487"/>
      <c r="AGS7" s="487"/>
      <c r="AGT7" s="487"/>
      <c r="AGU7" s="487"/>
      <c r="AGV7" s="487"/>
      <c r="AGW7" s="487"/>
      <c r="AGX7" s="487"/>
      <c r="AGY7" s="487"/>
      <c r="AGZ7" s="487"/>
      <c r="AHA7" s="487"/>
      <c r="AHB7" s="487"/>
      <c r="AHC7" s="487"/>
      <c r="AHD7" s="487"/>
      <c r="AHE7" s="487"/>
      <c r="AHF7" s="487"/>
      <c r="AHG7" s="487"/>
      <c r="AHH7" s="487"/>
      <c r="AHI7" s="487"/>
      <c r="AHJ7" s="487"/>
      <c r="AHK7" s="487"/>
      <c r="AHL7" s="487"/>
      <c r="AHM7" s="487"/>
      <c r="AHN7" s="487"/>
      <c r="AHO7" s="487"/>
      <c r="AHP7" s="487"/>
      <c r="AHQ7" s="487"/>
      <c r="AHR7" s="487"/>
      <c r="AHS7" s="487"/>
      <c r="AHT7" s="487"/>
      <c r="AHU7" s="487"/>
      <c r="AHV7" s="487"/>
      <c r="AHW7" s="487"/>
      <c r="AHX7" s="487"/>
      <c r="AHY7" s="487"/>
      <c r="AHZ7" s="487"/>
      <c r="AIA7" s="487"/>
      <c r="AIB7" s="487"/>
      <c r="AIC7" s="487"/>
      <c r="AID7" s="487"/>
      <c r="AIE7" s="487"/>
      <c r="AIF7" s="487"/>
      <c r="AIG7" s="487"/>
      <c r="AIH7" s="487"/>
      <c r="AII7" s="487"/>
      <c r="AIJ7" s="487"/>
      <c r="AIK7" s="487"/>
      <c r="AIL7" s="487"/>
      <c r="AIM7" s="487"/>
      <c r="AIN7" s="487"/>
      <c r="AIO7" s="487"/>
      <c r="AIP7" s="487"/>
      <c r="AIQ7" s="487"/>
      <c r="AIR7" s="487"/>
      <c r="AIS7" s="487"/>
      <c r="AIT7" s="487"/>
      <c r="AIU7" s="487"/>
      <c r="AIV7" s="487"/>
      <c r="AIW7" s="487"/>
      <c r="AIX7" s="487"/>
      <c r="AIY7" s="487"/>
      <c r="AIZ7" s="487"/>
      <c r="AJA7" s="487"/>
      <c r="AJB7" s="487"/>
      <c r="AJC7" s="487"/>
      <c r="AJD7" s="487"/>
      <c r="AJE7" s="487"/>
      <c r="AJF7" s="487"/>
      <c r="AJG7" s="487"/>
      <c r="AJH7" s="487"/>
      <c r="AJI7" s="487"/>
      <c r="AJJ7" s="487"/>
      <c r="AJK7" s="487"/>
      <c r="AJL7" s="487"/>
      <c r="AJM7" s="487"/>
      <c r="AJN7" s="487"/>
      <c r="AJO7" s="487"/>
      <c r="AJP7" s="487"/>
      <c r="AJQ7" s="487"/>
      <c r="AJR7" s="487"/>
      <c r="AJS7" s="487"/>
      <c r="AJT7" s="487"/>
      <c r="AJU7" s="487"/>
      <c r="AJV7" s="487"/>
      <c r="AJW7" s="487"/>
      <c r="AJX7" s="487"/>
      <c r="AJY7" s="487"/>
      <c r="AJZ7" s="487"/>
      <c r="AKA7" s="487"/>
      <c r="AKB7" s="487"/>
      <c r="AKC7" s="487"/>
      <c r="AKD7" s="487"/>
      <c r="AKE7" s="487"/>
      <c r="AKF7" s="487"/>
      <c r="AKG7" s="487"/>
      <c r="AKH7" s="487"/>
      <c r="AKI7" s="487"/>
      <c r="AKJ7" s="487"/>
      <c r="AKK7" s="487"/>
      <c r="AKL7" s="487"/>
      <c r="AKM7" s="487"/>
      <c r="AKN7" s="487"/>
      <c r="AKO7" s="487"/>
      <c r="AKP7" s="487"/>
      <c r="AKQ7" s="487"/>
      <c r="AKR7" s="487"/>
      <c r="AKS7" s="487"/>
      <c r="AKT7" s="487"/>
      <c r="AKU7" s="487"/>
      <c r="AKV7" s="487"/>
      <c r="AKW7" s="487"/>
      <c r="AKX7" s="487"/>
      <c r="AKY7" s="487"/>
      <c r="AKZ7" s="487"/>
      <c r="ALA7" s="487"/>
      <c r="ALB7" s="487"/>
      <c r="ALC7" s="487"/>
      <c r="ALD7" s="487"/>
      <c r="ALE7" s="487"/>
      <c r="ALF7" s="487"/>
      <c r="ALG7" s="487"/>
      <c r="ALH7" s="487"/>
      <c r="ALI7" s="487"/>
      <c r="ALJ7" s="487"/>
      <c r="ALK7" s="487"/>
      <c r="ALL7" s="487"/>
      <c r="ALM7" s="487"/>
      <c r="ALN7" s="487"/>
      <c r="ALO7" s="487"/>
      <c r="ALP7" s="487"/>
      <c r="ALQ7" s="487"/>
      <c r="ALR7" s="487"/>
      <c r="ALS7" s="487"/>
      <c r="ALT7" s="487"/>
      <c r="ALU7" s="487"/>
      <c r="ALV7" s="487"/>
      <c r="ALW7" s="487"/>
      <c r="ALX7" s="487"/>
      <c r="ALY7" s="487"/>
      <c r="ALZ7" s="487"/>
      <c r="AMA7" s="487"/>
      <c r="AMB7" s="487"/>
      <c r="AMC7" s="487"/>
      <c r="AMD7" s="487"/>
      <c r="AME7" s="487"/>
      <c r="AMF7" s="487"/>
      <c r="AMG7" s="487"/>
      <c r="AMH7" s="487"/>
      <c r="AMI7" s="487"/>
      <c r="AMJ7" s="487"/>
      <c r="AMK7" s="487"/>
      <c r="AML7" s="487"/>
      <c r="AMM7" s="487"/>
      <c r="AMN7" s="487"/>
      <c r="AMO7" s="487"/>
      <c r="AMP7" s="487"/>
      <c r="AMQ7" s="487"/>
      <c r="AMR7" s="487"/>
      <c r="AMS7" s="487"/>
      <c r="AMT7" s="487"/>
      <c r="AMU7" s="487"/>
      <c r="AMV7" s="487"/>
      <c r="AMW7" s="487"/>
      <c r="AMX7" s="487"/>
      <c r="AMY7" s="487"/>
      <c r="AMZ7" s="487"/>
      <c r="ANA7" s="487"/>
      <c r="ANB7" s="487"/>
      <c r="ANC7" s="487"/>
      <c r="AND7" s="487"/>
      <c r="ANE7" s="487"/>
      <c r="ANF7" s="487"/>
      <c r="ANG7" s="487"/>
      <c r="ANH7" s="487"/>
      <c r="ANI7" s="487"/>
      <c r="ANJ7" s="487"/>
      <c r="ANK7" s="487"/>
      <c r="ANL7" s="487"/>
      <c r="ANM7" s="487"/>
      <c r="ANN7" s="487"/>
      <c r="ANO7" s="487"/>
      <c r="ANP7" s="487"/>
      <c r="ANQ7" s="487"/>
      <c r="ANR7" s="487"/>
      <c r="ANS7" s="487"/>
      <c r="ANT7" s="487"/>
      <c r="ANU7" s="487"/>
      <c r="ANV7" s="487"/>
      <c r="ANW7" s="487"/>
      <c r="ANX7" s="487"/>
      <c r="ANY7" s="487"/>
      <c r="ANZ7" s="487"/>
      <c r="AOA7" s="487"/>
      <c r="AOB7" s="487"/>
      <c r="AOC7" s="487"/>
      <c r="AOD7" s="487"/>
      <c r="AOE7" s="487"/>
      <c r="AOF7" s="487"/>
      <c r="AOG7" s="487"/>
      <c r="AOH7" s="487"/>
      <c r="AOI7" s="487"/>
      <c r="AOJ7" s="487"/>
      <c r="AOK7" s="487"/>
      <c r="AOL7" s="487"/>
      <c r="AOM7" s="487"/>
      <c r="AON7" s="487"/>
      <c r="AOO7" s="487"/>
      <c r="AOP7" s="487"/>
      <c r="AOQ7" s="487"/>
      <c r="AOR7" s="487"/>
      <c r="AOS7" s="487"/>
      <c r="AOT7" s="487"/>
      <c r="AOU7" s="487"/>
      <c r="AOV7" s="487"/>
      <c r="AOW7" s="487"/>
      <c r="AOX7" s="487"/>
      <c r="AOY7" s="487"/>
      <c r="AOZ7" s="487"/>
      <c r="APA7" s="487"/>
      <c r="APB7" s="487"/>
      <c r="APC7" s="487"/>
      <c r="APD7" s="487"/>
      <c r="APE7" s="487"/>
      <c r="APF7" s="487"/>
      <c r="APG7" s="487"/>
      <c r="APH7" s="487"/>
      <c r="API7" s="487"/>
      <c r="APJ7" s="487"/>
      <c r="APK7" s="487"/>
      <c r="APL7" s="487"/>
      <c r="APM7" s="487"/>
      <c r="APN7" s="487"/>
      <c r="APO7" s="487"/>
      <c r="APP7" s="487"/>
      <c r="APQ7" s="487"/>
      <c r="APR7" s="487"/>
      <c r="APS7" s="487"/>
      <c r="APT7" s="487"/>
      <c r="APU7" s="487"/>
      <c r="APV7" s="487"/>
      <c r="APW7" s="487"/>
      <c r="APX7" s="487"/>
      <c r="APY7" s="487"/>
      <c r="APZ7" s="487"/>
      <c r="AQA7" s="487"/>
      <c r="AQB7" s="487"/>
      <c r="AQC7" s="487"/>
      <c r="AQD7" s="487"/>
      <c r="AQE7" s="487"/>
      <c r="AQF7" s="487"/>
      <c r="AQG7" s="487"/>
      <c r="AQH7" s="487"/>
      <c r="AQI7" s="487"/>
      <c r="AQJ7" s="487"/>
      <c r="AQK7" s="487"/>
      <c r="AQL7" s="487"/>
      <c r="AQM7" s="487"/>
      <c r="AQN7" s="487"/>
      <c r="AQO7" s="487"/>
      <c r="AQP7" s="487"/>
      <c r="AQQ7" s="487"/>
      <c r="AQR7" s="487"/>
      <c r="AQS7" s="487"/>
      <c r="AQT7" s="487"/>
      <c r="AQU7" s="487"/>
      <c r="AQV7" s="487"/>
      <c r="AQW7" s="487"/>
      <c r="AQX7" s="487"/>
      <c r="AQY7" s="487"/>
      <c r="AQZ7" s="487"/>
      <c r="ARA7" s="487"/>
      <c r="ARB7" s="487"/>
      <c r="ARC7" s="487"/>
      <c r="ARD7" s="487"/>
      <c r="ARE7" s="487"/>
      <c r="ARF7" s="487"/>
      <c r="ARG7" s="487"/>
      <c r="ARH7" s="487"/>
      <c r="ARI7" s="487"/>
      <c r="ARJ7" s="487"/>
      <c r="ARK7" s="487"/>
      <c r="ARL7" s="487"/>
      <c r="ARM7" s="487"/>
      <c r="ARN7" s="487"/>
      <c r="ARO7" s="487"/>
      <c r="ARP7" s="487"/>
      <c r="ARQ7" s="487"/>
      <c r="ARR7" s="487"/>
      <c r="ARS7" s="487"/>
      <c r="ART7" s="487"/>
      <c r="ARU7" s="487"/>
      <c r="ARV7" s="487"/>
      <c r="ARW7" s="487"/>
      <c r="ARX7" s="487"/>
      <c r="ARY7" s="487"/>
      <c r="ARZ7" s="487"/>
      <c r="ASA7" s="487"/>
      <c r="ASB7" s="487"/>
      <c r="ASC7" s="487"/>
      <c r="ASD7" s="487"/>
      <c r="ASE7" s="487"/>
      <c r="ASF7" s="487"/>
      <c r="ASG7" s="487"/>
      <c r="ASH7" s="487"/>
      <c r="ASI7" s="487"/>
      <c r="ASJ7" s="487"/>
      <c r="ASK7" s="487"/>
      <c r="ASL7" s="487"/>
      <c r="ASM7" s="487"/>
      <c r="ASN7" s="487"/>
      <c r="ASO7" s="487"/>
      <c r="ASP7" s="487"/>
      <c r="ASQ7" s="487"/>
      <c r="ASR7" s="487"/>
      <c r="ASS7" s="487"/>
      <c r="AST7" s="487"/>
      <c r="ASU7" s="487"/>
      <c r="ASV7" s="487"/>
      <c r="ASW7" s="487"/>
      <c r="ASX7" s="487"/>
      <c r="ASY7" s="487"/>
      <c r="ASZ7" s="487"/>
      <c r="ATA7" s="487"/>
      <c r="ATB7" s="487"/>
      <c r="ATC7" s="487"/>
      <c r="ATD7" s="487"/>
      <c r="ATE7" s="487"/>
      <c r="ATF7" s="487"/>
      <c r="ATG7" s="487"/>
      <c r="ATH7" s="487"/>
      <c r="ATI7" s="487"/>
      <c r="ATJ7" s="487"/>
      <c r="ATK7" s="487"/>
      <c r="ATL7" s="487"/>
      <c r="ATM7" s="487"/>
      <c r="ATN7" s="487"/>
      <c r="ATO7" s="487"/>
      <c r="ATP7" s="487"/>
      <c r="ATQ7" s="487"/>
      <c r="ATR7" s="487"/>
      <c r="ATS7" s="487"/>
      <c r="ATT7" s="487"/>
      <c r="ATU7" s="487"/>
      <c r="ATV7" s="487"/>
      <c r="ATW7" s="487"/>
      <c r="ATX7" s="487"/>
      <c r="ATY7" s="487"/>
      <c r="ATZ7" s="487"/>
      <c r="AUA7" s="487"/>
      <c r="AUB7" s="487"/>
      <c r="AUC7" s="487"/>
      <c r="AUD7" s="487"/>
      <c r="AUE7" s="487"/>
      <c r="AUF7" s="487"/>
      <c r="AUG7" s="487"/>
      <c r="AUH7" s="487"/>
      <c r="AUI7" s="487"/>
      <c r="AUJ7" s="487"/>
      <c r="AUK7" s="487"/>
      <c r="AUL7" s="487"/>
      <c r="AUM7" s="487"/>
      <c r="AUN7" s="487"/>
      <c r="AUO7" s="487"/>
      <c r="AUP7" s="487"/>
      <c r="AUQ7" s="487"/>
      <c r="AUR7" s="487"/>
      <c r="AUS7" s="487"/>
      <c r="AUT7" s="487"/>
      <c r="AUU7" s="487"/>
      <c r="AUV7" s="487"/>
      <c r="AUW7" s="487"/>
      <c r="AUX7" s="487"/>
      <c r="AUY7" s="487"/>
      <c r="AUZ7" s="487"/>
      <c r="AVA7" s="487"/>
      <c r="AVB7" s="487"/>
      <c r="AVC7" s="487"/>
      <c r="AVD7" s="487"/>
      <c r="AVE7" s="487"/>
      <c r="AVF7" s="487"/>
      <c r="AVG7" s="487"/>
    </row>
    <row r="8" spans="1:1255" s="488" customFormat="1" ht="32.1" customHeight="1">
      <c r="A8" s="470">
        <v>5</v>
      </c>
      <c r="B8" s="471">
        <v>0</v>
      </c>
      <c r="C8" s="490" t="str">
        <f>"Gravity -"&amp;E8&amp;" " &amp;"m/s2"
&amp;" "&amp;"Sensitivity = Test Pressure / Gravity"</f>
        <v>Gravity -0.001 m/s2 Sensitivity = Test Pressure / Gravity</v>
      </c>
      <c r="D8" s="471" t="s">
        <v>395</v>
      </c>
      <c r="E8" s="491">
        <v>1E-3</v>
      </c>
      <c r="F8" s="474" t="s">
        <v>400</v>
      </c>
      <c r="G8" s="475" t="str">
        <f t="shared" si="3"/>
        <v/>
      </c>
      <c r="H8" s="476" t="str">
        <f t="shared" si="4"/>
        <v/>
      </c>
      <c r="I8" s="477">
        <f t="shared" si="5"/>
        <v>100</v>
      </c>
      <c r="J8" s="478" t="str">
        <f t="shared" si="6"/>
        <v/>
      </c>
      <c r="K8" s="479">
        <f ca="1">F1*E8</f>
        <v>0</v>
      </c>
      <c r="L8" s="480" t="str">
        <f t="shared" si="7"/>
        <v/>
      </c>
      <c r="M8" s="480" t="str">
        <f t="shared" si="0"/>
        <v>0</v>
      </c>
      <c r="N8" s="481" t="str">
        <f t="shared" si="1"/>
        <v>0</v>
      </c>
      <c r="O8" s="482" t="str">
        <f>IFERROR(T8,0)</f>
        <v/>
      </c>
      <c r="P8" s="492" t="s">
        <v>401</v>
      </c>
      <c r="Q8" s="493" t="e">
        <f ca="1">ABS(Q4*F1^3+Q5*F1^2+Q6*F1+Q7)</f>
        <v>#VALUE!</v>
      </c>
      <c r="R8" s="484" t="str">
        <f t="shared" si="8"/>
        <v/>
      </c>
      <c r="S8" s="465" t="str">
        <f t="shared" si="9"/>
        <v/>
      </c>
      <c r="T8" s="465" t="str">
        <f>IF(OR(E8="",B8=0),"",ABS(L8/S16))</f>
        <v/>
      </c>
      <c r="U8" s="485"/>
      <c r="V8" s="486"/>
      <c r="W8" s="486"/>
      <c r="X8" s="487"/>
      <c r="Y8" s="489"/>
      <c r="Z8" s="439"/>
      <c r="AA8" s="439"/>
      <c r="AB8" s="439"/>
      <c r="AC8" s="439"/>
      <c r="AD8" s="487"/>
      <c r="AE8" s="487"/>
      <c r="AF8" s="487"/>
      <c r="AG8" s="487"/>
      <c r="AH8" s="487"/>
      <c r="AI8" s="487"/>
      <c r="AJ8" s="487"/>
      <c r="AK8" s="487"/>
      <c r="AL8" s="487"/>
      <c r="AM8" s="487"/>
      <c r="AN8" s="487"/>
      <c r="AO8" s="487"/>
      <c r="AP8" s="487"/>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487"/>
      <c r="CN8" s="487"/>
      <c r="CO8" s="487"/>
      <c r="CP8" s="487"/>
      <c r="CQ8" s="487"/>
      <c r="CR8" s="487"/>
      <c r="CS8" s="487"/>
      <c r="CT8" s="487"/>
      <c r="CU8" s="487"/>
      <c r="CV8" s="487"/>
      <c r="CW8" s="487"/>
      <c r="CX8" s="487"/>
      <c r="CY8" s="487"/>
      <c r="CZ8" s="487"/>
      <c r="DA8" s="487"/>
      <c r="DB8" s="487"/>
      <c r="DC8" s="487"/>
      <c r="DD8" s="487"/>
      <c r="DE8" s="487"/>
      <c r="DF8" s="487"/>
      <c r="DG8" s="487"/>
      <c r="DH8" s="487"/>
      <c r="DI8" s="487"/>
      <c r="DJ8" s="487"/>
      <c r="DK8" s="487"/>
      <c r="DL8" s="487"/>
      <c r="DM8" s="487"/>
      <c r="DN8" s="487"/>
      <c r="DO8" s="487"/>
      <c r="DP8" s="487"/>
      <c r="DQ8" s="487"/>
      <c r="DR8" s="487"/>
      <c r="DS8" s="487"/>
      <c r="DT8" s="487"/>
      <c r="DU8" s="487"/>
      <c r="DV8" s="487"/>
      <c r="DW8" s="487"/>
      <c r="DX8" s="487"/>
      <c r="DY8" s="487"/>
      <c r="DZ8" s="487"/>
      <c r="EA8" s="487"/>
      <c r="EB8" s="487"/>
      <c r="EC8" s="487"/>
      <c r="ED8" s="487"/>
      <c r="EE8" s="487"/>
      <c r="EF8" s="487"/>
      <c r="EG8" s="487"/>
      <c r="EH8" s="487"/>
      <c r="EI8" s="487"/>
      <c r="EJ8" s="487"/>
      <c r="EK8" s="487"/>
      <c r="EL8" s="487"/>
      <c r="EM8" s="487"/>
      <c r="EN8" s="487"/>
      <c r="EO8" s="487"/>
      <c r="EP8" s="487"/>
      <c r="EQ8" s="487"/>
      <c r="ER8" s="487"/>
      <c r="ES8" s="487"/>
      <c r="ET8" s="487"/>
      <c r="EU8" s="487"/>
      <c r="EV8" s="487"/>
      <c r="EW8" s="487"/>
      <c r="EX8" s="487"/>
      <c r="EY8" s="487"/>
      <c r="EZ8" s="487"/>
      <c r="FA8" s="487"/>
      <c r="FB8" s="487"/>
      <c r="FC8" s="487"/>
      <c r="FD8" s="487"/>
      <c r="FE8" s="487"/>
      <c r="FF8" s="487"/>
      <c r="FG8" s="487"/>
      <c r="FH8" s="487"/>
      <c r="FI8" s="487"/>
      <c r="FJ8" s="487"/>
      <c r="FK8" s="487"/>
      <c r="FL8" s="487"/>
      <c r="FM8" s="487"/>
      <c r="FN8" s="487"/>
      <c r="FO8" s="487"/>
      <c r="FP8" s="487"/>
      <c r="FQ8" s="487"/>
      <c r="FR8" s="487"/>
      <c r="FS8" s="487"/>
      <c r="FT8" s="487"/>
      <c r="FU8" s="487"/>
      <c r="FV8" s="487"/>
      <c r="FW8" s="487"/>
      <c r="FX8" s="487"/>
      <c r="FY8" s="487"/>
      <c r="FZ8" s="487"/>
      <c r="GA8" s="487"/>
      <c r="GB8" s="487"/>
      <c r="GC8" s="487"/>
      <c r="GD8" s="487"/>
      <c r="GE8" s="487"/>
      <c r="GF8" s="487"/>
      <c r="GG8" s="487"/>
      <c r="GH8" s="487"/>
      <c r="GI8" s="487"/>
      <c r="GJ8" s="487"/>
      <c r="GK8" s="487"/>
      <c r="GL8" s="487"/>
      <c r="GM8" s="487"/>
      <c r="GN8" s="487"/>
      <c r="GO8" s="487"/>
      <c r="GP8" s="487"/>
      <c r="GQ8" s="487"/>
      <c r="GR8" s="487"/>
      <c r="GS8" s="487"/>
      <c r="GT8" s="487"/>
      <c r="GU8" s="487"/>
      <c r="GV8" s="487"/>
      <c r="GW8" s="487"/>
      <c r="GX8" s="487"/>
      <c r="GY8" s="487"/>
      <c r="GZ8" s="487"/>
      <c r="HA8" s="487"/>
      <c r="HB8" s="487"/>
      <c r="HC8" s="487"/>
      <c r="HD8" s="487"/>
      <c r="HE8" s="487"/>
      <c r="HF8" s="487"/>
      <c r="HG8" s="487"/>
      <c r="HH8" s="487"/>
      <c r="HI8" s="487"/>
      <c r="HJ8" s="487"/>
      <c r="HK8" s="487"/>
      <c r="HL8" s="487"/>
      <c r="HM8" s="487"/>
      <c r="HN8" s="487"/>
      <c r="HO8" s="487"/>
      <c r="HP8" s="487"/>
      <c r="HQ8" s="487"/>
      <c r="HR8" s="487"/>
      <c r="HS8" s="487"/>
      <c r="HT8" s="487"/>
      <c r="HU8" s="487"/>
      <c r="HV8" s="487"/>
      <c r="HW8" s="487"/>
      <c r="HX8" s="487"/>
      <c r="HY8" s="487"/>
      <c r="HZ8" s="487"/>
      <c r="IA8" s="487"/>
      <c r="IB8" s="487"/>
      <c r="IC8" s="487"/>
      <c r="ID8" s="487"/>
      <c r="IE8" s="487"/>
      <c r="IF8" s="487"/>
      <c r="IG8" s="487"/>
      <c r="IH8" s="487"/>
      <c r="II8" s="487"/>
      <c r="IJ8" s="487"/>
      <c r="IK8" s="487"/>
      <c r="IL8" s="487"/>
      <c r="IM8" s="487"/>
      <c r="IN8" s="487"/>
      <c r="IO8" s="487"/>
      <c r="IP8" s="487"/>
      <c r="IQ8" s="487"/>
      <c r="IR8" s="487"/>
      <c r="IS8" s="487"/>
      <c r="IT8" s="487"/>
      <c r="IU8" s="487"/>
      <c r="IV8" s="487"/>
      <c r="IW8" s="487"/>
      <c r="IX8" s="487"/>
      <c r="IY8" s="487"/>
      <c r="IZ8" s="487"/>
      <c r="JA8" s="487"/>
      <c r="JB8" s="487"/>
      <c r="JC8" s="487"/>
      <c r="JD8" s="487"/>
      <c r="JE8" s="487"/>
      <c r="JF8" s="487"/>
      <c r="JG8" s="487"/>
      <c r="JH8" s="487"/>
      <c r="JI8" s="487"/>
      <c r="JJ8" s="487"/>
      <c r="JK8" s="487"/>
      <c r="JL8" s="487"/>
      <c r="JM8" s="487"/>
      <c r="JN8" s="487"/>
      <c r="JO8" s="487"/>
      <c r="JP8" s="487"/>
      <c r="JQ8" s="487"/>
      <c r="JR8" s="487"/>
      <c r="JS8" s="487"/>
      <c r="JT8" s="487"/>
      <c r="JU8" s="487"/>
      <c r="JV8" s="487"/>
      <c r="JW8" s="487"/>
      <c r="JX8" s="487"/>
      <c r="JY8" s="487"/>
      <c r="JZ8" s="487"/>
      <c r="KA8" s="487"/>
      <c r="KB8" s="487"/>
      <c r="KC8" s="487"/>
      <c r="KD8" s="487"/>
      <c r="KE8" s="487"/>
      <c r="KF8" s="487"/>
      <c r="KG8" s="487"/>
      <c r="KH8" s="487"/>
      <c r="KI8" s="487"/>
      <c r="KJ8" s="487"/>
      <c r="KK8" s="487"/>
      <c r="KL8" s="487"/>
      <c r="KM8" s="487"/>
      <c r="KN8" s="487"/>
      <c r="KO8" s="487"/>
      <c r="KP8" s="487"/>
      <c r="KQ8" s="487"/>
      <c r="KR8" s="487"/>
      <c r="KS8" s="487"/>
      <c r="KT8" s="487"/>
      <c r="KU8" s="487"/>
      <c r="KV8" s="487"/>
      <c r="KW8" s="487"/>
      <c r="KX8" s="487"/>
      <c r="KY8" s="487"/>
      <c r="KZ8" s="487"/>
      <c r="LA8" s="487"/>
      <c r="LB8" s="487"/>
      <c r="LC8" s="487"/>
      <c r="LD8" s="487"/>
      <c r="LE8" s="487"/>
      <c r="LF8" s="487"/>
      <c r="LG8" s="487"/>
      <c r="LH8" s="487"/>
      <c r="LI8" s="487"/>
      <c r="LJ8" s="487"/>
      <c r="LK8" s="487"/>
      <c r="LL8" s="487"/>
      <c r="LM8" s="487"/>
      <c r="LN8" s="487"/>
      <c r="LO8" s="487"/>
      <c r="LP8" s="487"/>
      <c r="LQ8" s="487"/>
      <c r="LR8" s="487"/>
      <c r="LS8" s="487"/>
      <c r="LT8" s="487"/>
      <c r="LU8" s="487"/>
      <c r="LV8" s="487"/>
      <c r="LW8" s="487"/>
      <c r="LX8" s="487"/>
      <c r="LY8" s="487"/>
      <c r="LZ8" s="487"/>
      <c r="MA8" s="487"/>
      <c r="MB8" s="487"/>
      <c r="MC8" s="487"/>
      <c r="MD8" s="487"/>
      <c r="ME8" s="487"/>
      <c r="MF8" s="487"/>
      <c r="MG8" s="487"/>
      <c r="MH8" s="487"/>
      <c r="MI8" s="487"/>
      <c r="MJ8" s="487"/>
      <c r="MK8" s="487"/>
      <c r="ML8" s="487"/>
      <c r="MM8" s="487"/>
      <c r="MN8" s="487"/>
      <c r="MO8" s="487"/>
      <c r="MP8" s="487"/>
      <c r="MQ8" s="487"/>
      <c r="MR8" s="487"/>
      <c r="MS8" s="487"/>
      <c r="MT8" s="487"/>
      <c r="MU8" s="487"/>
      <c r="MV8" s="487"/>
      <c r="MW8" s="487"/>
      <c r="MX8" s="487"/>
      <c r="MY8" s="487"/>
      <c r="MZ8" s="487"/>
      <c r="NA8" s="487"/>
      <c r="NB8" s="487"/>
      <c r="NC8" s="487"/>
      <c r="ND8" s="487"/>
      <c r="NE8" s="487"/>
      <c r="NF8" s="487"/>
      <c r="NG8" s="487"/>
      <c r="NH8" s="487"/>
      <c r="NI8" s="487"/>
      <c r="NJ8" s="487"/>
      <c r="NK8" s="487"/>
      <c r="NL8" s="487"/>
      <c r="NM8" s="487"/>
      <c r="NN8" s="487"/>
      <c r="NO8" s="487"/>
      <c r="NP8" s="487"/>
      <c r="NQ8" s="487"/>
      <c r="NR8" s="487"/>
      <c r="NS8" s="487"/>
      <c r="NT8" s="487"/>
      <c r="NU8" s="487"/>
      <c r="NV8" s="487"/>
      <c r="NW8" s="487"/>
      <c r="NX8" s="487"/>
      <c r="NY8" s="487"/>
      <c r="NZ8" s="487"/>
      <c r="OA8" s="487"/>
      <c r="OB8" s="487"/>
      <c r="OC8" s="487"/>
      <c r="OD8" s="487"/>
      <c r="OE8" s="487"/>
      <c r="OF8" s="487"/>
      <c r="OG8" s="487"/>
      <c r="OH8" s="487"/>
      <c r="OI8" s="487"/>
      <c r="OJ8" s="487"/>
      <c r="OK8" s="487"/>
      <c r="OL8" s="487"/>
      <c r="OM8" s="487"/>
      <c r="ON8" s="487"/>
      <c r="OO8" s="487"/>
      <c r="OP8" s="487"/>
      <c r="OQ8" s="487"/>
      <c r="OR8" s="487"/>
      <c r="OS8" s="487"/>
      <c r="OT8" s="487"/>
      <c r="OU8" s="487"/>
      <c r="OV8" s="487"/>
      <c r="OW8" s="487"/>
      <c r="OX8" s="487"/>
      <c r="OY8" s="487"/>
      <c r="OZ8" s="487"/>
      <c r="PA8" s="487"/>
      <c r="PB8" s="487"/>
      <c r="PC8" s="487"/>
      <c r="PD8" s="487"/>
      <c r="PE8" s="487"/>
      <c r="PF8" s="487"/>
      <c r="PG8" s="487"/>
      <c r="PH8" s="487"/>
      <c r="PI8" s="487"/>
      <c r="PJ8" s="487"/>
      <c r="PK8" s="487"/>
      <c r="PL8" s="487"/>
      <c r="PM8" s="487"/>
      <c r="PN8" s="487"/>
      <c r="PO8" s="487"/>
      <c r="PP8" s="487"/>
      <c r="PQ8" s="487"/>
      <c r="PR8" s="487"/>
      <c r="PS8" s="487"/>
      <c r="PT8" s="487"/>
      <c r="PU8" s="487"/>
      <c r="PV8" s="487"/>
      <c r="PW8" s="487"/>
      <c r="PX8" s="487"/>
      <c r="PY8" s="487"/>
      <c r="PZ8" s="487"/>
      <c r="QA8" s="487"/>
      <c r="QB8" s="487"/>
      <c r="QC8" s="487"/>
      <c r="QD8" s="487"/>
      <c r="QE8" s="487"/>
      <c r="QF8" s="487"/>
      <c r="QG8" s="487"/>
      <c r="QH8" s="487"/>
      <c r="QI8" s="487"/>
      <c r="QJ8" s="487"/>
      <c r="QK8" s="487"/>
      <c r="QL8" s="487"/>
      <c r="QM8" s="487"/>
      <c r="QN8" s="487"/>
      <c r="QO8" s="487"/>
      <c r="QP8" s="487"/>
      <c r="QQ8" s="487"/>
      <c r="QR8" s="487"/>
      <c r="QS8" s="487"/>
      <c r="QT8" s="487"/>
      <c r="QU8" s="487"/>
      <c r="QV8" s="487"/>
      <c r="QW8" s="487"/>
      <c r="QX8" s="487"/>
      <c r="QY8" s="487"/>
      <c r="QZ8" s="487"/>
      <c r="RA8" s="487"/>
      <c r="RB8" s="487"/>
      <c r="RC8" s="487"/>
      <c r="RD8" s="487"/>
      <c r="RE8" s="487"/>
      <c r="RF8" s="487"/>
      <c r="RG8" s="487"/>
      <c r="RH8" s="487"/>
      <c r="RI8" s="487"/>
      <c r="RJ8" s="487"/>
      <c r="RK8" s="487"/>
      <c r="RL8" s="487"/>
      <c r="RM8" s="487"/>
      <c r="RN8" s="487"/>
      <c r="RO8" s="487"/>
      <c r="RP8" s="487"/>
      <c r="RQ8" s="487"/>
      <c r="RR8" s="487"/>
      <c r="RS8" s="487"/>
      <c r="RT8" s="487"/>
      <c r="RU8" s="487"/>
      <c r="RV8" s="487"/>
      <c r="RW8" s="487"/>
      <c r="RX8" s="487"/>
      <c r="RY8" s="487"/>
      <c r="RZ8" s="487"/>
      <c r="SA8" s="487"/>
      <c r="SB8" s="487"/>
      <c r="SC8" s="487"/>
      <c r="SD8" s="487"/>
      <c r="SE8" s="487"/>
      <c r="SF8" s="487"/>
      <c r="SG8" s="487"/>
      <c r="SH8" s="487"/>
      <c r="SI8" s="487"/>
      <c r="SJ8" s="487"/>
      <c r="SK8" s="487"/>
      <c r="SL8" s="487"/>
      <c r="SM8" s="487"/>
      <c r="SN8" s="487"/>
      <c r="SO8" s="487"/>
      <c r="SP8" s="487"/>
      <c r="SQ8" s="487"/>
      <c r="SR8" s="487"/>
      <c r="SS8" s="487"/>
      <c r="ST8" s="487"/>
      <c r="SU8" s="487"/>
      <c r="SV8" s="487"/>
      <c r="SW8" s="487"/>
      <c r="SX8" s="487"/>
      <c r="SY8" s="487"/>
      <c r="SZ8" s="487"/>
      <c r="TA8" s="487"/>
      <c r="TB8" s="487"/>
      <c r="TC8" s="487"/>
      <c r="TD8" s="487"/>
      <c r="TE8" s="487"/>
      <c r="TF8" s="487"/>
      <c r="TG8" s="487"/>
      <c r="TH8" s="487"/>
      <c r="TI8" s="487"/>
      <c r="TJ8" s="487"/>
      <c r="TK8" s="487"/>
      <c r="TL8" s="487"/>
      <c r="TM8" s="487"/>
      <c r="TN8" s="487"/>
      <c r="TO8" s="487"/>
      <c r="TP8" s="487"/>
      <c r="TQ8" s="487"/>
      <c r="TR8" s="487"/>
      <c r="TS8" s="487"/>
      <c r="TT8" s="487"/>
      <c r="TU8" s="487"/>
      <c r="TV8" s="487"/>
      <c r="TW8" s="487"/>
      <c r="TX8" s="487"/>
      <c r="TY8" s="487"/>
      <c r="TZ8" s="487"/>
      <c r="UA8" s="487"/>
      <c r="UB8" s="487"/>
      <c r="UC8" s="487"/>
      <c r="UD8" s="487"/>
      <c r="UE8" s="487"/>
      <c r="UF8" s="487"/>
      <c r="UG8" s="487"/>
      <c r="UH8" s="487"/>
      <c r="UI8" s="487"/>
      <c r="UJ8" s="487"/>
      <c r="UK8" s="487"/>
      <c r="UL8" s="487"/>
      <c r="UM8" s="487"/>
      <c r="UN8" s="487"/>
      <c r="UO8" s="487"/>
      <c r="UP8" s="487"/>
      <c r="UQ8" s="487"/>
      <c r="UR8" s="487"/>
      <c r="US8" s="487"/>
      <c r="UT8" s="487"/>
      <c r="UU8" s="487"/>
      <c r="UV8" s="487"/>
      <c r="UW8" s="487"/>
      <c r="UX8" s="487"/>
      <c r="UY8" s="487"/>
      <c r="UZ8" s="487"/>
      <c r="VA8" s="487"/>
      <c r="VB8" s="487"/>
      <c r="VC8" s="487"/>
      <c r="VD8" s="487"/>
      <c r="VE8" s="487"/>
      <c r="VF8" s="487"/>
      <c r="VG8" s="487"/>
      <c r="VH8" s="487"/>
      <c r="VI8" s="487"/>
      <c r="VJ8" s="487"/>
      <c r="VK8" s="487"/>
      <c r="VL8" s="487"/>
      <c r="VM8" s="487"/>
      <c r="VN8" s="487"/>
      <c r="VO8" s="487"/>
      <c r="VP8" s="487"/>
      <c r="VQ8" s="487"/>
      <c r="VR8" s="487"/>
      <c r="VS8" s="487"/>
      <c r="VT8" s="487"/>
      <c r="VU8" s="487"/>
      <c r="VV8" s="487"/>
      <c r="VW8" s="487"/>
      <c r="VX8" s="487"/>
      <c r="VY8" s="487"/>
      <c r="VZ8" s="487"/>
      <c r="WA8" s="487"/>
      <c r="WB8" s="487"/>
      <c r="WC8" s="487"/>
      <c r="WD8" s="487"/>
      <c r="WE8" s="487"/>
      <c r="WF8" s="487"/>
      <c r="WG8" s="487"/>
      <c r="WH8" s="487"/>
      <c r="WI8" s="487"/>
      <c r="WJ8" s="487"/>
      <c r="WK8" s="487"/>
      <c r="WL8" s="487"/>
      <c r="WM8" s="487"/>
      <c r="WN8" s="487"/>
      <c r="WO8" s="487"/>
      <c r="WP8" s="487"/>
      <c r="WQ8" s="487"/>
      <c r="WR8" s="487"/>
      <c r="WS8" s="487"/>
      <c r="WT8" s="487"/>
      <c r="WU8" s="487"/>
      <c r="WV8" s="487"/>
      <c r="WW8" s="487"/>
      <c r="WX8" s="487"/>
      <c r="WY8" s="487"/>
      <c r="WZ8" s="487"/>
      <c r="XA8" s="487"/>
      <c r="XB8" s="487"/>
      <c r="XC8" s="487"/>
      <c r="XD8" s="487"/>
      <c r="XE8" s="487"/>
      <c r="XF8" s="487"/>
      <c r="XG8" s="487"/>
      <c r="XH8" s="487"/>
      <c r="XI8" s="487"/>
      <c r="XJ8" s="487"/>
      <c r="XK8" s="487"/>
      <c r="XL8" s="487"/>
      <c r="XM8" s="487"/>
      <c r="XN8" s="487"/>
      <c r="XO8" s="487"/>
      <c r="XP8" s="487"/>
      <c r="XQ8" s="487"/>
      <c r="XR8" s="487"/>
      <c r="XS8" s="487"/>
      <c r="XT8" s="487"/>
      <c r="XU8" s="487"/>
      <c r="XV8" s="487"/>
      <c r="XW8" s="487"/>
      <c r="XX8" s="487"/>
      <c r="XY8" s="487"/>
      <c r="XZ8" s="487"/>
      <c r="YA8" s="487"/>
      <c r="YB8" s="487"/>
      <c r="YC8" s="487"/>
      <c r="YD8" s="487"/>
      <c r="YE8" s="487"/>
      <c r="YF8" s="487"/>
      <c r="YG8" s="487"/>
      <c r="YH8" s="487"/>
      <c r="YI8" s="487"/>
      <c r="YJ8" s="487"/>
      <c r="YK8" s="487"/>
      <c r="YL8" s="487"/>
      <c r="YM8" s="487"/>
      <c r="YN8" s="487"/>
      <c r="YO8" s="487"/>
      <c r="YP8" s="487"/>
      <c r="YQ8" s="487"/>
      <c r="YR8" s="487"/>
      <c r="YS8" s="487"/>
      <c r="YT8" s="487"/>
      <c r="YU8" s="487"/>
      <c r="YV8" s="487"/>
      <c r="YW8" s="487"/>
      <c r="YX8" s="487"/>
      <c r="YY8" s="487"/>
      <c r="YZ8" s="487"/>
      <c r="ZA8" s="487"/>
      <c r="ZB8" s="487"/>
      <c r="ZC8" s="487"/>
      <c r="ZD8" s="487"/>
      <c r="ZE8" s="487"/>
      <c r="ZF8" s="487"/>
      <c r="ZG8" s="487"/>
      <c r="ZH8" s="487"/>
      <c r="ZI8" s="487"/>
      <c r="ZJ8" s="487"/>
      <c r="ZK8" s="487"/>
      <c r="ZL8" s="487"/>
      <c r="ZM8" s="487"/>
      <c r="ZN8" s="487"/>
      <c r="ZO8" s="487"/>
      <c r="ZP8" s="487"/>
      <c r="ZQ8" s="487"/>
      <c r="ZR8" s="487"/>
      <c r="ZS8" s="487"/>
      <c r="ZT8" s="487"/>
      <c r="ZU8" s="487"/>
      <c r="ZV8" s="487"/>
      <c r="ZW8" s="487"/>
      <c r="ZX8" s="487"/>
      <c r="ZY8" s="487"/>
      <c r="ZZ8" s="487"/>
      <c r="AAA8" s="487"/>
      <c r="AAB8" s="487"/>
      <c r="AAC8" s="487"/>
      <c r="AAD8" s="487"/>
      <c r="AAE8" s="487"/>
      <c r="AAF8" s="487"/>
      <c r="AAG8" s="487"/>
      <c r="AAH8" s="487"/>
      <c r="AAI8" s="487"/>
      <c r="AAJ8" s="487"/>
      <c r="AAK8" s="487"/>
      <c r="AAL8" s="487"/>
      <c r="AAM8" s="487"/>
      <c r="AAN8" s="487"/>
      <c r="AAO8" s="487"/>
      <c r="AAP8" s="487"/>
      <c r="AAQ8" s="487"/>
      <c r="AAR8" s="487"/>
      <c r="AAS8" s="487"/>
      <c r="AAT8" s="487"/>
      <c r="AAU8" s="487"/>
      <c r="AAV8" s="487"/>
      <c r="AAW8" s="487"/>
      <c r="AAX8" s="487"/>
      <c r="AAY8" s="487"/>
      <c r="AAZ8" s="487"/>
      <c r="ABA8" s="487"/>
      <c r="ABB8" s="487"/>
      <c r="ABC8" s="487"/>
      <c r="ABD8" s="487"/>
      <c r="ABE8" s="487"/>
      <c r="ABF8" s="487"/>
      <c r="ABG8" s="487"/>
      <c r="ABH8" s="487"/>
      <c r="ABI8" s="487"/>
      <c r="ABJ8" s="487"/>
      <c r="ABK8" s="487"/>
      <c r="ABL8" s="487"/>
      <c r="ABM8" s="487"/>
      <c r="ABN8" s="487"/>
      <c r="ABO8" s="487"/>
      <c r="ABP8" s="487"/>
      <c r="ABQ8" s="487"/>
      <c r="ABR8" s="487"/>
      <c r="ABS8" s="487"/>
      <c r="ABT8" s="487"/>
      <c r="ABU8" s="487"/>
      <c r="ABV8" s="487"/>
      <c r="ABW8" s="487"/>
      <c r="ABX8" s="487"/>
      <c r="ABY8" s="487"/>
      <c r="ABZ8" s="487"/>
      <c r="ACA8" s="487"/>
      <c r="ACB8" s="487"/>
      <c r="ACC8" s="487"/>
      <c r="ACD8" s="487"/>
      <c r="ACE8" s="487"/>
      <c r="ACF8" s="487"/>
      <c r="ACG8" s="487"/>
      <c r="ACH8" s="487"/>
      <c r="ACI8" s="487"/>
      <c r="ACJ8" s="487"/>
      <c r="ACK8" s="487"/>
      <c r="ACL8" s="487"/>
      <c r="ACM8" s="487"/>
      <c r="ACN8" s="487"/>
      <c r="ACO8" s="487"/>
      <c r="ACP8" s="487"/>
      <c r="ACQ8" s="487"/>
      <c r="ACR8" s="487"/>
      <c r="ACS8" s="487"/>
      <c r="ACT8" s="487"/>
      <c r="ACU8" s="487"/>
      <c r="ACV8" s="487"/>
      <c r="ACW8" s="487"/>
      <c r="ACX8" s="487"/>
      <c r="ACY8" s="487"/>
      <c r="ACZ8" s="487"/>
      <c r="ADA8" s="487"/>
      <c r="ADB8" s="487"/>
      <c r="ADC8" s="487"/>
      <c r="ADD8" s="487"/>
      <c r="ADE8" s="487"/>
      <c r="ADF8" s="487"/>
      <c r="ADG8" s="487"/>
      <c r="ADH8" s="487"/>
      <c r="ADI8" s="487"/>
      <c r="ADJ8" s="487"/>
      <c r="ADK8" s="487"/>
      <c r="ADL8" s="487"/>
      <c r="ADM8" s="487"/>
      <c r="ADN8" s="487"/>
      <c r="ADO8" s="487"/>
      <c r="ADP8" s="487"/>
      <c r="ADQ8" s="487"/>
      <c r="ADR8" s="487"/>
      <c r="ADS8" s="487"/>
      <c r="ADT8" s="487"/>
      <c r="ADU8" s="487"/>
      <c r="ADV8" s="487"/>
      <c r="ADW8" s="487"/>
      <c r="ADX8" s="487"/>
      <c r="ADY8" s="487"/>
      <c r="ADZ8" s="487"/>
      <c r="AEA8" s="487"/>
      <c r="AEB8" s="487"/>
      <c r="AEC8" s="487"/>
      <c r="AED8" s="487"/>
      <c r="AEE8" s="487"/>
      <c r="AEF8" s="487"/>
      <c r="AEG8" s="487"/>
      <c r="AEH8" s="487"/>
      <c r="AEI8" s="487"/>
      <c r="AEJ8" s="487"/>
      <c r="AEK8" s="487"/>
      <c r="AEL8" s="487"/>
      <c r="AEM8" s="487"/>
      <c r="AEN8" s="487"/>
      <c r="AEO8" s="487"/>
      <c r="AEP8" s="487"/>
      <c r="AEQ8" s="487"/>
      <c r="AER8" s="487"/>
      <c r="AES8" s="487"/>
      <c r="AET8" s="487"/>
      <c r="AEU8" s="487"/>
      <c r="AEV8" s="487"/>
      <c r="AEW8" s="487"/>
      <c r="AEX8" s="487"/>
      <c r="AEY8" s="487"/>
      <c r="AEZ8" s="487"/>
      <c r="AFA8" s="487"/>
      <c r="AFB8" s="487"/>
      <c r="AFC8" s="487"/>
      <c r="AFD8" s="487"/>
      <c r="AFE8" s="487"/>
      <c r="AFF8" s="487"/>
      <c r="AFG8" s="487"/>
      <c r="AFH8" s="487"/>
      <c r="AFI8" s="487"/>
      <c r="AFJ8" s="487"/>
      <c r="AFK8" s="487"/>
      <c r="AFL8" s="487"/>
      <c r="AFM8" s="487"/>
      <c r="AFN8" s="487"/>
      <c r="AFO8" s="487"/>
      <c r="AFP8" s="487"/>
      <c r="AFQ8" s="487"/>
      <c r="AFR8" s="487"/>
      <c r="AFS8" s="487"/>
      <c r="AFT8" s="487"/>
      <c r="AFU8" s="487"/>
      <c r="AFV8" s="487"/>
      <c r="AFW8" s="487"/>
      <c r="AFX8" s="487"/>
      <c r="AFY8" s="487"/>
      <c r="AFZ8" s="487"/>
      <c r="AGA8" s="487"/>
      <c r="AGB8" s="487"/>
      <c r="AGC8" s="487"/>
      <c r="AGD8" s="487"/>
      <c r="AGE8" s="487"/>
      <c r="AGF8" s="487"/>
      <c r="AGG8" s="487"/>
      <c r="AGH8" s="487"/>
      <c r="AGI8" s="487"/>
      <c r="AGJ8" s="487"/>
      <c r="AGK8" s="487"/>
      <c r="AGL8" s="487"/>
      <c r="AGM8" s="487"/>
      <c r="AGN8" s="487"/>
      <c r="AGO8" s="487"/>
      <c r="AGP8" s="487"/>
      <c r="AGQ8" s="487"/>
      <c r="AGR8" s="487"/>
      <c r="AGS8" s="487"/>
      <c r="AGT8" s="487"/>
      <c r="AGU8" s="487"/>
      <c r="AGV8" s="487"/>
      <c r="AGW8" s="487"/>
      <c r="AGX8" s="487"/>
      <c r="AGY8" s="487"/>
      <c r="AGZ8" s="487"/>
      <c r="AHA8" s="487"/>
      <c r="AHB8" s="487"/>
      <c r="AHC8" s="487"/>
      <c r="AHD8" s="487"/>
      <c r="AHE8" s="487"/>
      <c r="AHF8" s="487"/>
      <c r="AHG8" s="487"/>
      <c r="AHH8" s="487"/>
      <c r="AHI8" s="487"/>
      <c r="AHJ8" s="487"/>
      <c r="AHK8" s="487"/>
      <c r="AHL8" s="487"/>
      <c r="AHM8" s="487"/>
      <c r="AHN8" s="487"/>
      <c r="AHO8" s="487"/>
      <c r="AHP8" s="487"/>
      <c r="AHQ8" s="487"/>
      <c r="AHR8" s="487"/>
      <c r="AHS8" s="487"/>
      <c r="AHT8" s="487"/>
      <c r="AHU8" s="487"/>
      <c r="AHV8" s="487"/>
      <c r="AHW8" s="487"/>
      <c r="AHX8" s="487"/>
      <c r="AHY8" s="487"/>
      <c r="AHZ8" s="487"/>
      <c r="AIA8" s="487"/>
      <c r="AIB8" s="487"/>
      <c r="AIC8" s="487"/>
      <c r="AID8" s="487"/>
      <c r="AIE8" s="487"/>
      <c r="AIF8" s="487"/>
      <c r="AIG8" s="487"/>
      <c r="AIH8" s="487"/>
      <c r="AII8" s="487"/>
      <c r="AIJ8" s="487"/>
      <c r="AIK8" s="487"/>
      <c r="AIL8" s="487"/>
      <c r="AIM8" s="487"/>
      <c r="AIN8" s="487"/>
      <c r="AIO8" s="487"/>
      <c r="AIP8" s="487"/>
      <c r="AIQ8" s="487"/>
      <c r="AIR8" s="487"/>
      <c r="AIS8" s="487"/>
      <c r="AIT8" s="487"/>
      <c r="AIU8" s="487"/>
      <c r="AIV8" s="487"/>
      <c r="AIW8" s="487"/>
      <c r="AIX8" s="487"/>
      <c r="AIY8" s="487"/>
      <c r="AIZ8" s="487"/>
      <c r="AJA8" s="487"/>
      <c r="AJB8" s="487"/>
      <c r="AJC8" s="487"/>
      <c r="AJD8" s="487"/>
      <c r="AJE8" s="487"/>
      <c r="AJF8" s="487"/>
      <c r="AJG8" s="487"/>
      <c r="AJH8" s="487"/>
      <c r="AJI8" s="487"/>
      <c r="AJJ8" s="487"/>
      <c r="AJK8" s="487"/>
      <c r="AJL8" s="487"/>
      <c r="AJM8" s="487"/>
      <c r="AJN8" s="487"/>
      <c r="AJO8" s="487"/>
      <c r="AJP8" s="487"/>
      <c r="AJQ8" s="487"/>
      <c r="AJR8" s="487"/>
      <c r="AJS8" s="487"/>
      <c r="AJT8" s="487"/>
      <c r="AJU8" s="487"/>
      <c r="AJV8" s="487"/>
      <c r="AJW8" s="487"/>
      <c r="AJX8" s="487"/>
      <c r="AJY8" s="487"/>
      <c r="AJZ8" s="487"/>
      <c r="AKA8" s="487"/>
      <c r="AKB8" s="487"/>
      <c r="AKC8" s="487"/>
      <c r="AKD8" s="487"/>
      <c r="AKE8" s="487"/>
      <c r="AKF8" s="487"/>
      <c r="AKG8" s="487"/>
      <c r="AKH8" s="487"/>
      <c r="AKI8" s="487"/>
      <c r="AKJ8" s="487"/>
      <c r="AKK8" s="487"/>
      <c r="AKL8" s="487"/>
      <c r="AKM8" s="487"/>
      <c r="AKN8" s="487"/>
      <c r="AKO8" s="487"/>
      <c r="AKP8" s="487"/>
      <c r="AKQ8" s="487"/>
      <c r="AKR8" s="487"/>
      <c r="AKS8" s="487"/>
      <c r="AKT8" s="487"/>
      <c r="AKU8" s="487"/>
      <c r="AKV8" s="487"/>
      <c r="AKW8" s="487"/>
      <c r="AKX8" s="487"/>
      <c r="AKY8" s="487"/>
      <c r="AKZ8" s="487"/>
      <c r="ALA8" s="487"/>
      <c r="ALB8" s="487"/>
      <c r="ALC8" s="487"/>
      <c r="ALD8" s="487"/>
      <c r="ALE8" s="487"/>
      <c r="ALF8" s="487"/>
      <c r="ALG8" s="487"/>
      <c r="ALH8" s="487"/>
      <c r="ALI8" s="487"/>
      <c r="ALJ8" s="487"/>
      <c r="ALK8" s="487"/>
      <c r="ALL8" s="487"/>
      <c r="ALM8" s="487"/>
      <c r="ALN8" s="487"/>
      <c r="ALO8" s="487"/>
      <c r="ALP8" s="487"/>
      <c r="ALQ8" s="487"/>
      <c r="ALR8" s="487"/>
      <c r="ALS8" s="487"/>
      <c r="ALT8" s="487"/>
      <c r="ALU8" s="487"/>
      <c r="ALV8" s="487"/>
      <c r="ALW8" s="487"/>
      <c r="ALX8" s="487"/>
      <c r="ALY8" s="487"/>
      <c r="ALZ8" s="487"/>
      <c r="AMA8" s="487"/>
      <c r="AMB8" s="487"/>
      <c r="AMC8" s="487"/>
      <c r="AMD8" s="487"/>
      <c r="AME8" s="487"/>
      <c r="AMF8" s="487"/>
      <c r="AMG8" s="487"/>
      <c r="AMH8" s="487"/>
      <c r="AMI8" s="487"/>
      <c r="AMJ8" s="487"/>
      <c r="AMK8" s="487"/>
      <c r="AML8" s="487"/>
      <c r="AMM8" s="487"/>
      <c r="AMN8" s="487"/>
      <c r="AMO8" s="487"/>
      <c r="AMP8" s="487"/>
      <c r="AMQ8" s="487"/>
      <c r="AMR8" s="487"/>
      <c r="AMS8" s="487"/>
      <c r="AMT8" s="487"/>
      <c r="AMU8" s="487"/>
      <c r="AMV8" s="487"/>
      <c r="AMW8" s="487"/>
      <c r="AMX8" s="487"/>
      <c r="AMY8" s="487"/>
      <c r="AMZ8" s="487"/>
      <c r="ANA8" s="487"/>
      <c r="ANB8" s="487"/>
      <c r="ANC8" s="487"/>
      <c r="AND8" s="487"/>
      <c r="ANE8" s="487"/>
      <c r="ANF8" s="487"/>
      <c r="ANG8" s="487"/>
      <c r="ANH8" s="487"/>
      <c r="ANI8" s="487"/>
      <c r="ANJ8" s="487"/>
      <c r="ANK8" s="487"/>
      <c r="ANL8" s="487"/>
      <c r="ANM8" s="487"/>
      <c r="ANN8" s="487"/>
      <c r="ANO8" s="487"/>
      <c r="ANP8" s="487"/>
      <c r="ANQ8" s="487"/>
      <c r="ANR8" s="487"/>
      <c r="ANS8" s="487"/>
      <c r="ANT8" s="487"/>
      <c r="ANU8" s="487"/>
      <c r="ANV8" s="487"/>
      <c r="ANW8" s="487"/>
      <c r="ANX8" s="487"/>
      <c r="ANY8" s="487"/>
      <c r="ANZ8" s="487"/>
      <c r="AOA8" s="487"/>
      <c r="AOB8" s="487"/>
      <c r="AOC8" s="487"/>
      <c r="AOD8" s="487"/>
      <c r="AOE8" s="487"/>
      <c r="AOF8" s="487"/>
      <c r="AOG8" s="487"/>
      <c r="AOH8" s="487"/>
      <c r="AOI8" s="487"/>
      <c r="AOJ8" s="487"/>
      <c r="AOK8" s="487"/>
      <c r="AOL8" s="487"/>
      <c r="AOM8" s="487"/>
      <c r="AON8" s="487"/>
      <c r="AOO8" s="487"/>
      <c r="AOP8" s="487"/>
      <c r="AOQ8" s="487"/>
      <c r="AOR8" s="487"/>
      <c r="AOS8" s="487"/>
      <c r="AOT8" s="487"/>
      <c r="AOU8" s="487"/>
      <c r="AOV8" s="487"/>
      <c r="AOW8" s="487"/>
      <c r="AOX8" s="487"/>
      <c r="AOY8" s="487"/>
      <c r="AOZ8" s="487"/>
      <c r="APA8" s="487"/>
      <c r="APB8" s="487"/>
      <c r="APC8" s="487"/>
      <c r="APD8" s="487"/>
      <c r="APE8" s="487"/>
      <c r="APF8" s="487"/>
      <c r="APG8" s="487"/>
      <c r="APH8" s="487"/>
      <c r="API8" s="487"/>
      <c r="APJ8" s="487"/>
      <c r="APK8" s="487"/>
      <c r="APL8" s="487"/>
      <c r="APM8" s="487"/>
      <c r="APN8" s="487"/>
      <c r="APO8" s="487"/>
      <c r="APP8" s="487"/>
      <c r="APQ8" s="487"/>
      <c r="APR8" s="487"/>
      <c r="APS8" s="487"/>
      <c r="APT8" s="487"/>
      <c r="APU8" s="487"/>
      <c r="APV8" s="487"/>
      <c r="APW8" s="487"/>
      <c r="APX8" s="487"/>
      <c r="APY8" s="487"/>
      <c r="APZ8" s="487"/>
      <c r="AQA8" s="487"/>
      <c r="AQB8" s="487"/>
      <c r="AQC8" s="487"/>
      <c r="AQD8" s="487"/>
      <c r="AQE8" s="487"/>
      <c r="AQF8" s="487"/>
      <c r="AQG8" s="487"/>
      <c r="AQH8" s="487"/>
      <c r="AQI8" s="487"/>
      <c r="AQJ8" s="487"/>
      <c r="AQK8" s="487"/>
      <c r="AQL8" s="487"/>
      <c r="AQM8" s="487"/>
      <c r="AQN8" s="487"/>
      <c r="AQO8" s="487"/>
      <c r="AQP8" s="487"/>
      <c r="AQQ8" s="487"/>
      <c r="AQR8" s="487"/>
      <c r="AQS8" s="487"/>
      <c r="AQT8" s="487"/>
      <c r="AQU8" s="487"/>
      <c r="AQV8" s="487"/>
      <c r="AQW8" s="487"/>
      <c r="AQX8" s="487"/>
      <c r="AQY8" s="487"/>
      <c r="AQZ8" s="487"/>
      <c r="ARA8" s="487"/>
      <c r="ARB8" s="487"/>
      <c r="ARC8" s="487"/>
      <c r="ARD8" s="487"/>
      <c r="ARE8" s="487"/>
      <c r="ARF8" s="487"/>
      <c r="ARG8" s="487"/>
      <c r="ARH8" s="487"/>
      <c r="ARI8" s="487"/>
      <c r="ARJ8" s="487"/>
      <c r="ARK8" s="487"/>
      <c r="ARL8" s="487"/>
      <c r="ARM8" s="487"/>
      <c r="ARN8" s="487"/>
      <c r="ARO8" s="487"/>
      <c r="ARP8" s="487"/>
      <c r="ARQ8" s="487"/>
      <c r="ARR8" s="487"/>
      <c r="ARS8" s="487"/>
      <c r="ART8" s="487"/>
      <c r="ARU8" s="487"/>
      <c r="ARV8" s="487"/>
      <c r="ARW8" s="487"/>
      <c r="ARX8" s="487"/>
      <c r="ARY8" s="487"/>
      <c r="ARZ8" s="487"/>
      <c r="ASA8" s="487"/>
      <c r="ASB8" s="487"/>
      <c r="ASC8" s="487"/>
      <c r="ASD8" s="487"/>
      <c r="ASE8" s="487"/>
      <c r="ASF8" s="487"/>
      <c r="ASG8" s="487"/>
      <c r="ASH8" s="487"/>
      <c r="ASI8" s="487"/>
      <c r="ASJ8" s="487"/>
      <c r="ASK8" s="487"/>
      <c r="ASL8" s="487"/>
      <c r="ASM8" s="487"/>
      <c r="ASN8" s="487"/>
      <c r="ASO8" s="487"/>
      <c r="ASP8" s="487"/>
      <c r="ASQ8" s="487"/>
      <c r="ASR8" s="487"/>
      <c r="ASS8" s="487"/>
      <c r="AST8" s="487"/>
      <c r="ASU8" s="487"/>
      <c r="ASV8" s="487"/>
      <c r="ASW8" s="487"/>
      <c r="ASX8" s="487"/>
      <c r="ASY8" s="487"/>
      <c r="ASZ8" s="487"/>
      <c r="ATA8" s="487"/>
      <c r="ATB8" s="487"/>
      <c r="ATC8" s="487"/>
      <c r="ATD8" s="487"/>
      <c r="ATE8" s="487"/>
      <c r="ATF8" s="487"/>
      <c r="ATG8" s="487"/>
      <c r="ATH8" s="487"/>
      <c r="ATI8" s="487"/>
      <c r="ATJ8" s="487"/>
      <c r="ATK8" s="487"/>
      <c r="ATL8" s="487"/>
      <c r="ATM8" s="487"/>
      <c r="ATN8" s="487"/>
      <c r="ATO8" s="487"/>
      <c r="ATP8" s="487"/>
      <c r="ATQ8" s="487"/>
      <c r="ATR8" s="487"/>
      <c r="ATS8" s="487"/>
      <c r="ATT8" s="487"/>
      <c r="ATU8" s="487"/>
      <c r="ATV8" s="487"/>
      <c r="ATW8" s="487"/>
      <c r="ATX8" s="487"/>
      <c r="ATY8" s="487"/>
      <c r="ATZ8" s="487"/>
      <c r="AUA8" s="487"/>
      <c r="AUB8" s="487"/>
      <c r="AUC8" s="487"/>
      <c r="AUD8" s="487"/>
      <c r="AUE8" s="487"/>
      <c r="AUF8" s="487"/>
      <c r="AUG8" s="487"/>
      <c r="AUH8" s="487"/>
      <c r="AUI8" s="487"/>
      <c r="AUJ8" s="487"/>
      <c r="AUK8" s="487"/>
      <c r="AUL8" s="487"/>
      <c r="AUM8" s="487"/>
      <c r="AUN8" s="487"/>
      <c r="AUO8" s="487"/>
      <c r="AUP8" s="487"/>
      <c r="AUQ8" s="487"/>
      <c r="AUR8" s="487"/>
      <c r="AUS8" s="487"/>
      <c r="AUT8" s="487"/>
      <c r="AUU8" s="487"/>
      <c r="AUV8" s="487"/>
      <c r="AUW8" s="487"/>
      <c r="AUX8" s="487"/>
      <c r="AUY8" s="487"/>
      <c r="AUZ8" s="487"/>
      <c r="AVA8" s="487"/>
      <c r="AVB8" s="487"/>
      <c r="AVC8" s="487"/>
      <c r="AVD8" s="487"/>
      <c r="AVE8" s="487"/>
      <c r="AVF8" s="487"/>
      <c r="AVG8" s="487"/>
    </row>
    <row r="9" spans="1:1255" s="488" customFormat="1" ht="32.1" customHeight="1">
      <c r="A9" s="470">
        <v>6</v>
      </c>
      <c r="B9" s="471">
        <v>0</v>
      </c>
      <c r="C9" s="472" t="s">
        <v>402</v>
      </c>
      <c r="D9" s="471" t="s">
        <v>395</v>
      </c>
      <c r="E9" s="473">
        <v>2</v>
      </c>
      <c r="F9" s="474" t="s">
        <v>403</v>
      </c>
      <c r="G9" s="475" t="str">
        <f t="shared" si="3"/>
        <v/>
      </c>
      <c r="H9" s="476" t="str">
        <f t="shared" si="4"/>
        <v/>
      </c>
      <c r="I9" s="477">
        <f t="shared" si="5"/>
        <v>100</v>
      </c>
      <c r="J9" s="478" t="str">
        <f t="shared" si="6"/>
        <v/>
      </c>
      <c r="K9" s="479">
        <f ca="1">F1*-0.000022</f>
        <v>0</v>
      </c>
      <c r="L9" s="480" t="str">
        <f t="shared" si="7"/>
        <v/>
      </c>
      <c r="M9" s="480" t="str">
        <f t="shared" si="0"/>
        <v>0</v>
      </c>
      <c r="N9" s="481" t="str">
        <f t="shared" si="1"/>
        <v>0</v>
      </c>
      <c r="O9" s="482" t="str">
        <f>IFERROR(T9,0)</f>
        <v/>
      </c>
      <c r="P9" s="494" t="s">
        <v>404</v>
      </c>
      <c r="Q9" s="483" t="e">
        <f ca="1">VLOOKUP(VLOOKUP(I1,Worksheet!$A$18:$B$31,2),'1Test Data'!$O$30:$AD$49,14,0)</f>
        <v>#VALUE!</v>
      </c>
      <c r="R9" s="484" t="str">
        <f t="shared" si="8"/>
        <v/>
      </c>
      <c r="S9" s="465" t="str">
        <f t="shared" si="9"/>
        <v/>
      </c>
      <c r="T9" s="465" t="str">
        <f>IF(OR(E9="",B9=0),"",ABS(L9/S16))</f>
        <v/>
      </c>
      <c r="U9" s="485"/>
      <c r="V9" s="486"/>
      <c r="W9" s="486"/>
      <c r="X9" s="487"/>
      <c r="Y9" s="495"/>
      <c r="Z9" s="439"/>
      <c r="AA9" s="439"/>
      <c r="AB9" s="439"/>
      <c r="AC9" s="439"/>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487"/>
      <c r="CN9" s="487"/>
      <c r="CO9" s="487"/>
      <c r="CP9" s="487"/>
      <c r="CQ9" s="487"/>
      <c r="CR9" s="487"/>
      <c r="CS9" s="487"/>
      <c r="CT9" s="487"/>
      <c r="CU9" s="487"/>
      <c r="CV9" s="487"/>
      <c r="CW9" s="487"/>
      <c r="CX9" s="487"/>
      <c r="CY9" s="487"/>
      <c r="CZ9" s="487"/>
      <c r="DA9" s="487"/>
      <c r="DB9" s="487"/>
      <c r="DC9" s="487"/>
      <c r="DD9" s="487"/>
      <c r="DE9" s="487"/>
      <c r="DF9" s="487"/>
      <c r="DG9" s="487"/>
      <c r="DH9" s="487"/>
      <c r="DI9" s="487"/>
      <c r="DJ9" s="487"/>
      <c r="DK9" s="487"/>
      <c r="DL9" s="487"/>
      <c r="DM9" s="487"/>
      <c r="DN9" s="487"/>
      <c r="DO9" s="487"/>
      <c r="DP9" s="487"/>
      <c r="DQ9" s="487"/>
      <c r="DR9" s="487"/>
      <c r="DS9" s="487"/>
      <c r="DT9" s="487"/>
      <c r="DU9" s="487"/>
      <c r="DV9" s="487"/>
      <c r="DW9" s="487"/>
      <c r="DX9" s="487"/>
      <c r="DY9" s="487"/>
      <c r="DZ9" s="487"/>
      <c r="EA9" s="487"/>
      <c r="EB9" s="487"/>
      <c r="EC9" s="487"/>
      <c r="ED9" s="487"/>
      <c r="EE9" s="487"/>
      <c r="EF9" s="487"/>
      <c r="EG9" s="487"/>
      <c r="EH9" s="487"/>
      <c r="EI9" s="487"/>
      <c r="EJ9" s="487"/>
      <c r="EK9" s="487"/>
      <c r="EL9" s="487"/>
      <c r="EM9" s="487"/>
      <c r="EN9" s="487"/>
      <c r="EO9" s="487"/>
      <c r="EP9" s="487"/>
      <c r="EQ9" s="487"/>
      <c r="ER9" s="487"/>
      <c r="ES9" s="487"/>
      <c r="ET9" s="487"/>
      <c r="EU9" s="487"/>
      <c r="EV9" s="487"/>
      <c r="EW9" s="487"/>
      <c r="EX9" s="487"/>
      <c r="EY9" s="487"/>
      <c r="EZ9" s="487"/>
      <c r="FA9" s="487"/>
      <c r="FB9" s="487"/>
      <c r="FC9" s="487"/>
      <c r="FD9" s="487"/>
      <c r="FE9" s="487"/>
      <c r="FF9" s="487"/>
      <c r="FG9" s="487"/>
      <c r="FH9" s="487"/>
      <c r="FI9" s="487"/>
      <c r="FJ9" s="487"/>
      <c r="FK9" s="487"/>
      <c r="FL9" s="487"/>
      <c r="FM9" s="487"/>
      <c r="FN9" s="487"/>
      <c r="FO9" s="487"/>
      <c r="FP9" s="487"/>
      <c r="FQ9" s="487"/>
      <c r="FR9" s="487"/>
      <c r="FS9" s="487"/>
      <c r="FT9" s="487"/>
      <c r="FU9" s="487"/>
      <c r="FV9" s="487"/>
      <c r="FW9" s="487"/>
      <c r="FX9" s="487"/>
      <c r="FY9" s="487"/>
      <c r="FZ9" s="487"/>
      <c r="GA9" s="487"/>
      <c r="GB9" s="487"/>
      <c r="GC9" s="487"/>
      <c r="GD9" s="487"/>
      <c r="GE9" s="487"/>
      <c r="GF9" s="487"/>
      <c r="GG9" s="487"/>
      <c r="GH9" s="487"/>
      <c r="GI9" s="487"/>
      <c r="GJ9" s="487"/>
      <c r="GK9" s="487"/>
      <c r="GL9" s="487"/>
      <c r="GM9" s="487"/>
      <c r="GN9" s="487"/>
      <c r="GO9" s="487"/>
      <c r="GP9" s="487"/>
      <c r="GQ9" s="487"/>
      <c r="GR9" s="487"/>
      <c r="GS9" s="487"/>
      <c r="GT9" s="487"/>
      <c r="GU9" s="487"/>
      <c r="GV9" s="487"/>
      <c r="GW9" s="487"/>
      <c r="GX9" s="487"/>
      <c r="GY9" s="487"/>
      <c r="GZ9" s="487"/>
      <c r="HA9" s="487"/>
      <c r="HB9" s="487"/>
      <c r="HC9" s="487"/>
      <c r="HD9" s="487"/>
      <c r="HE9" s="487"/>
      <c r="HF9" s="487"/>
      <c r="HG9" s="487"/>
      <c r="HH9" s="487"/>
      <c r="HI9" s="487"/>
      <c r="HJ9" s="487"/>
      <c r="HK9" s="487"/>
      <c r="HL9" s="487"/>
      <c r="HM9" s="487"/>
      <c r="HN9" s="487"/>
      <c r="HO9" s="487"/>
      <c r="HP9" s="487"/>
      <c r="HQ9" s="487"/>
      <c r="HR9" s="487"/>
      <c r="HS9" s="487"/>
      <c r="HT9" s="487"/>
      <c r="HU9" s="487"/>
      <c r="HV9" s="487"/>
      <c r="HW9" s="487"/>
      <c r="HX9" s="487"/>
      <c r="HY9" s="487"/>
      <c r="HZ9" s="487"/>
      <c r="IA9" s="487"/>
      <c r="IB9" s="487"/>
      <c r="IC9" s="487"/>
      <c r="ID9" s="487"/>
      <c r="IE9" s="487"/>
      <c r="IF9" s="487"/>
      <c r="IG9" s="487"/>
      <c r="IH9" s="487"/>
      <c r="II9" s="487"/>
      <c r="IJ9" s="487"/>
      <c r="IK9" s="487"/>
      <c r="IL9" s="487"/>
      <c r="IM9" s="487"/>
      <c r="IN9" s="487"/>
      <c r="IO9" s="487"/>
      <c r="IP9" s="487"/>
      <c r="IQ9" s="487"/>
      <c r="IR9" s="487"/>
      <c r="IS9" s="487"/>
      <c r="IT9" s="487"/>
      <c r="IU9" s="487"/>
      <c r="IV9" s="487"/>
      <c r="IW9" s="487"/>
      <c r="IX9" s="487"/>
      <c r="IY9" s="487"/>
      <c r="IZ9" s="487"/>
      <c r="JA9" s="487"/>
      <c r="JB9" s="487"/>
      <c r="JC9" s="487"/>
      <c r="JD9" s="487"/>
      <c r="JE9" s="487"/>
      <c r="JF9" s="487"/>
      <c r="JG9" s="487"/>
      <c r="JH9" s="487"/>
      <c r="JI9" s="487"/>
      <c r="JJ9" s="487"/>
      <c r="JK9" s="487"/>
      <c r="JL9" s="487"/>
      <c r="JM9" s="487"/>
      <c r="JN9" s="487"/>
      <c r="JO9" s="487"/>
      <c r="JP9" s="487"/>
      <c r="JQ9" s="487"/>
      <c r="JR9" s="487"/>
      <c r="JS9" s="487"/>
      <c r="JT9" s="487"/>
      <c r="JU9" s="487"/>
      <c r="JV9" s="487"/>
      <c r="JW9" s="487"/>
      <c r="JX9" s="487"/>
      <c r="JY9" s="487"/>
      <c r="JZ9" s="487"/>
      <c r="KA9" s="487"/>
      <c r="KB9" s="487"/>
      <c r="KC9" s="487"/>
      <c r="KD9" s="487"/>
      <c r="KE9" s="487"/>
      <c r="KF9" s="487"/>
      <c r="KG9" s="487"/>
      <c r="KH9" s="487"/>
      <c r="KI9" s="487"/>
      <c r="KJ9" s="487"/>
      <c r="KK9" s="487"/>
      <c r="KL9" s="487"/>
      <c r="KM9" s="487"/>
      <c r="KN9" s="487"/>
      <c r="KO9" s="487"/>
      <c r="KP9" s="487"/>
      <c r="KQ9" s="487"/>
      <c r="KR9" s="487"/>
      <c r="KS9" s="487"/>
      <c r="KT9" s="487"/>
      <c r="KU9" s="487"/>
      <c r="KV9" s="487"/>
      <c r="KW9" s="487"/>
      <c r="KX9" s="487"/>
      <c r="KY9" s="487"/>
      <c r="KZ9" s="487"/>
      <c r="LA9" s="487"/>
      <c r="LB9" s="487"/>
      <c r="LC9" s="487"/>
      <c r="LD9" s="487"/>
      <c r="LE9" s="487"/>
      <c r="LF9" s="487"/>
      <c r="LG9" s="487"/>
      <c r="LH9" s="487"/>
      <c r="LI9" s="487"/>
      <c r="LJ9" s="487"/>
      <c r="LK9" s="487"/>
      <c r="LL9" s="487"/>
      <c r="LM9" s="487"/>
      <c r="LN9" s="487"/>
      <c r="LO9" s="487"/>
      <c r="LP9" s="487"/>
      <c r="LQ9" s="487"/>
      <c r="LR9" s="487"/>
      <c r="LS9" s="487"/>
      <c r="LT9" s="487"/>
      <c r="LU9" s="487"/>
      <c r="LV9" s="487"/>
      <c r="LW9" s="487"/>
      <c r="LX9" s="487"/>
      <c r="LY9" s="487"/>
      <c r="LZ9" s="487"/>
      <c r="MA9" s="487"/>
      <c r="MB9" s="487"/>
      <c r="MC9" s="487"/>
      <c r="MD9" s="487"/>
      <c r="ME9" s="487"/>
      <c r="MF9" s="487"/>
      <c r="MG9" s="487"/>
      <c r="MH9" s="487"/>
      <c r="MI9" s="487"/>
      <c r="MJ9" s="487"/>
      <c r="MK9" s="487"/>
      <c r="ML9" s="487"/>
      <c r="MM9" s="487"/>
      <c r="MN9" s="487"/>
      <c r="MO9" s="487"/>
      <c r="MP9" s="487"/>
      <c r="MQ9" s="487"/>
      <c r="MR9" s="487"/>
      <c r="MS9" s="487"/>
      <c r="MT9" s="487"/>
      <c r="MU9" s="487"/>
      <c r="MV9" s="487"/>
      <c r="MW9" s="487"/>
      <c r="MX9" s="487"/>
      <c r="MY9" s="487"/>
      <c r="MZ9" s="487"/>
      <c r="NA9" s="487"/>
      <c r="NB9" s="487"/>
      <c r="NC9" s="487"/>
      <c r="ND9" s="487"/>
      <c r="NE9" s="487"/>
      <c r="NF9" s="487"/>
      <c r="NG9" s="487"/>
      <c r="NH9" s="487"/>
      <c r="NI9" s="487"/>
      <c r="NJ9" s="487"/>
      <c r="NK9" s="487"/>
      <c r="NL9" s="487"/>
      <c r="NM9" s="487"/>
      <c r="NN9" s="487"/>
      <c r="NO9" s="487"/>
      <c r="NP9" s="487"/>
      <c r="NQ9" s="487"/>
      <c r="NR9" s="487"/>
      <c r="NS9" s="487"/>
      <c r="NT9" s="487"/>
      <c r="NU9" s="487"/>
      <c r="NV9" s="487"/>
      <c r="NW9" s="487"/>
      <c r="NX9" s="487"/>
      <c r="NY9" s="487"/>
      <c r="NZ9" s="487"/>
      <c r="OA9" s="487"/>
      <c r="OB9" s="487"/>
      <c r="OC9" s="487"/>
      <c r="OD9" s="487"/>
      <c r="OE9" s="487"/>
      <c r="OF9" s="487"/>
      <c r="OG9" s="487"/>
      <c r="OH9" s="487"/>
      <c r="OI9" s="487"/>
      <c r="OJ9" s="487"/>
      <c r="OK9" s="487"/>
      <c r="OL9" s="487"/>
      <c r="OM9" s="487"/>
      <c r="ON9" s="487"/>
      <c r="OO9" s="487"/>
      <c r="OP9" s="487"/>
      <c r="OQ9" s="487"/>
      <c r="OR9" s="487"/>
      <c r="OS9" s="487"/>
      <c r="OT9" s="487"/>
      <c r="OU9" s="487"/>
      <c r="OV9" s="487"/>
      <c r="OW9" s="487"/>
      <c r="OX9" s="487"/>
      <c r="OY9" s="487"/>
      <c r="OZ9" s="487"/>
      <c r="PA9" s="487"/>
      <c r="PB9" s="487"/>
      <c r="PC9" s="487"/>
      <c r="PD9" s="487"/>
      <c r="PE9" s="487"/>
      <c r="PF9" s="487"/>
      <c r="PG9" s="487"/>
      <c r="PH9" s="487"/>
      <c r="PI9" s="487"/>
      <c r="PJ9" s="487"/>
      <c r="PK9" s="487"/>
      <c r="PL9" s="487"/>
      <c r="PM9" s="487"/>
      <c r="PN9" s="487"/>
      <c r="PO9" s="487"/>
      <c r="PP9" s="487"/>
      <c r="PQ9" s="487"/>
      <c r="PR9" s="487"/>
      <c r="PS9" s="487"/>
      <c r="PT9" s="487"/>
      <c r="PU9" s="487"/>
      <c r="PV9" s="487"/>
      <c r="PW9" s="487"/>
      <c r="PX9" s="487"/>
      <c r="PY9" s="487"/>
      <c r="PZ9" s="487"/>
      <c r="QA9" s="487"/>
      <c r="QB9" s="487"/>
      <c r="QC9" s="487"/>
      <c r="QD9" s="487"/>
      <c r="QE9" s="487"/>
      <c r="QF9" s="487"/>
      <c r="QG9" s="487"/>
      <c r="QH9" s="487"/>
      <c r="QI9" s="487"/>
      <c r="QJ9" s="487"/>
      <c r="QK9" s="487"/>
      <c r="QL9" s="487"/>
      <c r="QM9" s="487"/>
      <c r="QN9" s="487"/>
      <c r="QO9" s="487"/>
      <c r="QP9" s="487"/>
      <c r="QQ9" s="487"/>
      <c r="QR9" s="487"/>
      <c r="QS9" s="487"/>
      <c r="QT9" s="487"/>
      <c r="QU9" s="487"/>
      <c r="QV9" s="487"/>
      <c r="QW9" s="487"/>
      <c r="QX9" s="487"/>
      <c r="QY9" s="487"/>
      <c r="QZ9" s="487"/>
      <c r="RA9" s="487"/>
      <c r="RB9" s="487"/>
      <c r="RC9" s="487"/>
      <c r="RD9" s="487"/>
      <c r="RE9" s="487"/>
      <c r="RF9" s="487"/>
      <c r="RG9" s="487"/>
      <c r="RH9" s="487"/>
      <c r="RI9" s="487"/>
      <c r="RJ9" s="487"/>
      <c r="RK9" s="487"/>
      <c r="RL9" s="487"/>
      <c r="RM9" s="487"/>
      <c r="RN9" s="487"/>
      <c r="RO9" s="487"/>
      <c r="RP9" s="487"/>
      <c r="RQ9" s="487"/>
      <c r="RR9" s="487"/>
      <c r="RS9" s="487"/>
      <c r="RT9" s="487"/>
      <c r="RU9" s="487"/>
      <c r="RV9" s="487"/>
      <c r="RW9" s="487"/>
      <c r="RX9" s="487"/>
      <c r="RY9" s="487"/>
      <c r="RZ9" s="487"/>
      <c r="SA9" s="487"/>
      <c r="SB9" s="487"/>
      <c r="SC9" s="487"/>
      <c r="SD9" s="487"/>
      <c r="SE9" s="487"/>
      <c r="SF9" s="487"/>
      <c r="SG9" s="487"/>
      <c r="SH9" s="487"/>
      <c r="SI9" s="487"/>
      <c r="SJ9" s="487"/>
      <c r="SK9" s="487"/>
      <c r="SL9" s="487"/>
      <c r="SM9" s="487"/>
      <c r="SN9" s="487"/>
      <c r="SO9" s="487"/>
      <c r="SP9" s="487"/>
      <c r="SQ9" s="487"/>
      <c r="SR9" s="487"/>
      <c r="SS9" s="487"/>
      <c r="ST9" s="487"/>
      <c r="SU9" s="487"/>
      <c r="SV9" s="487"/>
      <c r="SW9" s="487"/>
      <c r="SX9" s="487"/>
      <c r="SY9" s="487"/>
      <c r="SZ9" s="487"/>
      <c r="TA9" s="487"/>
      <c r="TB9" s="487"/>
      <c r="TC9" s="487"/>
      <c r="TD9" s="487"/>
      <c r="TE9" s="487"/>
      <c r="TF9" s="487"/>
      <c r="TG9" s="487"/>
      <c r="TH9" s="487"/>
      <c r="TI9" s="487"/>
      <c r="TJ9" s="487"/>
      <c r="TK9" s="487"/>
      <c r="TL9" s="487"/>
      <c r="TM9" s="487"/>
      <c r="TN9" s="487"/>
      <c r="TO9" s="487"/>
      <c r="TP9" s="487"/>
      <c r="TQ9" s="487"/>
      <c r="TR9" s="487"/>
      <c r="TS9" s="487"/>
      <c r="TT9" s="487"/>
      <c r="TU9" s="487"/>
      <c r="TV9" s="487"/>
      <c r="TW9" s="487"/>
      <c r="TX9" s="487"/>
      <c r="TY9" s="487"/>
      <c r="TZ9" s="487"/>
      <c r="UA9" s="487"/>
      <c r="UB9" s="487"/>
      <c r="UC9" s="487"/>
      <c r="UD9" s="487"/>
      <c r="UE9" s="487"/>
      <c r="UF9" s="487"/>
      <c r="UG9" s="487"/>
      <c r="UH9" s="487"/>
      <c r="UI9" s="487"/>
      <c r="UJ9" s="487"/>
      <c r="UK9" s="487"/>
      <c r="UL9" s="487"/>
      <c r="UM9" s="487"/>
      <c r="UN9" s="487"/>
      <c r="UO9" s="487"/>
      <c r="UP9" s="487"/>
      <c r="UQ9" s="487"/>
      <c r="UR9" s="487"/>
      <c r="US9" s="487"/>
      <c r="UT9" s="487"/>
      <c r="UU9" s="487"/>
      <c r="UV9" s="487"/>
      <c r="UW9" s="487"/>
      <c r="UX9" s="487"/>
      <c r="UY9" s="487"/>
      <c r="UZ9" s="487"/>
      <c r="VA9" s="487"/>
      <c r="VB9" s="487"/>
      <c r="VC9" s="487"/>
      <c r="VD9" s="487"/>
      <c r="VE9" s="487"/>
      <c r="VF9" s="487"/>
      <c r="VG9" s="487"/>
      <c r="VH9" s="487"/>
      <c r="VI9" s="487"/>
      <c r="VJ9" s="487"/>
      <c r="VK9" s="487"/>
      <c r="VL9" s="487"/>
      <c r="VM9" s="487"/>
      <c r="VN9" s="487"/>
      <c r="VO9" s="487"/>
      <c r="VP9" s="487"/>
      <c r="VQ9" s="487"/>
      <c r="VR9" s="487"/>
      <c r="VS9" s="487"/>
      <c r="VT9" s="487"/>
      <c r="VU9" s="487"/>
      <c r="VV9" s="487"/>
      <c r="VW9" s="487"/>
      <c r="VX9" s="487"/>
      <c r="VY9" s="487"/>
      <c r="VZ9" s="487"/>
      <c r="WA9" s="487"/>
      <c r="WB9" s="487"/>
      <c r="WC9" s="487"/>
      <c r="WD9" s="487"/>
      <c r="WE9" s="487"/>
      <c r="WF9" s="487"/>
      <c r="WG9" s="487"/>
      <c r="WH9" s="487"/>
      <c r="WI9" s="487"/>
      <c r="WJ9" s="487"/>
      <c r="WK9" s="487"/>
      <c r="WL9" s="487"/>
      <c r="WM9" s="487"/>
      <c r="WN9" s="487"/>
      <c r="WO9" s="487"/>
      <c r="WP9" s="487"/>
      <c r="WQ9" s="487"/>
      <c r="WR9" s="487"/>
      <c r="WS9" s="487"/>
      <c r="WT9" s="487"/>
      <c r="WU9" s="487"/>
      <c r="WV9" s="487"/>
      <c r="WW9" s="487"/>
      <c r="WX9" s="487"/>
      <c r="WY9" s="487"/>
      <c r="WZ9" s="487"/>
      <c r="XA9" s="487"/>
      <c r="XB9" s="487"/>
      <c r="XC9" s="487"/>
      <c r="XD9" s="487"/>
      <c r="XE9" s="487"/>
      <c r="XF9" s="487"/>
      <c r="XG9" s="487"/>
      <c r="XH9" s="487"/>
      <c r="XI9" s="487"/>
      <c r="XJ9" s="487"/>
      <c r="XK9" s="487"/>
      <c r="XL9" s="487"/>
      <c r="XM9" s="487"/>
      <c r="XN9" s="487"/>
      <c r="XO9" s="487"/>
      <c r="XP9" s="487"/>
      <c r="XQ9" s="487"/>
      <c r="XR9" s="487"/>
      <c r="XS9" s="487"/>
      <c r="XT9" s="487"/>
      <c r="XU9" s="487"/>
      <c r="XV9" s="487"/>
      <c r="XW9" s="487"/>
      <c r="XX9" s="487"/>
      <c r="XY9" s="487"/>
      <c r="XZ9" s="487"/>
      <c r="YA9" s="487"/>
      <c r="YB9" s="487"/>
      <c r="YC9" s="487"/>
      <c r="YD9" s="487"/>
      <c r="YE9" s="487"/>
      <c r="YF9" s="487"/>
      <c r="YG9" s="487"/>
      <c r="YH9" s="487"/>
      <c r="YI9" s="487"/>
      <c r="YJ9" s="487"/>
      <c r="YK9" s="487"/>
      <c r="YL9" s="487"/>
      <c r="YM9" s="487"/>
      <c r="YN9" s="487"/>
      <c r="YO9" s="487"/>
      <c r="YP9" s="487"/>
      <c r="YQ9" s="487"/>
      <c r="YR9" s="487"/>
      <c r="YS9" s="487"/>
      <c r="YT9" s="487"/>
      <c r="YU9" s="487"/>
      <c r="YV9" s="487"/>
      <c r="YW9" s="487"/>
      <c r="YX9" s="487"/>
      <c r="YY9" s="487"/>
      <c r="YZ9" s="487"/>
      <c r="ZA9" s="487"/>
      <c r="ZB9" s="487"/>
      <c r="ZC9" s="487"/>
      <c r="ZD9" s="487"/>
      <c r="ZE9" s="487"/>
      <c r="ZF9" s="487"/>
      <c r="ZG9" s="487"/>
      <c r="ZH9" s="487"/>
      <c r="ZI9" s="487"/>
      <c r="ZJ9" s="487"/>
      <c r="ZK9" s="487"/>
      <c r="ZL9" s="487"/>
      <c r="ZM9" s="487"/>
      <c r="ZN9" s="487"/>
      <c r="ZO9" s="487"/>
      <c r="ZP9" s="487"/>
      <c r="ZQ9" s="487"/>
      <c r="ZR9" s="487"/>
      <c r="ZS9" s="487"/>
      <c r="ZT9" s="487"/>
      <c r="ZU9" s="487"/>
      <c r="ZV9" s="487"/>
      <c r="ZW9" s="487"/>
      <c r="ZX9" s="487"/>
      <c r="ZY9" s="487"/>
      <c r="ZZ9" s="487"/>
      <c r="AAA9" s="487"/>
      <c r="AAB9" s="487"/>
      <c r="AAC9" s="487"/>
      <c r="AAD9" s="487"/>
      <c r="AAE9" s="487"/>
      <c r="AAF9" s="487"/>
      <c r="AAG9" s="487"/>
      <c r="AAH9" s="487"/>
      <c r="AAI9" s="487"/>
      <c r="AAJ9" s="487"/>
      <c r="AAK9" s="487"/>
      <c r="AAL9" s="487"/>
      <c r="AAM9" s="487"/>
      <c r="AAN9" s="487"/>
      <c r="AAO9" s="487"/>
      <c r="AAP9" s="487"/>
      <c r="AAQ9" s="487"/>
      <c r="AAR9" s="487"/>
      <c r="AAS9" s="487"/>
      <c r="AAT9" s="487"/>
      <c r="AAU9" s="487"/>
      <c r="AAV9" s="487"/>
      <c r="AAW9" s="487"/>
      <c r="AAX9" s="487"/>
      <c r="AAY9" s="487"/>
      <c r="AAZ9" s="487"/>
      <c r="ABA9" s="487"/>
      <c r="ABB9" s="487"/>
      <c r="ABC9" s="487"/>
      <c r="ABD9" s="487"/>
      <c r="ABE9" s="487"/>
      <c r="ABF9" s="487"/>
      <c r="ABG9" s="487"/>
      <c r="ABH9" s="487"/>
      <c r="ABI9" s="487"/>
      <c r="ABJ9" s="487"/>
      <c r="ABK9" s="487"/>
      <c r="ABL9" s="487"/>
      <c r="ABM9" s="487"/>
      <c r="ABN9" s="487"/>
      <c r="ABO9" s="487"/>
      <c r="ABP9" s="487"/>
      <c r="ABQ9" s="487"/>
      <c r="ABR9" s="487"/>
      <c r="ABS9" s="487"/>
      <c r="ABT9" s="487"/>
      <c r="ABU9" s="487"/>
      <c r="ABV9" s="487"/>
      <c r="ABW9" s="487"/>
      <c r="ABX9" s="487"/>
      <c r="ABY9" s="487"/>
      <c r="ABZ9" s="487"/>
      <c r="ACA9" s="487"/>
      <c r="ACB9" s="487"/>
      <c r="ACC9" s="487"/>
      <c r="ACD9" s="487"/>
      <c r="ACE9" s="487"/>
      <c r="ACF9" s="487"/>
      <c r="ACG9" s="487"/>
      <c r="ACH9" s="487"/>
      <c r="ACI9" s="487"/>
      <c r="ACJ9" s="487"/>
      <c r="ACK9" s="487"/>
      <c r="ACL9" s="487"/>
      <c r="ACM9" s="487"/>
      <c r="ACN9" s="487"/>
      <c r="ACO9" s="487"/>
      <c r="ACP9" s="487"/>
      <c r="ACQ9" s="487"/>
      <c r="ACR9" s="487"/>
      <c r="ACS9" s="487"/>
      <c r="ACT9" s="487"/>
      <c r="ACU9" s="487"/>
      <c r="ACV9" s="487"/>
      <c r="ACW9" s="487"/>
      <c r="ACX9" s="487"/>
      <c r="ACY9" s="487"/>
      <c r="ACZ9" s="487"/>
      <c r="ADA9" s="487"/>
      <c r="ADB9" s="487"/>
      <c r="ADC9" s="487"/>
      <c r="ADD9" s="487"/>
      <c r="ADE9" s="487"/>
      <c r="ADF9" s="487"/>
      <c r="ADG9" s="487"/>
      <c r="ADH9" s="487"/>
      <c r="ADI9" s="487"/>
      <c r="ADJ9" s="487"/>
      <c r="ADK9" s="487"/>
      <c r="ADL9" s="487"/>
      <c r="ADM9" s="487"/>
      <c r="ADN9" s="487"/>
      <c r="ADO9" s="487"/>
      <c r="ADP9" s="487"/>
      <c r="ADQ9" s="487"/>
      <c r="ADR9" s="487"/>
      <c r="ADS9" s="487"/>
      <c r="ADT9" s="487"/>
      <c r="ADU9" s="487"/>
      <c r="ADV9" s="487"/>
      <c r="ADW9" s="487"/>
      <c r="ADX9" s="487"/>
      <c r="ADY9" s="487"/>
      <c r="ADZ9" s="487"/>
      <c r="AEA9" s="487"/>
      <c r="AEB9" s="487"/>
      <c r="AEC9" s="487"/>
      <c r="AED9" s="487"/>
      <c r="AEE9" s="487"/>
      <c r="AEF9" s="487"/>
      <c r="AEG9" s="487"/>
      <c r="AEH9" s="487"/>
      <c r="AEI9" s="487"/>
      <c r="AEJ9" s="487"/>
      <c r="AEK9" s="487"/>
      <c r="AEL9" s="487"/>
      <c r="AEM9" s="487"/>
      <c r="AEN9" s="487"/>
      <c r="AEO9" s="487"/>
      <c r="AEP9" s="487"/>
      <c r="AEQ9" s="487"/>
      <c r="AER9" s="487"/>
      <c r="AES9" s="487"/>
      <c r="AET9" s="487"/>
      <c r="AEU9" s="487"/>
      <c r="AEV9" s="487"/>
      <c r="AEW9" s="487"/>
      <c r="AEX9" s="487"/>
      <c r="AEY9" s="487"/>
      <c r="AEZ9" s="487"/>
      <c r="AFA9" s="487"/>
      <c r="AFB9" s="487"/>
      <c r="AFC9" s="487"/>
      <c r="AFD9" s="487"/>
      <c r="AFE9" s="487"/>
      <c r="AFF9" s="487"/>
      <c r="AFG9" s="487"/>
      <c r="AFH9" s="487"/>
      <c r="AFI9" s="487"/>
      <c r="AFJ9" s="487"/>
      <c r="AFK9" s="487"/>
      <c r="AFL9" s="487"/>
      <c r="AFM9" s="487"/>
      <c r="AFN9" s="487"/>
      <c r="AFO9" s="487"/>
      <c r="AFP9" s="487"/>
      <c r="AFQ9" s="487"/>
      <c r="AFR9" s="487"/>
      <c r="AFS9" s="487"/>
      <c r="AFT9" s="487"/>
      <c r="AFU9" s="487"/>
      <c r="AFV9" s="487"/>
      <c r="AFW9" s="487"/>
      <c r="AFX9" s="487"/>
      <c r="AFY9" s="487"/>
      <c r="AFZ9" s="487"/>
      <c r="AGA9" s="487"/>
      <c r="AGB9" s="487"/>
      <c r="AGC9" s="487"/>
      <c r="AGD9" s="487"/>
      <c r="AGE9" s="487"/>
      <c r="AGF9" s="487"/>
      <c r="AGG9" s="487"/>
      <c r="AGH9" s="487"/>
      <c r="AGI9" s="487"/>
      <c r="AGJ9" s="487"/>
      <c r="AGK9" s="487"/>
      <c r="AGL9" s="487"/>
      <c r="AGM9" s="487"/>
      <c r="AGN9" s="487"/>
      <c r="AGO9" s="487"/>
      <c r="AGP9" s="487"/>
      <c r="AGQ9" s="487"/>
      <c r="AGR9" s="487"/>
      <c r="AGS9" s="487"/>
      <c r="AGT9" s="487"/>
      <c r="AGU9" s="487"/>
      <c r="AGV9" s="487"/>
      <c r="AGW9" s="487"/>
      <c r="AGX9" s="487"/>
      <c r="AGY9" s="487"/>
      <c r="AGZ9" s="487"/>
      <c r="AHA9" s="487"/>
      <c r="AHB9" s="487"/>
      <c r="AHC9" s="487"/>
      <c r="AHD9" s="487"/>
      <c r="AHE9" s="487"/>
      <c r="AHF9" s="487"/>
      <c r="AHG9" s="487"/>
      <c r="AHH9" s="487"/>
      <c r="AHI9" s="487"/>
      <c r="AHJ9" s="487"/>
      <c r="AHK9" s="487"/>
      <c r="AHL9" s="487"/>
      <c r="AHM9" s="487"/>
      <c r="AHN9" s="487"/>
      <c r="AHO9" s="487"/>
      <c r="AHP9" s="487"/>
      <c r="AHQ9" s="487"/>
      <c r="AHR9" s="487"/>
      <c r="AHS9" s="487"/>
      <c r="AHT9" s="487"/>
      <c r="AHU9" s="487"/>
      <c r="AHV9" s="487"/>
      <c r="AHW9" s="487"/>
      <c r="AHX9" s="487"/>
      <c r="AHY9" s="487"/>
      <c r="AHZ9" s="487"/>
      <c r="AIA9" s="487"/>
      <c r="AIB9" s="487"/>
      <c r="AIC9" s="487"/>
      <c r="AID9" s="487"/>
      <c r="AIE9" s="487"/>
      <c r="AIF9" s="487"/>
      <c r="AIG9" s="487"/>
      <c r="AIH9" s="487"/>
      <c r="AII9" s="487"/>
      <c r="AIJ9" s="487"/>
      <c r="AIK9" s="487"/>
      <c r="AIL9" s="487"/>
      <c r="AIM9" s="487"/>
      <c r="AIN9" s="487"/>
      <c r="AIO9" s="487"/>
      <c r="AIP9" s="487"/>
      <c r="AIQ9" s="487"/>
      <c r="AIR9" s="487"/>
      <c r="AIS9" s="487"/>
      <c r="AIT9" s="487"/>
      <c r="AIU9" s="487"/>
      <c r="AIV9" s="487"/>
      <c r="AIW9" s="487"/>
      <c r="AIX9" s="487"/>
      <c r="AIY9" s="487"/>
      <c r="AIZ9" s="487"/>
      <c r="AJA9" s="487"/>
      <c r="AJB9" s="487"/>
      <c r="AJC9" s="487"/>
      <c r="AJD9" s="487"/>
      <c r="AJE9" s="487"/>
      <c r="AJF9" s="487"/>
      <c r="AJG9" s="487"/>
      <c r="AJH9" s="487"/>
      <c r="AJI9" s="487"/>
      <c r="AJJ9" s="487"/>
      <c r="AJK9" s="487"/>
      <c r="AJL9" s="487"/>
      <c r="AJM9" s="487"/>
      <c r="AJN9" s="487"/>
      <c r="AJO9" s="487"/>
      <c r="AJP9" s="487"/>
      <c r="AJQ9" s="487"/>
      <c r="AJR9" s="487"/>
      <c r="AJS9" s="487"/>
      <c r="AJT9" s="487"/>
      <c r="AJU9" s="487"/>
      <c r="AJV9" s="487"/>
      <c r="AJW9" s="487"/>
      <c r="AJX9" s="487"/>
      <c r="AJY9" s="487"/>
      <c r="AJZ9" s="487"/>
      <c r="AKA9" s="487"/>
      <c r="AKB9" s="487"/>
      <c r="AKC9" s="487"/>
      <c r="AKD9" s="487"/>
      <c r="AKE9" s="487"/>
      <c r="AKF9" s="487"/>
      <c r="AKG9" s="487"/>
      <c r="AKH9" s="487"/>
      <c r="AKI9" s="487"/>
      <c r="AKJ9" s="487"/>
      <c r="AKK9" s="487"/>
      <c r="AKL9" s="487"/>
      <c r="AKM9" s="487"/>
      <c r="AKN9" s="487"/>
      <c r="AKO9" s="487"/>
      <c r="AKP9" s="487"/>
      <c r="AKQ9" s="487"/>
      <c r="AKR9" s="487"/>
      <c r="AKS9" s="487"/>
      <c r="AKT9" s="487"/>
      <c r="AKU9" s="487"/>
      <c r="AKV9" s="487"/>
      <c r="AKW9" s="487"/>
      <c r="AKX9" s="487"/>
      <c r="AKY9" s="487"/>
      <c r="AKZ9" s="487"/>
      <c r="ALA9" s="487"/>
      <c r="ALB9" s="487"/>
      <c r="ALC9" s="487"/>
      <c r="ALD9" s="487"/>
      <c r="ALE9" s="487"/>
      <c r="ALF9" s="487"/>
      <c r="ALG9" s="487"/>
      <c r="ALH9" s="487"/>
      <c r="ALI9" s="487"/>
      <c r="ALJ9" s="487"/>
      <c r="ALK9" s="487"/>
      <c r="ALL9" s="487"/>
      <c r="ALM9" s="487"/>
      <c r="ALN9" s="487"/>
      <c r="ALO9" s="487"/>
      <c r="ALP9" s="487"/>
      <c r="ALQ9" s="487"/>
      <c r="ALR9" s="487"/>
      <c r="ALS9" s="487"/>
      <c r="ALT9" s="487"/>
      <c r="ALU9" s="487"/>
      <c r="ALV9" s="487"/>
      <c r="ALW9" s="487"/>
      <c r="ALX9" s="487"/>
      <c r="ALY9" s="487"/>
      <c r="ALZ9" s="487"/>
      <c r="AMA9" s="487"/>
      <c r="AMB9" s="487"/>
      <c r="AMC9" s="487"/>
      <c r="AMD9" s="487"/>
      <c r="AME9" s="487"/>
      <c r="AMF9" s="487"/>
      <c r="AMG9" s="487"/>
      <c r="AMH9" s="487"/>
      <c r="AMI9" s="487"/>
      <c r="AMJ9" s="487"/>
      <c r="AMK9" s="487"/>
      <c r="AML9" s="487"/>
      <c r="AMM9" s="487"/>
      <c r="AMN9" s="487"/>
      <c r="AMO9" s="487"/>
      <c r="AMP9" s="487"/>
      <c r="AMQ9" s="487"/>
      <c r="AMR9" s="487"/>
      <c r="AMS9" s="487"/>
      <c r="AMT9" s="487"/>
      <c r="AMU9" s="487"/>
      <c r="AMV9" s="487"/>
      <c r="AMW9" s="487"/>
      <c r="AMX9" s="487"/>
      <c r="AMY9" s="487"/>
      <c r="AMZ9" s="487"/>
      <c r="ANA9" s="487"/>
      <c r="ANB9" s="487"/>
      <c r="ANC9" s="487"/>
      <c r="AND9" s="487"/>
      <c r="ANE9" s="487"/>
      <c r="ANF9" s="487"/>
      <c r="ANG9" s="487"/>
      <c r="ANH9" s="487"/>
      <c r="ANI9" s="487"/>
      <c r="ANJ9" s="487"/>
      <c r="ANK9" s="487"/>
      <c r="ANL9" s="487"/>
      <c r="ANM9" s="487"/>
      <c r="ANN9" s="487"/>
      <c r="ANO9" s="487"/>
      <c r="ANP9" s="487"/>
      <c r="ANQ9" s="487"/>
      <c r="ANR9" s="487"/>
      <c r="ANS9" s="487"/>
      <c r="ANT9" s="487"/>
      <c r="ANU9" s="487"/>
      <c r="ANV9" s="487"/>
      <c r="ANW9" s="487"/>
      <c r="ANX9" s="487"/>
      <c r="ANY9" s="487"/>
      <c r="ANZ9" s="487"/>
      <c r="AOA9" s="487"/>
      <c r="AOB9" s="487"/>
      <c r="AOC9" s="487"/>
      <c r="AOD9" s="487"/>
      <c r="AOE9" s="487"/>
      <c r="AOF9" s="487"/>
      <c r="AOG9" s="487"/>
      <c r="AOH9" s="487"/>
      <c r="AOI9" s="487"/>
      <c r="AOJ9" s="487"/>
      <c r="AOK9" s="487"/>
      <c r="AOL9" s="487"/>
      <c r="AOM9" s="487"/>
      <c r="AON9" s="487"/>
      <c r="AOO9" s="487"/>
      <c r="AOP9" s="487"/>
      <c r="AOQ9" s="487"/>
      <c r="AOR9" s="487"/>
      <c r="AOS9" s="487"/>
      <c r="AOT9" s="487"/>
      <c r="AOU9" s="487"/>
      <c r="AOV9" s="487"/>
      <c r="AOW9" s="487"/>
      <c r="AOX9" s="487"/>
      <c r="AOY9" s="487"/>
      <c r="AOZ9" s="487"/>
      <c r="APA9" s="487"/>
      <c r="APB9" s="487"/>
      <c r="APC9" s="487"/>
      <c r="APD9" s="487"/>
      <c r="APE9" s="487"/>
      <c r="APF9" s="487"/>
      <c r="APG9" s="487"/>
      <c r="APH9" s="487"/>
      <c r="API9" s="487"/>
      <c r="APJ9" s="487"/>
      <c r="APK9" s="487"/>
      <c r="APL9" s="487"/>
      <c r="APM9" s="487"/>
      <c r="APN9" s="487"/>
      <c r="APO9" s="487"/>
      <c r="APP9" s="487"/>
      <c r="APQ9" s="487"/>
      <c r="APR9" s="487"/>
      <c r="APS9" s="487"/>
      <c r="APT9" s="487"/>
      <c r="APU9" s="487"/>
      <c r="APV9" s="487"/>
      <c r="APW9" s="487"/>
      <c r="APX9" s="487"/>
      <c r="APY9" s="487"/>
      <c r="APZ9" s="487"/>
      <c r="AQA9" s="487"/>
      <c r="AQB9" s="487"/>
      <c r="AQC9" s="487"/>
      <c r="AQD9" s="487"/>
      <c r="AQE9" s="487"/>
      <c r="AQF9" s="487"/>
      <c r="AQG9" s="487"/>
      <c r="AQH9" s="487"/>
      <c r="AQI9" s="487"/>
      <c r="AQJ9" s="487"/>
      <c r="AQK9" s="487"/>
      <c r="AQL9" s="487"/>
      <c r="AQM9" s="487"/>
      <c r="AQN9" s="487"/>
      <c r="AQO9" s="487"/>
      <c r="AQP9" s="487"/>
      <c r="AQQ9" s="487"/>
      <c r="AQR9" s="487"/>
      <c r="AQS9" s="487"/>
      <c r="AQT9" s="487"/>
      <c r="AQU9" s="487"/>
      <c r="AQV9" s="487"/>
      <c r="AQW9" s="487"/>
      <c r="AQX9" s="487"/>
      <c r="AQY9" s="487"/>
      <c r="AQZ9" s="487"/>
      <c r="ARA9" s="487"/>
      <c r="ARB9" s="487"/>
      <c r="ARC9" s="487"/>
      <c r="ARD9" s="487"/>
      <c r="ARE9" s="487"/>
      <c r="ARF9" s="487"/>
      <c r="ARG9" s="487"/>
      <c r="ARH9" s="487"/>
      <c r="ARI9" s="487"/>
      <c r="ARJ9" s="487"/>
      <c r="ARK9" s="487"/>
      <c r="ARL9" s="487"/>
      <c r="ARM9" s="487"/>
      <c r="ARN9" s="487"/>
      <c r="ARO9" s="487"/>
      <c r="ARP9" s="487"/>
      <c r="ARQ9" s="487"/>
      <c r="ARR9" s="487"/>
      <c r="ARS9" s="487"/>
      <c r="ART9" s="487"/>
      <c r="ARU9" s="487"/>
      <c r="ARV9" s="487"/>
      <c r="ARW9" s="487"/>
      <c r="ARX9" s="487"/>
      <c r="ARY9" s="487"/>
      <c r="ARZ9" s="487"/>
      <c r="ASA9" s="487"/>
      <c r="ASB9" s="487"/>
      <c r="ASC9" s="487"/>
      <c r="ASD9" s="487"/>
      <c r="ASE9" s="487"/>
      <c r="ASF9" s="487"/>
      <c r="ASG9" s="487"/>
      <c r="ASH9" s="487"/>
      <c r="ASI9" s="487"/>
      <c r="ASJ9" s="487"/>
      <c r="ASK9" s="487"/>
      <c r="ASL9" s="487"/>
      <c r="ASM9" s="487"/>
      <c r="ASN9" s="487"/>
      <c r="ASO9" s="487"/>
      <c r="ASP9" s="487"/>
      <c r="ASQ9" s="487"/>
      <c r="ASR9" s="487"/>
      <c r="ASS9" s="487"/>
      <c r="AST9" s="487"/>
      <c r="ASU9" s="487"/>
      <c r="ASV9" s="487"/>
      <c r="ASW9" s="487"/>
      <c r="ASX9" s="487"/>
      <c r="ASY9" s="487"/>
      <c r="ASZ9" s="487"/>
      <c r="ATA9" s="487"/>
      <c r="ATB9" s="487"/>
      <c r="ATC9" s="487"/>
      <c r="ATD9" s="487"/>
      <c r="ATE9" s="487"/>
      <c r="ATF9" s="487"/>
      <c r="ATG9" s="487"/>
      <c r="ATH9" s="487"/>
      <c r="ATI9" s="487"/>
      <c r="ATJ9" s="487"/>
      <c r="ATK9" s="487"/>
      <c r="ATL9" s="487"/>
      <c r="ATM9" s="487"/>
      <c r="ATN9" s="487"/>
      <c r="ATO9" s="487"/>
      <c r="ATP9" s="487"/>
      <c r="ATQ9" s="487"/>
      <c r="ATR9" s="487"/>
      <c r="ATS9" s="487"/>
      <c r="ATT9" s="487"/>
      <c r="ATU9" s="487"/>
      <c r="ATV9" s="487"/>
      <c r="ATW9" s="487"/>
      <c r="ATX9" s="487"/>
      <c r="ATY9" s="487"/>
      <c r="ATZ9" s="487"/>
      <c r="AUA9" s="487"/>
      <c r="AUB9" s="487"/>
      <c r="AUC9" s="487"/>
      <c r="AUD9" s="487"/>
      <c r="AUE9" s="487"/>
      <c r="AUF9" s="487"/>
      <c r="AUG9" s="487"/>
      <c r="AUH9" s="487"/>
      <c r="AUI9" s="487"/>
      <c r="AUJ9" s="487"/>
      <c r="AUK9" s="487"/>
      <c r="AUL9" s="487"/>
      <c r="AUM9" s="487"/>
      <c r="AUN9" s="487"/>
      <c r="AUO9" s="487"/>
      <c r="AUP9" s="487"/>
      <c r="AUQ9" s="487"/>
      <c r="AUR9" s="487"/>
      <c r="AUS9" s="487"/>
      <c r="AUT9" s="487"/>
      <c r="AUU9" s="487"/>
      <c r="AUV9" s="487"/>
      <c r="AUW9" s="487"/>
      <c r="AUX9" s="487"/>
      <c r="AUY9" s="487"/>
      <c r="AUZ9" s="487"/>
      <c r="AVA9" s="487"/>
      <c r="AVB9" s="487"/>
      <c r="AVC9" s="487"/>
      <c r="AVD9" s="487"/>
      <c r="AVE9" s="487"/>
      <c r="AVF9" s="487"/>
      <c r="AVG9" s="487"/>
    </row>
    <row r="10" spans="1:1255" s="488" customFormat="1" ht="32.1" customHeight="1">
      <c r="A10" s="470">
        <v>7</v>
      </c>
      <c r="B10" s="471">
        <v>0</v>
      </c>
      <c r="C10" s="472" t="s">
        <v>405</v>
      </c>
      <c r="D10" s="471" t="s">
        <v>395</v>
      </c>
      <c r="E10" s="473">
        <v>0.5</v>
      </c>
      <c r="F10" s="474" t="s">
        <v>406</v>
      </c>
      <c r="G10" s="475" t="str">
        <f t="shared" si="3"/>
        <v/>
      </c>
      <c r="H10" s="476" t="str">
        <f t="shared" si="4"/>
        <v/>
      </c>
      <c r="I10" s="477">
        <f t="shared" si="5"/>
        <v>100</v>
      </c>
      <c r="J10" s="478" t="str">
        <f t="shared" si="6"/>
        <v/>
      </c>
      <c r="K10" s="479">
        <f ca="1">(0.098*F1)/1000</f>
        <v>0</v>
      </c>
      <c r="L10" s="480" t="str">
        <f t="shared" si="7"/>
        <v/>
      </c>
      <c r="M10" s="480" t="str">
        <f t="shared" si="0"/>
        <v>0</v>
      </c>
      <c r="N10" s="481" t="str">
        <f t="shared" si="1"/>
        <v>0</v>
      </c>
      <c r="O10" s="482" t="str">
        <f t="shared" si="2"/>
        <v/>
      </c>
      <c r="P10" s="464" t="s">
        <v>407</v>
      </c>
      <c r="Q10" s="452">
        <f ca="1">VLOOKUP(VLOOKUP(I1,Worksheet!$A$18:$B$31,2),'1Test Data'!$O$30:$X$49,10,0)</f>
        <v>99.999099999999999</v>
      </c>
      <c r="R10" s="484" t="str">
        <f t="shared" si="8"/>
        <v/>
      </c>
      <c r="S10" s="465" t="str">
        <f t="shared" si="9"/>
        <v/>
      </c>
      <c r="T10" s="465" t="str">
        <f>IF(OR(E10="",B10=0),"",ABS(L10/S16))</f>
        <v/>
      </c>
      <c r="U10" s="485"/>
      <c r="V10" s="486"/>
      <c r="W10" s="486"/>
      <c r="X10" s="487"/>
      <c r="Y10" s="439"/>
      <c r="Z10" s="439"/>
      <c r="AA10" s="439"/>
      <c r="AB10" s="439"/>
      <c r="AC10" s="439"/>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487"/>
      <c r="CN10" s="487"/>
      <c r="CO10" s="487"/>
      <c r="CP10" s="487"/>
      <c r="CQ10" s="487"/>
      <c r="CR10" s="487"/>
      <c r="CS10" s="487"/>
      <c r="CT10" s="487"/>
      <c r="CU10" s="487"/>
      <c r="CV10" s="487"/>
      <c r="CW10" s="487"/>
      <c r="CX10" s="487"/>
      <c r="CY10" s="487"/>
      <c r="CZ10" s="487"/>
      <c r="DA10" s="487"/>
      <c r="DB10" s="487"/>
      <c r="DC10" s="487"/>
      <c r="DD10" s="487"/>
      <c r="DE10" s="487"/>
      <c r="DF10" s="487"/>
      <c r="DG10" s="487"/>
      <c r="DH10" s="487"/>
      <c r="DI10" s="487"/>
      <c r="DJ10" s="487"/>
      <c r="DK10" s="487"/>
      <c r="DL10" s="487"/>
      <c r="DM10" s="487"/>
      <c r="DN10" s="487"/>
      <c r="DO10" s="487"/>
      <c r="DP10" s="487"/>
      <c r="DQ10" s="487"/>
      <c r="DR10" s="487"/>
      <c r="DS10" s="487"/>
      <c r="DT10" s="487"/>
      <c r="DU10" s="487"/>
      <c r="DV10" s="487"/>
      <c r="DW10" s="487"/>
      <c r="DX10" s="487"/>
      <c r="DY10" s="487"/>
      <c r="DZ10" s="487"/>
      <c r="EA10" s="487"/>
      <c r="EB10" s="487"/>
      <c r="EC10" s="487"/>
      <c r="ED10" s="487"/>
      <c r="EE10" s="487"/>
      <c r="EF10" s="487"/>
      <c r="EG10" s="487"/>
      <c r="EH10" s="487"/>
      <c r="EI10" s="487"/>
      <c r="EJ10" s="487"/>
      <c r="EK10" s="487"/>
      <c r="EL10" s="487"/>
      <c r="EM10" s="487"/>
      <c r="EN10" s="487"/>
      <c r="EO10" s="487"/>
      <c r="EP10" s="487"/>
      <c r="EQ10" s="487"/>
      <c r="ER10" s="487"/>
      <c r="ES10" s="487"/>
      <c r="ET10" s="487"/>
      <c r="EU10" s="487"/>
      <c r="EV10" s="487"/>
      <c r="EW10" s="487"/>
      <c r="EX10" s="487"/>
      <c r="EY10" s="487"/>
      <c r="EZ10" s="487"/>
      <c r="FA10" s="487"/>
      <c r="FB10" s="487"/>
      <c r="FC10" s="487"/>
      <c r="FD10" s="487"/>
      <c r="FE10" s="487"/>
      <c r="FF10" s="487"/>
      <c r="FG10" s="487"/>
      <c r="FH10" s="487"/>
      <c r="FI10" s="487"/>
      <c r="FJ10" s="487"/>
      <c r="FK10" s="487"/>
      <c r="FL10" s="487"/>
      <c r="FM10" s="487"/>
      <c r="FN10" s="487"/>
      <c r="FO10" s="487"/>
      <c r="FP10" s="487"/>
      <c r="FQ10" s="487"/>
      <c r="FR10" s="487"/>
      <c r="FS10" s="487"/>
      <c r="FT10" s="487"/>
      <c r="FU10" s="487"/>
      <c r="FV10" s="487"/>
      <c r="FW10" s="487"/>
      <c r="FX10" s="487"/>
      <c r="FY10" s="487"/>
      <c r="FZ10" s="487"/>
      <c r="GA10" s="487"/>
      <c r="GB10" s="487"/>
      <c r="GC10" s="487"/>
      <c r="GD10" s="487"/>
      <c r="GE10" s="487"/>
      <c r="GF10" s="487"/>
      <c r="GG10" s="487"/>
      <c r="GH10" s="487"/>
      <c r="GI10" s="487"/>
      <c r="GJ10" s="487"/>
      <c r="GK10" s="487"/>
      <c r="GL10" s="487"/>
      <c r="GM10" s="487"/>
      <c r="GN10" s="487"/>
      <c r="GO10" s="487"/>
      <c r="GP10" s="487"/>
      <c r="GQ10" s="487"/>
      <c r="GR10" s="487"/>
      <c r="GS10" s="487"/>
      <c r="GT10" s="487"/>
      <c r="GU10" s="487"/>
      <c r="GV10" s="487"/>
      <c r="GW10" s="487"/>
      <c r="GX10" s="487"/>
      <c r="GY10" s="487"/>
      <c r="GZ10" s="487"/>
      <c r="HA10" s="487"/>
      <c r="HB10" s="487"/>
      <c r="HC10" s="487"/>
      <c r="HD10" s="487"/>
      <c r="HE10" s="487"/>
      <c r="HF10" s="487"/>
      <c r="HG10" s="487"/>
      <c r="HH10" s="487"/>
      <c r="HI10" s="487"/>
      <c r="HJ10" s="487"/>
      <c r="HK10" s="487"/>
      <c r="HL10" s="487"/>
      <c r="HM10" s="487"/>
      <c r="HN10" s="487"/>
      <c r="HO10" s="487"/>
      <c r="HP10" s="487"/>
      <c r="HQ10" s="487"/>
      <c r="HR10" s="487"/>
      <c r="HS10" s="487"/>
      <c r="HT10" s="487"/>
      <c r="HU10" s="487"/>
      <c r="HV10" s="487"/>
      <c r="HW10" s="487"/>
      <c r="HX10" s="487"/>
      <c r="HY10" s="487"/>
      <c r="HZ10" s="487"/>
      <c r="IA10" s="487"/>
      <c r="IB10" s="487"/>
      <c r="IC10" s="487"/>
      <c r="ID10" s="487"/>
      <c r="IE10" s="487"/>
      <c r="IF10" s="487"/>
      <c r="IG10" s="487"/>
      <c r="IH10" s="487"/>
      <c r="II10" s="487"/>
      <c r="IJ10" s="487"/>
      <c r="IK10" s="487"/>
      <c r="IL10" s="487"/>
      <c r="IM10" s="487"/>
      <c r="IN10" s="487"/>
      <c r="IO10" s="487"/>
      <c r="IP10" s="487"/>
      <c r="IQ10" s="487"/>
      <c r="IR10" s="487"/>
      <c r="IS10" s="487"/>
      <c r="IT10" s="487"/>
      <c r="IU10" s="487"/>
      <c r="IV10" s="487"/>
      <c r="IW10" s="487"/>
      <c r="IX10" s="487"/>
      <c r="IY10" s="487"/>
      <c r="IZ10" s="487"/>
      <c r="JA10" s="487"/>
      <c r="JB10" s="487"/>
      <c r="JC10" s="487"/>
      <c r="JD10" s="487"/>
      <c r="JE10" s="487"/>
      <c r="JF10" s="487"/>
      <c r="JG10" s="487"/>
      <c r="JH10" s="487"/>
      <c r="JI10" s="487"/>
      <c r="JJ10" s="487"/>
      <c r="JK10" s="487"/>
      <c r="JL10" s="487"/>
      <c r="JM10" s="487"/>
      <c r="JN10" s="487"/>
      <c r="JO10" s="487"/>
      <c r="JP10" s="487"/>
      <c r="JQ10" s="487"/>
      <c r="JR10" s="487"/>
      <c r="JS10" s="487"/>
      <c r="JT10" s="487"/>
      <c r="JU10" s="487"/>
      <c r="JV10" s="487"/>
      <c r="JW10" s="487"/>
      <c r="JX10" s="487"/>
      <c r="JY10" s="487"/>
      <c r="JZ10" s="487"/>
      <c r="KA10" s="487"/>
      <c r="KB10" s="487"/>
      <c r="KC10" s="487"/>
      <c r="KD10" s="487"/>
      <c r="KE10" s="487"/>
      <c r="KF10" s="487"/>
      <c r="KG10" s="487"/>
      <c r="KH10" s="487"/>
      <c r="KI10" s="487"/>
      <c r="KJ10" s="487"/>
      <c r="KK10" s="487"/>
      <c r="KL10" s="487"/>
      <c r="KM10" s="487"/>
      <c r="KN10" s="487"/>
      <c r="KO10" s="487"/>
      <c r="KP10" s="487"/>
      <c r="KQ10" s="487"/>
      <c r="KR10" s="487"/>
      <c r="KS10" s="487"/>
      <c r="KT10" s="487"/>
      <c r="KU10" s="487"/>
      <c r="KV10" s="487"/>
      <c r="KW10" s="487"/>
      <c r="KX10" s="487"/>
      <c r="KY10" s="487"/>
      <c r="KZ10" s="487"/>
      <c r="LA10" s="487"/>
      <c r="LB10" s="487"/>
      <c r="LC10" s="487"/>
      <c r="LD10" s="487"/>
      <c r="LE10" s="487"/>
      <c r="LF10" s="487"/>
      <c r="LG10" s="487"/>
      <c r="LH10" s="487"/>
      <c r="LI10" s="487"/>
      <c r="LJ10" s="487"/>
      <c r="LK10" s="487"/>
      <c r="LL10" s="487"/>
      <c r="LM10" s="487"/>
      <c r="LN10" s="487"/>
      <c r="LO10" s="487"/>
      <c r="LP10" s="487"/>
      <c r="LQ10" s="487"/>
      <c r="LR10" s="487"/>
      <c r="LS10" s="487"/>
      <c r="LT10" s="487"/>
      <c r="LU10" s="487"/>
      <c r="LV10" s="487"/>
      <c r="LW10" s="487"/>
      <c r="LX10" s="487"/>
      <c r="LY10" s="487"/>
      <c r="LZ10" s="487"/>
      <c r="MA10" s="487"/>
      <c r="MB10" s="487"/>
      <c r="MC10" s="487"/>
      <c r="MD10" s="487"/>
      <c r="ME10" s="487"/>
      <c r="MF10" s="487"/>
      <c r="MG10" s="487"/>
      <c r="MH10" s="487"/>
      <c r="MI10" s="487"/>
      <c r="MJ10" s="487"/>
      <c r="MK10" s="487"/>
      <c r="ML10" s="487"/>
      <c r="MM10" s="487"/>
      <c r="MN10" s="487"/>
      <c r="MO10" s="487"/>
      <c r="MP10" s="487"/>
      <c r="MQ10" s="487"/>
      <c r="MR10" s="487"/>
      <c r="MS10" s="487"/>
      <c r="MT10" s="487"/>
      <c r="MU10" s="487"/>
      <c r="MV10" s="487"/>
      <c r="MW10" s="487"/>
      <c r="MX10" s="487"/>
      <c r="MY10" s="487"/>
      <c r="MZ10" s="487"/>
      <c r="NA10" s="487"/>
      <c r="NB10" s="487"/>
      <c r="NC10" s="487"/>
      <c r="ND10" s="487"/>
      <c r="NE10" s="487"/>
      <c r="NF10" s="487"/>
      <c r="NG10" s="487"/>
      <c r="NH10" s="487"/>
      <c r="NI10" s="487"/>
      <c r="NJ10" s="487"/>
      <c r="NK10" s="487"/>
      <c r="NL10" s="487"/>
      <c r="NM10" s="487"/>
      <c r="NN10" s="487"/>
      <c r="NO10" s="487"/>
      <c r="NP10" s="487"/>
      <c r="NQ10" s="487"/>
      <c r="NR10" s="487"/>
      <c r="NS10" s="487"/>
      <c r="NT10" s="487"/>
      <c r="NU10" s="487"/>
      <c r="NV10" s="487"/>
      <c r="NW10" s="487"/>
      <c r="NX10" s="487"/>
      <c r="NY10" s="487"/>
      <c r="NZ10" s="487"/>
      <c r="OA10" s="487"/>
      <c r="OB10" s="487"/>
      <c r="OC10" s="487"/>
      <c r="OD10" s="487"/>
      <c r="OE10" s="487"/>
      <c r="OF10" s="487"/>
      <c r="OG10" s="487"/>
      <c r="OH10" s="487"/>
      <c r="OI10" s="487"/>
      <c r="OJ10" s="487"/>
      <c r="OK10" s="487"/>
      <c r="OL10" s="487"/>
      <c r="OM10" s="487"/>
      <c r="ON10" s="487"/>
      <c r="OO10" s="487"/>
      <c r="OP10" s="487"/>
      <c r="OQ10" s="487"/>
      <c r="OR10" s="487"/>
      <c r="OS10" s="487"/>
      <c r="OT10" s="487"/>
      <c r="OU10" s="487"/>
      <c r="OV10" s="487"/>
      <c r="OW10" s="487"/>
      <c r="OX10" s="487"/>
      <c r="OY10" s="487"/>
      <c r="OZ10" s="487"/>
      <c r="PA10" s="487"/>
      <c r="PB10" s="487"/>
      <c r="PC10" s="487"/>
      <c r="PD10" s="487"/>
      <c r="PE10" s="487"/>
      <c r="PF10" s="487"/>
      <c r="PG10" s="487"/>
      <c r="PH10" s="487"/>
      <c r="PI10" s="487"/>
      <c r="PJ10" s="487"/>
      <c r="PK10" s="487"/>
      <c r="PL10" s="487"/>
      <c r="PM10" s="487"/>
      <c r="PN10" s="487"/>
      <c r="PO10" s="487"/>
      <c r="PP10" s="487"/>
      <c r="PQ10" s="487"/>
      <c r="PR10" s="487"/>
      <c r="PS10" s="487"/>
      <c r="PT10" s="487"/>
      <c r="PU10" s="487"/>
      <c r="PV10" s="487"/>
      <c r="PW10" s="487"/>
      <c r="PX10" s="487"/>
      <c r="PY10" s="487"/>
      <c r="PZ10" s="487"/>
      <c r="QA10" s="487"/>
      <c r="QB10" s="487"/>
      <c r="QC10" s="487"/>
      <c r="QD10" s="487"/>
      <c r="QE10" s="487"/>
      <c r="QF10" s="487"/>
      <c r="QG10" s="487"/>
      <c r="QH10" s="487"/>
      <c r="QI10" s="487"/>
      <c r="QJ10" s="487"/>
      <c r="QK10" s="487"/>
      <c r="QL10" s="487"/>
      <c r="QM10" s="487"/>
      <c r="QN10" s="487"/>
      <c r="QO10" s="487"/>
      <c r="QP10" s="487"/>
      <c r="QQ10" s="487"/>
      <c r="QR10" s="487"/>
      <c r="QS10" s="487"/>
      <c r="QT10" s="487"/>
      <c r="QU10" s="487"/>
      <c r="QV10" s="487"/>
      <c r="QW10" s="487"/>
      <c r="QX10" s="487"/>
      <c r="QY10" s="487"/>
      <c r="QZ10" s="487"/>
      <c r="RA10" s="487"/>
      <c r="RB10" s="487"/>
      <c r="RC10" s="487"/>
      <c r="RD10" s="487"/>
      <c r="RE10" s="487"/>
      <c r="RF10" s="487"/>
      <c r="RG10" s="487"/>
      <c r="RH10" s="487"/>
      <c r="RI10" s="487"/>
      <c r="RJ10" s="487"/>
      <c r="RK10" s="487"/>
      <c r="RL10" s="487"/>
      <c r="RM10" s="487"/>
      <c r="RN10" s="487"/>
      <c r="RO10" s="487"/>
      <c r="RP10" s="487"/>
      <c r="RQ10" s="487"/>
      <c r="RR10" s="487"/>
      <c r="RS10" s="487"/>
      <c r="RT10" s="487"/>
      <c r="RU10" s="487"/>
      <c r="RV10" s="487"/>
      <c r="RW10" s="487"/>
      <c r="RX10" s="487"/>
      <c r="RY10" s="487"/>
      <c r="RZ10" s="487"/>
      <c r="SA10" s="487"/>
      <c r="SB10" s="487"/>
      <c r="SC10" s="487"/>
      <c r="SD10" s="487"/>
      <c r="SE10" s="487"/>
      <c r="SF10" s="487"/>
      <c r="SG10" s="487"/>
      <c r="SH10" s="487"/>
      <c r="SI10" s="487"/>
      <c r="SJ10" s="487"/>
      <c r="SK10" s="487"/>
      <c r="SL10" s="487"/>
      <c r="SM10" s="487"/>
      <c r="SN10" s="487"/>
      <c r="SO10" s="487"/>
      <c r="SP10" s="487"/>
      <c r="SQ10" s="487"/>
      <c r="SR10" s="487"/>
      <c r="SS10" s="487"/>
      <c r="ST10" s="487"/>
      <c r="SU10" s="487"/>
      <c r="SV10" s="487"/>
      <c r="SW10" s="487"/>
      <c r="SX10" s="487"/>
      <c r="SY10" s="487"/>
      <c r="SZ10" s="487"/>
      <c r="TA10" s="487"/>
      <c r="TB10" s="487"/>
      <c r="TC10" s="487"/>
      <c r="TD10" s="487"/>
      <c r="TE10" s="487"/>
      <c r="TF10" s="487"/>
      <c r="TG10" s="487"/>
      <c r="TH10" s="487"/>
      <c r="TI10" s="487"/>
      <c r="TJ10" s="487"/>
      <c r="TK10" s="487"/>
      <c r="TL10" s="487"/>
      <c r="TM10" s="487"/>
      <c r="TN10" s="487"/>
      <c r="TO10" s="487"/>
      <c r="TP10" s="487"/>
      <c r="TQ10" s="487"/>
      <c r="TR10" s="487"/>
      <c r="TS10" s="487"/>
      <c r="TT10" s="487"/>
      <c r="TU10" s="487"/>
      <c r="TV10" s="487"/>
      <c r="TW10" s="487"/>
      <c r="TX10" s="487"/>
      <c r="TY10" s="487"/>
      <c r="TZ10" s="487"/>
      <c r="UA10" s="487"/>
      <c r="UB10" s="487"/>
      <c r="UC10" s="487"/>
      <c r="UD10" s="487"/>
      <c r="UE10" s="487"/>
      <c r="UF10" s="487"/>
      <c r="UG10" s="487"/>
      <c r="UH10" s="487"/>
      <c r="UI10" s="487"/>
      <c r="UJ10" s="487"/>
      <c r="UK10" s="487"/>
      <c r="UL10" s="487"/>
      <c r="UM10" s="487"/>
      <c r="UN10" s="487"/>
      <c r="UO10" s="487"/>
      <c r="UP10" s="487"/>
      <c r="UQ10" s="487"/>
      <c r="UR10" s="487"/>
      <c r="US10" s="487"/>
      <c r="UT10" s="487"/>
      <c r="UU10" s="487"/>
      <c r="UV10" s="487"/>
      <c r="UW10" s="487"/>
      <c r="UX10" s="487"/>
      <c r="UY10" s="487"/>
      <c r="UZ10" s="487"/>
      <c r="VA10" s="487"/>
      <c r="VB10" s="487"/>
      <c r="VC10" s="487"/>
      <c r="VD10" s="487"/>
      <c r="VE10" s="487"/>
      <c r="VF10" s="487"/>
      <c r="VG10" s="487"/>
      <c r="VH10" s="487"/>
      <c r="VI10" s="487"/>
      <c r="VJ10" s="487"/>
      <c r="VK10" s="487"/>
      <c r="VL10" s="487"/>
      <c r="VM10" s="487"/>
      <c r="VN10" s="487"/>
      <c r="VO10" s="487"/>
      <c r="VP10" s="487"/>
      <c r="VQ10" s="487"/>
      <c r="VR10" s="487"/>
      <c r="VS10" s="487"/>
      <c r="VT10" s="487"/>
      <c r="VU10" s="487"/>
      <c r="VV10" s="487"/>
      <c r="VW10" s="487"/>
      <c r="VX10" s="487"/>
      <c r="VY10" s="487"/>
      <c r="VZ10" s="487"/>
      <c r="WA10" s="487"/>
      <c r="WB10" s="487"/>
      <c r="WC10" s="487"/>
      <c r="WD10" s="487"/>
      <c r="WE10" s="487"/>
      <c r="WF10" s="487"/>
      <c r="WG10" s="487"/>
      <c r="WH10" s="487"/>
      <c r="WI10" s="487"/>
      <c r="WJ10" s="487"/>
      <c r="WK10" s="487"/>
      <c r="WL10" s="487"/>
      <c r="WM10" s="487"/>
      <c r="WN10" s="487"/>
      <c r="WO10" s="487"/>
      <c r="WP10" s="487"/>
      <c r="WQ10" s="487"/>
      <c r="WR10" s="487"/>
      <c r="WS10" s="487"/>
      <c r="WT10" s="487"/>
      <c r="WU10" s="487"/>
      <c r="WV10" s="487"/>
      <c r="WW10" s="487"/>
      <c r="WX10" s="487"/>
      <c r="WY10" s="487"/>
      <c r="WZ10" s="487"/>
      <c r="XA10" s="487"/>
      <c r="XB10" s="487"/>
      <c r="XC10" s="487"/>
      <c r="XD10" s="487"/>
      <c r="XE10" s="487"/>
      <c r="XF10" s="487"/>
      <c r="XG10" s="487"/>
      <c r="XH10" s="487"/>
      <c r="XI10" s="487"/>
      <c r="XJ10" s="487"/>
      <c r="XK10" s="487"/>
      <c r="XL10" s="487"/>
      <c r="XM10" s="487"/>
      <c r="XN10" s="487"/>
      <c r="XO10" s="487"/>
      <c r="XP10" s="487"/>
      <c r="XQ10" s="487"/>
      <c r="XR10" s="487"/>
      <c r="XS10" s="487"/>
      <c r="XT10" s="487"/>
      <c r="XU10" s="487"/>
      <c r="XV10" s="487"/>
      <c r="XW10" s="487"/>
      <c r="XX10" s="487"/>
      <c r="XY10" s="487"/>
      <c r="XZ10" s="487"/>
      <c r="YA10" s="487"/>
      <c r="YB10" s="487"/>
      <c r="YC10" s="487"/>
      <c r="YD10" s="487"/>
      <c r="YE10" s="487"/>
      <c r="YF10" s="487"/>
      <c r="YG10" s="487"/>
      <c r="YH10" s="487"/>
      <c r="YI10" s="487"/>
      <c r="YJ10" s="487"/>
      <c r="YK10" s="487"/>
      <c r="YL10" s="487"/>
      <c r="YM10" s="487"/>
      <c r="YN10" s="487"/>
      <c r="YO10" s="487"/>
      <c r="YP10" s="487"/>
      <c r="YQ10" s="487"/>
      <c r="YR10" s="487"/>
      <c r="YS10" s="487"/>
      <c r="YT10" s="487"/>
      <c r="YU10" s="487"/>
      <c r="YV10" s="487"/>
      <c r="YW10" s="487"/>
      <c r="YX10" s="487"/>
      <c r="YY10" s="487"/>
      <c r="YZ10" s="487"/>
      <c r="ZA10" s="487"/>
      <c r="ZB10" s="487"/>
      <c r="ZC10" s="487"/>
      <c r="ZD10" s="487"/>
      <c r="ZE10" s="487"/>
      <c r="ZF10" s="487"/>
      <c r="ZG10" s="487"/>
      <c r="ZH10" s="487"/>
      <c r="ZI10" s="487"/>
      <c r="ZJ10" s="487"/>
      <c r="ZK10" s="487"/>
      <c r="ZL10" s="487"/>
      <c r="ZM10" s="487"/>
      <c r="ZN10" s="487"/>
      <c r="ZO10" s="487"/>
      <c r="ZP10" s="487"/>
      <c r="ZQ10" s="487"/>
      <c r="ZR10" s="487"/>
      <c r="ZS10" s="487"/>
      <c r="ZT10" s="487"/>
      <c r="ZU10" s="487"/>
      <c r="ZV10" s="487"/>
      <c r="ZW10" s="487"/>
      <c r="ZX10" s="487"/>
      <c r="ZY10" s="487"/>
      <c r="ZZ10" s="487"/>
      <c r="AAA10" s="487"/>
      <c r="AAB10" s="487"/>
      <c r="AAC10" s="487"/>
      <c r="AAD10" s="487"/>
      <c r="AAE10" s="487"/>
      <c r="AAF10" s="487"/>
      <c r="AAG10" s="487"/>
      <c r="AAH10" s="487"/>
      <c r="AAI10" s="487"/>
      <c r="AAJ10" s="487"/>
      <c r="AAK10" s="487"/>
      <c r="AAL10" s="487"/>
      <c r="AAM10" s="487"/>
      <c r="AAN10" s="487"/>
      <c r="AAO10" s="487"/>
      <c r="AAP10" s="487"/>
      <c r="AAQ10" s="487"/>
      <c r="AAR10" s="487"/>
      <c r="AAS10" s="487"/>
      <c r="AAT10" s="487"/>
      <c r="AAU10" s="487"/>
      <c r="AAV10" s="487"/>
      <c r="AAW10" s="487"/>
      <c r="AAX10" s="487"/>
      <c r="AAY10" s="487"/>
      <c r="AAZ10" s="487"/>
      <c r="ABA10" s="487"/>
      <c r="ABB10" s="487"/>
      <c r="ABC10" s="487"/>
      <c r="ABD10" s="487"/>
      <c r="ABE10" s="487"/>
      <c r="ABF10" s="487"/>
      <c r="ABG10" s="487"/>
      <c r="ABH10" s="487"/>
      <c r="ABI10" s="487"/>
      <c r="ABJ10" s="487"/>
      <c r="ABK10" s="487"/>
      <c r="ABL10" s="487"/>
      <c r="ABM10" s="487"/>
      <c r="ABN10" s="487"/>
      <c r="ABO10" s="487"/>
      <c r="ABP10" s="487"/>
      <c r="ABQ10" s="487"/>
      <c r="ABR10" s="487"/>
      <c r="ABS10" s="487"/>
      <c r="ABT10" s="487"/>
      <c r="ABU10" s="487"/>
      <c r="ABV10" s="487"/>
      <c r="ABW10" s="487"/>
      <c r="ABX10" s="487"/>
      <c r="ABY10" s="487"/>
      <c r="ABZ10" s="487"/>
      <c r="ACA10" s="487"/>
      <c r="ACB10" s="487"/>
      <c r="ACC10" s="487"/>
      <c r="ACD10" s="487"/>
      <c r="ACE10" s="487"/>
      <c r="ACF10" s="487"/>
      <c r="ACG10" s="487"/>
      <c r="ACH10" s="487"/>
      <c r="ACI10" s="487"/>
      <c r="ACJ10" s="487"/>
      <c r="ACK10" s="487"/>
      <c r="ACL10" s="487"/>
      <c r="ACM10" s="487"/>
      <c r="ACN10" s="487"/>
      <c r="ACO10" s="487"/>
      <c r="ACP10" s="487"/>
      <c r="ACQ10" s="487"/>
      <c r="ACR10" s="487"/>
      <c r="ACS10" s="487"/>
      <c r="ACT10" s="487"/>
      <c r="ACU10" s="487"/>
      <c r="ACV10" s="487"/>
      <c r="ACW10" s="487"/>
      <c r="ACX10" s="487"/>
      <c r="ACY10" s="487"/>
      <c r="ACZ10" s="487"/>
      <c r="ADA10" s="487"/>
      <c r="ADB10" s="487"/>
      <c r="ADC10" s="487"/>
      <c r="ADD10" s="487"/>
      <c r="ADE10" s="487"/>
      <c r="ADF10" s="487"/>
      <c r="ADG10" s="487"/>
      <c r="ADH10" s="487"/>
      <c r="ADI10" s="487"/>
      <c r="ADJ10" s="487"/>
      <c r="ADK10" s="487"/>
      <c r="ADL10" s="487"/>
      <c r="ADM10" s="487"/>
      <c r="ADN10" s="487"/>
      <c r="ADO10" s="487"/>
      <c r="ADP10" s="487"/>
      <c r="ADQ10" s="487"/>
      <c r="ADR10" s="487"/>
      <c r="ADS10" s="487"/>
      <c r="ADT10" s="487"/>
      <c r="ADU10" s="487"/>
      <c r="ADV10" s="487"/>
      <c r="ADW10" s="487"/>
      <c r="ADX10" s="487"/>
      <c r="ADY10" s="487"/>
      <c r="ADZ10" s="487"/>
      <c r="AEA10" s="487"/>
      <c r="AEB10" s="487"/>
      <c r="AEC10" s="487"/>
      <c r="AED10" s="487"/>
      <c r="AEE10" s="487"/>
      <c r="AEF10" s="487"/>
      <c r="AEG10" s="487"/>
      <c r="AEH10" s="487"/>
      <c r="AEI10" s="487"/>
      <c r="AEJ10" s="487"/>
      <c r="AEK10" s="487"/>
      <c r="AEL10" s="487"/>
      <c r="AEM10" s="487"/>
      <c r="AEN10" s="487"/>
      <c r="AEO10" s="487"/>
      <c r="AEP10" s="487"/>
      <c r="AEQ10" s="487"/>
      <c r="AER10" s="487"/>
      <c r="AES10" s="487"/>
      <c r="AET10" s="487"/>
      <c r="AEU10" s="487"/>
      <c r="AEV10" s="487"/>
      <c r="AEW10" s="487"/>
      <c r="AEX10" s="487"/>
      <c r="AEY10" s="487"/>
      <c r="AEZ10" s="487"/>
      <c r="AFA10" s="487"/>
      <c r="AFB10" s="487"/>
      <c r="AFC10" s="487"/>
      <c r="AFD10" s="487"/>
      <c r="AFE10" s="487"/>
      <c r="AFF10" s="487"/>
      <c r="AFG10" s="487"/>
      <c r="AFH10" s="487"/>
      <c r="AFI10" s="487"/>
      <c r="AFJ10" s="487"/>
      <c r="AFK10" s="487"/>
      <c r="AFL10" s="487"/>
      <c r="AFM10" s="487"/>
      <c r="AFN10" s="487"/>
      <c r="AFO10" s="487"/>
      <c r="AFP10" s="487"/>
      <c r="AFQ10" s="487"/>
      <c r="AFR10" s="487"/>
      <c r="AFS10" s="487"/>
      <c r="AFT10" s="487"/>
      <c r="AFU10" s="487"/>
      <c r="AFV10" s="487"/>
      <c r="AFW10" s="487"/>
      <c r="AFX10" s="487"/>
      <c r="AFY10" s="487"/>
      <c r="AFZ10" s="487"/>
      <c r="AGA10" s="487"/>
      <c r="AGB10" s="487"/>
      <c r="AGC10" s="487"/>
      <c r="AGD10" s="487"/>
      <c r="AGE10" s="487"/>
      <c r="AGF10" s="487"/>
      <c r="AGG10" s="487"/>
      <c r="AGH10" s="487"/>
      <c r="AGI10" s="487"/>
      <c r="AGJ10" s="487"/>
      <c r="AGK10" s="487"/>
      <c r="AGL10" s="487"/>
      <c r="AGM10" s="487"/>
      <c r="AGN10" s="487"/>
      <c r="AGO10" s="487"/>
      <c r="AGP10" s="487"/>
      <c r="AGQ10" s="487"/>
      <c r="AGR10" s="487"/>
      <c r="AGS10" s="487"/>
      <c r="AGT10" s="487"/>
      <c r="AGU10" s="487"/>
      <c r="AGV10" s="487"/>
      <c r="AGW10" s="487"/>
      <c r="AGX10" s="487"/>
      <c r="AGY10" s="487"/>
      <c r="AGZ10" s="487"/>
      <c r="AHA10" s="487"/>
      <c r="AHB10" s="487"/>
      <c r="AHC10" s="487"/>
      <c r="AHD10" s="487"/>
      <c r="AHE10" s="487"/>
      <c r="AHF10" s="487"/>
      <c r="AHG10" s="487"/>
      <c r="AHH10" s="487"/>
      <c r="AHI10" s="487"/>
      <c r="AHJ10" s="487"/>
      <c r="AHK10" s="487"/>
      <c r="AHL10" s="487"/>
      <c r="AHM10" s="487"/>
      <c r="AHN10" s="487"/>
      <c r="AHO10" s="487"/>
      <c r="AHP10" s="487"/>
      <c r="AHQ10" s="487"/>
      <c r="AHR10" s="487"/>
      <c r="AHS10" s="487"/>
      <c r="AHT10" s="487"/>
      <c r="AHU10" s="487"/>
      <c r="AHV10" s="487"/>
      <c r="AHW10" s="487"/>
      <c r="AHX10" s="487"/>
      <c r="AHY10" s="487"/>
      <c r="AHZ10" s="487"/>
      <c r="AIA10" s="487"/>
      <c r="AIB10" s="487"/>
      <c r="AIC10" s="487"/>
      <c r="AID10" s="487"/>
      <c r="AIE10" s="487"/>
      <c r="AIF10" s="487"/>
      <c r="AIG10" s="487"/>
      <c r="AIH10" s="487"/>
      <c r="AII10" s="487"/>
      <c r="AIJ10" s="487"/>
      <c r="AIK10" s="487"/>
      <c r="AIL10" s="487"/>
      <c r="AIM10" s="487"/>
      <c r="AIN10" s="487"/>
      <c r="AIO10" s="487"/>
      <c r="AIP10" s="487"/>
      <c r="AIQ10" s="487"/>
      <c r="AIR10" s="487"/>
      <c r="AIS10" s="487"/>
      <c r="AIT10" s="487"/>
      <c r="AIU10" s="487"/>
      <c r="AIV10" s="487"/>
      <c r="AIW10" s="487"/>
      <c r="AIX10" s="487"/>
      <c r="AIY10" s="487"/>
      <c r="AIZ10" s="487"/>
      <c r="AJA10" s="487"/>
      <c r="AJB10" s="487"/>
      <c r="AJC10" s="487"/>
      <c r="AJD10" s="487"/>
      <c r="AJE10" s="487"/>
      <c r="AJF10" s="487"/>
      <c r="AJG10" s="487"/>
      <c r="AJH10" s="487"/>
      <c r="AJI10" s="487"/>
      <c r="AJJ10" s="487"/>
      <c r="AJK10" s="487"/>
      <c r="AJL10" s="487"/>
      <c r="AJM10" s="487"/>
      <c r="AJN10" s="487"/>
      <c r="AJO10" s="487"/>
      <c r="AJP10" s="487"/>
      <c r="AJQ10" s="487"/>
      <c r="AJR10" s="487"/>
      <c r="AJS10" s="487"/>
      <c r="AJT10" s="487"/>
      <c r="AJU10" s="487"/>
      <c r="AJV10" s="487"/>
      <c r="AJW10" s="487"/>
      <c r="AJX10" s="487"/>
      <c r="AJY10" s="487"/>
      <c r="AJZ10" s="487"/>
      <c r="AKA10" s="487"/>
      <c r="AKB10" s="487"/>
      <c r="AKC10" s="487"/>
      <c r="AKD10" s="487"/>
      <c r="AKE10" s="487"/>
      <c r="AKF10" s="487"/>
      <c r="AKG10" s="487"/>
      <c r="AKH10" s="487"/>
      <c r="AKI10" s="487"/>
      <c r="AKJ10" s="487"/>
      <c r="AKK10" s="487"/>
      <c r="AKL10" s="487"/>
      <c r="AKM10" s="487"/>
      <c r="AKN10" s="487"/>
      <c r="AKO10" s="487"/>
      <c r="AKP10" s="487"/>
      <c r="AKQ10" s="487"/>
      <c r="AKR10" s="487"/>
      <c r="AKS10" s="487"/>
      <c r="AKT10" s="487"/>
      <c r="AKU10" s="487"/>
      <c r="AKV10" s="487"/>
      <c r="AKW10" s="487"/>
      <c r="AKX10" s="487"/>
      <c r="AKY10" s="487"/>
      <c r="AKZ10" s="487"/>
      <c r="ALA10" s="487"/>
      <c r="ALB10" s="487"/>
      <c r="ALC10" s="487"/>
      <c r="ALD10" s="487"/>
      <c r="ALE10" s="487"/>
      <c r="ALF10" s="487"/>
      <c r="ALG10" s="487"/>
      <c r="ALH10" s="487"/>
      <c r="ALI10" s="487"/>
      <c r="ALJ10" s="487"/>
      <c r="ALK10" s="487"/>
      <c r="ALL10" s="487"/>
      <c r="ALM10" s="487"/>
      <c r="ALN10" s="487"/>
      <c r="ALO10" s="487"/>
      <c r="ALP10" s="487"/>
      <c r="ALQ10" s="487"/>
      <c r="ALR10" s="487"/>
      <c r="ALS10" s="487"/>
      <c r="ALT10" s="487"/>
      <c r="ALU10" s="487"/>
      <c r="ALV10" s="487"/>
      <c r="ALW10" s="487"/>
      <c r="ALX10" s="487"/>
      <c r="ALY10" s="487"/>
      <c r="ALZ10" s="487"/>
      <c r="AMA10" s="487"/>
      <c r="AMB10" s="487"/>
      <c r="AMC10" s="487"/>
      <c r="AMD10" s="487"/>
      <c r="AME10" s="487"/>
      <c r="AMF10" s="487"/>
      <c r="AMG10" s="487"/>
      <c r="AMH10" s="487"/>
      <c r="AMI10" s="487"/>
      <c r="AMJ10" s="487"/>
      <c r="AMK10" s="487"/>
      <c r="AML10" s="487"/>
      <c r="AMM10" s="487"/>
      <c r="AMN10" s="487"/>
      <c r="AMO10" s="487"/>
      <c r="AMP10" s="487"/>
      <c r="AMQ10" s="487"/>
      <c r="AMR10" s="487"/>
      <c r="AMS10" s="487"/>
      <c r="AMT10" s="487"/>
      <c r="AMU10" s="487"/>
      <c r="AMV10" s="487"/>
      <c r="AMW10" s="487"/>
      <c r="AMX10" s="487"/>
      <c r="AMY10" s="487"/>
      <c r="AMZ10" s="487"/>
      <c r="ANA10" s="487"/>
      <c r="ANB10" s="487"/>
      <c r="ANC10" s="487"/>
      <c r="AND10" s="487"/>
      <c r="ANE10" s="487"/>
      <c r="ANF10" s="487"/>
      <c r="ANG10" s="487"/>
      <c r="ANH10" s="487"/>
      <c r="ANI10" s="487"/>
      <c r="ANJ10" s="487"/>
      <c r="ANK10" s="487"/>
      <c r="ANL10" s="487"/>
      <c r="ANM10" s="487"/>
      <c r="ANN10" s="487"/>
      <c r="ANO10" s="487"/>
      <c r="ANP10" s="487"/>
      <c r="ANQ10" s="487"/>
      <c r="ANR10" s="487"/>
      <c r="ANS10" s="487"/>
      <c r="ANT10" s="487"/>
      <c r="ANU10" s="487"/>
      <c r="ANV10" s="487"/>
      <c r="ANW10" s="487"/>
      <c r="ANX10" s="487"/>
      <c r="ANY10" s="487"/>
      <c r="ANZ10" s="487"/>
      <c r="AOA10" s="487"/>
      <c r="AOB10" s="487"/>
      <c r="AOC10" s="487"/>
      <c r="AOD10" s="487"/>
      <c r="AOE10" s="487"/>
      <c r="AOF10" s="487"/>
      <c r="AOG10" s="487"/>
      <c r="AOH10" s="487"/>
      <c r="AOI10" s="487"/>
      <c r="AOJ10" s="487"/>
      <c r="AOK10" s="487"/>
      <c r="AOL10" s="487"/>
      <c r="AOM10" s="487"/>
      <c r="AON10" s="487"/>
      <c r="AOO10" s="487"/>
      <c r="AOP10" s="487"/>
      <c r="AOQ10" s="487"/>
      <c r="AOR10" s="487"/>
      <c r="AOS10" s="487"/>
      <c r="AOT10" s="487"/>
      <c r="AOU10" s="487"/>
      <c r="AOV10" s="487"/>
      <c r="AOW10" s="487"/>
      <c r="AOX10" s="487"/>
      <c r="AOY10" s="487"/>
      <c r="AOZ10" s="487"/>
      <c r="APA10" s="487"/>
      <c r="APB10" s="487"/>
      <c r="APC10" s="487"/>
      <c r="APD10" s="487"/>
      <c r="APE10" s="487"/>
      <c r="APF10" s="487"/>
      <c r="APG10" s="487"/>
      <c r="APH10" s="487"/>
      <c r="API10" s="487"/>
      <c r="APJ10" s="487"/>
      <c r="APK10" s="487"/>
      <c r="APL10" s="487"/>
      <c r="APM10" s="487"/>
      <c r="APN10" s="487"/>
      <c r="APO10" s="487"/>
      <c r="APP10" s="487"/>
      <c r="APQ10" s="487"/>
      <c r="APR10" s="487"/>
      <c r="APS10" s="487"/>
      <c r="APT10" s="487"/>
      <c r="APU10" s="487"/>
      <c r="APV10" s="487"/>
      <c r="APW10" s="487"/>
      <c r="APX10" s="487"/>
      <c r="APY10" s="487"/>
      <c r="APZ10" s="487"/>
      <c r="AQA10" s="487"/>
      <c r="AQB10" s="487"/>
      <c r="AQC10" s="487"/>
      <c r="AQD10" s="487"/>
      <c r="AQE10" s="487"/>
      <c r="AQF10" s="487"/>
      <c r="AQG10" s="487"/>
      <c r="AQH10" s="487"/>
      <c r="AQI10" s="487"/>
      <c r="AQJ10" s="487"/>
      <c r="AQK10" s="487"/>
      <c r="AQL10" s="487"/>
      <c r="AQM10" s="487"/>
      <c r="AQN10" s="487"/>
      <c r="AQO10" s="487"/>
      <c r="AQP10" s="487"/>
      <c r="AQQ10" s="487"/>
      <c r="AQR10" s="487"/>
      <c r="AQS10" s="487"/>
      <c r="AQT10" s="487"/>
      <c r="AQU10" s="487"/>
      <c r="AQV10" s="487"/>
      <c r="AQW10" s="487"/>
      <c r="AQX10" s="487"/>
      <c r="AQY10" s="487"/>
      <c r="AQZ10" s="487"/>
      <c r="ARA10" s="487"/>
      <c r="ARB10" s="487"/>
      <c r="ARC10" s="487"/>
      <c r="ARD10" s="487"/>
      <c r="ARE10" s="487"/>
      <c r="ARF10" s="487"/>
      <c r="ARG10" s="487"/>
      <c r="ARH10" s="487"/>
      <c r="ARI10" s="487"/>
      <c r="ARJ10" s="487"/>
      <c r="ARK10" s="487"/>
      <c r="ARL10" s="487"/>
      <c r="ARM10" s="487"/>
      <c r="ARN10" s="487"/>
      <c r="ARO10" s="487"/>
      <c r="ARP10" s="487"/>
      <c r="ARQ10" s="487"/>
      <c r="ARR10" s="487"/>
      <c r="ARS10" s="487"/>
      <c r="ART10" s="487"/>
      <c r="ARU10" s="487"/>
      <c r="ARV10" s="487"/>
      <c r="ARW10" s="487"/>
      <c r="ARX10" s="487"/>
      <c r="ARY10" s="487"/>
      <c r="ARZ10" s="487"/>
      <c r="ASA10" s="487"/>
      <c r="ASB10" s="487"/>
      <c r="ASC10" s="487"/>
      <c r="ASD10" s="487"/>
      <c r="ASE10" s="487"/>
      <c r="ASF10" s="487"/>
      <c r="ASG10" s="487"/>
      <c r="ASH10" s="487"/>
      <c r="ASI10" s="487"/>
      <c r="ASJ10" s="487"/>
      <c r="ASK10" s="487"/>
      <c r="ASL10" s="487"/>
      <c r="ASM10" s="487"/>
      <c r="ASN10" s="487"/>
      <c r="ASO10" s="487"/>
      <c r="ASP10" s="487"/>
      <c r="ASQ10" s="487"/>
      <c r="ASR10" s="487"/>
      <c r="ASS10" s="487"/>
      <c r="AST10" s="487"/>
      <c r="ASU10" s="487"/>
      <c r="ASV10" s="487"/>
      <c r="ASW10" s="487"/>
      <c r="ASX10" s="487"/>
      <c r="ASY10" s="487"/>
      <c r="ASZ10" s="487"/>
      <c r="ATA10" s="487"/>
      <c r="ATB10" s="487"/>
      <c r="ATC10" s="487"/>
      <c r="ATD10" s="487"/>
      <c r="ATE10" s="487"/>
      <c r="ATF10" s="487"/>
      <c r="ATG10" s="487"/>
      <c r="ATH10" s="487"/>
      <c r="ATI10" s="487"/>
      <c r="ATJ10" s="487"/>
      <c r="ATK10" s="487"/>
      <c r="ATL10" s="487"/>
      <c r="ATM10" s="487"/>
      <c r="ATN10" s="487"/>
      <c r="ATO10" s="487"/>
      <c r="ATP10" s="487"/>
      <c r="ATQ10" s="487"/>
      <c r="ATR10" s="487"/>
      <c r="ATS10" s="487"/>
      <c r="ATT10" s="487"/>
      <c r="ATU10" s="487"/>
      <c r="ATV10" s="487"/>
      <c r="ATW10" s="487"/>
      <c r="ATX10" s="487"/>
      <c r="ATY10" s="487"/>
      <c r="ATZ10" s="487"/>
      <c r="AUA10" s="487"/>
      <c r="AUB10" s="487"/>
      <c r="AUC10" s="487"/>
      <c r="AUD10" s="487"/>
      <c r="AUE10" s="487"/>
      <c r="AUF10" s="487"/>
      <c r="AUG10" s="487"/>
      <c r="AUH10" s="487"/>
      <c r="AUI10" s="487"/>
      <c r="AUJ10" s="487"/>
      <c r="AUK10" s="487"/>
      <c r="AUL10" s="487"/>
      <c r="AUM10" s="487"/>
      <c r="AUN10" s="487"/>
      <c r="AUO10" s="487"/>
      <c r="AUP10" s="487"/>
      <c r="AUQ10" s="487"/>
      <c r="AUR10" s="487"/>
      <c r="AUS10" s="487"/>
      <c r="AUT10" s="487"/>
      <c r="AUU10" s="487"/>
      <c r="AUV10" s="487"/>
      <c r="AUW10" s="487"/>
      <c r="AUX10" s="487"/>
      <c r="AUY10" s="487"/>
      <c r="AUZ10" s="487"/>
      <c r="AVA10" s="487"/>
      <c r="AVB10" s="487"/>
      <c r="AVC10" s="487"/>
      <c r="AVD10" s="487"/>
      <c r="AVE10" s="487"/>
      <c r="AVF10" s="487"/>
      <c r="AVG10" s="487"/>
    </row>
    <row r="11" spans="1:1255" s="488" customFormat="1" ht="32.1" customHeight="1">
      <c r="A11" s="470">
        <v>8</v>
      </c>
      <c r="B11" s="471">
        <v>0</v>
      </c>
      <c r="C11" s="472" t="s">
        <v>408</v>
      </c>
      <c r="D11" s="471" t="s">
        <v>395</v>
      </c>
      <c r="E11" s="473">
        <v>0.05</v>
      </c>
      <c r="F11" s="474" t="s">
        <v>406</v>
      </c>
      <c r="G11" s="475" t="str">
        <f t="shared" si="3"/>
        <v/>
      </c>
      <c r="H11" s="476" t="str">
        <f t="shared" si="4"/>
        <v/>
      </c>
      <c r="I11" s="477">
        <f t="shared" si="5"/>
        <v>100</v>
      </c>
      <c r="J11" s="478" t="str">
        <f t="shared" si="6"/>
        <v/>
      </c>
      <c r="K11" s="479">
        <f ca="1">F1/8000</f>
        <v>0</v>
      </c>
      <c r="L11" s="480" t="str">
        <f t="shared" si="7"/>
        <v/>
      </c>
      <c r="M11" s="480" t="str">
        <f t="shared" si="0"/>
        <v>0</v>
      </c>
      <c r="N11" s="481" t="str">
        <f t="shared" si="1"/>
        <v>0</v>
      </c>
      <c r="O11" s="482" t="str">
        <f t="shared" si="2"/>
        <v/>
      </c>
      <c r="P11" s="464" t="s">
        <v>394</v>
      </c>
      <c r="Q11" s="483">
        <f ca="1">VLOOKUP(VLOOKUP(I1,Worksheet!$A$18:$B$31,2),'1Test Data'!$O$30:$AE$49,17,0)</f>
        <v>1.4824341088260499E-7</v>
      </c>
      <c r="R11" s="484" t="str">
        <f t="shared" si="8"/>
        <v/>
      </c>
      <c r="S11" s="465" t="str">
        <f t="shared" si="9"/>
        <v/>
      </c>
      <c r="T11" s="465" t="str">
        <f>IF(OR(E11="",B11=0),"",ABS(L11/S16))</f>
        <v/>
      </c>
      <c r="U11" s="485"/>
      <c r="V11" s="486"/>
      <c r="W11" s="486"/>
      <c r="X11" s="487"/>
      <c r="Y11" s="439"/>
      <c r="Z11" s="439"/>
      <c r="AA11" s="439"/>
      <c r="AB11" s="439"/>
      <c r="AC11" s="439"/>
      <c r="AD11" s="487"/>
      <c r="AE11" s="487"/>
      <c r="AF11" s="487"/>
      <c r="AG11" s="487"/>
      <c r="AH11" s="487"/>
      <c r="AI11" s="487"/>
      <c r="AJ11" s="487"/>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487"/>
      <c r="CN11" s="487"/>
      <c r="CO11" s="487"/>
      <c r="CP11" s="487"/>
      <c r="CQ11" s="487"/>
      <c r="CR11" s="487"/>
      <c r="CS11" s="487"/>
      <c r="CT11" s="487"/>
      <c r="CU11" s="487"/>
      <c r="CV11" s="487"/>
      <c r="CW11" s="487"/>
      <c r="CX11" s="487"/>
      <c r="CY11" s="487"/>
      <c r="CZ11" s="487"/>
      <c r="DA11" s="487"/>
      <c r="DB11" s="487"/>
      <c r="DC11" s="487"/>
      <c r="DD11" s="487"/>
      <c r="DE11" s="487"/>
      <c r="DF11" s="487"/>
      <c r="DG11" s="487"/>
      <c r="DH11" s="487"/>
      <c r="DI11" s="487"/>
      <c r="DJ11" s="487"/>
      <c r="DK11" s="487"/>
      <c r="DL11" s="487"/>
      <c r="DM11" s="487"/>
      <c r="DN11" s="487"/>
      <c r="DO11" s="487"/>
      <c r="DP11" s="487"/>
      <c r="DQ11" s="487"/>
      <c r="DR11" s="487"/>
      <c r="DS11" s="487"/>
      <c r="DT11" s="487"/>
      <c r="DU11" s="487"/>
      <c r="DV11" s="487"/>
      <c r="DW11" s="487"/>
      <c r="DX11" s="487"/>
      <c r="DY11" s="487"/>
      <c r="DZ11" s="487"/>
      <c r="EA11" s="487"/>
      <c r="EB11" s="487"/>
      <c r="EC11" s="487"/>
      <c r="ED11" s="487"/>
      <c r="EE11" s="487"/>
      <c r="EF11" s="487"/>
      <c r="EG11" s="487"/>
      <c r="EH11" s="487"/>
      <c r="EI11" s="487"/>
      <c r="EJ11" s="487"/>
      <c r="EK11" s="487"/>
      <c r="EL11" s="487"/>
      <c r="EM11" s="487"/>
      <c r="EN11" s="487"/>
      <c r="EO11" s="487"/>
      <c r="EP11" s="487"/>
      <c r="EQ11" s="487"/>
      <c r="ER11" s="487"/>
      <c r="ES11" s="487"/>
      <c r="ET11" s="487"/>
      <c r="EU11" s="487"/>
      <c r="EV11" s="487"/>
      <c r="EW11" s="487"/>
      <c r="EX11" s="487"/>
      <c r="EY11" s="487"/>
      <c r="EZ11" s="487"/>
      <c r="FA11" s="487"/>
      <c r="FB11" s="487"/>
      <c r="FC11" s="487"/>
      <c r="FD11" s="487"/>
      <c r="FE11" s="487"/>
      <c r="FF11" s="487"/>
      <c r="FG11" s="487"/>
      <c r="FH11" s="487"/>
      <c r="FI11" s="487"/>
      <c r="FJ11" s="487"/>
      <c r="FK11" s="487"/>
      <c r="FL11" s="487"/>
      <c r="FM11" s="487"/>
      <c r="FN11" s="487"/>
      <c r="FO11" s="487"/>
      <c r="FP11" s="487"/>
      <c r="FQ11" s="487"/>
      <c r="FR11" s="487"/>
      <c r="FS11" s="487"/>
      <c r="FT11" s="487"/>
      <c r="FU11" s="487"/>
      <c r="FV11" s="487"/>
      <c r="FW11" s="487"/>
      <c r="FX11" s="487"/>
      <c r="FY11" s="487"/>
      <c r="FZ11" s="487"/>
      <c r="GA11" s="487"/>
      <c r="GB11" s="487"/>
      <c r="GC11" s="487"/>
      <c r="GD11" s="487"/>
      <c r="GE11" s="487"/>
      <c r="GF11" s="487"/>
      <c r="GG11" s="487"/>
      <c r="GH11" s="487"/>
      <c r="GI11" s="487"/>
      <c r="GJ11" s="487"/>
      <c r="GK11" s="487"/>
      <c r="GL11" s="487"/>
      <c r="GM11" s="487"/>
      <c r="GN11" s="487"/>
      <c r="GO11" s="487"/>
      <c r="GP11" s="487"/>
      <c r="GQ11" s="487"/>
      <c r="GR11" s="487"/>
      <c r="GS11" s="487"/>
      <c r="GT11" s="487"/>
      <c r="GU11" s="487"/>
      <c r="GV11" s="487"/>
      <c r="GW11" s="487"/>
      <c r="GX11" s="487"/>
      <c r="GY11" s="487"/>
      <c r="GZ11" s="487"/>
      <c r="HA11" s="487"/>
      <c r="HB11" s="487"/>
      <c r="HC11" s="487"/>
      <c r="HD11" s="487"/>
      <c r="HE11" s="487"/>
      <c r="HF11" s="487"/>
      <c r="HG11" s="487"/>
      <c r="HH11" s="487"/>
      <c r="HI11" s="487"/>
      <c r="HJ11" s="487"/>
      <c r="HK11" s="487"/>
      <c r="HL11" s="487"/>
      <c r="HM11" s="487"/>
      <c r="HN11" s="487"/>
      <c r="HO11" s="487"/>
      <c r="HP11" s="487"/>
      <c r="HQ11" s="487"/>
      <c r="HR11" s="487"/>
      <c r="HS11" s="487"/>
      <c r="HT11" s="487"/>
      <c r="HU11" s="487"/>
      <c r="HV11" s="487"/>
      <c r="HW11" s="487"/>
      <c r="HX11" s="487"/>
      <c r="HY11" s="487"/>
      <c r="HZ11" s="487"/>
      <c r="IA11" s="487"/>
      <c r="IB11" s="487"/>
      <c r="IC11" s="487"/>
      <c r="ID11" s="487"/>
      <c r="IE11" s="487"/>
      <c r="IF11" s="487"/>
      <c r="IG11" s="487"/>
      <c r="IH11" s="487"/>
      <c r="II11" s="487"/>
      <c r="IJ11" s="487"/>
      <c r="IK11" s="487"/>
      <c r="IL11" s="487"/>
      <c r="IM11" s="487"/>
      <c r="IN11" s="487"/>
      <c r="IO11" s="487"/>
      <c r="IP11" s="487"/>
      <c r="IQ11" s="487"/>
      <c r="IR11" s="487"/>
      <c r="IS11" s="487"/>
      <c r="IT11" s="487"/>
      <c r="IU11" s="487"/>
      <c r="IV11" s="487"/>
      <c r="IW11" s="487"/>
      <c r="IX11" s="487"/>
      <c r="IY11" s="487"/>
      <c r="IZ11" s="487"/>
      <c r="JA11" s="487"/>
      <c r="JB11" s="487"/>
      <c r="JC11" s="487"/>
      <c r="JD11" s="487"/>
      <c r="JE11" s="487"/>
      <c r="JF11" s="487"/>
      <c r="JG11" s="487"/>
      <c r="JH11" s="487"/>
      <c r="JI11" s="487"/>
      <c r="JJ11" s="487"/>
      <c r="JK11" s="487"/>
      <c r="JL11" s="487"/>
      <c r="JM11" s="487"/>
      <c r="JN11" s="487"/>
      <c r="JO11" s="487"/>
      <c r="JP11" s="487"/>
      <c r="JQ11" s="487"/>
      <c r="JR11" s="487"/>
      <c r="JS11" s="487"/>
      <c r="JT11" s="487"/>
      <c r="JU11" s="487"/>
      <c r="JV11" s="487"/>
      <c r="JW11" s="487"/>
      <c r="JX11" s="487"/>
      <c r="JY11" s="487"/>
      <c r="JZ11" s="487"/>
      <c r="KA11" s="487"/>
      <c r="KB11" s="487"/>
      <c r="KC11" s="487"/>
      <c r="KD11" s="487"/>
      <c r="KE11" s="487"/>
      <c r="KF11" s="487"/>
      <c r="KG11" s="487"/>
      <c r="KH11" s="487"/>
      <c r="KI11" s="487"/>
      <c r="KJ11" s="487"/>
      <c r="KK11" s="487"/>
      <c r="KL11" s="487"/>
      <c r="KM11" s="487"/>
      <c r="KN11" s="487"/>
      <c r="KO11" s="487"/>
      <c r="KP11" s="487"/>
      <c r="KQ11" s="487"/>
      <c r="KR11" s="487"/>
      <c r="KS11" s="487"/>
      <c r="KT11" s="487"/>
      <c r="KU11" s="487"/>
      <c r="KV11" s="487"/>
      <c r="KW11" s="487"/>
      <c r="KX11" s="487"/>
      <c r="KY11" s="487"/>
      <c r="KZ11" s="487"/>
      <c r="LA11" s="487"/>
      <c r="LB11" s="487"/>
      <c r="LC11" s="487"/>
      <c r="LD11" s="487"/>
      <c r="LE11" s="487"/>
      <c r="LF11" s="487"/>
      <c r="LG11" s="487"/>
      <c r="LH11" s="487"/>
      <c r="LI11" s="487"/>
      <c r="LJ11" s="487"/>
      <c r="LK11" s="487"/>
      <c r="LL11" s="487"/>
      <c r="LM11" s="487"/>
      <c r="LN11" s="487"/>
      <c r="LO11" s="487"/>
      <c r="LP11" s="487"/>
      <c r="LQ11" s="487"/>
      <c r="LR11" s="487"/>
      <c r="LS11" s="487"/>
      <c r="LT11" s="487"/>
      <c r="LU11" s="487"/>
      <c r="LV11" s="487"/>
      <c r="LW11" s="487"/>
      <c r="LX11" s="487"/>
      <c r="LY11" s="487"/>
      <c r="LZ11" s="487"/>
      <c r="MA11" s="487"/>
      <c r="MB11" s="487"/>
      <c r="MC11" s="487"/>
      <c r="MD11" s="487"/>
      <c r="ME11" s="487"/>
      <c r="MF11" s="487"/>
      <c r="MG11" s="487"/>
      <c r="MH11" s="487"/>
      <c r="MI11" s="487"/>
      <c r="MJ11" s="487"/>
      <c r="MK11" s="487"/>
      <c r="ML11" s="487"/>
      <c r="MM11" s="487"/>
      <c r="MN11" s="487"/>
      <c r="MO11" s="487"/>
      <c r="MP11" s="487"/>
      <c r="MQ11" s="487"/>
      <c r="MR11" s="487"/>
      <c r="MS11" s="487"/>
      <c r="MT11" s="487"/>
      <c r="MU11" s="487"/>
      <c r="MV11" s="487"/>
      <c r="MW11" s="487"/>
      <c r="MX11" s="487"/>
      <c r="MY11" s="487"/>
      <c r="MZ11" s="487"/>
      <c r="NA11" s="487"/>
      <c r="NB11" s="487"/>
      <c r="NC11" s="487"/>
      <c r="ND11" s="487"/>
      <c r="NE11" s="487"/>
      <c r="NF11" s="487"/>
      <c r="NG11" s="487"/>
      <c r="NH11" s="487"/>
      <c r="NI11" s="487"/>
      <c r="NJ11" s="487"/>
      <c r="NK11" s="487"/>
      <c r="NL11" s="487"/>
      <c r="NM11" s="487"/>
      <c r="NN11" s="487"/>
      <c r="NO11" s="487"/>
      <c r="NP11" s="487"/>
      <c r="NQ11" s="487"/>
      <c r="NR11" s="487"/>
      <c r="NS11" s="487"/>
      <c r="NT11" s="487"/>
      <c r="NU11" s="487"/>
      <c r="NV11" s="487"/>
      <c r="NW11" s="487"/>
      <c r="NX11" s="487"/>
      <c r="NY11" s="487"/>
      <c r="NZ11" s="487"/>
      <c r="OA11" s="487"/>
      <c r="OB11" s="487"/>
      <c r="OC11" s="487"/>
      <c r="OD11" s="487"/>
      <c r="OE11" s="487"/>
      <c r="OF11" s="487"/>
      <c r="OG11" s="487"/>
      <c r="OH11" s="487"/>
      <c r="OI11" s="487"/>
      <c r="OJ11" s="487"/>
      <c r="OK11" s="487"/>
      <c r="OL11" s="487"/>
      <c r="OM11" s="487"/>
      <c r="ON11" s="487"/>
      <c r="OO11" s="487"/>
      <c r="OP11" s="487"/>
      <c r="OQ11" s="487"/>
      <c r="OR11" s="487"/>
      <c r="OS11" s="487"/>
      <c r="OT11" s="487"/>
      <c r="OU11" s="487"/>
      <c r="OV11" s="487"/>
      <c r="OW11" s="487"/>
      <c r="OX11" s="487"/>
      <c r="OY11" s="487"/>
      <c r="OZ11" s="487"/>
      <c r="PA11" s="487"/>
      <c r="PB11" s="487"/>
      <c r="PC11" s="487"/>
      <c r="PD11" s="487"/>
      <c r="PE11" s="487"/>
      <c r="PF11" s="487"/>
      <c r="PG11" s="487"/>
      <c r="PH11" s="487"/>
      <c r="PI11" s="487"/>
      <c r="PJ11" s="487"/>
      <c r="PK11" s="487"/>
      <c r="PL11" s="487"/>
      <c r="PM11" s="487"/>
      <c r="PN11" s="487"/>
      <c r="PO11" s="487"/>
      <c r="PP11" s="487"/>
      <c r="PQ11" s="487"/>
      <c r="PR11" s="487"/>
      <c r="PS11" s="487"/>
      <c r="PT11" s="487"/>
      <c r="PU11" s="487"/>
      <c r="PV11" s="487"/>
      <c r="PW11" s="487"/>
      <c r="PX11" s="487"/>
      <c r="PY11" s="487"/>
      <c r="PZ11" s="487"/>
      <c r="QA11" s="487"/>
      <c r="QB11" s="487"/>
      <c r="QC11" s="487"/>
      <c r="QD11" s="487"/>
      <c r="QE11" s="487"/>
      <c r="QF11" s="487"/>
      <c r="QG11" s="487"/>
      <c r="QH11" s="487"/>
      <c r="QI11" s="487"/>
      <c r="QJ11" s="487"/>
      <c r="QK11" s="487"/>
      <c r="QL11" s="487"/>
      <c r="QM11" s="487"/>
      <c r="QN11" s="487"/>
      <c r="QO11" s="487"/>
      <c r="QP11" s="487"/>
      <c r="QQ11" s="487"/>
      <c r="QR11" s="487"/>
      <c r="QS11" s="487"/>
      <c r="QT11" s="487"/>
      <c r="QU11" s="487"/>
      <c r="QV11" s="487"/>
      <c r="QW11" s="487"/>
      <c r="QX11" s="487"/>
      <c r="QY11" s="487"/>
      <c r="QZ11" s="487"/>
      <c r="RA11" s="487"/>
      <c r="RB11" s="487"/>
      <c r="RC11" s="487"/>
      <c r="RD11" s="487"/>
      <c r="RE11" s="487"/>
      <c r="RF11" s="487"/>
      <c r="RG11" s="487"/>
      <c r="RH11" s="487"/>
      <c r="RI11" s="487"/>
      <c r="RJ11" s="487"/>
      <c r="RK11" s="487"/>
      <c r="RL11" s="487"/>
      <c r="RM11" s="487"/>
      <c r="RN11" s="487"/>
      <c r="RO11" s="487"/>
      <c r="RP11" s="487"/>
      <c r="RQ11" s="487"/>
      <c r="RR11" s="487"/>
      <c r="RS11" s="487"/>
      <c r="RT11" s="487"/>
      <c r="RU11" s="487"/>
      <c r="RV11" s="487"/>
      <c r="RW11" s="487"/>
      <c r="RX11" s="487"/>
      <c r="RY11" s="487"/>
      <c r="RZ11" s="487"/>
      <c r="SA11" s="487"/>
      <c r="SB11" s="487"/>
      <c r="SC11" s="487"/>
      <c r="SD11" s="487"/>
      <c r="SE11" s="487"/>
      <c r="SF11" s="487"/>
      <c r="SG11" s="487"/>
      <c r="SH11" s="487"/>
      <c r="SI11" s="487"/>
      <c r="SJ11" s="487"/>
      <c r="SK11" s="487"/>
      <c r="SL11" s="487"/>
      <c r="SM11" s="487"/>
      <c r="SN11" s="487"/>
      <c r="SO11" s="487"/>
      <c r="SP11" s="487"/>
      <c r="SQ11" s="487"/>
      <c r="SR11" s="487"/>
      <c r="SS11" s="487"/>
      <c r="ST11" s="487"/>
      <c r="SU11" s="487"/>
      <c r="SV11" s="487"/>
      <c r="SW11" s="487"/>
      <c r="SX11" s="487"/>
      <c r="SY11" s="487"/>
      <c r="SZ11" s="487"/>
      <c r="TA11" s="487"/>
      <c r="TB11" s="487"/>
      <c r="TC11" s="487"/>
      <c r="TD11" s="487"/>
      <c r="TE11" s="487"/>
      <c r="TF11" s="487"/>
      <c r="TG11" s="487"/>
      <c r="TH11" s="487"/>
      <c r="TI11" s="487"/>
      <c r="TJ11" s="487"/>
      <c r="TK11" s="487"/>
      <c r="TL11" s="487"/>
      <c r="TM11" s="487"/>
      <c r="TN11" s="487"/>
      <c r="TO11" s="487"/>
      <c r="TP11" s="487"/>
      <c r="TQ11" s="487"/>
      <c r="TR11" s="487"/>
      <c r="TS11" s="487"/>
      <c r="TT11" s="487"/>
      <c r="TU11" s="487"/>
      <c r="TV11" s="487"/>
      <c r="TW11" s="487"/>
      <c r="TX11" s="487"/>
      <c r="TY11" s="487"/>
      <c r="TZ11" s="487"/>
      <c r="UA11" s="487"/>
      <c r="UB11" s="487"/>
      <c r="UC11" s="487"/>
      <c r="UD11" s="487"/>
      <c r="UE11" s="487"/>
      <c r="UF11" s="487"/>
      <c r="UG11" s="487"/>
      <c r="UH11" s="487"/>
      <c r="UI11" s="487"/>
      <c r="UJ11" s="487"/>
      <c r="UK11" s="487"/>
      <c r="UL11" s="487"/>
      <c r="UM11" s="487"/>
      <c r="UN11" s="487"/>
      <c r="UO11" s="487"/>
      <c r="UP11" s="487"/>
      <c r="UQ11" s="487"/>
      <c r="UR11" s="487"/>
      <c r="US11" s="487"/>
      <c r="UT11" s="487"/>
      <c r="UU11" s="487"/>
      <c r="UV11" s="487"/>
      <c r="UW11" s="487"/>
      <c r="UX11" s="487"/>
      <c r="UY11" s="487"/>
      <c r="UZ11" s="487"/>
      <c r="VA11" s="487"/>
      <c r="VB11" s="487"/>
      <c r="VC11" s="487"/>
      <c r="VD11" s="487"/>
      <c r="VE11" s="487"/>
      <c r="VF11" s="487"/>
      <c r="VG11" s="487"/>
      <c r="VH11" s="487"/>
      <c r="VI11" s="487"/>
      <c r="VJ11" s="487"/>
      <c r="VK11" s="487"/>
      <c r="VL11" s="487"/>
      <c r="VM11" s="487"/>
      <c r="VN11" s="487"/>
      <c r="VO11" s="487"/>
      <c r="VP11" s="487"/>
      <c r="VQ11" s="487"/>
      <c r="VR11" s="487"/>
      <c r="VS11" s="487"/>
      <c r="VT11" s="487"/>
      <c r="VU11" s="487"/>
      <c r="VV11" s="487"/>
      <c r="VW11" s="487"/>
      <c r="VX11" s="487"/>
      <c r="VY11" s="487"/>
      <c r="VZ11" s="487"/>
      <c r="WA11" s="487"/>
      <c r="WB11" s="487"/>
      <c r="WC11" s="487"/>
      <c r="WD11" s="487"/>
      <c r="WE11" s="487"/>
      <c r="WF11" s="487"/>
      <c r="WG11" s="487"/>
      <c r="WH11" s="487"/>
      <c r="WI11" s="487"/>
      <c r="WJ11" s="487"/>
      <c r="WK11" s="487"/>
      <c r="WL11" s="487"/>
      <c r="WM11" s="487"/>
      <c r="WN11" s="487"/>
      <c r="WO11" s="487"/>
      <c r="WP11" s="487"/>
      <c r="WQ11" s="487"/>
      <c r="WR11" s="487"/>
      <c r="WS11" s="487"/>
      <c r="WT11" s="487"/>
      <c r="WU11" s="487"/>
      <c r="WV11" s="487"/>
      <c r="WW11" s="487"/>
      <c r="WX11" s="487"/>
      <c r="WY11" s="487"/>
      <c r="WZ11" s="487"/>
      <c r="XA11" s="487"/>
      <c r="XB11" s="487"/>
      <c r="XC11" s="487"/>
      <c r="XD11" s="487"/>
      <c r="XE11" s="487"/>
      <c r="XF11" s="487"/>
      <c r="XG11" s="487"/>
      <c r="XH11" s="487"/>
      <c r="XI11" s="487"/>
      <c r="XJ11" s="487"/>
      <c r="XK11" s="487"/>
      <c r="XL11" s="487"/>
      <c r="XM11" s="487"/>
      <c r="XN11" s="487"/>
      <c r="XO11" s="487"/>
      <c r="XP11" s="487"/>
      <c r="XQ11" s="487"/>
      <c r="XR11" s="487"/>
      <c r="XS11" s="487"/>
      <c r="XT11" s="487"/>
      <c r="XU11" s="487"/>
      <c r="XV11" s="487"/>
      <c r="XW11" s="487"/>
      <c r="XX11" s="487"/>
      <c r="XY11" s="487"/>
      <c r="XZ11" s="487"/>
      <c r="YA11" s="487"/>
      <c r="YB11" s="487"/>
      <c r="YC11" s="487"/>
      <c r="YD11" s="487"/>
      <c r="YE11" s="487"/>
      <c r="YF11" s="487"/>
      <c r="YG11" s="487"/>
      <c r="YH11" s="487"/>
      <c r="YI11" s="487"/>
      <c r="YJ11" s="487"/>
      <c r="YK11" s="487"/>
      <c r="YL11" s="487"/>
      <c r="YM11" s="487"/>
      <c r="YN11" s="487"/>
      <c r="YO11" s="487"/>
      <c r="YP11" s="487"/>
      <c r="YQ11" s="487"/>
      <c r="YR11" s="487"/>
      <c r="YS11" s="487"/>
      <c r="YT11" s="487"/>
      <c r="YU11" s="487"/>
      <c r="YV11" s="487"/>
      <c r="YW11" s="487"/>
      <c r="YX11" s="487"/>
      <c r="YY11" s="487"/>
      <c r="YZ11" s="487"/>
      <c r="ZA11" s="487"/>
      <c r="ZB11" s="487"/>
      <c r="ZC11" s="487"/>
      <c r="ZD11" s="487"/>
      <c r="ZE11" s="487"/>
      <c r="ZF11" s="487"/>
      <c r="ZG11" s="487"/>
      <c r="ZH11" s="487"/>
      <c r="ZI11" s="487"/>
      <c r="ZJ11" s="487"/>
      <c r="ZK11" s="487"/>
      <c r="ZL11" s="487"/>
      <c r="ZM11" s="487"/>
      <c r="ZN11" s="487"/>
      <c r="ZO11" s="487"/>
      <c r="ZP11" s="487"/>
      <c r="ZQ11" s="487"/>
      <c r="ZR11" s="487"/>
      <c r="ZS11" s="487"/>
      <c r="ZT11" s="487"/>
      <c r="ZU11" s="487"/>
      <c r="ZV11" s="487"/>
      <c r="ZW11" s="487"/>
      <c r="ZX11" s="487"/>
      <c r="ZY11" s="487"/>
      <c r="ZZ11" s="487"/>
      <c r="AAA11" s="487"/>
      <c r="AAB11" s="487"/>
      <c r="AAC11" s="487"/>
      <c r="AAD11" s="487"/>
      <c r="AAE11" s="487"/>
      <c r="AAF11" s="487"/>
      <c r="AAG11" s="487"/>
      <c r="AAH11" s="487"/>
      <c r="AAI11" s="487"/>
      <c r="AAJ11" s="487"/>
      <c r="AAK11" s="487"/>
      <c r="AAL11" s="487"/>
      <c r="AAM11" s="487"/>
      <c r="AAN11" s="487"/>
      <c r="AAO11" s="487"/>
      <c r="AAP11" s="487"/>
      <c r="AAQ11" s="487"/>
      <c r="AAR11" s="487"/>
      <c r="AAS11" s="487"/>
      <c r="AAT11" s="487"/>
      <c r="AAU11" s="487"/>
      <c r="AAV11" s="487"/>
      <c r="AAW11" s="487"/>
      <c r="AAX11" s="487"/>
      <c r="AAY11" s="487"/>
      <c r="AAZ11" s="487"/>
      <c r="ABA11" s="487"/>
      <c r="ABB11" s="487"/>
      <c r="ABC11" s="487"/>
      <c r="ABD11" s="487"/>
      <c r="ABE11" s="487"/>
      <c r="ABF11" s="487"/>
      <c r="ABG11" s="487"/>
      <c r="ABH11" s="487"/>
      <c r="ABI11" s="487"/>
      <c r="ABJ11" s="487"/>
      <c r="ABK11" s="487"/>
      <c r="ABL11" s="487"/>
      <c r="ABM11" s="487"/>
      <c r="ABN11" s="487"/>
      <c r="ABO11" s="487"/>
      <c r="ABP11" s="487"/>
      <c r="ABQ11" s="487"/>
      <c r="ABR11" s="487"/>
      <c r="ABS11" s="487"/>
      <c r="ABT11" s="487"/>
      <c r="ABU11" s="487"/>
      <c r="ABV11" s="487"/>
      <c r="ABW11" s="487"/>
      <c r="ABX11" s="487"/>
      <c r="ABY11" s="487"/>
      <c r="ABZ11" s="487"/>
      <c r="ACA11" s="487"/>
      <c r="ACB11" s="487"/>
      <c r="ACC11" s="487"/>
      <c r="ACD11" s="487"/>
      <c r="ACE11" s="487"/>
      <c r="ACF11" s="487"/>
      <c r="ACG11" s="487"/>
      <c r="ACH11" s="487"/>
      <c r="ACI11" s="487"/>
      <c r="ACJ11" s="487"/>
      <c r="ACK11" s="487"/>
      <c r="ACL11" s="487"/>
      <c r="ACM11" s="487"/>
      <c r="ACN11" s="487"/>
      <c r="ACO11" s="487"/>
      <c r="ACP11" s="487"/>
      <c r="ACQ11" s="487"/>
      <c r="ACR11" s="487"/>
      <c r="ACS11" s="487"/>
      <c r="ACT11" s="487"/>
      <c r="ACU11" s="487"/>
      <c r="ACV11" s="487"/>
      <c r="ACW11" s="487"/>
      <c r="ACX11" s="487"/>
      <c r="ACY11" s="487"/>
      <c r="ACZ11" s="487"/>
      <c r="ADA11" s="487"/>
      <c r="ADB11" s="487"/>
      <c r="ADC11" s="487"/>
      <c r="ADD11" s="487"/>
      <c r="ADE11" s="487"/>
      <c r="ADF11" s="487"/>
      <c r="ADG11" s="487"/>
      <c r="ADH11" s="487"/>
      <c r="ADI11" s="487"/>
      <c r="ADJ11" s="487"/>
      <c r="ADK11" s="487"/>
      <c r="ADL11" s="487"/>
      <c r="ADM11" s="487"/>
      <c r="ADN11" s="487"/>
      <c r="ADO11" s="487"/>
      <c r="ADP11" s="487"/>
      <c r="ADQ11" s="487"/>
      <c r="ADR11" s="487"/>
      <c r="ADS11" s="487"/>
      <c r="ADT11" s="487"/>
      <c r="ADU11" s="487"/>
      <c r="ADV11" s="487"/>
      <c r="ADW11" s="487"/>
      <c r="ADX11" s="487"/>
      <c r="ADY11" s="487"/>
      <c r="ADZ11" s="487"/>
      <c r="AEA11" s="487"/>
      <c r="AEB11" s="487"/>
      <c r="AEC11" s="487"/>
      <c r="AED11" s="487"/>
      <c r="AEE11" s="487"/>
      <c r="AEF11" s="487"/>
      <c r="AEG11" s="487"/>
      <c r="AEH11" s="487"/>
      <c r="AEI11" s="487"/>
      <c r="AEJ11" s="487"/>
      <c r="AEK11" s="487"/>
      <c r="AEL11" s="487"/>
      <c r="AEM11" s="487"/>
      <c r="AEN11" s="487"/>
      <c r="AEO11" s="487"/>
      <c r="AEP11" s="487"/>
      <c r="AEQ11" s="487"/>
      <c r="AER11" s="487"/>
      <c r="AES11" s="487"/>
      <c r="AET11" s="487"/>
      <c r="AEU11" s="487"/>
      <c r="AEV11" s="487"/>
      <c r="AEW11" s="487"/>
      <c r="AEX11" s="487"/>
      <c r="AEY11" s="487"/>
      <c r="AEZ11" s="487"/>
      <c r="AFA11" s="487"/>
      <c r="AFB11" s="487"/>
      <c r="AFC11" s="487"/>
      <c r="AFD11" s="487"/>
      <c r="AFE11" s="487"/>
      <c r="AFF11" s="487"/>
      <c r="AFG11" s="487"/>
      <c r="AFH11" s="487"/>
      <c r="AFI11" s="487"/>
      <c r="AFJ11" s="487"/>
      <c r="AFK11" s="487"/>
      <c r="AFL11" s="487"/>
      <c r="AFM11" s="487"/>
      <c r="AFN11" s="487"/>
      <c r="AFO11" s="487"/>
      <c r="AFP11" s="487"/>
      <c r="AFQ11" s="487"/>
      <c r="AFR11" s="487"/>
      <c r="AFS11" s="487"/>
      <c r="AFT11" s="487"/>
      <c r="AFU11" s="487"/>
      <c r="AFV11" s="487"/>
      <c r="AFW11" s="487"/>
      <c r="AFX11" s="487"/>
      <c r="AFY11" s="487"/>
      <c r="AFZ11" s="487"/>
      <c r="AGA11" s="487"/>
      <c r="AGB11" s="487"/>
      <c r="AGC11" s="487"/>
      <c r="AGD11" s="487"/>
      <c r="AGE11" s="487"/>
      <c r="AGF11" s="487"/>
      <c r="AGG11" s="487"/>
      <c r="AGH11" s="487"/>
      <c r="AGI11" s="487"/>
      <c r="AGJ11" s="487"/>
      <c r="AGK11" s="487"/>
      <c r="AGL11" s="487"/>
      <c r="AGM11" s="487"/>
      <c r="AGN11" s="487"/>
      <c r="AGO11" s="487"/>
      <c r="AGP11" s="487"/>
      <c r="AGQ11" s="487"/>
      <c r="AGR11" s="487"/>
      <c r="AGS11" s="487"/>
      <c r="AGT11" s="487"/>
      <c r="AGU11" s="487"/>
      <c r="AGV11" s="487"/>
      <c r="AGW11" s="487"/>
      <c r="AGX11" s="487"/>
      <c r="AGY11" s="487"/>
      <c r="AGZ11" s="487"/>
      <c r="AHA11" s="487"/>
      <c r="AHB11" s="487"/>
      <c r="AHC11" s="487"/>
      <c r="AHD11" s="487"/>
      <c r="AHE11" s="487"/>
      <c r="AHF11" s="487"/>
      <c r="AHG11" s="487"/>
      <c r="AHH11" s="487"/>
      <c r="AHI11" s="487"/>
      <c r="AHJ11" s="487"/>
      <c r="AHK11" s="487"/>
      <c r="AHL11" s="487"/>
      <c r="AHM11" s="487"/>
      <c r="AHN11" s="487"/>
      <c r="AHO11" s="487"/>
      <c r="AHP11" s="487"/>
      <c r="AHQ11" s="487"/>
      <c r="AHR11" s="487"/>
      <c r="AHS11" s="487"/>
      <c r="AHT11" s="487"/>
      <c r="AHU11" s="487"/>
      <c r="AHV11" s="487"/>
      <c r="AHW11" s="487"/>
      <c r="AHX11" s="487"/>
      <c r="AHY11" s="487"/>
      <c r="AHZ11" s="487"/>
      <c r="AIA11" s="487"/>
      <c r="AIB11" s="487"/>
      <c r="AIC11" s="487"/>
      <c r="AID11" s="487"/>
      <c r="AIE11" s="487"/>
      <c r="AIF11" s="487"/>
      <c r="AIG11" s="487"/>
      <c r="AIH11" s="487"/>
      <c r="AII11" s="487"/>
      <c r="AIJ11" s="487"/>
      <c r="AIK11" s="487"/>
      <c r="AIL11" s="487"/>
      <c r="AIM11" s="487"/>
      <c r="AIN11" s="487"/>
      <c r="AIO11" s="487"/>
      <c r="AIP11" s="487"/>
      <c r="AIQ11" s="487"/>
      <c r="AIR11" s="487"/>
      <c r="AIS11" s="487"/>
      <c r="AIT11" s="487"/>
      <c r="AIU11" s="487"/>
      <c r="AIV11" s="487"/>
      <c r="AIW11" s="487"/>
      <c r="AIX11" s="487"/>
      <c r="AIY11" s="487"/>
      <c r="AIZ11" s="487"/>
      <c r="AJA11" s="487"/>
      <c r="AJB11" s="487"/>
      <c r="AJC11" s="487"/>
      <c r="AJD11" s="487"/>
      <c r="AJE11" s="487"/>
      <c r="AJF11" s="487"/>
      <c r="AJG11" s="487"/>
      <c r="AJH11" s="487"/>
      <c r="AJI11" s="487"/>
      <c r="AJJ11" s="487"/>
      <c r="AJK11" s="487"/>
      <c r="AJL11" s="487"/>
      <c r="AJM11" s="487"/>
      <c r="AJN11" s="487"/>
      <c r="AJO11" s="487"/>
      <c r="AJP11" s="487"/>
      <c r="AJQ11" s="487"/>
      <c r="AJR11" s="487"/>
      <c r="AJS11" s="487"/>
      <c r="AJT11" s="487"/>
      <c r="AJU11" s="487"/>
      <c r="AJV11" s="487"/>
      <c r="AJW11" s="487"/>
      <c r="AJX11" s="487"/>
      <c r="AJY11" s="487"/>
      <c r="AJZ11" s="487"/>
      <c r="AKA11" s="487"/>
      <c r="AKB11" s="487"/>
      <c r="AKC11" s="487"/>
      <c r="AKD11" s="487"/>
      <c r="AKE11" s="487"/>
      <c r="AKF11" s="487"/>
      <c r="AKG11" s="487"/>
      <c r="AKH11" s="487"/>
      <c r="AKI11" s="487"/>
      <c r="AKJ11" s="487"/>
      <c r="AKK11" s="487"/>
      <c r="AKL11" s="487"/>
      <c r="AKM11" s="487"/>
      <c r="AKN11" s="487"/>
      <c r="AKO11" s="487"/>
      <c r="AKP11" s="487"/>
      <c r="AKQ11" s="487"/>
      <c r="AKR11" s="487"/>
      <c r="AKS11" s="487"/>
      <c r="AKT11" s="487"/>
      <c r="AKU11" s="487"/>
      <c r="AKV11" s="487"/>
      <c r="AKW11" s="487"/>
      <c r="AKX11" s="487"/>
      <c r="AKY11" s="487"/>
      <c r="AKZ11" s="487"/>
      <c r="ALA11" s="487"/>
      <c r="ALB11" s="487"/>
      <c r="ALC11" s="487"/>
      <c r="ALD11" s="487"/>
      <c r="ALE11" s="487"/>
      <c r="ALF11" s="487"/>
      <c r="ALG11" s="487"/>
      <c r="ALH11" s="487"/>
      <c r="ALI11" s="487"/>
      <c r="ALJ11" s="487"/>
      <c r="ALK11" s="487"/>
      <c r="ALL11" s="487"/>
      <c r="ALM11" s="487"/>
      <c r="ALN11" s="487"/>
      <c r="ALO11" s="487"/>
      <c r="ALP11" s="487"/>
      <c r="ALQ11" s="487"/>
      <c r="ALR11" s="487"/>
      <c r="ALS11" s="487"/>
      <c r="ALT11" s="487"/>
      <c r="ALU11" s="487"/>
      <c r="ALV11" s="487"/>
      <c r="ALW11" s="487"/>
      <c r="ALX11" s="487"/>
      <c r="ALY11" s="487"/>
      <c r="ALZ11" s="487"/>
      <c r="AMA11" s="487"/>
      <c r="AMB11" s="487"/>
      <c r="AMC11" s="487"/>
      <c r="AMD11" s="487"/>
      <c r="AME11" s="487"/>
      <c r="AMF11" s="487"/>
      <c r="AMG11" s="487"/>
      <c r="AMH11" s="487"/>
      <c r="AMI11" s="487"/>
      <c r="AMJ11" s="487"/>
      <c r="AMK11" s="487"/>
      <c r="AML11" s="487"/>
      <c r="AMM11" s="487"/>
      <c r="AMN11" s="487"/>
      <c r="AMO11" s="487"/>
      <c r="AMP11" s="487"/>
      <c r="AMQ11" s="487"/>
      <c r="AMR11" s="487"/>
      <c r="AMS11" s="487"/>
      <c r="AMT11" s="487"/>
      <c r="AMU11" s="487"/>
      <c r="AMV11" s="487"/>
      <c r="AMW11" s="487"/>
      <c r="AMX11" s="487"/>
      <c r="AMY11" s="487"/>
      <c r="AMZ11" s="487"/>
      <c r="ANA11" s="487"/>
      <c r="ANB11" s="487"/>
      <c r="ANC11" s="487"/>
      <c r="AND11" s="487"/>
      <c r="ANE11" s="487"/>
      <c r="ANF11" s="487"/>
      <c r="ANG11" s="487"/>
      <c r="ANH11" s="487"/>
      <c r="ANI11" s="487"/>
      <c r="ANJ11" s="487"/>
      <c r="ANK11" s="487"/>
      <c r="ANL11" s="487"/>
      <c r="ANM11" s="487"/>
      <c r="ANN11" s="487"/>
      <c r="ANO11" s="487"/>
      <c r="ANP11" s="487"/>
      <c r="ANQ11" s="487"/>
      <c r="ANR11" s="487"/>
      <c r="ANS11" s="487"/>
      <c r="ANT11" s="487"/>
      <c r="ANU11" s="487"/>
      <c r="ANV11" s="487"/>
      <c r="ANW11" s="487"/>
      <c r="ANX11" s="487"/>
      <c r="ANY11" s="487"/>
      <c r="ANZ11" s="487"/>
      <c r="AOA11" s="487"/>
      <c r="AOB11" s="487"/>
      <c r="AOC11" s="487"/>
      <c r="AOD11" s="487"/>
      <c r="AOE11" s="487"/>
      <c r="AOF11" s="487"/>
      <c r="AOG11" s="487"/>
      <c r="AOH11" s="487"/>
      <c r="AOI11" s="487"/>
      <c r="AOJ11" s="487"/>
      <c r="AOK11" s="487"/>
      <c r="AOL11" s="487"/>
      <c r="AOM11" s="487"/>
      <c r="AON11" s="487"/>
      <c r="AOO11" s="487"/>
      <c r="AOP11" s="487"/>
      <c r="AOQ11" s="487"/>
      <c r="AOR11" s="487"/>
      <c r="AOS11" s="487"/>
      <c r="AOT11" s="487"/>
      <c r="AOU11" s="487"/>
      <c r="AOV11" s="487"/>
      <c r="AOW11" s="487"/>
      <c r="AOX11" s="487"/>
      <c r="AOY11" s="487"/>
      <c r="AOZ11" s="487"/>
      <c r="APA11" s="487"/>
      <c r="APB11" s="487"/>
      <c r="APC11" s="487"/>
      <c r="APD11" s="487"/>
      <c r="APE11" s="487"/>
      <c r="APF11" s="487"/>
      <c r="APG11" s="487"/>
      <c r="APH11" s="487"/>
      <c r="API11" s="487"/>
      <c r="APJ11" s="487"/>
      <c r="APK11" s="487"/>
      <c r="APL11" s="487"/>
      <c r="APM11" s="487"/>
      <c r="APN11" s="487"/>
      <c r="APO11" s="487"/>
      <c r="APP11" s="487"/>
      <c r="APQ11" s="487"/>
      <c r="APR11" s="487"/>
      <c r="APS11" s="487"/>
      <c r="APT11" s="487"/>
      <c r="APU11" s="487"/>
      <c r="APV11" s="487"/>
      <c r="APW11" s="487"/>
      <c r="APX11" s="487"/>
      <c r="APY11" s="487"/>
      <c r="APZ11" s="487"/>
      <c r="AQA11" s="487"/>
      <c r="AQB11" s="487"/>
      <c r="AQC11" s="487"/>
      <c r="AQD11" s="487"/>
      <c r="AQE11" s="487"/>
      <c r="AQF11" s="487"/>
      <c r="AQG11" s="487"/>
      <c r="AQH11" s="487"/>
      <c r="AQI11" s="487"/>
      <c r="AQJ11" s="487"/>
      <c r="AQK11" s="487"/>
      <c r="AQL11" s="487"/>
      <c r="AQM11" s="487"/>
      <c r="AQN11" s="487"/>
      <c r="AQO11" s="487"/>
      <c r="AQP11" s="487"/>
      <c r="AQQ11" s="487"/>
      <c r="AQR11" s="487"/>
      <c r="AQS11" s="487"/>
      <c r="AQT11" s="487"/>
      <c r="AQU11" s="487"/>
      <c r="AQV11" s="487"/>
      <c r="AQW11" s="487"/>
      <c r="AQX11" s="487"/>
      <c r="AQY11" s="487"/>
      <c r="AQZ11" s="487"/>
      <c r="ARA11" s="487"/>
      <c r="ARB11" s="487"/>
      <c r="ARC11" s="487"/>
      <c r="ARD11" s="487"/>
      <c r="ARE11" s="487"/>
      <c r="ARF11" s="487"/>
      <c r="ARG11" s="487"/>
      <c r="ARH11" s="487"/>
      <c r="ARI11" s="487"/>
      <c r="ARJ11" s="487"/>
      <c r="ARK11" s="487"/>
      <c r="ARL11" s="487"/>
      <c r="ARM11" s="487"/>
      <c r="ARN11" s="487"/>
      <c r="ARO11" s="487"/>
      <c r="ARP11" s="487"/>
      <c r="ARQ11" s="487"/>
      <c r="ARR11" s="487"/>
      <c r="ARS11" s="487"/>
      <c r="ART11" s="487"/>
      <c r="ARU11" s="487"/>
      <c r="ARV11" s="487"/>
      <c r="ARW11" s="487"/>
      <c r="ARX11" s="487"/>
      <c r="ARY11" s="487"/>
      <c r="ARZ11" s="487"/>
      <c r="ASA11" s="487"/>
      <c r="ASB11" s="487"/>
      <c r="ASC11" s="487"/>
      <c r="ASD11" s="487"/>
      <c r="ASE11" s="487"/>
      <c r="ASF11" s="487"/>
      <c r="ASG11" s="487"/>
      <c r="ASH11" s="487"/>
      <c r="ASI11" s="487"/>
      <c r="ASJ11" s="487"/>
      <c r="ASK11" s="487"/>
      <c r="ASL11" s="487"/>
      <c r="ASM11" s="487"/>
      <c r="ASN11" s="487"/>
      <c r="ASO11" s="487"/>
      <c r="ASP11" s="487"/>
      <c r="ASQ11" s="487"/>
      <c r="ASR11" s="487"/>
      <c r="ASS11" s="487"/>
      <c r="AST11" s="487"/>
      <c r="ASU11" s="487"/>
      <c r="ASV11" s="487"/>
      <c r="ASW11" s="487"/>
      <c r="ASX11" s="487"/>
      <c r="ASY11" s="487"/>
      <c r="ASZ11" s="487"/>
      <c r="ATA11" s="487"/>
      <c r="ATB11" s="487"/>
      <c r="ATC11" s="487"/>
      <c r="ATD11" s="487"/>
      <c r="ATE11" s="487"/>
      <c r="ATF11" s="487"/>
      <c r="ATG11" s="487"/>
      <c r="ATH11" s="487"/>
      <c r="ATI11" s="487"/>
      <c r="ATJ11" s="487"/>
      <c r="ATK11" s="487"/>
      <c r="ATL11" s="487"/>
      <c r="ATM11" s="487"/>
      <c r="ATN11" s="487"/>
      <c r="ATO11" s="487"/>
      <c r="ATP11" s="487"/>
      <c r="ATQ11" s="487"/>
      <c r="ATR11" s="487"/>
      <c r="ATS11" s="487"/>
      <c r="ATT11" s="487"/>
      <c r="ATU11" s="487"/>
      <c r="ATV11" s="487"/>
      <c r="ATW11" s="487"/>
      <c r="ATX11" s="487"/>
      <c r="ATY11" s="487"/>
      <c r="ATZ11" s="487"/>
      <c r="AUA11" s="487"/>
      <c r="AUB11" s="487"/>
      <c r="AUC11" s="487"/>
      <c r="AUD11" s="487"/>
      <c r="AUE11" s="487"/>
      <c r="AUF11" s="487"/>
      <c r="AUG11" s="487"/>
      <c r="AUH11" s="487"/>
      <c r="AUI11" s="487"/>
      <c r="AUJ11" s="487"/>
      <c r="AUK11" s="487"/>
      <c r="AUL11" s="487"/>
      <c r="AUM11" s="487"/>
      <c r="AUN11" s="487"/>
      <c r="AUO11" s="487"/>
      <c r="AUP11" s="487"/>
      <c r="AUQ11" s="487"/>
      <c r="AUR11" s="487"/>
      <c r="AUS11" s="487"/>
      <c r="AUT11" s="487"/>
      <c r="AUU11" s="487"/>
      <c r="AUV11" s="487"/>
      <c r="AUW11" s="487"/>
      <c r="AUX11" s="487"/>
      <c r="AUY11" s="487"/>
      <c r="AUZ11" s="487"/>
      <c r="AVA11" s="487"/>
      <c r="AVB11" s="487"/>
      <c r="AVC11" s="487"/>
      <c r="AVD11" s="487"/>
      <c r="AVE11" s="487"/>
      <c r="AVF11" s="487"/>
      <c r="AVG11" s="487"/>
    </row>
    <row r="12" spans="1:1255" s="488" customFormat="1" ht="32.1" customHeight="1">
      <c r="A12" s="470">
        <v>9</v>
      </c>
      <c r="B12" s="471" t="e">
        <f>IF(Elect=1,1,0)</f>
        <v>#NAME?</v>
      </c>
      <c r="C12" s="472" t="str">
        <f>"Electrical reference devise" &amp; '1Test Data'!$O$3 &amp;  CHAR(10) &amp; "SN: " &amp; '1Test Data'!$P$3 &amp; ", Cert No: " &amp; '1Test Data'!$Q$3</f>
        <v>Electrical reference devisea
SN: b, Cert No: c</v>
      </c>
      <c r="D12" s="471" t="s">
        <v>395</v>
      </c>
      <c r="E12" s="473">
        <f>ElectUncert</f>
        <v>2E-3</v>
      </c>
      <c r="F12" s="474" t="e">
        <f>IF(OR(E12="",B12=0),"",ReadoutType)</f>
        <v>#NAME?</v>
      </c>
      <c r="G12" s="475" t="e">
        <f t="shared" si="3"/>
        <v>#NAME?</v>
      </c>
      <c r="H12" s="476" t="e">
        <f t="shared" si="4"/>
        <v>#NAME?</v>
      </c>
      <c r="I12" s="477">
        <f t="shared" si="5"/>
        <v>100</v>
      </c>
      <c r="J12" s="478" t="e">
        <f t="shared" si="6"/>
        <v>#NAME?</v>
      </c>
      <c r="K12" s="479" t="e">
        <f>Capacity/(Upper-Lower)</f>
        <v>#NAME?</v>
      </c>
      <c r="L12" s="480" t="e">
        <f t="shared" si="7"/>
        <v>#NAME?</v>
      </c>
      <c r="M12" s="480" t="e">
        <f t="shared" si="0"/>
        <v>#NAME?</v>
      </c>
      <c r="N12" s="481" t="e">
        <f t="shared" si="1"/>
        <v>#NAME?</v>
      </c>
      <c r="O12" s="482" t="e">
        <f t="shared" si="2"/>
        <v>#NAME?</v>
      </c>
      <c r="P12" s="464" t="s">
        <v>396</v>
      </c>
      <c r="Q12" s="483">
        <f ca="1">VLOOKUP(VLOOKUP(I1,Worksheet!$A$18:$B$31,2),'1Test Data'!$O$30:$AF$49,18,0)</f>
        <v>-4.1031056692041199E-5</v>
      </c>
      <c r="R12" s="484" t="e">
        <f t="shared" si="8"/>
        <v>#NAME?</v>
      </c>
      <c r="S12" s="465" t="e">
        <f t="shared" si="9"/>
        <v>#NAME?</v>
      </c>
      <c r="T12" s="465" t="e">
        <f>IF(OR(E12="",B12=0),"",ABS(L12/S16))</f>
        <v>#NAME?</v>
      </c>
      <c r="U12" s="485"/>
      <c r="V12" s="486"/>
      <c r="W12" s="486"/>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7"/>
      <c r="EZ12" s="487"/>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7"/>
      <c r="FZ12" s="487"/>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7"/>
      <c r="GZ12" s="487"/>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7"/>
      <c r="HZ12" s="487"/>
      <c r="IA12" s="487"/>
      <c r="IB12" s="487"/>
      <c r="IC12" s="487"/>
      <c r="ID12" s="487"/>
      <c r="IE12" s="487"/>
      <c r="IF12" s="487"/>
      <c r="IG12" s="487"/>
      <c r="IH12" s="487"/>
      <c r="II12" s="487"/>
      <c r="IJ12" s="487"/>
      <c r="IK12" s="487"/>
      <c r="IL12" s="487"/>
      <c r="IM12" s="487"/>
      <c r="IN12" s="487"/>
      <c r="IO12" s="487"/>
      <c r="IP12" s="487"/>
      <c r="IQ12" s="487"/>
      <c r="IR12" s="487"/>
      <c r="IS12" s="487"/>
      <c r="IT12" s="487"/>
      <c r="IU12" s="487"/>
      <c r="IV12" s="487"/>
      <c r="IW12" s="487"/>
      <c r="IX12" s="487"/>
      <c r="IY12" s="487"/>
      <c r="IZ12" s="487"/>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7"/>
      <c r="JZ12" s="487"/>
      <c r="KA12" s="487"/>
      <c r="KB12" s="487"/>
      <c r="KC12" s="487"/>
      <c r="KD12" s="487"/>
      <c r="KE12" s="487"/>
      <c r="KF12" s="487"/>
      <c r="KG12" s="487"/>
      <c r="KH12" s="487"/>
      <c r="KI12" s="487"/>
      <c r="KJ12" s="487"/>
      <c r="KK12" s="487"/>
      <c r="KL12" s="487"/>
      <c r="KM12" s="487"/>
      <c r="KN12" s="487"/>
      <c r="KO12" s="487"/>
      <c r="KP12" s="487"/>
      <c r="KQ12" s="487"/>
      <c r="KR12" s="487"/>
      <c r="KS12" s="487"/>
      <c r="KT12" s="487"/>
      <c r="KU12" s="487"/>
      <c r="KV12" s="487"/>
      <c r="KW12" s="487"/>
      <c r="KX12" s="487"/>
      <c r="KY12" s="487"/>
      <c r="KZ12" s="487"/>
      <c r="LA12" s="487"/>
      <c r="LB12" s="487"/>
      <c r="LC12" s="487"/>
      <c r="LD12" s="487"/>
      <c r="LE12" s="487"/>
      <c r="LF12" s="487"/>
      <c r="LG12" s="487"/>
      <c r="LH12" s="487"/>
      <c r="LI12" s="487"/>
      <c r="LJ12" s="487"/>
      <c r="LK12" s="487"/>
      <c r="LL12" s="487"/>
      <c r="LM12" s="487"/>
      <c r="LN12" s="487"/>
      <c r="LO12" s="487"/>
      <c r="LP12" s="487"/>
      <c r="LQ12" s="487"/>
      <c r="LR12" s="487"/>
      <c r="LS12" s="487"/>
      <c r="LT12" s="487"/>
      <c r="LU12" s="487"/>
      <c r="LV12" s="487"/>
      <c r="LW12" s="487"/>
      <c r="LX12" s="487"/>
      <c r="LY12" s="487"/>
      <c r="LZ12" s="487"/>
      <c r="MA12" s="487"/>
      <c r="MB12" s="487"/>
      <c r="MC12" s="487"/>
      <c r="MD12" s="487"/>
      <c r="ME12" s="487"/>
      <c r="MF12" s="487"/>
      <c r="MG12" s="487"/>
      <c r="MH12" s="487"/>
      <c r="MI12" s="487"/>
      <c r="MJ12" s="487"/>
      <c r="MK12" s="487"/>
      <c r="ML12" s="487"/>
      <c r="MM12" s="487"/>
      <c r="MN12" s="487"/>
      <c r="MO12" s="487"/>
      <c r="MP12" s="487"/>
      <c r="MQ12" s="487"/>
      <c r="MR12" s="487"/>
      <c r="MS12" s="487"/>
      <c r="MT12" s="487"/>
      <c r="MU12" s="487"/>
      <c r="MV12" s="487"/>
      <c r="MW12" s="487"/>
      <c r="MX12" s="487"/>
      <c r="MY12" s="487"/>
      <c r="MZ12" s="487"/>
      <c r="NA12" s="487"/>
      <c r="NB12" s="487"/>
      <c r="NC12" s="487"/>
      <c r="ND12" s="487"/>
      <c r="NE12" s="487"/>
      <c r="NF12" s="487"/>
      <c r="NG12" s="487"/>
      <c r="NH12" s="487"/>
      <c r="NI12" s="487"/>
      <c r="NJ12" s="487"/>
      <c r="NK12" s="487"/>
      <c r="NL12" s="487"/>
      <c r="NM12" s="487"/>
      <c r="NN12" s="487"/>
      <c r="NO12" s="487"/>
      <c r="NP12" s="487"/>
      <c r="NQ12" s="487"/>
      <c r="NR12" s="487"/>
      <c r="NS12" s="487"/>
      <c r="NT12" s="487"/>
      <c r="NU12" s="487"/>
      <c r="NV12" s="487"/>
      <c r="NW12" s="487"/>
      <c r="NX12" s="487"/>
      <c r="NY12" s="487"/>
      <c r="NZ12" s="487"/>
      <c r="OA12" s="487"/>
      <c r="OB12" s="487"/>
      <c r="OC12" s="487"/>
      <c r="OD12" s="487"/>
      <c r="OE12" s="487"/>
      <c r="OF12" s="487"/>
      <c r="OG12" s="487"/>
      <c r="OH12" s="487"/>
      <c r="OI12" s="487"/>
      <c r="OJ12" s="487"/>
      <c r="OK12" s="487"/>
      <c r="OL12" s="487"/>
      <c r="OM12" s="487"/>
      <c r="ON12" s="487"/>
      <c r="OO12" s="487"/>
      <c r="OP12" s="487"/>
      <c r="OQ12" s="487"/>
      <c r="OR12" s="487"/>
      <c r="OS12" s="487"/>
      <c r="OT12" s="487"/>
      <c r="OU12" s="487"/>
      <c r="OV12" s="487"/>
      <c r="OW12" s="487"/>
      <c r="OX12" s="487"/>
      <c r="OY12" s="487"/>
      <c r="OZ12" s="487"/>
      <c r="PA12" s="487"/>
      <c r="PB12" s="487"/>
      <c r="PC12" s="487"/>
      <c r="PD12" s="487"/>
      <c r="PE12" s="487"/>
      <c r="PF12" s="487"/>
      <c r="PG12" s="487"/>
      <c r="PH12" s="487"/>
      <c r="PI12" s="487"/>
      <c r="PJ12" s="487"/>
      <c r="PK12" s="487"/>
      <c r="PL12" s="487"/>
      <c r="PM12" s="487"/>
      <c r="PN12" s="487"/>
      <c r="PO12" s="487"/>
      <c r="PP12" s="487"/>
      <c r="PQ12" s="487"/>
      <c r="PR12" s="487"/>
      <c r="PS12" s="487"/>
      <c r="PT12" s="487"/>
      <c r="PU12" s="487"/>
      <c r="PV12" s="487"/>
      <c r="PW12" s="487"/>
      <c r="PX12" s="487"/>
      <c r="PY12" s="487"/>
      <c r="PZ12" s="487"/>
      <c r="QA12" s="487"/>
      <c r="QB12" s="487"/>
      <c r="QC12" s="487"/>
      <c r="QD12" s="487"/>
      <c r="QE12" s="487"/>
      <c r="QF12" s="487"/>
      <c r="QG12" s="487"/>
      <c r="QH12" s="487"/>
      <c r="QI12" s="487"/>
      <c r="QJ12" s="487"/>
      <c r="QK12" s="487"/>
      <c r="QL12" s="487"/>
      <c r="QM12" s="487"/>
      <c r="QN12" s="487"/>
      <c r="QO12" s="487"/>
      <c r="QP12" s="487"/>
      <c r="QQ12" s="487"/>
      <c r="QR12" s="487"/>
      <c r="QS12" s="487"/>
      <c r="QT12" s="487"/>
      <c r="QU12" s="487"/>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7"/>
      <c r="RV12" s="487"/>
      <c r="RW12" s="487"/>
      <c r="RX12" s="487"/>
      <c r="RY12" s="487"/>
      <c r="RZ12" s="487"/>
      <c r="SA12" s="487"/>
      <c r="SB12" s="487"/>
      <c r="SC12" s="487"/>
      <c r="SD12" s="487"/>
      <c r="SE12" s="487"/>
      <c r="SF12" s="487"/>
      <c r="SG12" s="487"/>
      <c r="SH12" s="487"/>
      <c r="SI12" s="487"/>
      <c r="SJ12" s="487"/>
      <c r="SK12" s="487"/>
      <c r="SL12" s="487"/>
      <c r="SM12" s="487"/>
      <c r="SN12" s="487"/>
      <c r="SO12" s="487"/>
      <c r="SP12" s="487"/>
      <c r="SQ12" s="487"/>
      <c r="SR12" s="487"/>
      <c r="SS12" s="487"/>
      <c r="ST12" s="487"/>
      <c r="SU12" s="487"/>
      <c r="SV12" s="487"/>
      <c r="SW12" s="487"/>
      <c r="SX12" s="487"/>
      <c r="SY12" s="487"/>
      <c r="SZ12" s="487"/>
      <c r="TA12" s="487"/>
      <c r="TB12" s="487"/>
      <c r="TC12" s="487"/>
      <c r="TD12" s="487"/>
      <c r="TE12" s="487"/>
      <c r="TF12" s="487"/>
      <c r="TG12" s="487"/>
      <c r="TH12" s="487"/>
      <c r="TI12" s="487"/>
      <c r="TJ12" s="487"/>
      <c r="TK12" s="487"/>
      <c r="TL12" s="487"/>
      <c r="TM12" s="487"/>
      <c r="TN12" s="487"/>
      <c r="TO12" s="487"/>
      <c r="TP12" s="487"/>
      <c r="TQ12" s="487"/>
      <c r="TR12" s="487"/>
      <c r="TS12" s="487"/>
      <c r="TT12" s="487"/>
      <c r="TU12" s="487"/>
      <c r="TV12" s="487"/>
      <c r="TW12" s="487"/>
      <c r="TX12" s="487"/>
      <c r="TY12" s="487"/>
      <c r="TZ12" s="487"/>
      <c r="UA12" s="487"/>
      <c r="UB12" s="487"/>
      <c r="UC12" s="487"/>
      <c r="UD12" s="487"/>
      <c r="UE12" s="487"/>
      <c r="UF12" s="487"/>
      <c r="UG12" s="487"/>
      <c r="UH12" s="487"/>
      <c r="UI12" s="487"/>
      <c r="UJ12" s="487"/>
      <c r="UK12" s="487"/>
      <c r="UL12" s="487"/>
      <c r="UM12" s="487"/>
      <c r="UN12" s="487"/>
      <c r="UO12" s="487"/>
      <c r="UP12" s="487"/>
      <c r="UQ12" s="487"/>
      <c r="UR12" s="487"/>
      <c r="US12" s="487"/>
      <c r="UT12" s="487"/>
      <c r="UU12" s="487"/>
      <c r="UV12" s="487"/>
      <c r="UW12" s="487"/>
      <c r="UX12" s="487"/>
      <c r="UY12" s="487"/>
      <c r="UZ12" s="487"/>
      <c r="VA12" s="487"/>
      <c r="VB12" s="487"/>
      <c r="VC12" s="487"/>
      <c r="VD12" s="487"/>
      <c r="VE12" s="487"/>
      <c r="VF12" s="487"/>
      <c r="VG12" s="487"/>
      <c r="VH12" s="487"/>
      <c r="VI12" s="487"/>
      <c r="VJ12" s="487"/>
      <c r="VK12" s="487"/>
      <c r="VL12" s="487"/>
      <c r="VM12" s="487"/>
      <c r="VN12" s="487"/>
      <c r="VO12" s="487"/>
      <c r="VP12" s="487"/>
      <c r="VQ12" s="487"/>
      <c r="VR12" s="487"/>
      <c r="VS12" s="487"/>
      <c r="VT12" s="487"/>
      <c r="VU12" s="487"/>
      <c r="VV12" s="487"/>
      <c r="VW12" s="487"/>
      <c r="VX12" s="487"/>
      <c r="VY12" s="487"/>
      <c r="VZ12" s="487"/>
      <c r="WA12" s="487"/>
      <c r="WB12" s="487"/>
      <c r="WC12" s="487"/>
      <c r="WD12" s="487"/>
      <c r="WE12" s="487"/>
      <c r="WF12" s="487"/>
      <c r="WG12" s="487"/>
      <c r="WH12" s="487"/>
      <c r="WI12" s="487"/>
      <c r="WJ12" s="487"/>
      <c r="WK12" s="487"/>
      <c r="WL12" s="487"/>
      <c r="WM12" s="487"/>
      <c r="WN12" s="487"/>
      <c r="WO12" s="487"/>
      <c r="WP12" s="487"/>
      <c r="WQ12" s="487"/>
      <c r="WR12" s="487"/>
      <c r="WS12" s="487"/>
      <c r="WT12" s="487"/>
      <c r="WU12" s="487"/>
      <c r="WV12" s="487"/>
      <c r="WW12" s="487"/>
      <c r="WX12" s="487"/>
      <c r="WY12" s="487"/>
      <c r="WZ12" s="487"/>
      <c r="XA12" s="487"/>
      <c r="XB12" s="487"/>
      <c r="XC12" s="487"/>
      <c r="XD12" s="487"/>
      <c r="XE12" s="487"/>
      <c r="XF12" s="487"/>
      <c r="XG12" s="487"/>
      <c r="XH12" s="487"/>
      <c r="XI12" s="487"/>
      <c r="XJ12" s="487"/>
      <c r="XK12" s="487"/>
      <c r="XL12" s="487"/>
      <c r="XM12" s="487"/>
      <c r="XN12" s="487"/>
      <c r="XO12" s="487"/>
      <c r="XP12" s="487"/>
      <c r="XQ12" s="487"/>
      <c r="XR12" s="487"/>
      <c r="XS12" s="487"/>
      <c r="XT12" s="487"/>
      <c r="XU12" s="487"/>
      <c r="XV12" s="487"/>
      <c r="XW12" s="487"/>
      <c r="XX12" s="487"/>
      <c r="XY12" s="487"/>
      <c r="XZ12" s="487"/>
      <c r="YA12" s="487"/>
      <c r="YB12" s="487"/>
      <c r="YC12" s="487"/>
      <c r="YD12" s="487"/>
      <c r="YE12" s="487"/>
      <c r="YF12" s="487"/>
      <c r="YG12" s="487"/>
      <c r="YH12" s="487"/>
      <c r="YI12" s="487"/>
      <c r="YJ12" s="487"/>
      <c r="YK12" s="487"/>
      <c r="YL12" s="487"/>
      <c r="YM12" s="487"/>
      <c r="YN12" s="487"/>
      <c r="YO12" s="487"/>
      <c r="YP12" s="487"/>
      <c r="YQ12" s="487"/>
      <c r="YR12" s="487"/>
      <c r="YS12" s="487"/>
      <c r="YT12" s="487"/>
      <c r="YU12" s="487"/>
      <c r="YV12" s="487"/>
      <c r="YW12" s="487"/>
      <c r="YX12" s="487"/>
      <c r="YY12" s="487"/>
      <c r="YZ12" s="487"/>
      <c r="ZA12" s="487"/>
      <c r="ZB12" s="487"/>
      <c r="ZC12" s="487"/>
      <c r="ZD12" s="487"/>
      <c r="ZE12" s="487"/>
      <c r="ZF12" s="487"/>
      <c r="ZG12" s="487"/>
      <c r="ZH12" s="487"/>
      <c r="ZI12" s="487"/>
      <c r="ZJ12" s="487"/>
      <c r="ZK12" s="487"/>
      <c r="ZL12" s="487"/>
      <c r="ZM12" s="487"/>
      <c r="ZN12" s="487"/>
      <c r="ZO12" s="487"/>
      <c r="ZP12" s="487"/>
      <c r="ZQ12" s="487"/>
      <c r="ZR12" s="487"/>
      <c r="ZS12" s="487"/>
      <c r="ZT12" s="487"/>
      <c r="ZU12" s="487"/>
      <c r="ZV12" s="487"/>
      <c r="ZW12" s="487"/>
      <c r="ZX12" s="487"/>
      <c r="ZY12" s="487"/>
      <c r="ZZ12" s="487"/>
      <c r="AAA12" s="487"/>
      <c r="AAB12" s="487"/>
      <c r="AAC12" s="487"/>
      <c r="AAD12" s="487"/>
      <c r="AAE12" s="487"/>
      <c r="AAF12" s="487"/>
      <c r="AAG12" s="487"/>
      <c r="AAH12" s="487"/>
      <c r="AAI12" s="487"/>
      <c r="AAJ12" s="487"/>
      <c r="AAK12" s="487"/>
      <c r="AAL12" s="487"/>
      <c r="AAM12" s="487"/>
      <c r="AAN12" s="487"/>
      <c r="AAO12" s="487"/>
      <c r="AAP12" s="487"/>
      <c r="AAQ12" s="487"/>
      <c r="AAR12" s="487"/>
      <c r="AAS12" s="487"/>
      <c r="AAT12" s="487"/>
      <c r="AAU12" s="487"/>
      <c r="AAV12" s="487"/>
      <c r="AAW12" s="487"/>
      <c r="AAX12" s="487"/>
      <c r="AAY12" s="487"/>
      <c r="AAZ12" s="487"/>
      <c r="ABA12" s="487"/>
      <c r="ABB12" s="487"/>
      <c r="ABC12" s="487"/>
      <c r="ABD12" s="487"/>
      <c r="ABE12" s="487"/>
      <c r="ABF12" s="487"/>
      <c r="ABG12" s="487"/>
      <c r="ABH12" s="487"/>
      <c r="ABI12" s="487"/>
      <c r="ABJ12" s="487"/>
      <c r="ABK12" s="487"/>
      <c r="ABL12" s="487"/>
      <c r="ABM12" s="487"/>
      <c r="ABN12" s="487"/>
      <c r="ABO12" s="487"/>
      <c r="ABP12" s="487"/>
      <c r="ABQ12" s="487"/>
      <c r="ABR12" s="487"/>
      <c r="ABS12" s="487"/>
      <c r="ABT12" s="487"/>
      <c r="ABU12" s="487"/>
      <c r="ABV12" s="487"/>
      <c r="ABW12" s="487"/>
      <c r="ABX12" s="487"/>
      <c r="ABY12" s="487"/>
      <c r="ABZ12" s="487"/>
      <c r="ACA12" s="487"/>
      <c r="ACB12" s="487"/>
      <c r="ACC12" s="487"/>
      <c r="ACD12" s="487"/>
      <c r="ACE12" s="487"/>
      <c r="ACF12" s="487"/>
      <c r="ACG12" s="487"/>
      <c r="ACH12" s="487"/>
      <c r="ACI12" s="487"/>
      <c r="ACJ12" s="487"/>
      <c r="ACK12" s="487"/>
      <c r="ACL12" s="487"/>
      <c r="ACM12" s="487"/>
      <c r="ACN12" s="487"/>
      <c r="ACO12" s="487"/>
      <c r="ACP12" s="487"/>
      <c r="ACQ12" s="487"/>
      <c r="ACR12" s="487"/>
      <c r="ACS12" s="487"/>
      <c r="ACT12" s="487"/>
      <c r="ACU12" s="487"/>
      <c r="ACV12" s="487"/>
      <c r="ACW12" s="487"/>
      <c r="ACX12" s="487"/>
      <c r="ACY12" s="487"/>
      <c r="ACZ12" s="487"/>
      <c r="ADA12" s="487"/>
      <c r="ADB12" s="487"/>
      <c r="ADC12" s="487"/>
      <c r="ADD12" s="487"/>
      <c r="ADE12" s="487"/>
      <c r="ADF12" s="487"/>
      <c r="ADG12" s="487"/>
      <c r="ADH12" s="487"/>
      <c r="ADI12" s="487"/>
      <c r="ADJ12" s="487"/>
      <c r="ADK12" s="487"/>
      <c r="ADL12" s="487"/>
      <c r="ADM12" s="487"/>
      <c r="ADN12" s="487"/>
      <c r="ADO12" s="487"/>
      <c r="ADP12" s="487"/>
      <c r="ADQ12" s="487"/>
      <c r="ADR12" s="487"/>
      <c r="ADS12" s="487"/>
      <c r="ADT12" s="487"/>
      <c r="ADU12" s="487"/>
      <c r="ADV12" s="487"/>
      <c r="ADW12" s="487"/>
      <c r="ADX12" s="487"/>
      <c r="ADY12" s="487"/>
      <c r="ADZ12" s="487"/>
      <c r="AEA12" s="487"/>
      <c r="AEB12" s="487"/>
      <c r="AEC12" s="487"/>
      <c r="AED12" s="487"/>
      <c r="AEE12" s="487"/>
      <c r="AEF12" s="487"/>
      <c r="AEG12" s="487"/>
      <c r="AEH12" s="487"/>
      <c r="AEI12" s="487"/>
      <c r="AEJ12" s="487"/>
      <c r="AEK12" s="487"/>
      <c r="AEL12" s="487"/>
      <c r="AEM12" s="487"/>
      <c r="AEN12" s="487"/>
      <c r="AEO12" s="487"/>
      <c r="AEP12" s="487"/>
      <c r="AEQ12" s="487"/>
      <c r="AER12" s="487"/>
      <c r="AES12" s="487"/>
      <c r="AET12" s="487"/>
      <c r="AEU12" s="487"/>
      <c r="AEV12" s="487"/>
      <c r="AEW12" s="487"/>
      <c r="AEX12" s="487"/>
      <c r="AEY12" s="487"/>
      <c r="AEZ12" s="487"/>
      <c r="AFA12" s="487"/>
      <c r="AFB12" s="487"/>
      <c r="AFC12" s="487"/>
      <c r="AFD12" s="487"/>
      <c r="AFE12" s="487"/>
      <c r="AFF12" s="487"/>
      <c r="AFG12" s="487"/>
      <c r="AFH12" s="487"/>
      <c r="AFI12" s="487"/>
      <c r="AFJ12" s="487"/>
      <c r="AFK12" s="487"/>
      <c r="AFL12" s="487"/>
      <c r="AFM12" s="487"/>
      <c r="AFN12" s="487"/>
      <c r="AFO12" s="487"/>
      <c r="AFP12" s="487"/>
      <c r="AFQ12" s="487"/>
      <c r="AFR12" s="487"/>
      <c r="AFS12" s="487"/>
      <c r="AFT12" s="487"/>
      <c r="AFU12" s="487"/>
      <c r="AFV12" s="487"/>
      <c r="AFW12" s="487"/>
      <c r="AFX12" s="487"/>
      <c r="AFY12" s="487"/>
      <c r="AFZ12" s="487"/>
      <c r="AGA12" s="487"/>
      <c r="AGB12" s="487"/>
      <c r="AGC12" s="487"/>
      <c r="AGD12" s="487"/>
      <c r="AGE12" s="487"/>
      <c r="AGF12" s="487"/>
      <c r="AGG12" s="487"/>
      <c r="AGH12" s="487"/>
      <c r="AGI12" s="487"/>
      <c r="AGJ12" s="487"/>
      <c r="AGK12" s="487"/>
      <c r="AGL12" s="487"/>
      <c r="AGM12" s="487"/>
      <c r="AGN12" s="487"/>
      <c r="AGO12" s="487"/>
      <c r="AGP12" s="487"/>
      <c r="AGQ12" s="487"/>
      <c r="AGR12" s="487"/>
      <c r="AGS12" s="487"/>
      <c r="AGT12" s="487"/>
      <c r="AGU12" s="487"/>
      <c r="AGV12" s="487"/>
      <c r="AGW12" s="487"/>
      <c r="AGX12" s="487"/>
      <c r="AGY12" s="487"/>
      <c r="AGZ12" s="487"/>
      <c r="AHA12" s="487"/>
      <c r="AHB12" s="487"/>
      <c r="AHC12" s="487"/>
      <c r="AHD12" s="487"/>
      <c r="AHE12" s="487"/>
      <c r="AHF12" s="487"/>
      <c r="AHG12" s="487"/>
      <c r="AHH12" s="487"/>
      <c r="AHI12" s="487"/>
      <c r="AHJ12" s="487"/>
      <c r="AHK12" s="487"/>
      <c r="AHL12" s="487"/>
      <c r="AHM12" s="487"/>
      <c r="AHN12" s="487"/>
      <c r="AHO12" s="487"/>
      <c r="AHP12" s="487"/>
      <c r="AHQ12" s="487"/>
      <c r="AHR12" s="487"/>
      <c r="AHS12" s="487"/>
      <c r="AHT12" s="487"/>
      <c r="AHU12" s="487"/>
      <c r="AHV12" s="487"/>
      <c r="AHW12" s="487"/>
      <c r="AHX12" s="487"/>
      <c r="AHY12" s="487"/>
      <c r="AHZ12" s="487"/>
      <c r="AIA12" s="487"/>
      <c r="AIB12" s="487"/>
      <c r="AIC12" s="487"/>
      <c r="AID12" s="487"/>
      <c r="AIE12" s="487"/>
      <c r="AIF12" s="487"/>
      <c r="AIG12" s="487"/>
      <c r="AIH12" s="487"/>
      <c r="AII12" s="487"/>
      <c r="AIJ12" s="487"/>
      <c r="AIK12" s="487"/>
      <c r="AIL12" s="487"/>
      <c r="AIM12" s="487"/>
      <c r="AIN12" s="487"/>
      <c r="AIO12" s="487"/>
      <c r="AIP12" s="487"/>
      <c r="AIQ12" s="487"/>
      <c r="AIR12" s="487"/>
      <c r="AIS12" s="487"/>
      <c r="AIT12" s="487"/>
      <c r="AIU12" s="487"/>
      <c r="AIV12" s="487"/>
      <c r="AIW12" s="487"/>
      <c r="AIX12" s="487"/>
      <c r="AIY12" s="487"/>
      <c r="AIZ12" s="487"/>
      <c r="AJA12" s="487"/>
      <c r="AJB12" s="487"/>
      <c r="AJC12" s="487"/>
      <c r="AJD12" s="487"/>
      <c r="AJE12" s="487"/>
      <c r="AJF12" s="487"/>
      <c r="AJG12" s="487"/>
      <c r="AJH12" s="487"/>
      <c r="AJI12" s="487"/>
      <c r="AJJ12" s="487"/>
      <c r="AJK12" s="487"/>
      <c r="AJL12" s="487"/>
      <c r="AJM12" s="487"/>
      <c r="AJN12" s="487"/>
      <c r="AJO12" s="487"/>
      <c r="AJP12" s="487"/>
      <c r="AJQ12" s="487"/>
      <c r="AJR12" s="487"/>
      <c r="AJS12" s="487"/>
      <c r="AJT12" s="487"/>
      <c r="AJU12" s="487"/>
      <c r="AJV12" s="487"/>
      <c r="AJW12" s="487"/>
      <c r="AJX12" s="487"/>
      <c r="AJY12" s="487"/>
      <c r="AJZ12" s="487"/>
      <c r="AKA12" s="487"/>
      <c r="AKB12" s="487"/>
      <c r="AKC12" s="487"/>
      <c r="AKD12" s="487"/>
      <c r="AKE12" s="487"/>
      <c r="AKF12" s="487"/>
      <c r="AKG12" s="487"/>
      <c r="AKH12" s="487"/>
      <c r="AKI12" s="487"/>
      <c r="AKJ12" s="487"/>
      <c r="AKK12" s="487"/>
      <c r="AKL12" s="487"/>
      <c r="AKM12" s="487"/>
      <c r="AKN12" s="487"/>
      <c r="AKO12" s="487"/>
      <c r="AKP12" s="487"/>
      <c r="AKQ12" s="487"/>
      <c r="AKR12" s="487"/>
      <c r="AKS12" s="487"/>
      <c r="AKT12" s="487"/>
      <c r="AKU12" s="487"/>
      <c r="AKV12" s="487"/>
      <c r="AKW12" s="487"/>
      <c r="AKX12" s="487"/>
      <c r="AKY12" s="487"/>
      <c r="AKZ12" s="487"/>
      <c r="ALA12" s="487"/>
      <c r="ALB12" s="487"/>
      <c r="ALC12" s="487"/>
      <c r="ALD12" s="487"/>
      <c r="ALE12" s="487"/>
      <c r="ALF12" s="487"/>
      <c r="ALG12" s="487"/>
      <c r="ALH12" s="487"/>
      <c r="ALI12" s="487"/>
      <c r="ALJ12" s="487"/>
      <c r="ALK12" s="487"/>
      <c r="ALL12" s="487"/>
      <c r="ALM12" s="487"/>
      <c r="ALN12" s="487"/>
      <c r="ALO12" s="487"/>
      <c r="ALP12" s="487"/>
      <c r="ALQ12" s="487"/>
      <c r="ALR12" s="487"/>
      <c r="ALS12" s="487"/>
      <c r="ALT12" s="487"/>
      <c r="ALU12" s="487"/>
      <c r="ALV12" s="487"/>
      <c r="ALW12" s="487"/>
      <c r="ALX12" s="487"/>
      <c r="ALY12" s="487"/>
      <c r="ALZ12" s="487"/>
      <c r="AMA12" s="487"/>
      <c r="AMB12" s="487"/>
      <c r="AMC12" s="487"/>
      <c r="AMD12" s="487"/>
      <c r="AME12" s="487"/>
      <c r="AMF12" s="487"/>
      <c r="AMG12" s="487"/>
      <c r="AMH12" s="487"/>
      <c r="AMI12" s="487"/>
      <c r="AMJ12" s="487"/>
      <c r="AMK12" s="487"/>
      <c r="AML12" s="487"/>
      <c r="AMM12" s="487"/>
      <c r="AMN12" s="487"/>
      <c r="AMO12" s="487"/>
      <c r="AMP12" s="487"/>
      <c r="AMQ12" s="487"/>
      <c r="AMR12" s="487"/>
      <c r="AMS12" s="487"/>
      <c r="AMT12" s="487"/>
      <c r="AMU12" s="487"/>
      <c r="AMV12" s="487"/>
      <c r="AMW12" s="487"/>
      <c r="AMX12" s="487"/>
      <c r="AMY12" s="487"/>
      <c r="AMZ12" s="487"/>
      <c r="ANA12" s="487"/>
      <c r="ANB12" s="487"/>
      <c r="ANC12" s="487"/>
      <c r="AND12" s="487"/>
      <c r="ANE12" s="487"/>
      <c r="ANF12" s="487"/>
      <c r="ANG12" s="487"/>
      <c r="ANH12" s="487"/>
      <c r="ANI12" s="487"/>
      <c r="ANJ12" s="487"/>
      <c r="ANK12" s="487"/>
      <c r="ANL12" s="487"/>
      <c r="ANM12" s="487"/>
      <c r="ANN12" s="487"/>
      <c r="ANO12" s="487"/>
      <c r="ANP12" s="487"/>
      <c r="ANQ12" s="487"/>
      <c r="ANR12" s="487"/>
      <c r="ANS12" s="487"/>
      <c r="ANT12" s="487"/>
      <c r="ANU12" s="487"/>
      <c r="ANV12" s="487"/>
      <c r="ANW12" s="487"/>
      <c r="ANX12" s="487"/>
      <c r="ANY12" s="487"/>
      <c r="ANZ12" s="487"/>
      <c r="AOA12" s="487"/>
      <c r="AOB12" s="487"/>
      <c r="AOC12" s="487"/>
      <c r="AOD12" s="487"/>
      <c r="AOE12" s="487"/>
      <c r="AOF12" s="487"/>
      <c r="AOG12" s="487"/>
      <c r="AOH12" s="487"/>
      <c r="AOI12" s="487"/>
      <c r="AOJ12" s="487"/>
      <c r="AOK12" s="487"/>
      <c r="AOL12" s="487"/>
      <c r="AOM12" s="487"/>
      <c r="AON12" s="487"/>
      <c r="AOO12" s="487"/>
      <c r="AOP12" s="487"/>
      <c r="AOQ12" s="487"/>
      <c r="AOR12" s="487"/>
      <c r="AOS12" s="487"/>
      <c r="AOT12" s="487"/>
      <c r="AOU12" s="487"/>
      <c r="AOV12" s="487"/>
      <c r="AOW12" s="487"/>
      <c r="AOX12" s="487"/>
      <c r="AOY12" s="487"/>
      <c r="AOZ12" s="487"/>
      <c r="APA12" s="487"/>
      <c r="APB12" s="487"/>
      <c r="APC12" s="487"/>
      <c r="APD12" s="487"/>
      <c r="APE12" s="487"/>
      <c r="APF12" s="487"/>
      <c r="APG12" s="487"/>
      <c r="APH12" s="487"/>
      <c r="API12" s="487"/>
      <c r="APJ12" s="487"/>
      <c r="APK12" s="487"/>
      <c r="APL12" s="487"/>
      <c r="APM12" s="487"/>
      <c r="APN12" s="487"/>
      <c r="APO12" s="487"/>
      <c r="APP12" s="487"/>
      <c r="APQ12" s="487"/>
      <c r="APR12" s="487"/>
      <c r="APS12" s="487"/>
      <c r="APT12" s="487"/>
      <c r="APU12" s="487"/>
      <c r="APV12" s="487"/>
      <c r="APW12" s="487"/>
      <c r="APX12" s="487"/>
      <c r="APY12" s="487"/>
      <c r="APZ12" s="487"/>
      <c r="AQA12" s="487"/>
      <c r="AQB12" s="487"/>
      <c r="AQC12" s="487"/>
      <c r="AQD12" s="487"/>
      <c r="AQE12" s="487"/>
      <c r="AQF12" s="487"/>
      <c r="AQG12" s="487"/>
      <c r="AQH12" s="487"/>
      <c r="AQI12" s="487"/>
      <c r="AQJ12" s="487"/>
      <c r="AQK12" s="487"/>
      <c r="AQL12" s="487"/>
      <c r="AQM12" s="487"/>
      <c r="AQN12" s="487"/>
      <c r="AQO12" s="487"/>
      <c r="AQP12" s="487"/>
      <c r="AQQ12" s="487"/>
      <c r="AQR12" s="487"/>
      <c r="AQS12" s="487"/>
      <c r="AQT12" s="487"/>
      <c r="AQU12" s="487"/>
      <c r="AQV12" s="487"/>
      <c r="AQW12" s="487"/>
      <c r="AQX12" s="487"/>
      <c r="AQY12" s="487"/>
      <c r="AQZ12" s="487"/>
      <c r="ARA12" s="487"/>
      <c r="ARB12" s="487"/>
      <c r="ARC12" s="487"/>
      <c r="ARD12" s="487"/>
      <c r="ARE12" s="487"/>
      <c r="ARF12" s="487"/>
      <c r="ARG12" s="487"/>
      <c r="ARH12" s="487"/>
      <c r="ARI12" s="487"/>
      <c r="ARJ12" s="487"/>
      <c r="ARK12" s="487"/>
      <c r="ARL12" s="487"/>
      <c r="ARM12" s="487"/>
      <c r="ARN12" s="487"/>
      <c r="ARO12" s="487"/>
      <c r="ARP12" s="487"/>
      <c r="ARQ12" s="487"/>
      <c r="ARR12" s="487"/>
      <c r="ARS12" s="487"/>
      <c r="ART12" s="487"/>
      <c r="ARU12" s="487"/>
      <c r="ARV12" s="487"/>
      <c r="ARW12" s="487"/>
      <c r="ARX12" s="487"/>
      <c r="ARY12" s="487"/>
      <c r="ARZ12" s="487"/>
      <c r="ASA12" s="487"/>
      <c r="ASB12" s="487"/>
      <c r="ASC12" s="487"/>
      <c r="ASD12" s="487"/>
      <c r="ASE12" s="487"/>
      <c r="ASF12" s="487"/>
      <c r="ASG12" s="487"/>
      <c r="ASH12" s="487"/>
      <c r="ASI12" s="487"/>
      <c r="ASJ12" s="487"/>
      <c r="ASK12" s="487"/>
      <c r="ASL12" s="487"/>
      <c r="ASM12" s="487"/>
      <c r="ASN12" s="487"/>
      <c r="ASO12" s="487"/>
      <c r="ASP12" s="487"/>
      <c r="ASQ12" s="487"/>
      <c r="ASR12" s="487"/>
      <c r="ASS12" s="487"/>
      <c r="AST12" s="487"/>
      <c r="ASU12" s="487"/>
      <c r="ASV12" s="487"/>
      <c r="ASW12" s="487"/>
      <c r="ASX12" s="487"/>
      <c r="ASY12" s="487"/>
      <c r="ASZ12" s="487"/>
      <c r="ATA12" s="487"/>
      <c r="ATB12" s="487"/>
      <c r="ATC12" s="487"/>
      <c r="ATD12" s="487"/>
      <c r="ATE12" s="487"/>
      <c r="ATF12" s="487"/>
      <c r="ATG12" s="487"/>
      <c r="ATH12" s="487"/>
      <c r="ATI12" s="487"/>
      <c r="ATJ12" s="487"/>
      <c r="ATK12" s="487"/>
      <c r="ATL12" s="487"/>
      <c r="ATM12" s="487"/>
      <c r="ATN12" s="487"/>
      <c r="ATO12" s="487"/>
      <c r="ATP12" s="487"/>
      <c r="ATQ12" s="487"/>
      <c r="ATR12" s="487"/>
      <c r="ATS12" s="487"/>
      <c r="ATT12" s="487"/>
      <c r="ATU12" s="487"/>
      <c r="ATV12" s="487"/>
      <c r="ATW12" s="487"/>
      <c r="ATX12" s="487"/>
      <c r="ATY12" s="487"/>
      <c r="ATZ12" s="487"/>
      <c r="AUA12" s="487"/>
      <c r="AUB12" s="487"/>
      <c r="AUC12" s="487"/>
      <c r="AUD12" s="487"/>
      <c r="AUE12" s="487"/>
      <c r="AUF12" s="487"/>
      <c r="AUG12" s="487"/>
      <c r="AUH12" s="487"/>
      <c r="AUI12" s="487"/>
      <c r="AUJ12" s="487"/>
      <c r="AUK12" s="487"/>
      <c r="AUL12" s="487"/>
      <c r="AUM12" s="487"/>
      <c r="AUN12" s="487"/>
      <c r="AUO12" s="487"/>
      <c r="AUP12" s="487"/>
      <c r="AUQ12" s="487"/>
      <c r="AUR12" s="487"/>
      <c r="AUS12" s="487"/>
      <c r="AUT12" s="487"/>
      <c r="AUU12" s="487"/>
      <c r="AUV12" s="487"/>
      <c r="AUW12" s="487"/>
      <c r="AUX12" s="487"/>
      <c r="AUY12" s="487"/>
      <c r="AUZ12" s="487"/>
      <c r="AVA12" s="487"/>
      <c r="AVB12" s="487"/>
      <c r="AVC12" s="487"/>
      <c r="AVD12" s="487"/>
      <c r="AVE12" s="487"/>
      <c r="AVF12" s="487"/>
      <c r="AVG12" s="487"/>
    </row>
    <row r="13" spans="1:1255" s="488" customFormat="1" ht="32.1" customHeight="1">
      <c r="A13" s="470">
        <v>10</v>
      </c>
      <c r="B13" s="471">
        <v>1</v>
      </c>
      <c r="C13" s="472" t="s">
        <v>409</v>
      </c>
      <c r="D13" s="471" t="s">
        <v>395</v>
      </c>
      <c r="E13" s="473" t="e">
        <f>Worksheet!D18*UnitConvert</f>
        <v>#VALUE!</v>
      </c>
      <c r="F13" s="474" t="e">
        <f>IF(OR(E13="",B13=0),"",$F$4)</f>
        <v>#VALUE!</v>
      </c>
      <c r="G13" s="475" t="str">
        <f t="shared" si="3"/>
        <v>B</v>
      </c>
      <c r="H13" s="476" t="e">
        <f t="shared" si="4"/>
        <v>#VALUE!</v>
      </c>
      <c r="I13" s="477">
        <f t="shared" si="5"/>
        <v>100</v>
      </c>
      <c r="J13" s="478" t="e">
        <f t="shared" si="6"/>
        <v>#VALUE!</v>
      </c>
      <c r="K13" s="479">
        <v>1</v>
      </c>
      <c r="L13" s="480" t="e">
        <f t="shared" si="7"/>
        <v>#VALUE!</v>
      </c>
      <c r="M13" s="480" t="e">
        <f t="shared" si="0"/>
        <v>#VALUE!</v>
      </c>
      <c r="N13" s="481" t="e">
        <f t="shared" si="1"/>
        <v>#VALUE!</v>
      </c>
      <c r="O13" s="482" t="e">
        <f t="shared" si="2"/>
        <v>#VALUE!</v>
      </c>
      <c r="P13" s="464" t="s">
        <v>201</v>
      </c>
      <c r="Q13" s="483">
        <f ca="1">VLOOKUP(VLOOKUP(I1,Worksheet!$A$18:$B$31,2),'1Test Data'!$O$30:$AG$49,19,0)</f>
        <v>-0.99624436323844501</v>
      </c>
      <c r="R13" s="484" t="e">
        <f t="shared" si="8"/>
        <v>#VALUE!</v>
      </c>
      <c r="S13" s="465" t="e">
        <f t="shared" si="9"/>
        <v>#VALUE!</v>
      </c>
      <c r="T13" s="465" t="e">
        <f>IF(OR(E13="",B13=0),"",ABS(L13/S16))</f>
        <v>#VALUE!</v>
      </c>
      <c r="U13" s="485"/>
      <c r="V13" s="486"/>
      <c r="W13" s="486"/>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7"/>
      <c r="DS13" s="487"/>
      <c r="DT13" s="487"/>
      <c r="DU13" s="487"/>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7"/>
      <c r="EU13" s="487"/>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7"/>
      <c r="FU13" s="487"/>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7"/>
      <c r="GU13" s="487"/>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7"/>
      <c r="HU13" s="487"/>
      <c r="HV13" s="487"/>
      <c r="HW13" s="487"/>
      <c r="HX13" s="487"/>
      <c r="HY13" s="487"/>
      <c r="HZ13" s="487"/>
      <c r="IA13" s="487"/>
      <c r="IB13" s="487"/>
      <c r="IC13" s="487"/>
      <c r="ID13" s="487"/>
      <c r="IE13" s="487"/>
      <c r="IF13" s="487"/>
      <c r="IG13" s="487"/>
      <c r="IH13" s="487"/>
      <c r="II13" s="487"/>
      <c r="IJ13" s="487"/>
      <c r="IK13" s="487"/>
      <c r="IL13" s="487"/>
      <c r="IM13" s="487"/>
      <c r="IN13" s="487"/>
      <c r="IO13" s="487"/>
      <c r="IP13" s="487"/>
      <c r="IQ13" s="487"/>
      <c r="IR13" s="487"/>
      <c r="IS13" s="487"/>
      <c r="IT13" s="487"/>
      <c r="IU13" s="487"/>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7"/>
      <c r="JU13" s="487"/>
      <c r="JV13" s="487"/>
      <c r="JW13" s="487"/>
      <c r="JX13" s="487"/>
      <c r="JY13" s="487"/>
      <c r="JZ13" s="487"/>
      <c r="KA13" s="487"/>
      <c r="KB13" s="487"/>
      <c r="KC13" s="487"/>
      <c r="KD13" s="487"/>
      <c r="KE13" s="487"/>
      <c r="KF13" s="487"/>
      <c r="KG13" s="487"/>
      <c r="KH13" s="487"/>
      <c r="KI13" s="487"/>
      <c r="KJ13" s="487"/>
      <c r="KK13" s="487"/>
      <c r="KL13" s="487"/>
      <c r="KM13" s="487"/>
      <c r="KN13" s="487"/>
      <c r="KO13" s="487"/>
      <c r="KP13" s="487"/>
      <c r="KQ13" s="487"/>
      <c r="KR13" s="487"/>
      <c r="KS13" s="487"/>
      <c r="KT13" s="487"/>
      <c r="KU13" s="487"/>
      <c r="KV13" s="487"/>
      <c r="KW13" s="487"/>
      <c r="KX13" s="487"/>
      <c r="KY13" s="487"/>
      <c r="KZ13" s="487"/>
      <c r="LA13" s="487"/>
      <c r="LB13" s="487"/>
      <c r="LC13" s="487"/>
      <c r="LD13" s="487"/>
      <c r="LE13" s="487"/>
      <c r="LF13" s="487"/>
      <c r="LG13" s="487"/>
      <c r="LH13" s="487"/>
      <c r="LI13" s="487"/>
      <c r="LJ13" s="487"/>
      <c r="LK13" s="487"/>
      <c r="LL13" s="487"/>
      <c r="LM13" s="487"/>
      <c r="LN13" s="487"/>
      <c r="LO13" s="487"/>
      <c r="LP13" s="487"/>
      <c r="LQ13" s="487"/>
      <c r="LR13" s="487"/>
      <c r="LS13" s="487"/>
      <c r="LT13" s="487"/>
      <c r="LU13" s="487"/>
      <c r="LV13" s="487"/>
      <c r="LW13" s="487"/>
      <c r="LX13" s="487"/>
      <c r="LY13" s="487"/>
      <c r="LZ13" s="487"/>
      <c r="MA13" s="487"/>
      <c r="MB13" s="487"/>
      <c r="MC13" s="487"/>
      <c r="MD13" s="487"/>
      <c r="ME13" s="487"/>
      <c r="MF13" s="487"/>
      <c r="MG13" s="487"/>
      <c r="MH13" s="487"/>
      <c r="MI13" s="487"/>
      <c r="MJ13" s="487"/>
      <c r="MK13" s="487"/>
      <c r="ML13" s="487"/>
      <c r="MM13" s="487"/>
      <c r="MN13" s="487"/>
      <c r="MO13" s="487"/>
      <c r="MP13" s="487"/>
      <c r="MQ13" s="487"/>
      <c r="MR13" s="487"/>
      <c r="MS13" s="487"/>
      <c r="MT13" s="487"/>
      <c r="MU13" s="487"/>
      <c r="MV13" s="487"/>
      <c r="MW13" s="487"/>
      <c r="MX13" s="487"/>
      <c r="MY13" s="487"/>
      <c r="MZ13" s="487"/>
      <c r="NA13" s="487"/>
      <c r="NB13" s="487"/>
      <c r="NC13" s="487"/>
      <c r="ND13" s="487"/>
      <c r="NE13" s="487"/>
      <c r="NF13" s="487"/>
      <c r="NG13" s="487"/>
      <c r="NH13" s="487"/>
      <c r="NI13" s="487"/>
      <c r="NJ13" s="487"/>
      <c r="NK13" s="487"/>
      <c r="NL13" s="487"/>
      <c r="NM13" s="487"/>
      <c r="NN13" s="487"/>
      <c r="NO13" s="487"/>
      <c r="NP13" s="487"/>
      <c r="NQ13" s="487"/>
      <c r="NR13" s="487"/>
      <c r="NS13" s="487"/>
      <c r="NT13" s="487"/>
      <c r="NU13" s="487"/>
      <c r="NV13" s="487"/>
      <c r="NW13" s="487"/>
      <c r="NX13" s="487"/>
      <c r="NY13" s="487"/>
      <c r="NZ13" s="487"/>
      <c r="OA13" s="487"/>
      <c r="OB13" s="487"/>
      <c r="OC13" s="487"/>
      <c r="OD13" s="487"/>
      <c r="OE13" s="487"/>
      <c r="OF13" s="487"/>
      <c r="OG13" s="487"/>
      <c r="OH13" s="487"/>
      <c r="OI13" s="487"/>
      <c r="OJ13" s="487"/>
      <c r="OK13" s="487"/>
      <c r="OL13" s="487"/>
      <c r="OM13" s="487"/>
      <c r="ON13" s="487"/>
      <c r="OO13" s="487"/>
      <c r="OP13" s="487"/>
      <c r="OQ13" s="487"/>
      <c r="OR13" s="487"/>
      <c r="OS13" s="487"/>
      <c r="OT13" s="487"/>
      <c r="OU13" s="487"/>
      <c r="OV13" s="487"/>
      <c r="OW13" s="487"/>
      <c r="OX13" s="487"/>
      <c r="OY13" s="487"/>
      <c r="OZ13" s="487"/>
      <c r="PA13" s="487"/>
      <c r="PB13" s="487"/>
      <c r="PC13" s="487"/>
      <c r="PD13" s="487"/>
      <c r="PE13" s="487"/>
      <c r="PF13" s="487"/>
      <c r="PG13" s="487"/>
      <c r="PH13" s="487"/>
      <c r="PI13" s="487"/>
      <c r="PJ13" s="487"/>
      <c r="PK13" s="487"/>
      <c r="PL13" s="487"/>
      <c r="PM13" s="487"/>
      <c r="PN13" s="487"/>
      <c r="PO13" s="487"/>
      <c r="PP13" s="487"/>
      <c r="PQ13" s="487"/>
      <c r="PR13" s="487"/>
      <c r="PS13" s="487"/>
      <c r="PT13" s="487"/>
      <c r="PU13" s="487"/>
      <c r="PV13" s="487"/>
      <c r="PW13" s="487"/>
      <c r="PX13" s="487"/>
      <c r="PY13" s="487"/>
      <c r="PZ13" s="487"/>
      <c r="QA13" s="487"/>
      <c r="QB13" s="487"/>
      <c r="QC13" s="487"/>
      <c r="QD13" s="487"/>
      <c r="QE13" s="487"/>
      <c r="QF13" s="487"/>
      <c r="QG13" s="487"/>
      <c r="QH13" s="487"/>
      <c r="QI13" s="487"/>
      <c r="QJ13" s="487"/>
      <c r="QK13" s="487"/>
      <c r="QL13" s="487"/>
      <c r="QM13" s="487"/>
      <c r="QN13" s="487"/>
      <c r="QO13" s="487"/>
      <c r="QP13" s="487"/>
      <c r="QQ13" s="487"/>
      <c r="QR13" s="487"/>
      <c r="QS13" s="487"/>
      <c r="QT13" s="487"/>
      <c r="QU13" s="487"/>
      <c r="QV13" s="487"/>
      <c r="QW13" s="487"/>
      <c r="QX13" s="487"/>
      <c r="QY13" s="487"/>
      <c r="QZ13" s="487"/>
      <c r="RA13" s="487"/>
      <c r="RB13" s="487"/>
      <c r="RC13" s="487"/>
      <c r="RD13" s="487"/>
      <c r="RE13" s="487"/>
      <c r="RF13" s="487"/>
      <c r="RG13" s="487"/>
      <c r="RH13" s="487"/>
      <c r="RI13" s="487"/>
      <c r="RJ13" s="487"/>
      <c r="RK13" s="487"/>
      <c r="RL13" s="487"/>
      <c r="RM13" s="487"/>
      <c r="RN13" s="487"/>
      <c r="RO13" s="487"/>
      <c r="RP13" s="487"/>
      <c r="RQ13" s="487"/>
      <c r="RR13" s="487"/>
      <c r="RS13" s="487"/>
      <c r="RT13" s="487"/>
      <c r="RU13" s="487"/>
      <c r="RV13" s="487"/>
      <c r="RW13" s="487"/>
      <c r="RX13" s="487"/>
      <c r="RY13" s="487"/>
      <c r="RZ13" s="487"/>
      <c r="SA13" s="487"/>
      <c r="SB13" s="487"/>
      <c r="SC13" s="487"/>
      <c r="SD13" s="487"/>
      <c r="SE13" s="487"/>
      <c r="SF13" s="487"/>
      <c r="SG13" s="487"/>
      <c r="SH13" s="487"/>
      <c r="SI13" s="487"/>
      <c r="SJ13" s="487"/>
      <c r="SK13" s="487"/>
      <c r="SL13" s="487"/>
      <c r="SM13" s="487"/>
      <c r="SN13" s="487"/>
      <c r="SO13" s="487"/>
      <c r="SP13" s="487"/>
      <c r="SQ13" s="487"/>
      <c r="SR13" s="487"/>
      <c r="SS13" s="487"/>
      <c r="ST13" s="487"/>
      <c r="SU13" s="487"/>
      <c r="SV13" s="487"/>
      <c r="SW13" s="487"/>
      <c r="SX13" s="487"/>
      <c r="SY13" s="487"/>
      <c r="SZ13" s="487"/>
      <c r="TA13" s="487"/>
      <c r="TB13" s="487"/>
      <c r="TC13" s="487"/>
      <c r="TD13" s="487"/>
      <c r="TE13" s="487"/>
      <c r="TF13" s="487"/>
      <c r="TG13" s="487"/>
      <c r="TH13" s="487"/>
      <c r="TI13" s="487"/>
      <c r="TJ13" s="487"/>
      <c r="TK13" s="487"/>
      <c r="TL13" s="487"/>
      <c r="TM13" s="487"/>
      <c r="TN13" s="487"/>
      <c r="TO13" s="487"/>
      <c r="TP13" s="487"/>
      <c r="TQ13" s="487"/>
      <c r="TR13" s="487"/>
      <c r="TS13" s="487"/>
      <c r="TT13" s="487"/>
      <c r="TU13" s="487"/>
      <c r="TV13" s="487"/>
      <c r="TW13" s="487"/>
      <c r="TX13" s="487"/>
      <c r="TY13" s="487"/>
      <c r="TZ13" s="487"/>
      <c r="UA13" s="487"/>
      <c r="UB13" s="487"/>
      <c r="UC13" s="487"/>
      <c r="UD13" s="487"/>
      <c r="UE13" s="487"/>
      <c r="UF13" s="487"/>
      <c r="UG13" s="487"/>
      <c r="UH13" s="487"/>
      <c r="UI13" s="487"/>
      <c r="UJ13" s="487"/>
      <c r="UK13" s="487"/>
      <c r="UL13" s="487"/>
      <c r="UM13" s="487"/>
      <c r="UN13" s="487"/>
      <c r="UO13" s="487"/>
      <c r="UP13" s="487"/>
      <c r="UQ13" s="487"/>
      <c r="UR13" s="487"/>
      <c r="US13" s="487"/>
      <c r="UT13" s="487"/>
      <c r="UU13" s="487"/>
      <c r="UV13" s="487"/>
      <c r="UW13" s="487"/>
      <c r="UX13" s="487"/>
      <c r="UY13" s="487"/>
      <c r="UZ13" s="487"/>
      <c r="VA13" s="487"/>
      <c r="VB13" s="487"/>
      <c r="VC13" s="487"/>
      <c r="VD13" s="487"/>
      <c r="VE13" s="487"/>
      <c r="VF13" s="487"/>
      <c r="VG13" s="487"/>
      <c r="VH13" s="487"/>
      <c r="VI13" s="487"/>
      <c r="VJ13" s="487"/>
      <c r="VK13" s="487"/>
      <c r="VL13" s="487"/>
      <c r="VM13" s="487"/>
      <c r="VN13" s="487"/>
      <c r="VO13" s="487"/>
      <c r="VP13" s="487"/>
      <c r="VQ13" s="487"/>
      <c r="VR13" s="487"/>
      <c r="VS13" s="487"/>
      <c r="VT13" s="487"/>
      <c r="VU13" s="487"/>
      <c r="VV13" s="487"/>
      <c r="VW13" s="487"/>
      <c r="VX13" s="487"/>
      <c r="VY13" s="487"/>
      <c r="VZ13" s="487"/>
      <c r="WA13" s="487"/>
      <c r="WB13" s="487"/>
      <c r="WC13" s="487"/>
      <c r="WD13" s="487"/>
      <c r="WE13" s="487"/>
      <c r="WF13" s="487"/>
      <c r="WG13" s="487"/>
      <c r="WH13" s="487"/>
      <c r="WI13" s="487"/>
      <c r="WJ13" s="487"/>
      <c r="WK13" s="487"/>
      <c r="WL13" s="487"/>
      <c r="WM13" s="487"/>
      <c r="WN13" s="487"/>
      <c r="WO13" s="487"/>
      <c r="WP13" s="487"/>
      <c r="WQ13" s="487"/>
      <c r="WR13" s="487"/>
      <c r="WS13" s="487"/>
      <c r="WT13" s="487"/>
      <c r="WU13" s="487"/>
      <c r="WV13" s="487"/>
      <c r="WW13" s="487"/>
      <c r="WX13" s="487"/>
      <c r="WY13" s="487"/>
      <c r="WZ13" s="487"/>
      <c r="XA13" s="487"/>
      <c r="XB13" s="487"/>
      <c r="XC13" s="487"/>
      <c r="XD13" s="487"/>
      <c r="XE13" s="487"/>
      <c r="XF13" s="487"/>
      <c r="XG13" s="487"/>
      <c r="XH13" s="487"/>
      <c r="XI13" s="487"/>
      <c r="XJ13" s="487"/>
      <c r="XK13" s="487"/>
      <c r="XL13" s="487"/>
      <c r="XM13" s="487"/>
      <c r="XN13" s="487"/>
      <c r="XO13" s="487"/>
      <c r="XP13" s="487"/>
      <c r="XQ13" s="487"/>
      <c r="XR13" s="487"/>
      <c r="XS13" s="487"/>
      <c r="XT13" s="487"/>
      <c r="XU13" s="487"/>
      <c r="XV13" s="487"/>
      <c r="XW13" s="487"/>
      <c r="XX13" s="487"/>
      <c r="XY13" s="487"/>
      <c r="XZ13" s="487"/>
      <c r="YA13" s="487"/>
      <c r="YB13" s="487"/>
      <c r="YC13" s="487"/>
      <c r="YD13" s="487"/>
      <c r="YE13" s="487"/>
      <c r="YF13" s="487"/>
      <c r="YG13" s="487"/>
      <c r="YH13" s="487"/>
      <c r="YI13" s="487"/>
      <c r="YJ13" s="487"/>
      <c r="YK13" s="487"/>
      <c r="YL13" s="487"/>
      <c r="YM13" s="487"/>
      <c r="YN13" s="487"/>
      <c r="YO13" s="487"/>
      <c r="YP13" s="487"/>
      <c r="YQ13" s="487"/>
      <c r="YR13" s="487"/>
      <c r="YS13" s="487"/>
      <c r="YT13" s="487"/>
      <c r="YU13" s="487"/>
      <c r="YV13" s="487"/>
      <c r="YW13" s="487"/>
      <c r="YX13" s="487"/>
      <c r="YY13" s="487"/>
      <c r="YZ13" s="487"/>
      <c r="ZA13" s="487"/>
      <c r="ZB13" s="487"/>
      <c r="ZC13" s="487"/>
      <c r="ZD13" s="487"/>
      <c r="ZE13" s="487"/>
      <c r="ZF13" s="487"/>
      <c r="ZG13" s="487"/>
      <c r="ZH13" s="487"/>
      <c r="ZI13" s="487"/>
      <c r="ZJ13" s="487"/>
      <c r="ZK13" s="487"/>
      <c r="ZL13" s="487"/>
      <c r="ZM13" s="487"/>
      <c r="ZN13" s="487"/>
      <c r="ZO13" s="487"/>
      <c r="ZP13" s="487"/>
      <c r="ZQ13" s="487"/>
      <c r="ZR13" s="487"/>
      <c r="ZS13" s="487"/>
      <c r="ZT13" s="487"/>
      <c r="ZU13" s="487"/>
      <c r="ZV13" s="487"/>
      <c r="ZW13" s="487"/>
      <c r="ZX13" s="487"/>
      <c r="ZY13" s="487"/>
      <c r="ZZ13" s="487"/>
      <c r="AAA13" s="487"/>
      <c r="AAB13" s="487"/>
      <c r="AAC13" s="487"/>
      <c r="AAD13" s="487"/>
      <c r="AAE13" s="487"/>
      <c r="AAF13" s="487"/>
      <c r="AAG13" s="487"/>
      <c r="AAH13" s="487"/>
      <c r="AAI13" s="487"/>
      <c r="AAJ13" s="487"/>
      <c r="AAK13" s="487"/>
      <c r="AAL13" s="487"/>
      <c r="AAM13" s="487"/>
      <c r="AAN13" s="487"/>
      <c r="AAO13" s="487"/>
      <c r="AAP13" s="487"/>
      <c r="AAQ13" s="487"/>
      <c r="AAR13" s="487"/>
      <c r="AAS13" s="487"/>
      <c r="AAT13" s="487"/>
      <c r="AAU13" s="487"/>
      <c r="AAV13" s="487"/>
      <c r="AAW13" s="487"/>
      <c r="AAX13" s="487"/>
      <c r="AAY13" s="487"/>
      <c r="AAZ13" s="487"/>
      <c r="ABA13" s="487"/>
      <c r="ABB13" s="487"/>
      <c r="ABC13" s="487"/>
      <c r="ABD13" s="487"/>
      <c r="ABE13" s="487"/>
      <c r="ABF13" s="487"/>
      <c r="ABG13" s="487"/>
      <c r="ABH13" s="487"/>
      <c r="ABI13" s="487"/>
      <c r="ABJ13" s="487"/>
      <c r="ABK13" s="487"/>
      <c r="ABL13" s="487"/>
      <c r="ABM13" s="487"/>
      <c r="ABN13" s="487"/>
      <c r="ABO13" s="487"/>
      <c r="ABP13" s="487"/>
      <c r="ABQ13" s="487"/>
      <c r="ABR13" s="487"/>
      <c r="ABS13" s="487"/>
      <c r="ABT13" s="487"/>
      <c r="ABU13" s="487"/>
      <c r="ABV13" s="487"/>
      <c r="ABW13" s="487"/>
      <c r="ABX13" s="487"/>
      <c r="ABY13" s="487"/>
      <c r="ABZ13" s="487"/>
      <c r="ACA13" s="487"/>
      <c r="ACB13" s="487"/>
      <c r="ACC13" s="487"/>
      <c r="ACD13" s="487"/>
      <c r="ACE13" s="487"/>
      <c r="ACF13" s="487"/>
      <c r="ACG13" s="487"/>
      <c r="ACH13" s="487"/>
      <c r="ACI13" s="487"/>
      <c r="ACJ13" s="487"/>
      <c r="ACK13" s="487"/>
      <c r="ACL13" s="487"/>
      <c r="ACM13" s="487"/>
      <c r="ACN13" s="487"/>
      <c r="ACO13" s="487"/>
      <c r="ACP13" s="487"/>
      <c r="ACQ13" s="487"/>
      <c r="ACR13" s="487"/>
      <c r="ACS13" s="487"/>
      <c r="ACT13" s="487"/>
      <c r="ACU13" s="487"/>
      <c r="ACV13" s="487"/>
      <c r="ACW13" s="487"/>
      <c r="ACX13" s="487"/>
      <c r="ACY13" s="487"/>
      <c r="ACZ13" s="487"/>
      <c r="ADA13" s="487"/>
      <c r="ADB13" s="487"/>
      <c r="ADC13" s="487"/>
      <c r="ADD13" s="487"/>
      <c r="ADE13" s="487"/>
      <c r="ADF13" s="487"/>
      <c r="ADG13" s="487"/>
      <c r="ADH13" s="487"/>
      <c r="ADI13" s="487"/>
      <c r="ADJ13" s="487"/>
      <c r="ADK13" s="487"/>
      <c r="ADL13" s="487"/>
      <c r="ADM13" s="487"/>
      <c r="ADN13" s="487"/>
      <c r="ADO13" s="487"/>
      <c r="ADP13" s="487"/>
      <c r="ADQ13" s="487"/>
      <c r="ADR13" s="487"/>
      <c r="ADS13" s="487"/>
      <c r="ADT13" s="487"/>
      <c r="ADU13" s="487"/>
      <c r="ADV13" s="487"/>
      <c r="ADW13" s="487"/>
      <c r="ADX13" s="487"/>
      <c r="ADY13" s="487"/>
      <c r="ADZ13" s="487"/>
      <c r="AEA13" s="487"/>
      <c r="AEB13" s="487"/>
      <c r="AEC13" s="487"/>
      <c r="AED13" s="487"/>
      <c r="AEE13" s="487"/>
      <c r="AEF13" s="487"/>
      <c r="AEG13" s="487"/>
      <c r="AEH13" s="487"/>
      <c r="AEI13" s="487"/>
      <c r="AEJ13" s="487"/>
      <c r="AEK13" s="487"/>
      <c r="AEL13" s="487"/>
      <c r="AEM13" s="487"/>
      <c r="AEN13" s="487"/>
      <c r="AEO13" s="487"/>
      <c r="AEP13" s="487"/>
      <c r="AEQ13" s="487"/>
      <c r="AER13" s="487"/>
      <c r="AES13" s="487"/>
      <c r="AET13" s="487"/>
      <c r="AEU13" s="487"/>
      <c r="AEV13" s="487"/>
      <c r="AEW13" s="487"/>
      <c r="AEX13" s="487"/>
      <c r="AEY13" s="487"/>
      <c r="AEZ13" s="487"/>
      <c r="AFA13" s="487"/>
      <c r="AFB13" s="487"/>
      <c r="AFC13" s="487"/>
      <c r="AFD13" s="487"/>
      <c r="AFE13" s="487"/>
      <c r="AFF13" s="487"/>
      <c r="AFG13" s="487"/>
      <c r="AFH13" s="487"/>
      <c r="AFI13" s="487"/>
      <c r="AFJ13" s="487"/>
      <c r="AFK13" s="487"/>
      <c r="AFL13" s="487"/>
      <c r="AFM13" s="487"/>
      <c r="AFN13" s="487"/>
      <c r="AFO13" s="487"/>
      <c r="AFP13" s="487"/>
      <c r="AFQ13" s="487"/>
      <c r="AFR13" s="487"/>
      <c r="AFS13" s="487"/>
      <c r="AFT13" s="487"/>
      <c r="AFU13" s="487"/>
      <c r="AFV13" s="487"/>
      <c r="AFW13" s="487"/>
      <c r="AFX13" s="487"/>
      <c r="AFY13" s="487"/>
      <c r="AFZ13" s="487"/>
      <c r="AGA13" s="487"/>
      <c r="AGB13" s="487"/>
      <c r="AGC13" s="487"/>
      <c r="AGD13" s="487"/>
      <c r="AGE13" s="487"/>
      <c r="AGF13" s="487"/>
      <c r="AGG13" s="487"/>
      <c r="AGH13" s="487"/>
      <c r="AGI13" s="487"/>
      <c r="AGJ13" s="487"/>
      <c r="AGK13" s="487"/>
      <c r="AGL13" s="487"/>
      <c r="AGM13" s="487"/>
      <c r="AGN13" s="487"/>
      <c r="AGO13" s="487"/>
      <c r="AGP13" s="487"/>
      <c r="AGQ13" s="487"/>
      <c r="AGR13" s="487"/>
      <c r="AGS13" s="487"/>
      <c r="AGT13" s="487"/>
      <c r="AGU13" s="487"/>
      <c r="AGV13" s="487"/>
      <c r="AGW13" s="487"/>
      <c r="AGX13" s="487"/>
      <c r="AGY13" s="487"/>
      <c r="AGZ13" s="487"/>
      <c r="AHA13" s="487"/>
      <c r="AHB13" s="487"/>
      <c r="AHC13" s="487"/>
      <c r="AHD13" s="487"/>
      <c r="AHE13" s="487"/>
      <c r="AHF13" s="487"/>
      <c r="AHG13" s="487"/>
      <c r="AHH13" s="487"/>
      <c r="AHI13" s="487"/>
      <c r="AHJ13" s="487"/>
      <c r="AHK13" s="487"/>
      <c r="AHL13" s="487"/>
      <c r="AHM13" s="487"/>
      <c r="AHN13" s="487"/>
      <c r="AHO13" s="487"/>
      <c r="AHP13" s="487"/>
      <c r="AHQ13" s="487"/>
      <c r="AHR13" s="487"/>
      <c r="AHS13" s="487"/>
      <c r="AHT13" s="487"/>
      <c r="AHU13" s="487"/>
      <c r="AHV13" s="487"/>
      <c r="AHW13" s="487"/>
      <c r="AHX13" s="487"/>
      <c r="AHY13" s="487"/>
      <c r="AHZ13" s="487"/>
      <c r="AIA13" s="487"/>
      <c r="AIB13" s="487"/>
      <c r="AIC13" s="487"/>
      <c r="AID13" s="487"/>
      <c r="AIE13" s="487"/>
      <c r="AIF13" s="487"/>
      <c r="AIG13" s="487"/>
      <c r="AIH13" s="487"/>
      <c r="AII13" s="487"/>
      <c r="AIJ13" s="487"/>
      <c r="AIK13" s="487"/>
      <c r="AIL13" s="487"/>
      <c r="AIM13" s="487"/>
      <c r="AIN13" s="487"/>
      <c r="AIO13" s="487"/>
      <c r="AIP13" s="487"/>
      <c r="AIQ13" s="487"/>
      <c r="AIR13" s="487"/>
      <c r="AIS13" s="487"/>
      <c r="AIT13" s="487"/>
      <c r="AIU13" s="487"/>
      <c r="AIV13" s="487"/>
      <c r="AIW13" s="487"/>
      <c r="AIX13" s="487"/>
      <c r="AIY13" s="487"/>
      <c r="AIZ13" s="487"/>
      <c r="AJA13" s="487"/>
      <c r="AJB13" s="487"/>
      <c r="AJC13" s="487"/>
      <c r="AJD13" s="487"/>
      <c r="AJE13" s="487"/>
      <c r="AJF13" s="487"/>
      <c r="AJG13" s="487"/>
      <c r="AJH13" s="487"/>
      <c r="AJI13" s="487"/>
      <c r="AJJ13" s="487"/>
      <c r="AJK13" s="487"/>
      <c r="AJL13" s="487"/>
      <c r="AJM13" s="487"/>
      <c r="AJN13" s="487"/>
      <c r="AJO13" s="487"/>
      <c r="AJP13" s="487"/>
      <c r="AJQ13" s="487"/>
      <c r="AJR13" s="487"/>
      <c r="AJS13" s="487"/>
      <c r="AJT13" s="487"/>
      <c r="AJU13" s="487"/>
      <c r="AJV13" s="487"/>
      <c r="AJW13" s="487"/>
      <c r="AJX13" s="487"/>
      <c r="AJY13" s="487"/>
      <c r="AJZ13" s="487"/>
      <c r="AKA13" s="487"/>
      <c r="AKB13" s="487"/>
      <c r="AKC13" s="487"/>
      <c r="AKD13" s="487"/>
      <c r="AKE13" s="487"/>
      <c r="AKF13" s="487"/>
      <c r="AKG13" s="487"/>
      <c r="AKH13" s="487"/>
      <c r="AKI13" s="487"/>
      <c r="AKJ13" s="487"/>
      <c r="AKK13" s="487"/>
      <c r="AKL13" s="487"/>
      <c r="AKM13" s="487"/>
      <c r="AKN13" s="487"/>
      <c r="AKO13" s="487"/>
      <c r="AKP13" s="487"/>
      <c r="AKQ13" s="487"/>
      <c r="AKR13" s="487"/>
      <c r="AKS13" s="487"/>
      <c r="AKT13" s="487"/>
      <c r="AKU13" s="487"/>
      <c r="AKV13" s="487"/>
      <c r="AKW13" s="487"/>
      <c r="AKX13" s="487"/>
      <c r="AKY13" s="487"/>
      <c r="AKZ13" s="487"/>
      <c r="ALA13" s="487"/>
      <c r="ALB13" s="487"/>
      <c r="ALC13" s="487"/>
      <c r="ALD13" s="487"/>
      <c r="ALE13" s="487"/>
      <c r="ALF13" s="487"/>
      <c r="ALG13" s="487"/>
      <c r="ALH13" s="487"/>
      <c r="ALI13" s="487"/>
      <c r="ALJ13" s="487"/>
      <c r="ALK13" s="487"/>
      <c r="ALL13" s="487"/>
      <c r="ALM13" s="487"/>
      <c r="ALN13" s="487"/>
      <c r="ALO13" s="487"/>
      <c r="ALP13" s="487"/>
      <c r="ALQ13" s="487"/>
      <c r="ALR13" s="487"/>
      <c r="ALS13" s="487"/>
      <c r="ALT13" s="487"/>
      <c r="ALU13" s="487"/>
      <c r="ALV13" s="487"/>
      <c r="ALW13" s="487"/>
      <c r="ALX13" s="487"/>
      <c r="ALY13" s="487"/>
      <c r="ALZ13" s="487"/>
      <c r="AMA13" s="487"/>
      <c r="AMB13" s="487"/>
      <c r="AMC13" s="487"/>
      <c r="AMD13" s="487"/>
      <c r="AME13" s="487"/>
      <c r="AMF13" s="487"/>
      <c r="AMG13" s="487"/>
      <c r="AMH13" s="487"/>
      <c r="AMI13" s="487"/>
      <c r="AMJ13" s="487"/>
      <c r="AMK13" s="487"/>
      <c r="AML13" s="487"/>
      <c r="AMM13" s="487"/>
      <c r="AMN13" s="487"/>
      <c r="AMO13" s="487"/>
      <c r="AMP13" s="487"/>
      <c r="AMQ13" s="487"/>
      <c r="AMR13" s="487"/>
      <c r="AMS13" s="487"/>
      <c r="AMT13" s="487"/>
      <c r="AMU13" s="487"/>
      <c r="AMV13" s="487"/>
      <c r="AMW13" s="487"/>
      <c r="AMX13" s="487"/>
      <c r="AMY13" s="487"/>
      <c r="AMZ13" s="487"/>
      <c r="ANA13" s="487"/>
      <c r="ANB13" s="487"/>
      <c r="ANC13" s="487"/>
      <c r="AND13" s="487"/>
      <c r="ANE13" s="487"/>
      <c r="ANF13" s="487"/>
      <c r="ANG13" s="487"/>
      <c r="ANH13" s="487"/>
      <c r="ANI13" s="487"/>
      <c r="ANJ13" s="487"/>
      <c r="ANK13" s="487"/>
      <c r="ANL13" s="487"/>
      <c r="ANM13" s="487"/>
      <c r="ANN13" s="487"/>
      <c r="ANO13" s="487"/>
      <c r="ANP13" s="487"/>
      <c r="ANQ13" s="487"/>
      <c r="ANR13" s="487"/>
      <c r="ANS13" s="487"/>
      <c r="ANT13" s="487"/>
      <c r="ANU13" s="487"/>
      <c r="ANV13" s="487"/>
      <c r="ANW13" s="487"/>
      <c r="ANX13" s="487"/>
      <c r="ANY13" s="487"/>
      <c r="ANZ13" s="487"/>
      <c r="AOA13" s="487"/>
      <c r="AOB13" s="487"/>
      <c r="AOC13" s="487"/>
      <c r="AOD13" s="487"/>
      <c r="AOE13" s="487"/>
      <c r="AOF13" s="487"/>
      <c r="AOG13" s="487"/>
      <c r="AOH13" s="487"/>
      <c r="AOI13" s="487"/>
      <c r="AOJ13" s="487"/>
      <c r="AOK13" s="487"/>
      <c r="AOL13" s="487"/>
      <c r="AOM13" s="487"/>
      <c r="AON13" s="487"/>
      <c r="AOO13" s="487"/>
      <c r="AOP13" s="487"/>
      <c r="AOQ13" s="487"/>
      <c r="AOR13" s="487"/>
      <c r="AOS13" s="487"/>
      <c r="AOT13" s="487"/>
      <c r="AOU13" s="487"/>
      <c r="AOV13" s="487"/>
      <c r="AOW13" s="487"/>
      <c r="AOX13" s="487"/>
      <c r="AOY13" s="487"/>
      <c r="AOZ13" s="487"/>
      <c r="APA13" s="487"/>
      <c r="APB13" s="487"/>
      <c r="APC13" s="487"/>
      <c r="APD13" s="487"/>
      <c r="APE13" s="487"/>
      <c r="APF13" s="487"/>
      <c r="APG13" s="487"/>
      <c r="APH13" s="487"/>
      <c r="API13" s="487"/>
      <c r="APJ13" s="487"/>
      <c r="APK13" s="487"/>
      <c r="APL13" s="487"/>
      <c r="APM13" s="487"/>
      <c r="APN13" s="487"/>
      <c r="APO13" s="487"/>
      <c r="APP13" s="487"/>
      <c r="APQ13" s="487"/>
      <c r="APR13" s="487"/>
      <c r="APS13" s="487"/>
      <c r="APT13" s="487"/>
      <c r="APU13" s="487"/>
      <c r="APV13" s="487"/>
      <c r="APW13" s="487"/>
      <c r="APX13" s="487"/>
      <c r="APY13" s="487"/>
      <c r="APZ13" s="487"/>
      <c r="AQA13" s="487"/>
      <c r="AQB13" s="487"/>
      <c r="AQC13" s="487"/>
      <c r="AQD13" s="487"/>
      <c r="AQE13" s="487"/>
      <c r="AQF13" s="487"/>
      <c r="AQG13" s="487"/>
      <c r="AQH13" s="487"/>
      <c r="AQI13" s="487"/>
      <c r="AQJ13" s="487"/>
      <c r="AQK13" s="487"/>
      <c r="AQL13" s="487"/>
      <c r="AQM13" s="487"/>
      <c r="AQN13" s="487"/>
      <c r="AQO13" s="487"/>
      <c r="AQP13" s="487"/>
      <c r="AQQ13" s="487"/>
      <c r="AQR13" s="487"/>
      <c r="AQS13" s="487"/>
      <c r="AQT13" s="487"/>
      <c r="AQU13" s="487"/>
      <c r="AQV13" s="487"/>
      <c r="AQW13" s="487"/>
      <c r="AQX13" s="487"/>
      <c r="AQY13" s="487"/>
      <c r="AQZ13" s="487"/>
      <c r="ARA13" s="487"/>
      <c r="ARB13" s="487"/>
      <c r="ARC13" s="487"/>
      <c r="ARD13" s="487"/>
      <c r="ARE13" s="487"/>
      <c r="ARF13" s="487"/>
      <c r="ARG13" s="487"/>
      <c r="ARH13" s="487"/>
      <c r="ARI13" s="487"/>
      <c r="ARJ13" s="487"/>
      <c r="ARK13" s="487"/>
      <c r="ARL13" s="487"/>
      <c r="ARM13" s="487"/>
      <c r="ARN13" s="487"/>
      <c r="ARO13" s="487"/>
      <c r="ARP13" s="487"/>
      <c r="ARQ13" s="487"/>
      <c r="ARR13" s="487"/>
      <c r="ARS13" s="487"/>
      <c r="ART13" s="487"/>
      <c r="ARU13" s="487"/>
      <c r="ARV13" s="487"/>
      <c r="ARW13" s="487"/>
      <c r="ARX13" s="487"/>
      <c r="ARY13" s="487"/>
      <c r="ARZ13" s="487"/>
      <c r="ASA13" s="487"/>
      <c r="ASB13" s="487"/>
      <c r="ASC13" s="487"/>
      <c r="ASD13" s="487"/>
      <c r="ASE13" s="487"/>
      <c r="ASF13" s="487"/>
      <c r="ASG13" s="487"/>
      <c r="ASH13" s="487"/>
      <c r="ASI13" s="487"/>
      <c r="ASJ13" s="487"/>
      <c r="ASK13" s="487"/>
      <c r="ASL13" s="487"/>
      <c r="ASM13" s="487"/>
      <c r="ASN13" s="487"/>
      <c r="ASO13" s="487"/>
      <c r="ASP13" s="487"/>
      <c r="ASQ13" s="487"/>
      <c r="ASR13" s="487"/>
      <c r="ASS13" s="487"/>
      <c r="AST13" s="487"/>
      <c r="ASU13" s="487"/>
      <c r="ASV13" s="487"/>
      <c r="ASW13" s="487"/>
      <c r="ASX13" s="487"/>
      <c r="ASY13" s="487"/>
      <c r="ASZ13" s="487"/>
      <c r="ATA13" s="487"/>
      <c r="ATB13" s="487"/>
      <c r="ATC13" s="487"/>
      <c r="ATD13" s="487"/>
      <c r="ATE13" s="487"/>
      <c r="ATF13" s="487"/>
      <c r="ATG13" s="487"/>
      <c r="ATH13" s="487"/>
      <c r="ATI13" s="487"/>
      <c r="ATJ13" s="487"/>
      <c r="ATK13" s="487"/>
      <c r="ATL13" s="487"/>
      <c r="ATM13" s="487"/>
      <c r="ATN13" s="487"/>
      <c r="ATO13" s="487"/>
      <c r="ATP13" s="487"/>
      <c r="ATQ13" s="487"/>
      <c r="ATR13" s="487"/>
      <c r="ATS13" s="487"/>
      <c r="ATT13" s="487"/>
      <c r="ATU13" s="487"/>
      <c r="ATV13" s="487"/>
      <c r="ATW13" s="487"/>
      <c r="ATX13" s="487"/>
      <c r="ATY13" s="487"/>
      <c r="ATZ13" s="487"/>
      <c r="AUA13" s="487"/>
      <c r="AUB13" s="487"/>
      <c r="AUC13" s="487"/>
      <c r="AUD13" s="487"/>
      <c r="AUE13" s="487"/>
      <c r="AUF13" s="487"/>
      <c r="AUG13" s="487"/>
      <c r="AUH13" s="487"/>
      <c r="AUI13" s="487"/>
      <c r="AUJ13" s="487"/>
      <c r="AUK13" s="487"/>
      <c r="AUL13" s="487"/>
      <c r="AUM13" s="487"/>
      <c r="AUN13" s="487"/>
      <c r="AUO13" s="487"/>
      <c r="AUP13" s="487"/>
      <c r="AUQ13" s="487"/>
      <c r="AUR13" s="487"/>
      <c r="AUS13" s="487"/>
      <c r="AUT13" s="487"/>
      <c r="AUU13" s="487"/>
      <c r="AUV13" s="487"/>
      <c r="AUW13" s="487"/>
      <c r="AUX13" s="487"/>
      <c r="AUY13" s="487"/>
      <c r="AUZ13" s="487"/>
      <c r="AVA13" s="487"/>
      <c r="AVB13" s="487"/>
      <c r="AVC13" s="487"/>
      <c r="AVD13" s="487"/>
      <c r="AVE13" s="487"/>
      <c r="AVF13" s="487"/>
      <c r="AVG13" s="487"/>
    </row>
    <row r="14" spans="1:1255" s="488" customFormat="1" ht="31.5" customHeight="1">
      <c r="A14" s="470">
        <v>11</v>
      </c>
      <c r="B14" s="471" t="e">
        <f>IF(EDMS&lt;Readability,1,0)</f>
        <v>#NAME?</v>
      </c>
      <c r="C14" s="496" t="e">
        <f>"DUT Type " &amp;ReadoutType&amp; " Resolution "&amp;Readability &amp; "kPa
Digital - Type B - Rect - 1/2 of  least count with D of F = 100 &amp; (k=1.73)
Analogue - Type B - N95 - Best scale readability with D of F = 60 &amp; k=2.00"</f>
        <v>#NAME?</v>
      </c>
      <c r="D14" s="471" t="e">
        <f>IF(ReadoutType="Digital","Rect","N95")</f>
        <v>#NAME?</v>
      </c>
      <c r="E14" s="473" t="e">
        <f>IF(Elect=1,($K12)/1000,IF(ReadoutType="Digital",Readability/2,Readability)*UnitConvert)</f>
        <v>#NAME?</v>
      </c>
      <c r="F14" s="474" t="e">
        <f>IF(OR(E14="",B14=0),"",$F$4)</f>
        <v>#NAME?</v>
      </c>
      <c r="G14" s="475" t="e">
        <f t="shared" si="3"/>
        <v>#NAME?</v>
      </c>
      <c r="H14" s="476" t="e">
        <f t="shared" si="4"/>
        <v>#NAME?</v>
      </c>
      <c r="I14" s="477" t="e">
        <f t="shared" si="5"/>
        <v>#NAME?</v>
      </c>
      <c r="J14" s="478" t="e">
        <f t="shared" si="6"/>
        <v>#NAME?</v>
      </c>
      <c r="K14" s="479">
        <v>1</v>
      </c>
      <c r="L14" s="480" t="e">
        <f t="shared" si="7"/>
        <v>#NAME?</v>
      </c>
      <c r="M14" s="480" t="e">
        <f t="shared" si="0"/>
        <v>#NAME?</v>
      </c>
      <c r="N14" s="481" t="e">
        <f t="shared" si="1"/>
        <v>#NAME?</v>
      </c>
      <c r="O14" s="482" t="e">
        <f t="shared" si="2"/>
        <v>#NAME?</v>
      </c>
      <c r="P14" s="464" t="s">
        <v>88</v>
      </c>
      <c r="Q14" s="483">
        <f ca="1">VLOOKUP(VLOOKUP(I1,Worksheet!$A$18:$B$31,2),'1Test Data'!$O$30:$AH$49,20,0)</f>
        <v>-0.113765936201805</v>
      </c>
      <c r="R14" s="484" t="e">
        <f t="shared" si="8"/>
        <v>#NAME?</v>
      </c>
      <c r="S14" s="465" t="e">
        <f t="shared" si="9"/>
        <v>#NAME?</v>
      </c>
      <c r="T14" s="465" t="e">
        <f>IF(OR(E14="",B14=0),"",ABS(L14/S16))</f>
        <v>#NAME?</v>
      </c>
      <c r="U14" s="485"/>
      <c r="V14" s="486"/>
      <c r="W14" s="486"/>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487"/>
      <c r="CN14" s="487"/>
      <c r="CO14" s="487"/>
      <c r="CP14" s="487"/>
      <c r="CQ14" s="487"/>
      <c r="CR14" s="487"/>
      <c r="CS14" s="487"/>
      <c r="CT14" s="487"/>
      <c r="CU14" s="487"/>
      <c r="CV14" s="487"/>
      <c r="CW14" s="487"/>
      <c r="CX14" s="487"/>
      <c r="CY14" s="487"/>
      <c r="CZ14" s="487"/>
      <c r="DA14" s="487"/>
      <c r="DB14" s="487"/>
      <c r="DC14" s="487"/>
      <c r="DD14" s="487"/>
      <c r="DE14" s="487"/>
      <c r="DF14" s="487"/>
      <c r="DG14" s="487"/>
      <c r="DH14" s="487"/>
      <c r="DI14" s="487"/>
      <c r="DJ14" s="487"/>
      <c r="DK14" s="487"/>
      <c r="DL14" s="487"/>
      <c r="DM14" s="487"/>
      <c r="DN14" s="487"/>
      <c r="DO14" s="487"/>
      <c r="DP14" s="487"/>
      <c r="DQ14" s="487"/>
      <c r="DR14" s="487"/>
      <c r="DS14" s="487"/>
      <c r="DT14" s="487"/>
      <c r="DU14" s="487"/>
      <c r="DV14" s="487"/>
      <c r="DW14" s="487"/>
      <c r="DX14" s="487"/>
      <c r="DY14" s="487"/>
      <c r="DZ14" s="487"/>
      <c r="EA14" s="487"/>
      <c r="EB14" s="487"/>
      <c r="EC14" s="487"/>
      <c r="ED14" s="487"/>
      <c r="EE14" s="487"/>
      <c r="EF14" s="487"/>
      <c r="EG14" s="487"/>
      <c r="EH14" s="487"/>
      <c r="EI14" s="487"/>
      <c r="EJ14" s="487"/>
      <c r="EK14" s="487"/>
      <c r="EL14" s="487"/>
      <c r="EM14" s="487"/>
      <c r="EN14" s="487"/>
      <c r="EO14" s="487"/>
      <c r="EP14" s="487"/>
      <c r="EQ14" s="487"/>
      <c r="ER14" s="487"/>
      <c r="ES14" s="487"/>
      <c r="ET14" s="487"/>
      <c r="EU14" s="487"/>
      <c r="EV14" s="487"/>
      <c r="EW14" s="487"/>
      <c r="EX14" s="487"/>
      <c r="EY14" s="487"/>
      <c r="EZ14" s="487"/>
      <c r="FA14" s="487"/>
      <c r="FB14" s="487"/>
      <c r="FC14" s="487"/>
      <c r="FD14" s="487"/>
      <c r="FE14" s="487"/>
      <c r="FF14" s="487"/>
      <c r="FG14" s="487"/>
      <c r="FH14" s="487"/>
      <c r="FI14" s="487"/>
      <c r="FJ14" s="487"/>
      <c r="FK14" s="487"/>
      <c r="FL14" s="487"/>
      <c r="FM14" s="487"/>
      <c r="FN14" s="487"/>
      <c r="FO14" s="487"/>
      <c r="FP14" s="487"/>
      <c r="FQ14" s="487"/>
      <c r="FR14" s="487"/>
      <c r="FS14" s="487"/>
      <c r="FT14" s="487"/>
      <c r="FU14" s="487"/>
      <c r="FV14" s="487"/>
      <c r="FW14" s="487"/>
      <c r="FX14" s="487"/>
      <c r="FY14" s="487"/>
      <c r="FZ14" s="487"/>
      <c r="GA14" s="487"/>
      <c r="GB14" s="487"/>
      <c r="GC14" s="487"/>
      <c r="GD14" s="487"/>
      <c r="GE14" s="487"/>
      <c r="GF14" s="487"/>
      <c r="GG14" s="487"/>
      <c r="GH14" s="487"/>
      <c r="GI14" s="487"/>
      <c r="GJ14" s="487"/>
      <c r="GK14" s="487"/>
      <c r="GL14" s="487"/>
      <c r="GM14" s="487"/>
      <c r="GN14" s="487"/>
      <c r="GO14" s="487"/>
      <c r="GP14" s="487"/>
      <c r="GQ14" s="487"/>
      <c r="GR14" s="487"/>
      <c r="GS14" s="487"/>
      <c r="GT14" s="487"/>
      <c r="GU14" s="487"/>
      <c r="GV14" s="487"/>
      <c r="GW14" s="487"/>
      <c r="GX14" s="487"/>
      <c r="GY14" s="487"/>
      <c r="GZ14" s="487"/>
      <c r="HA14" s="487"/>
      <c r="HB14" s="487"/>
      <c r="HC14" s="487"/>
      <c r="HD14" s="487"/>
      <c r="HE14" s="487"/>
      <c r="HF14" s="487"/>
      <c r="HG14" s="487"/>
      <c r="HH14" s="487"/>
      <c r="HI14" s="487"/>
      <c r="HJ14" s="487"/>
      <c r="HK14" s="487"/>
      <c r="HL14" s="487"/>
      <c r="HM14" s="487"/>
      <c r="HN14" s="487"/>
      <c r="HO14" s="487"/>
      <c r="HP14" s="487"/>
      <c r="HQ14" s="487"/>
      <c r="HR14" s="487"/>
      <c r="HS14" s="487"/>
      <c r="HT14" s="487"/>
      <c r="HU14" s="487"/>
      <c r="HV14" s="487"/>
      <c r="HW14" s="487"/>
      <c r="HX14" s="487"/>
      <c r="HY14" s="487"/>
      <c r="HZ14" s="487"/>
      <c r="IA14" s="487"/>
      <c r="IB14" s="487"/>
      <c r="IC14" s="487"/>
      <c r="ID14" s="487"/>
      <c r="IE14" s="487"/>
      <c r="IF14" s="487"/>
      <c r="IG14" s="487"/>
      <c r="IH14" s="487"/>
      <c r="II14" s="487"/>
      <c r="IJ14" s="487"/>
      <c r="IK14" s="487"/>
      <c r="IL14" s="487"/>
      <c r="IM14" s="487"/>
      <c r="IN14" s="487"/>
      <c r="IO14" s="487"/>
      <c r="IP14" s="487"/>
      <c r="IQ14" s="487"/>
      <c r="IR14" s="487"/>
      <c r="IS14" s="487"/>
      <c r="IT14" s="487"/>
      <c r="IU14" s="487"/>
      <c r="IV14" s="487"/>
      <c r="IW14" s="487"/>
      <c r="IX14" s="487"/>
      <c r="IY14" s="487"/>
      <c r="IZ14" s="487"/>
      <c r="JA14" s="487"/>
      <c r="JB14" s="487"/>
      <c r="JC14" s="487"/>
      <c r="JD14" s="487"/>
      <c r="JE14" s="487"/>
      <c r="JF14" s="487"/>
      <c r="JG14" s="487"/>
      <c r="JH14" s="487"/>
      <c r="JI14" s="487"/>
      <c r="JJ14" s="487"/>
      <c r="JK14" s="487"/>
      <c r="JL14" s="487"/>
      <c r="JM14" s="487"/>
      <c r="JN14" s="487"/>
      <c r="JO14" s="487"/>
      <c r="JP14" s="487"/>
      <c r="JQ14" s="487"/>
      <c r="JR14" s="487"/>
      <c r="JS14" s="487"/>
      <c r="JT14" s="487"/>
      <c r="JU14" s="487"/>
      <c r="JV14" s="487"/>
      <c r="JW14" s="487"/>
      <c r="JX14" s="487"/>
      <c r="JY14" s="487"/>
      <c r="JZ14" s="487"/>
      <c r="KA14" s="487"/>
      <c r="KB14" s="487"/>
      <c r="KC14" s="487"/>
      <c r="KD14" s="487"/>
      <c r="KE14" s="487"/>
      <c r="KF14" s="487"/>
      <c r="KG14" s="487"/>
      <c r="KH14" s="487"/>
      <c r="KI14" s="487"/>
      <c r="KJ14" s="487"/>
      <c r="KK14" s="487"/>
      <c r="KL14" s="487"/>
      <c r="KM14" s="487"/>
      <c r="KN14" s="487"/>
      <c r="KO14" s="487"/>
      <c r="KP14" s="487"/>
      <c r="KQ14" s="487"/>
      <c r="KR14" s="487"/>
      <c r="KS14" s="487"/>
      <c r="KT14" s="487"/>
      <c r="KU14" s="487"/>
      <c r="KV14" s="487"/>
      <c r="KW14" s="487"/>
      <c r="KX14" s="487"/>
      <c r="KY14" s="487"/>
      <c r="KZ14" s="487"/>
      <c r="LA14" s="487"/>
      <c r="LB14" s="487"/>
      <c r="LC14" s="487"/>
      <c r="LD14" s="487"/>
      <c r="LE14" s="487"/>
      <c r="LF14" s="487"/>
      <c r="LG14" s="487"/>
      <c r="LH14" s="487"/>
      <c r="LI14" s="487"/>
      <c r="LJ14" s="487"/>
      <c r="LK14" s="487"/>
      <c r="LL14" s="487"/>
      <c r="LM14" s="487"/>
      <c r="LN14" s="487"/>
      <c r="LO14" s="487"/>
      <c r="LP14" s="487"/>
      <c r="LQ14" s="487"/>
      <c r="LR14" s="487"/>
      <c r="LS14" s="487"/>
      <c r="LT14" s="487"/>
      <c r="LU14" s="487"/>
      <c r="LV14" s="487"/>
      <c r="LW14" s="487"/>
      <c r="LX14" s="487"/>
      <c r="LY14" s="487"/>
      <c r="LZ14" s="487"/>
      <c r="MA14" s="487"/>
      <c r="MB14" s="487"/>
      <c r="MC14" s="487"/>
      <c r="MD14" s="487"/>
      <c r="ME14" s="487"/>
      <c r="MF14" s="487"/>
      <c r="MG14" s="487"/>
      <c r="MH14" s="487"/>
      <c r="MI14" s="487"/>
      <c r="MJ14" s="487"/>
      <c r="MK14" s="487"/>
      <c r="ML14" s="487"/>
      <c r="MM14" s="487"/>
      <c r="MN14" s="487"/>
      <c r="MO14" s="487"/>
      <c r="MP14" s="487"/>
      <c r="MQ14" s="487"/>
      <c r="MR14" s="487"/>
      <c r="MS14" s="487"/>
      <c r="MT14" s="487"/>
      <c r="MU14" s="487"/>
      <c r="MV14" s="487"/>
      <c r="MW14" s="487"/>
      <c r="MX14" s="487"/>
      <c r="MY14" s="487"/>
      <c r="MZ14" s="487"/>
      <c r="NA14" s="487"/>
      <c r="NB14" s="487"/>
      <c r="NC14" s="487"/>
      <c r="ND14" s="487"/>
      <c r="NE14" s="487"/>
      <c r="NF14" s="487"/>
      <c r="NG14" s="487"/>
      <c r="NH14" s="487"/>
      <c r="NI14" s="487"/>
      <c r="NJ14" s="487"/>
      <c r="NK14" s="487"/>
      <c r="NL14" s="487"/>
      <c r="NM14" s="487"/>
      <c r="NN14" s="487"/>
      <c r="NO14" s="487"/>
      <c r="NP14" s="487"/>
      <c r="NQ14" s="487"/>
      <c r="NR14" s="487"/>
      <c r="NS14" s="487"/>
      <c r="NT14" s="487"/>
      <c r="NU14" s="487"/>
      <c r="NV14" s="487"/>
      <c r="NW14" s="487"/>
      <c r="NX14" s="487"/>
      <c r="NY14" s="487"/>
      <c r="NZ14" s="487"/>
      <c r="OA14" s="487"/>
      <c r="OB14" s="487"/>
      <c r="OC14" s="487"/>
      <c r="OD14" s="487"/>
      <c r="OE14" s="487"/>
      <c r="OF14" s="487"/>
      <c r="OG14" s="487"/>
      <c r="OH14" s="487"/>
      <c r="OI14" s="487"/>
      <c r="OJ14" s="487"/>
      <c r="OK14" s="487"/>
      <c r="OL14" s="487"/>
      <c r="OM14" s="487"/>
      <c r="ON14" s="487"/>
      <c r="OO14" s="487"/>
      <c r="OP14" s="487"/>
      <c r="OQ14" s="487"/>
      <c r="OR14" s="487"/>
      <c r="OS14" s="487"/>
      <c r="OT14" s="487"/>
      <c r="OU14" s="487"/>
      <c r="OV14" s="487"/>
      <c r="OW14" s="487"/>
      <c r="OX14" s="487"/>
      <c r="OY14" s="487"/>
      <c r="OZ14" s="487"/>
      <c r="PA14" s="487"/>
      <c r="PB14" s="487"/>
      <c r="PC14" s="487"/>
      <c r="PD14" s="487"/>
      <c r="PE14" s="487"/>
      <c r="PF14" s="487"/>
      <c r="PG14" s="487"/>
      <c r="PH14" s="487"/>
      <c r="PI14" s="487"/>
      <c r="PJ14" s="487"/>
      <c r="PK14" s="487"/>
      <c r="PL14" s="487"/>
      <c r="PM14" s="487"/>
      <c r="PN14" s="487"/>
      <c r="PO14" s="487"/>
      <c r="PP14" s="487"/>
      <c r="PQ14" s="487"/>
      <c r="PR14" s="487"/>
      <c r="PS14" s="487"/>
      <c r="PT14" s="487"/>
      <c r="PU14" s="487"/>
      <c r="PV14" s="487"/>
      <c r="PW14" s="487"/>
      <c r="PX14" s="487"/>
      <c r="PY14" s="487"/>
      <c r="PZ14" s="487"/>
      <c r="QA14" s="487"/>
      <c r="QB14" s="487"/>
      <c r="QC14" s="487"/>
      <c r="QD14" s="487"/>
      <c r="QE14" s="487"/>
      <c r="QF14" s="487"/>
      <c r="QG14" s="487"/>
      <c r="QH14" s="487"/>
      <c r="QI14" s="487"/>
      <c r="QJ14" s="487"/>
      <c r="QK14" s="487"/>
      <c r="QL14" s="487"/>
      <c r="QM14" s="487"/>
      <c r="QN14" s="487"/>
      <c r="QO14" s="487"/>
      <c r="QP14" s="487"/>
      <c r="QQ14" s="487"/>
      <c r="QR14" s="487"/>
      <c r="QS14" s="487"/>
      <c r="QT14" s="487"/>
      <c r="QU14" s="487"/>
      <c r="QV14" s="487"/>
      <c r="QW14" s="487"/>
      <c r="QX14" s="487"/>
      <c r="QY14" s="487"/>
      <c r="QZ14" s="487"/>
      <c r="RA14" s="487"/>
      <c r="RB14" s="487"/>
      <c r="RC14" s="487"/>
      <c r="RD14" s="487"/>
      <c r="RE14" s="487"/>
      <c r="RF14" s="487"/>
      <c r="RG14" s="487"/>
      <c r="RH14" s="487"/>
      <c r="RI14" s="487"/>
      <c r="RJ14" s="487"/>
      <c r="RK14" s="487"/>
      <c r="RL14" s="487"/>
      <c r="RM14" s="487"/>
      <c r="RN14" s="487"/>
      <c r="RO14" s="487"/>
      <c r="RP14" s="487"/>
      <c r="RQ14" s="487"/>
      <c r="RR14" s="487"/>
      <c r="RS14" s="487"/>
      <c r="RT14" s="487"/>
      <c r="RU14" s="487"/>
      <c r="RV14" s="487"/>
      <c r="RW14" s="487"/>
      <c r="RX14" s="487"/>
      <c r="RY14" s="487"/>
      <c r="RZ14" s="487"/>
      <c r="SA14" s="487"/>
      <c r="SB14" s="487"/>
      <c r="SC14" s="487"/>
      <c r="SD14" s="487"/>
      <c r="SE14" s="487"/>
      <c r="SF14" s="487"/>
      <c r="SG14" s="487"/>
      <c r="SH14" s="487"/>
      <c r="SI14" s="487"/>
      <c r="SJ14" s="487"/>
      <c r="SK14" s="487"/>
      <c r="SL14" s="487"/>
      <c r="SM14" s="487"/>
      <c r="SN14" s="487"/>
      <c r="SO14" s="487"/>
      <c r="SP14" s="487"/>
      <c r="SQ14" s="487"/>
      <c r="SR14" s="487"/>
      <c r="SS14" s="487"/>
      <c r="ST14" s="487"/>
      <c r="SU14" s="487"/>
      <c r="SV14" s="487"/>
      <c r="SW14" s="487"/>
      <c r="SX14" s="487"/>
      <c r="SY14" s="487"/>
      <c r="SZ14" s="487"/>
      <c r="TA14" s="487"/>
      <c r="TB14" s="487"/>
      <c r="TC14" s="487"/>
      <c r="TD14" s="487"/>
      <c r="TE14" s="487"/>
      <c r="TF14" s="487"/>
      <c r="TG14" s="487"/>
      <c r="TH14" s="487"/>
      <c r="TI14" s="487"/>
      <c r="TJ14" s="487"/>
      <c r="TK14" s="487"/>
      <c r="TL14" s="487"/>
      <c r="TM14" s="487"/>
      <c r="TN14" s="487"/>
      <c r="TO14" s="487"/>
      <c r="TP14" s="487"/>
      <c r="TQ14" s="487"/>
      <c r="TR14" s="487"/>
      <c r="TS14" s="487"/>
      <c r="TT14" s="487"/>
      <c r="TU14" s="487"/>
      <c r="TV14" s="487"/>
      <c r="TW14" s="487"/>
      <c r="TX14" s="487"/>
      <c r="TY14" s="487"/>
      <c r="TZ14" s="487"/>
      <c r="UA14" s="487"/>
      <c r="UB14" s="487"/>
      <c r="UC14" s="487"/>
      <c r="UD14" s="487"/>
      <c r="UE14" s="487"/>
      <c r="UF14" s="487"/>
      <c r="UG14" s="487"/>
      <c r="UH14" s="487"/>
      <c r="UI14" s="487"/>
      <c r="UJ14" s="487"/>
      <c r="UK14" s="487"/>
      <c r="UL14" s="487"/>
      <c r="UM14" s="487"/>
      <c r="UN14" s="487"/>
      <c r="UO14" s="487"/>
      <c r="UP14" s="487"/>
      <c r="UQ14" s="487"/>
      <c r="UR14" s="487"/>
      <c r="US14" s="487"/>
      <c r="UT14" s="487"/>
      <c r="UU14" s="487"/>
      <c r="UV14" s="487"/>
      <c r="UW14" s="487"/>
      <c r="UX14" s="487"/>
      <c r="UY14" s="487"/>
      <c r="UZ14" s="487"/>
      <c r="VA14" s="487"/>
      <c r="VB14" s="487"/>
      <c r="VC14" s="487"/>
      <c r="VD14" s="487"/>
      <c r="VE14" s="487"/>
      <c r="VF14" s="487"/>
      <c r="VG14" s="487"/>
      <c r="VH14" s="487"/>
      <c r="VI14" s="487"/>
      <c r="VJ14" s="487"/>
      <c r="VK14" s="487"/>
      <c r="VL14" s="487"/>
      <c r="VM14" s="487"/>
      <c r="VN14" s="487"/>
      <c r="VO14" s="487"/>
      <c r="VP14" s="487"/>
      <c r="VQ14" s="487"/>
      <c r="VR14" s="487"/>
      <c r="VS14" s="487"/>
      <c r="VT14" s="487"/>
      <c r="VU14" s="487"/>
      <c r="VV14" s="487"/>
      <c r="VW14" s="487"/>
      <c r="VX14" s="487"/>
      <c r="VY14" s="487"/>
      <c r="VZ14" s="487"/>
      <c r="WA14" s="487"/>
      <c r="WB14" s="487"/>
      <c r="WC14" s="487"/>
      <c r="WD14" s="487"/>
      <c r="WE14" s="487"/>
      <c r="WF14" s="487"/>
      <c r="WG14" s="487"/>
      <c r="WH14" s="487"/>
      <c r="WI14" s="487"/>
      <c r="WJ14" s="487"/>
      <c r="WK14" s="487"/>
      <c r="WL14" s="487"/>
      <c r="WM14" s="487"/>
      <c r="WN14" s="487"/>
      <c r="WO14" s="487"/>
      <c r="WP14" s="487"/>
      <c r="WQ14" s="487"/>
      <c r="WR14" s="487"/>
      <c r="WS14" s="487"/>
      <c r="WT14" s="487"/>
      <c r="WU14" s="487"/>
      <c r="WV14" s="487"/>
      <c r="WW14" s="487"/>
      <c r="WX14" s="487"/>
      <c r="WY14" s="487"/>
      <c r="WZ14" s="487"/>
      <c r="XA14" s="487"/>
      <c r="XB14" s="487"/>
      <c r="XC14" s="487"/>
      <c r="XD14" s="487"/>
      <c r="XE14" s="487"/>
      <c r="XF14" s="487"/>
      <c r="XG14" s="487"/>
      <c r="XH14" s="487"/>
      <c r="XI14" s="487"/>
      <c r="XJ14" s="487"/>
      <c r="XK14" s="487"/>
      <c r="XL14" s="487"/>
      <c r="XM14" s="487"/>
      <c r="XN14" s="487"/>
      <c r="XO14" s="487"/>
      <c r="XP14" s="487"/>
      <c r="XQ14" s="487"/>
      <c r="XR14" s="487"/>
      <c r="XS14" s="487"/>
      <c r="XT14" s="487"/>
      <c r="XU14" s="487"/>
      <c r="XV14" s="487"/>
      <c r="XW14" s="487"/>
      <c r="XX14" s="487"/>
      <c r="XY14" s="487"/>
      <c r="XZ14" s="487"/>
      <c r="YA14" s="487"/>
      <c r="YB14" s="487"/>
      <c r="YC14" s="487"/>
      <c r="YD14" s="487"/>
      <c r="YE14" s="487"/>
      <c r="YF14" s="487"/>
      <c r="YG14" s="487"/>
      <c r="YH14" s="487"/>
      <c r="YI14" s="487"/>
      <c r="YJ14" s="487"/>
      <c r="YK14" s="487"/>
      <c r="YL14" s="487"/>
      <c r="YM14" s="487"/>
      <c r="YN14" s="487"/>
      <c r="YO14" s="487"/>
      <c r="YP14" s="487"/>
      <c r="YQ14" s="487"/>
      <c r="YR14" s="487"/>
      <c r="YS14" s="487"/>
      <c r="YT14" s="487"/>
      <c r="YU14" s="487"/>
      <c r="YV14" s="487"/>
      <c r="YW14" s="487"/>
      <c r="YX14" s="487"/>
      <c r="YY14" s="487"/>
      <c r="YZ14" s="487"/>
      <c r="ZA14" s="487"/>
      <c r="ZB14" s="487"/>
      <c r="ZC14" s="487"/>
      <c r="ZD14" s="487"/>
      <c r="ZE14" s="487"/>
      <c r="ZF14" s="487"/>
      <c r="ZG14" s="487"/>
      <c r="ZH14" s="487"/>
      <c r="ZI14" s="487"/>
      <c r="ZJ14" s="487"/>
      <c r="ZK14" s="487"/>
      <c r="ZL14" s="487"/>
      <c r="ZM14" s="487"/>
      <c r="ZN14" s="487"/>
      <c r="ZO14" s="487"/>
      <c r="ZP14" s="487"/>
      <c r="ZQ14" s="487"/>
      <c r="ZR14" s="487"/>
      <c r="ZS14" s="487"/>
      <c r="ZT14" s="487"/>
      <c r="ZU14" s="487"/>
      <c r="ZV14" s="487"/>
      <c r="ZW14" s="487"/>
      <c r="ZX14" s="487"/>
      <c r="ZY14" s="487"/>
      <c r="ZZ14" s="487"/>
      <c r="AAA14" s="487"/>
      <c r="AAB14" s="487"/>
      <c r="AAC14" s="487"/>
      <c r="AAD14" s="487"/>
      <c r="AAE14" s="487"/>
      <c r="AAF14" s="487"/>
      <c r="AAG14" s="487"/>
      <c r="AAH14" s="487"/>
      <c r="AAI14" s="487"/>
      <c r="AAJ14" s="487"/>
      <c r="AAK14" s="487"/>
      <c r="AAL14" s="487"/>
      <c r="AAM14" s="487"/>
      <c r="AAN14" s="487"/>
      <c r="AAO14" s="487"/>
      <c r="AAP14" s="487"/>
      <c r="AAQ14" s="487"/>
      <c r="AAR14" s="487"/>
      <c r="AAS14" s="487"/>
      <c r="AAT14" s="487"/>
      <c r="AAU14" s="487"/>
      <c r="AAV14" s="487"/>
      <c r="AAW14" s="487"/>
      <c r="AAX14" s="487"/>
      <c r="AAY14" s="487"/>
      <c r="AAZ14" s="487"/>
      <c r="ABA14" s="487"/>
      <c r="ABB14" s="487"/>
      <c r="ABC14" s="487"/>
      <c r="ABD14" s="487"/>
      <c r="ABE14" s="487"/>
      <c r="ABF14" s="487"/>
      <c r="ABG14" s="487"/>
      <c r="ABH14" s="487"/>
      <c r="ABI14" s="487"/>
      <c r="ABJ14" s="487"/>
      <c r="ABK14" s="487"/>
      <c r="ABL14" s="487"/>
      <c r="ABM14" s="487"/>
      <c r="ABN14" s="487"/>
      <c r="ABO14" s="487"/>
      <c r="ABP14" s="487"/>
      <c r="ABQ14" s="487"/>
      <c r="ABR14" s="487"/>
      <c r="ABS14" s="487"/>
      <c r="ABT14" s="487"/>
      <c r="ABU14" s="487"/>
      <c r="ABV14" s="487"/>
      <c r="ABW14" s="487"/>
      <c r="ABX14" s="487"/>
      <c r="ABY14" s="487"/>
      <c r="ABZ14" s="487"/>
      <c r="ACA14" s="487"/>
      <c r="ACB14" s="487"/>
      <c r="ACC14" s="487"/>
      <c r="ACD14" s="487"/>
      <c r="ACE14" s="487"/>
      <c r="ACF14" s="487"/>
      <c r="ACG14" s="487"/>
      <c r="ACH14" s="487"/>
      <c r="ACI14" s="487"/>
      <c r="ACJ14" s="487"/>
      <c r="ACK14" s="487"/>
      <c r="ACL14" s="487"/>
      <c r="ACM14" s="487"/>
      <c r="ACN14" s="487"/>
      <c r="ACO14" s="487"/>
      <c r="ACP14" s="487"/>
      <c r="ACQ14" s="487"/>
      <c r="ACR14" s="487"/>
      <c r="ACS14" s="487"/>
      <c r="ACT14" s="487"/>
      <c r="ACU14" s="487"/>
      <c r="ACV14" s="487"/>
      <c r="ACW14" s="487"/>
      <c r="ACX14" s="487"/>
      <c r="ACY14" s="487"/>
      <c r="ACZ14" s="487"/>
      <c r="ADA14" s="487"/>
      <c r="ADB14" s="487"/>
      <c r="ADC14" s="487"/>
      <c r="ADD14" s="487"/>
      <c r="ADE14" s="487"/>
      <c r="ADF14" s="487"/>
      <c r="ADG14" s="487"/>
      <c r="ADH14" s="487"/>
      <c r="ADI14" s="487"/>
      <c r="ADJ14" s="487"/>
      <c r="ADK14" s="487"/>
      <c r="ADL14" s="487"/>
      <c r="ADM14" s="487"/>
      <c r="ADN14" s="487"/>
      <c r="ADO14" s="487"/>
      <c r="ADP14" s="487"/>
      <c r="ADQ14" s="487"/>
      <c r="ADR14" s="487"/>
      <c r="ADS14" s="487"/>
      <c r="ADT14" s="487"/>
      <c r="ADU14" s="487"/>
      <c r="ADV14" s="487"/>
      <c r="ADW14" s="487"/>
      <c r="ADX14" s="487"/>
      <c r="ADY14" s="487"/>
      <c r="ADZ14" s="487"/>
      <c r="AEA14" s="487"/>
      <c r="AEB14" s="487"/>
      <c r="AEC14" s="487"/>
      <c r="AED14" s="487"/>
      <c r="AEE14" s="487"/>
      <c r="AEF14" s="487"/>
      <c r="AEG14" s="487"/>
      <c r="AEH14" s="487"/>
      <c r="AEI14" s="487"/>
      <c r="AEJ14" s="487"/>
      <c r="AEK14" s="487"/>
      <c r="AEL14" s="487"/>
      <c r="AEM14" s="487"/>
      <c r="AEN14" s="487"/>
      <c r="AEO14" s="487"/>
      <c r="AEP14" s="487"/>
      <c r="AEQ14" s="487"/>
      <c r="AER14" s="487"/>
      <c r="AES14" s="487"/>
      <c r="AET14" s="487"/>
      <c r="AEU14" s="487"/>
      <c r="AEV14" s="487"/>
      <c r="AEW14" s="487"/>
      <c r="AEX14" s="487"/>
      <c r="AEY14" s="487"/>
      <c r="AEZ14" s="487"/>
      <c r="AFA14" s="487"/>
      <c r="AFB14" s="487"/>
      <c r="AFC14" s="487"/>
      <c r="AFD14" s="487"/>
      <c r="AFE14" s="487"/>
      <c r="AFF14" s="487"/>
      <c r="AFG14" s="487"/>
      <c r="AFH14" s="487"/>
      <c r="AFI14" s="487"/>
      <c r="AFJ14" s="487"/>
      <c r="AFK14" s="487"/>
      <c r="AFL14" s="487"/>
      <c r="AFM14" s="487"/>
      <c r="AFN14" s="487"/>
      <c r="AFO14" s="487"/>
      <c r="AFP14" s="487"/>
      <c r="AFQ14" s="487"/>
      <c r="AFR14" s="487"/>
      <c r="AFS14" s="487"/>
      <c r="AFT14" s="487"/>
      <c r="AFU14" s="487"/>
      <c r="AFV14" s="487"/>
      <c r="AFW14" s="487"/>
      <c r="AFX14" s="487"/>
      <c r="AFY14" s="487"/>
      <c r="AFZ14" s="487"/>
      <c r="AGA14" s="487"/>
      <c r="AGB14" s="487"/>
      <c r="AGC14" s="487"/>
      <c r="AGD14" s="487"/>
      <c r="AGE14" s="487"/>
      <c r="AGF14" s="487"/>
      <c r="AGG14" s="487"/>
      <c r="AGH14" s="487"/>
      <c r="AGI14" s="487"/>
      <c r="AGJ14" s="487"/>
      <c r="AGK14" s="487"/>
      <c r="AGL14" s="487"/>
      <c r="AGM14" s="487"/>
      <c r="AGN14" s="487"/>
      <c r="AGO14" s="487"/>
      <c r="AGP14" s="487"/>
      <c r="AGQ14" s="487"/>
      <c r="AGR14" s="487"/>
      <c r="AGS14" s="487"/>
      <c r="AGT14" s="487"/>
      <c r="AGU14" s="487"/>
      <c r="AGV14" s="487"/>
      <c r="AGW14" s="487"/>
      <c r="AGX14" s="487"/>
      <c r="AGY14" s="487"/>
      <c r="AGZ14" s="487"/>
      <c r="AHA14" s="487"/>
      <c r="AHB14" s="487"/>
      <c r="AHC14" s="487"/>
      <c r="AHD14" s="487"/>
      <c r="AHE14" s="487"/>
      <c r="AHF14" s="487"/>
      <c r="AHG14" s="487"/>
      <c r="AHH14" s="487"/>
      <c r="AHI14" s="487"/>
      <c r="AHJ14" s="487"/>
      <c r="AHK14" s="487"/>
      <c r="AHL14" s="487"/>
      <c r="AHM14" s="487"/>
      <c r="AHN14" s="487"/>
      <c r="AHO14" s="487"/>
      <c r="AHP14" s="487"/>
      <c r="AHQ14" s="487"/>
      <c r="AHR14" s="487"/>
      <c r="AHS14" s="487"/>
      <c r="AHT14" s="487"/>
      <c r="AHU14" s="487"/>
      <c r="AHV14" s="487"/>
      <c r="AHW14" s="487"/>
      <c r="AHX14" s="487"/>
      <c r="AHY14" s="487"/>
      <c r="AHZ14" s="487"/>
      <c r="AIA14" s="487"/>
      <c r="AIB14" s="487"/>
      <c r="AIC14" s="487"/>
      <c r="AID14" s="487"/>
      <c r="AIE14" s="487"/>
      <c r="AIF14" s="487"/>
      <c r="AIG14" s="487"/>
      <c r="AIH14" s="487"/>
      <c r="AII14" s="487"/>
      <c r="AIJ14" s="487"/>
      <c r="AIK14" s="487"/>
      <c r="AIL14" s="487"/>
      <c r="AIM14" s="487"/>
      <c r="AIN14" s="487"/>
      <c r="AIO14" s="487"/>
      <c r="AIP14" s="487"/>
      <c r="AIQ14" s="487"/>
      <c r="AIR14" s="487"/>
      <c r="AIS14" s="487"/>
      <c r="AIT14" s="487"/>
      <c r="AIU14" s="487"/>
      <c r="AIV14" s="487"/>
      <c r="AIW14" s="487"/>
      <c r="AIX14" s="487"/>
      <c r="AIY14" s="487"/>
      <c r="AIZ14" s="487"/>
      <c r="AJA14" s="487"/>
      <c r="AJB14" s="487"/>
      <c r="AJC14" s="487"/>
      <c r="AJD14" s="487"/>
      <c r="AJE14" s="487"/>
      <c r="AJF14" s="487"/>
      <c r="AJG14" s="487"/>
      <c r="AJH14" s="487"/>
      <c r="AJI14" s="487"/>
      <c r="AJJ14" s="487"/>
      <c r="AJK14" s="487"/>
      <c r="AJL14" s="487"/>
      <c r="AJM14" s="487"/>
      <c r="AJN14" s="487"/>
      <c r="AJO14" s="487"/>
      <c r="AJP14" s="487"/>
      <c r="AJQ14" s="487"/>
      <c r="AJR14" s="487"/>
      <c r="AJS14" s="487"/>
      <c r="AJT14" s="487"/>
      <c r="AJU14" s="487"/>
      <c r="AJV14" s="487"/>
      <c r="AJW14" s="487"/>
      <c r="AJX14" s="487"/>
      <c r="AJY14" s="487"/>
      <c r="AJZ14" s="487"/>
      <c r="AKA14" s="487"/>
      <c r="AKB14" s="487"/>
      <c r="AKC14" s="487"/>
      <c r="AKD14" s="487"/>
      <c r="AKE14" s="487"/>
      <c r="AKF14" s="487"/>
      <c r="AKG14" s="487"/>
      <c r="AKH14" s="487"/>
      <c r="AKI14" s="487"/>
      <c r="AKJ14" s="487"/>
      <c r="AKK14" s="487"/>
      <c r="AKL14" s="487"/>
      <c r="AKM14" s="487"/>
      <c r="AKN14" s="487"/>
      <c r="AKO14" s="487"/>
      <c r="AKP14" s="487"/>
      <c r="AKQ14" s="487"/>
      <c r="AKR14" s="487"/>
      <c r="AKS14" s="487"/>
      <c r="AKT14" s="487"/>
      <c r="AKU14" s="487"/>
      <c r="AKV14" s="487"/>
      <c r="AKW14" s="487"/>
      <c r="AKX14" s="487"/>
      <c r="AKY14" s="487"/>
      <c r="AKZ14" s="487"/>
      <c r="ALA14" s="487"/>
      <c r="ALB14" s="487"/>
      <c r="ALC14" s="487"/>
      <c r="ALD14" s="487"/>
      <c r="ALE14" s="487"/>
      <c r="ALF14" s="487"/>
      <c r="ALG14" s="487"/>
      <c r="ALH14" s="487"/>
      <c r="ALI14" s="487"/>
      <c r="ALJ14" s="487"/>
      <c r="ALK14" s="487"/>
      <c r="ALL14" s="487"/>
      <c r="ALM14" s="487"/>
      <c r="ALN14" s="487"/>
      <c r="ALO14" s="487"/>
      <c r="ALP14" s="487"/>
      <c r="ALQ14" s="487"/>
      <c r="ALR14" s="487"/>
      <c r="ALS14" s="487"/>
      <c r="ALT14" s="487"/>
      <c r="ALU14" s="487"/>
      <c r="ALV14" s="487"/>
      <c r="ALW14" s="487"/>
      <c r="ALX14" s="487"/>
      <c r="ALY14" s="487"/>
      <c r="ALZ14" s="487"/>
      <c r="AMA14" s="487"/>
      <c r="AMB14" s="487"/>
      <c r="AMC14" s="487"/>
      <c r="AMD14" s="487"/>
      <c r="AME14" s="487"/>
      <c r="AMF14" s="487"/>
      <c r="AMG14" s="487"/>
      <c r="AMH14" s="487"/>
      <c r="AMI14" s="487"/>
      <c r="AMJ14" s="487"/>
      <c r="AMK14" s="487"/>
      <c r="AML14" s="487"/>
      <c r="AMM14" s="487"/>
      <c r="AMN14" s="487"/>
      <c r="AMO14" s="487"/>
      <c r="AMP14" s="487"/>
      <c r="AMQ14" s="487"/>
      <c r="AMR14" s="487"/>
      <c r="AMS14" s="487"/>
      <c r="AMT14" s="487"/>
      <c r="AMU14" s="487"/>
      <c r="AMV14" s="487"/>
      <c r="AMW14" s="487"/>
      <c r="AMX14" s="487"/>
      <c r="AMY14" s="487"/>
      <c r="AMZ14" s="487"/>
      <c r="ANA14" s="487"/>
      <c r="ANB14" s="487"/>
      <c r="ANC14" s="487"/>
      <c r="AND14" s="487"/>
      <c r="ANE14" s="487"/>
      <c r="ANF14" s="487"/>
      <c r="ANG14" s="487"/>
      <c r="ANH14" s="487"/>
      <c r="ANI14" s="487"/>
      <c r="ANJ14" s="487"/>
      <c r="ANK14" s="487"/>
      <c r="ANL14" s="487"/>
      <c r="ANM14" s="487"/>
      <c r="ANN14" s="487"/>
      <c r="ANO14" s="487"/>
      <c r="ANP14" s="487"/>
      <c r="ANQ14" s="487"/>
      <c r="ANR14" s="487"/>
      <c r="ANS14" s="487"/>
      <c r="ANT14" s="487"/>
      <c r="ANU14" s="487"/>
      <c r="ANV14" s="487"/>
      <c r="ANW14" s="487"/>
      <c r="ANX14" s="487"/>
      <c r="ANY14" s="487"/>
      <c r="ANZ14" s="487"/>
      <c r="AOA14" s="487"/>
      <c r="AOB14" s="487"/>
      <c r="AOC14" s="487"/>
      <c r="AOD14" s="487"/>
      <c r="AOE14" s="487"/>
      <c r="AOF14" s="487"/>
      <c r="AOG14" s="487"/>
      <c r="AOH14" s="487"/>
      <c r="AOI14" s="487"/>
      <c r="AOJ14" s="487"/>
      <c r="AOK14" s="487"/>
      <c r="AOL14" s="487"/>
      <c r="AOM14" s="487"/>
      <c r="AON14" s="487"/>
      <c r="AOO14" s="487"/>
      <c r="AOP14" s="487"/>
      <c r="AOQ14" s="487"/>
      <c r="AOR14" s="487"/>
      <c r="AOS14" s="487"/>
      <c r="AOT14" s="487"/>
      <c r="AOU14" s="487"/>
      <c r="AOV14" s="487"/>
      <c r="AOW14" s="487"/>
      <c r="AOX14" s="487"/>
      <c r="AOY14" s="487"/>
      <c r="AOZ14" s="487"/>
      <c r="APA14" s="487"/>
      <c r="APB14" s="487"/>
      <c r="APC14" s="487"/>
      <c r="APD14" s="487"/>
      <c r="APE14" s="487"/>
      <c r="APF14" s="487"/>
      <c r="APG14" s="487"/>
      <c r="APH14" s="487"/>
      <c r="API14" s="487"/>
      <c r="APJ14" s="487"/>
      <c r="APK14" s="487"/>
      <c r="APL14" s="487"/>
      <c r="APM14" s="487"/>
      <c r="APN14" s="487"/>
      <c r="APO14" s="487"/>
      <c r="APP14" s="487"/>
      <c r="APQ14" s="487"/>
      <c r="APR14" s="487"/>
      <c r="APS14" s="487"/>
      <c r="APT14" s="487"/>
      <c r="APU14" s="487"/>
      <c r="APV14" s="487"/>
      <c r="APW14" s="487"/>
      <c r="APX14" s="487"/>
      <c r="APY14" s="487"/>
      <c r="APZ14" s="487"/>
      <c r="AQA14" s="487"/>
      <c r="AQB14" s="487"/>
      <c r="AQC14" s="487"/>
      <c r="AQD14" s="487"/>
      <c r="AQE14" s="487"/>
      <c r="AQF14" s="487"/>
      <c r="AQG14" s="487"/>
      <c r="AQH14" s="487"/>
      <c r="AQI14" s="487"/>
      <c r="AQJ14" s="487"/>
      <c r="AQK14" s="487"/>
      <c r="AQL14" s="487"/>
      <c r="AQM14" s="487"/>
      <c r="AQN14" s="487"/>
      <c r="AQO14" s="487"/>
      <c r="AQP14" s="487"/>
      <c r="AQQ14" s="487"/>
      <c r="AQR14" s="487"/>
      <c r="AQS14" s="487"/>
      <c r="AQT14" s="487"/>
      <c r="AQU14" s="487"/>
      <c r="AQV14" s="487"/>
      <c r="AQW14" s="487"/>
      <c r="AQX14" s="487"/>
      <c r="AQY14" s="487"/>
      <c r="AQZ14" s="487"/>
      <c r="ARA14" s="487"/>
      <c r="ARB14" s="487"/>
      <c r="ARC14" s="487"/>
      <c r="ARD14" s="487"/>
      <c r="ARE14" s="487"/>
      <c r="ARF14" s="487"/>
      <c r="ARG14" s="487"/>
      <c r="ARH14" s="487"/>
      <c r="ARI14" s="487"/>
      <c r="ARJ14" s="487"/>
      <c r="ARK14" s="487"/>
      <c r="ARL14" s="487"/>
      <c r="ARM14" s="487"/>
      <c r="ARN14" s="487"/>
      <c r="ARO14" s="487"/>
      <c r="ARP14" s="487"/>
      <c r="ARQ14" s="487"/>
      <c r="ARR14" s="487"/>
      <c r="ARS14" s="487"/>
      <c r="ART14" s="487"/>
      <c r="ARU14" s="487"/>
      <c r="ARV14" s="487"/>
      <c r="ARW14" s="487"/>
      <c r="ARX14" s="487"/>
      <c r="ARY14" s="487"/>
      <c r="ARZ14" s="487"/>
      <c r="ASA14" s="487"/>
      <c r="ASB14" s="487"/>
      <c r="ASC14" s="487"/>
      <c r="ASD14" s="487"/>
      <c r="ASE14" s="487"/>
      <c r="ASF14" s="487"/>
      <c r="ASG14" s="487"/>
      <c r="ASH14" s="487"/>
      <c r="ASI14" s="487"/>
      <c r="ASJ14" s="487"/>
      <c r="ASK14" s="487"/>
      <c r="ASL14" s="487"/>
      <c r="ASM14" s="487"/>
      <c r="ASN14" s="487"/>
      <c r="ASO14" s="487"/>
      <c r="ASP14" s="487"/>
      <c r="ASQ14" s="487"/>
      <c r="ASR14" s="487"/>
      <c r="ASS14" s="487"/>
      <c r="AST14" s="487"/>
      <c r="ASU14" s="487"/>
      <c r="ASV14" s="487"/>
      <c r="ASW14" s="487"/>
      <c r="ASX14" s="487"/>
      <c r="ASY14" s="487"/>
      <c r="ASZ14" s="487"/>
      <c r="ATA14" s="487"/>
      <c r="ATB14" s="487"/>
      <c r="ATC14" s="487"/>
      <c r="ATD14" s="487"/>
      <c r="ATE14" s="487"/>
      <c r="ATF14" s="487"/>
      <c r="ATG14" s="487"/>
      <c r="ATH14" s="487"/>
      <c r="ATI14" s="487"/>
      <c r="ATJ14" s="487"/>
      <c r="ATK14" s="487"/>
      <c r="ATL14" s="487"/>
      <c r="ATM14" s="487"/>
      <c r="ATN14" s="487"/>
      <c r="ATO14" s="487"/>
      <c r="ATP14" s="487"/>
      <c r="ATQ14" s="487"/>
      <c r="ATR14" s="487"/>
      <c r="ATS14" s="487"/>
      <c r="ATT14" s="487"/>
      <c r="ATU14" s="487"/>
      <c r="ATV14" s="487"/>
      <c r="ATW14" s="487"/>
      <c r="ATX14" s="487"/>
      <c r="ATY14" s="487"/>
      <c r="ATZ14" s="487"/>
      <c r="AUA14" s="487"/>
      <c r="AUB14" s="487"/>
      <c r="AUC14" s="487"/>
      <c r="AUD14" s="487"/>
      <c r="AUE14" s="487"/>
      <c r="AUF14" s="487"/>
      <c r="AUG14" s="487"/>
      <c r="AUH14" s="487"/>
      <c r="AUI14" s="487"/>
      <c r="AUJ14" s="487"/>
      <c r="AUK14" s="487"/>
      <c r="AUL14" s="487"/>
      <c r="AUM14" s="487"/>
      <c r="AUN14" s="487"/>
      <c r="AUO14" s="487"/>
      <c r="AUP14" s="487"/>
      <c r="AUQ14" s="487"/>
      <c r="AUR14" s="487"/>
      <c r="AUS14" s="487"/>
      <c r="AUT14" s="487"/>
      <c r="AUU14" s="487"/>
      <c r="AUV14" s="487"/>
      <c r="AUW14" s="487"/>
      <c r="AUX14" s="487"/>
      <c r="AUY14" s="487"/>
      <c r="AUZ14" s="487"/>
      <c r="AVA14" s="487"/>
      <c r="AVB14" s="487"/>
      <c r="AVC14" s="487"/>
      <c r="AVD14" s="487"/>
      <c r="AVE14" s="487"/>
      <c r="AVF14" s="487"/>
      <c r="AVG14" s="487"/>
    </row>
    <row r="15" spans="1:1255" s="488" customFormat="1" ht="32.1" customHeight="1">
      <c r="A15" s="470">
        <v>12</v>
      </c>
      <c r="B15" s="471" t="e">
        <f>IF(ReadoutType="Digital",1,0)</f>
        <v>#NAME?</v>
      </c>
      <c r="C15" s="496" t="s">
        <v>410</v>
      </c>
      <c r="D15" s="471" t="s">
        <v>395</v>
      </c>
      <c r="E15" s="473" t="e">
        <f>E14</f>
        <v>#NAME?</v>
      </c>
      <c r="F15" s="474" t="e">
        <f>IF(OR(E15="",B15=0),"",$F$4)</f>
        <v>#NAME?</v>
      </c>
      <c r="G15" s="475" t="e">
        <f t="shared" si="3"/>
        <v>#NAME?</v>
      </c>
      <c r="H15" s="476" t="e">
        <f t="shared" si="4"/>
        <v>#NAME?</v>
      </c>
      <c r="I15" s="477">
        <f t="shared" si="5"/>
        <v>100</v>
      </c>
      <c r="J15" s="478" t="e">
        <f t="shared" si="6"/>
        <v>#NAME?</v>
      </c>
      <c r="K15" s="479">
        <v>1</v>
      </c>
      <c r="L15" s="480" t="e">
        <f t="shared" si="7"/>
        <v>#NAME?</v>
      </c>
      <c r="M15" s="480" t="e">
        <f t="shared" si="0"/>
        <v>#NAME?</v>
      </c>
      <c r="N15" s="481" t="e">
        <f t="shared" si="1"/>
        <v>#NAME?</v>
      </c>
      <c r="O15" s="482" t="e">
        <f t="shared" si="2"/>
        <v>#NAME?</v>
      </c>
      <c r="P15" s="464" t="s">
        <v>411</v>
      </c>
      <c r="Q15" s="483">
        <f ca="1">ABS(Q11*F1^3+Q12*F1^2+Q13*F1+Q14)</f>
        <v>0.113765936201805</v>
      </c>
      <c r="R15" s="484" t="e">
        <f t="shared" si="8"/>
        <v>#NAME?</v>
      </c>
      <c r="S15" s="465" t="e">
        <f t="shared" si="9"/>
        <v>#NAME?</v>
      </c>
      <c r="T15" s="465" t="e">
        <f>IF(OR(E15="",B15=0),"",ABS(L15/S16))</f>
        <v>#NAME?</v>
      </c>
      <c r="U15" s="485"/>
      <c r="V15" s="486"/>
      <c r="W15" s="486"/>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7"/>
      <c r="CV15" s="487"/>
      <c r="CW15" s="487"/>
      <c r="CX15" s="487"/>
      <c r="CY15" s="487"/>
      <c r="CZ15" s="487"/>
      <c r="DA15" s="487"/>
      <c r="DB15" s="487"/>
      <c r="DC15" s="487"/>
      <c r="DD15" s="487"/>
      <c r="DE15" s="487"/>
      <c r="DF15" s="487"/>
      <c r="DG15" s="487"/>
      <c r="DH15" s="487"/>
      <c r="DI15" s="487"/>
      <c r="DJ15" s="487"/>
      <c r="DK15" s="487"/>
      <c r="DL15" s="487"/>
      <c r="DM15" s="487"/>
      <c r="DN15" s="487"/>
      <c r="DO15" s="487"/>
      <c r="DP15" s="487"/>
      <c r="DQ15" s="487"/>
      <c r="DR15" s="487"/>
      <c r="DS15" s="487"/>
      <c r="DT15" s="487"/>
      <c r="DU15" s="487"/>
      <c r="DV15" s="487"/>
      <c r="DW15" s="487"/>
      <c r="DX15" s="487"/>
      <c r="DY15" s="487"/>
      <c r="DZ15" s="487"/>
      <c r="EA15" s="487"/>
      <c r="EB15" s="487"/>
      <c r="EC15" s="487"/>
      <c r="ED15" s="487"/>
      <c r="EE15" s="487"/>
      <c r="EF15" s="487"/>
      <c r="EG15" s="487"/>
      <c r="EH15" s="487"/>
      <c r="EI15" s="487"/>
      <c r="EJ15" s="487"/>
      <c r="EK15" s="487"/>
      <c r="EL15" s="487"/>
      <c r="EM15" s="487"/>
      <c r="EN15" s="487"/>
      <c r="EO15" s="487"/>
      <c r="EP15" s="487"/>
      <c r="EQ15" s="487"/>
      <c r="ER15" s="487"/>
      <c r="ES15" s="487"/>
      <c r="ET15" s="487"/>
      <c r="EU15" s="487"/>
      <c r="EV15" s="487"/>
      <c r="EW15" s="487"/>
      <c r="EX15" s="487"/>
      <c r="EY15" s="487"/>
      <c r="EZ15" s="487"/>
      <c r="FA15" s="487"/>
      <c r="FB15" s="487"/>
      <c r="FC15" s="487"/>
      <c r="FD15" s="487"/>
      <c r="FE15" s="487"/>
      <c r="FF15" s="487"/>
      <c r="FG15" s="487"/>
      <c r="FH15" s="487"/>
      <c r="FI15" s="487"/>
      <c r="FJ15" s="487"/>
      <c r="FK15" s="487"/>
      <c r="FL15" s="487"/>
      <c r="FM15" s="487"/>
      <c r="FN15" s="487"/>
      <c r="FO15" s="487"/>
      <c r="FP15" s="487"/>
      <c r="FQ15" s="487"/>
      <c r="FR15" s="487"/>
      <c r="FS15" s="487"/>
      <c r="FT15" s="487"/>
      <c r="FU15" s="487"/>
      <c r="FV15" s="487"/>
      <c r="FW15" s="487"/>
      <c r="FX15" s="487"/>
      <c r="FY15" s="487"/>
      <c r="FZ15" s="487"/>
      <c r="GA15" s="487"/>
      <c r="GB15" s="487"/>
      <c r="GC15" s="487"/>
      <c r="GD15" s="487"/>
      <c r="GE15" s="487"/>
      <c r="GF15" s="487"/>
      <c r="GG15" s="487"/>
      <c r="GH15" s="487"/>
      <c r="GI15" s="487"/>
      <c r="GJ15" s="487"/>
      <c r="GK15" s="487"/>
      <c r="GL15" s="487"/>
      <c r="GM15" s="487"/>
      <c r="GN15" s="487"/>
      <c r="GO15" s="487"/>
      <c r="GP15" s="487"/>
      <c r="GQ15" s="487"/>
      <c r="GR15" s="487"/>
      <c r="GS15" s="487"/>
      <c r="GT15" s="487"/>
      <c r="GU15" s="487"/>
      <c r="GV15" s="487"/>
      <c r="GW15" s="487"/>
      <c r="GX15" s="487"/>
      <c r="GY15" s="487"/>
      <c r="GZ15" s="487"/>
      <c r="HA15" s="487"/>
      <c r="HB15" s="487"/>
      <c r="HC15" s="487"/>
      <c r="HD15" s="487"/>
      <c r="HE15" s="487"/>
      <c r="HF15" s="487"/>
      <c r="HG15" s="487"/>
      <c r="HH15" s="487"/>
      <c r="HI15" s="487"/>
      <c r="HJ15" s="487"/>
      <c r="HK15" s="487"/>
      <c r="HL15" s="487"/>
      <c r="HM15" s="487"/>
      <c r="HN15" s="487"/>
      <c r="HO15" s="487"/>
      <c r="HP15" s="487"/>
      <c r="HQ15" s="487"/>
      <c r="HR15" s="487"/>
      <c r="HS15" s="487"/>
      <c r="HT15" s="487"/>
      <c r="HU15" s="487"/>
      <c r="HV15" s="487"/>
      <c r="HW15" s="487"/>
      <c r="HX15" s="487"/>
      <c r="HY15" s="487"/>
      <c r="HZ15" s="487"/>
      <c r="IA15" s="487"/>
      <c r="IB15" s="487"/>
      <c r="IC15" s="487"/>
      <c r="ID15" s="487"/>
      <c r="IE15" s="487"/>
      <c r="IF15" s="487"/>
      <c r="IG15" s="487"/>
      <c r="IH15" s="487"/>
      <c r="II15" s="487"/>
      <c r="IJ15" s="487"/>
      <c r="IK15" s="487"/>
      <c r="IL15" s="487"/>
      <c r="IM15" s="487"/>
      <c r="IN15" s="487"/>
      <c r="IO15" s="487"/>
      <c r="IP15" s="487"/>
      <c r="IQ15" s="487"/>
      <c r="IR15" s="487"/>
      <c r="IS15" s="487"/>
      <c r="IT15" s="487"/>
      <c r="IU15" s="487"/>
      <c r="IV15" s="487"/>
      <c r="IW15" s="487"/>
      <c r="IX15" s="487"/>
      <c r="IY15" s="487"/>
      <c r="IZ15" s="487"/>
      <c r="JA15" s="487"/>
      <c r="JB15" s="487"/>
      <c r="JC15" s="487"/>
      <c r="JD15" s="487"/>
      <c r="JE15" s="487"/>
      <c r="JF15" s="487"/>
      <c r="JG15" s="487"/>
      <c r="JH15" s="487"/>
      <c r="JI15" s="487"/>
      <c r="JJ15" s="487"/>
      <c r="JK15" s="487"/>
      <c r="JL15" s="487"/>
      <c r="JM15" s="487"/>
      <c r="JN15" s="487"/>
      <c r="JO15" s="487"/>
      <c r="JP15" s="487"/>
      <c r="JQ15" s="487"/>
      <c r="JR15" s="487"/>
      <c r="JS15" s="487"/>
      <c r="JT15" s="487"/>
      <c r="JU15" s="487"/>
      <c r="JV15" s="487"/>
      <c r="JW15" s="487"/>
      <c r="JX15" s="487"/>
      <c r="JY15" s="487"/>
      <c r="JZ15" s="487"/>
      <c r="KA15" s="487"/>
      <c r="KB15" s="487"/>
      <c r="KC15" s="487"/>
      <c r="KD15" s="487"/>
      <c r="KE15" s="487"/>
      <c r="KF15" s="487"/>
      <c r="KG15" s="487"/>
      <c r="KH15" s="487"/>
      <c r="KI15" s="487"/>
      <c r="KJ15" s="487"/>
      <c r="KK15" s="487"/>
      <c r="KL15" s="487"/>
      <c r="KM15" s="487"/>
      <c r="KN15" s="487"/>
      <c r="KO15" s="487"/>
      <c r="KP15" s="487"/>
      <c r="KQ15" s="487"/>
      <c r="KR15" s="487"/>
      <c r="KS15" s="487"/>
      <c r="KT15" s="487"/>
      <c r="KU15" s="487"/>
      <c r="KV15" s="487"/>
      <c r="KW15" s="487"/>
      <c r="KX15" s="487"/>
      <c r="KY15" s="487"/>
      <c r="KZ15" s="487"/>
      <c r="LA15" s="487"/>
      <c r="LB15" s="487"/>
      <c r="LC15" s="487"/>
      <c r="LD15" s="487"/>
      <c r="LE15" s="487"/>
      <c r="LF15" s="487"/>
      <c r="LG15" s="487"/>
      <c r="LH15" s="487"/>
      <c r="LI15" s="487"/>
      <c r="LJ15" s="487"/>
      <c r="LK15" s="487"/>
      <c r="LL15" s="487"/>
      <c r="LM15" s="487"/>
      <c r="LN15" s="487"/>
      <c r="LO15" s="487"/>
      <c r="LP15" s="487"/>
      <c r="LQ15" s="487"/>
      <c r="LR15" s="487"/>
      <c r="LS15" s="487"/>
      <c r="LT15" s="487"/>
      <c r="LU15" s="487"/>
      <c r="LV15" s="487"/>
      <c r="LW15" s="487"/>
      <c r="LX15" s="487"/>
      <c r="LY15" s="487"/>
      <c r="LZ15" s="487"/>
      <c r="MA15" s="487"/>
      <c r="MB15" s="487"/>
      <c r="MC15" s="487"/>
      <c r="MD15" s="487"/>
      <c r="ME15" s="487"/>
      <c r="MF15" s="487"/>
      <c r="MG15" s="487"/>
      <c r="MH15" s="487"/>
      <c r="MI15" s="487"/>
      <c r="MJ15" s="487"/>
      <c r="MK15" s="487"/>
      <c r="ML15" s="487"/>
      <c r="MM15" s="487"/>
      <c r="MN15" s="487"/>
      <c r="MO15" s="487"/>
      <c r="MP15" s="487"/>
      <c r="MQ15" s="487"/>
      <c r="MR15" s="487"/>
      <c r="MS15" s="487"/>
      <c r="MT15" s="487"/>
      <c r="MU15" s="487"/>
      <c r="MV15" s="487"/>
      <c r="MW15" s="487"/>
      <c r="MX15" s="487"/>
      <c r="MY15" s="487"/>
      <c r="MZ15" s="487"/>
      <c r="NA15" s="487"/>
      <c r="NB15" s="487"/>
      <c r="NC15" s="487"/>
      <c r="ND15" s="487"/>
      <c r="NE15" s="487"/>
      <c r="NF15" s="487"/>
      <c r="NG15" s="487"/>
      <c r="NH15" s="487"/>
      <c r="NI15" s="487"/>
      <c r="NJ15" s="487"/>
      <c r="NK15" s="487"/>
      <c r="NL15" s="487"/>
      <c r="NM15" s="487"/>
      <c r="NN15" s="487"/>
      <c r="NO15" s="487"/>
      <c r="NP15" s="487"/>
      <c r="NQ15" s="487"/>
      <c r="NR15" s="487"/>
      <c r="NS15" s="487"/>
      <c r="NT15" s="487"/>
      <c r="NU15" s="487"/>
      <c r="NV15" s="487"/>
      <c r="NW15" s="487"/>
      <c r="NX15" s="487"/>
      <c r="NY15" s="487"/>
      <c r="NZ15" s="487"/>
      <c r="OA15" s="487"/>
      <c r="OB15" s="487"/>
      <c r="OC15" s="487"/>
      <c r="OD15" s="487"/>
      <c r="OE15" s="487"/>
      <c r="OF15" s="487"/>
      <c r="OG15" s="487"/>
      <c r="OH15" s="487"/>
      <c r="OI15" s="487"/>
      <c r="OJ15" s="487"/>
      <c r="OK15" s="487"/>
      <c r="OL15" s="487"/>
      <c r="OM15" s="487"/>
      <c r="ON15" s="487"/>
      <c r="OO15" s="487"/>
      <c r="OP15" s="487"/>
      <c r="OQ15" s="487"/>
      <c r="OR15" s="487"/>
      <c r="OS15" s="487"/>
      <c r="OT15" s="487"/>
      <c r="OU15" s="487"/>
      <c r="OV15" s="487"/>
      <c r="OW15" s="487"/>
      <c r="OX15" s="487"/>
      <c r="OY15" s="487"/>
      <c r="OZ15" s="487"/>
      <c r="PA15" s="487"/>
      <c r="PB15" s="487"/>
      <c r="PC15" s="487"/>
      <c r="PD15" s="487"/>
      <c r="PE15" s="487"/>
      <c r="PF15" s="487"/>
      <c r="PG15" s="487"/>
      <c r="PH15" s="487"/>
      <c r="PI15" s="487"/>
      <c r="PJ15" s="487"/>
      <c r="PK15" s="487"/>
      <c r="PL15" s="487"/>
      <c r="PM15" s="487"/>
      <c r="PN15" s="487"/>
      <c r="PO15" s="487"/>
      <c r="PP15" s="487"/>
      <c r="PQ15" s="487"/>
      <c r="PR15" s="487"/>
      <c r="PS15" s="487"/>
      <c r="PT15" s="487"/>
      <c r="PU15" s="487"/>
      <c r="PV15" s="487"/>
      <c r="PW15" s="487"/>
      <c r="PX15" s="487"/>
      <c r="PY15" s="487"/>
      <c r="PZ15" s="487"/>
      <c r="QA15" s="487"/>
      <c r="QB15" s="487"/>
      <c r="QC15" s="487"/>
      <c r="QD15" s="487"/>
      <c r="QE15" s="487"/>
      <c r="QF15" s="487"/>
      <c r="QG15" s="487"/>
      <c r="QH15" s="487"/>
      <c r="QI15" s="487"/>
      <c r="QJ15" s="487"/>
      <c r="QK15" s="487"/>
      <c r="QL15" s="487"/>
      <c r="QM15" s="487"/>
      <c r="QN15" s="487"/>
      <c r="QO15" s="487"/>
      <c r="QP15" s="487"/>
      <c r="QQ15" s="487"/>
      <c r="QR15" s="487"/>
      <c r="QS15" s="487"/>
      <c r="QT15" s="487"/>
      <c r="QU15" s="487"/>
      <c r="QV15" s="487"/>
      <c r="QW15" s="487"/>
      <c r="QX15" s="487"/>
      <c r="QY15" s="487"/>
      <c r="QZ15" s="487"/>
      <c r="RA15" s="487"/>
      <c r="RB15" s="487"/>
      <c r="RC15" s="487"/>
      <c r="RD15" s="487"/>
      <c r="RE15" s="487"/>
      <c r="RF15" s="487"/>
      <c r="RG15" s="487"/>
      <c r="RH15" s="487"/>
      <c r="RI15" s="487"/>
      <c r="RJ15" s="487"/>
      <c r="RK15" s="487"/>
      <c r="RL15" s="487"/>
      <c r="RM15" s="487"/>
      <c r="RN15" s="487"/>
      <c r="RO15" s="487"/>
      <c r="RP15" s="487"/>
      <c r="RQ15" s="487"/>
      <c r="RR15" s="487"/>
      <c r="RS15" s="487"/>
      <c r="RT15" s="487"/>
      <c r="RU15" s="487"/>
      <c r="RV15" s="487"/>
      <c r="RW15" s="487"/>
      <c r="RX15" s="487"/>
      <c r="RY15" s="487"/>
      <c r="RZ15" s="487"/>
      <c r="SA15" s="487"/>
      <c r="SB15" s="487"/>
      <c r="SC15" s="487"/>
      <c r="SD15" s="487"/>
      <c r="SE15" s="487"/>
      <c r="SF15" s="487"/>
      <c r="SG15" s="487"/>
      <c r="SH15" s="487"/>
      <c r="SI15" s="487"/>
      <c r="SJ15" s="487"/>
      <c r="SK15" s="487"/>
      <c r="SL15" s="487"/>
      <c r="SM15" s="487"/>
      <c r="SN15" s="487"/>
      <c r="SO15" s="487"/>
      <c r="SP15" s="487"/>
      <c r="SQ15" s="487"/>
      <c r="SR15" s="487"/>
      <c r="SS15" s="487"/>
      <c r="ST15" s="487"/>
      <c r="SU15" s="487"/>
      <c r="SV15" s="487"/>
      <c r="SW15" s="487"/>
      <c r="SX15" s="487"/>
      <c r="SY15" s="487"/>
      <c r="SZ15" s="487"/>
      <c r="TA15" s="487"/>
      <c r="TB15" s="487"/>
      <c r="TC15" s="487"/>
      <c r="TD15" s="487"/>
      <c r="TE15" s="487"/>
      <c r="TF15" s="487"/>
      <c r="TG15" s="487"/>
      <c r="TH15" s="487"/>
      <c r="TI15" s="487"/>
      <c r="TJ15" s="487"/>
      <c r="TK15" s="487"/>
      <c r="TL15" s="487"/>
      <c r="TM15" s="487"/>
      <c r="TN15" s="487"/>
      <c r="TO15" s="487"/>
      <c r="TP15" s="487"/>
      <c r="TQ15" s="487"/>
      <c r="TR15" s="487"/>
      <c r="TS15" s="487"/>
      <c r="TT15" s="487"/>
      <c r="TU15" s="487"/>
      <c r="TV15" s="487"/>
      <c r="TW15" s="487"/>
      <c r="TX15" s="487"/>
      <c r="TY15" s="487"/>
      <c r="TZ15" s="487"/>
      <c r="UA15" s="487"/>
      <c r="UB15" s="487"/>
      <c r="UC15" s="487"/>
      <c r="UD15" s="487"/>
      <c r="UE15" s="487"/>
      <c r="UF15" s="487"/>
      <c r="UG15" s="487"/>
      <c r="UH15" s="487"/>
      <c r="UI15" s="487"/>
      <c r="UJ15" s="487"/>
      <c r="UK15" s="487"/>
      <c r="UL15" s="487"/>
      <c r="UM15" s="487"/>
      <c r="UN15" s="487"/>
      <c r="UO15" s="487"/>
      <c r="UP15" s="487"/>
      <c r="UQ15" s="487"/>
      <c r="UR15" s="487"/>
      <c r="US15" s="487"/>
      <c r="UT15" s="487"/>
      <c r="UU15" s="487"/>
      <c r="UV15" s="487"/>
      <c r="UW15" s="487"/>
      <c r="UX15" s="487"/>
      <c r="UY15" s="487"/>
      <c r="UZ15" s="487"/>
      <c r="VA15" s="487"/>
      <c r="VB15" s="487"/>
      <c r="VC15" s="487"/>
      <c r="VD15" s="487"/>
      <c r="VE15" s="487"/>
      <c r="VF15" s="487"/>
      <c r="VG15" s="487"/>
      <c r="VH15" s="487"/>
      <c r="VI15" s="487"/>
      <c r="VJ15" s="487"/>
      <c r="VK15" s="487"/>
      <c r="VL15" s="487"/>
      <c r="VM15" s="487"/>
      <c r="VN15" s="487"/>
      <c r="VO15" s="487"/>
      <c r="VP15" s="487"/>
      <c r="VQ15" s="487"/>
      <c r="VR15" s="487"/>
      <c r="VS15" s="487"/>
      <c r="VT15" s="487"/>
      <c r="VU15" s="487"/>
      <c r="VV15" s="487"/>
      <c r="VW15" s="487"/>
      <c r="VX15" s="487"/>
      <c r="VY15" s="487"/>
      <c r="VZ15" s="487"/>
      <c r="WA15" s="487"/>
      <c r="WB15" s="487"/>
      <c r="WC15" s="487"/>
      <c r="WD15" s="487"/>
      <c r="WE15" s="487"/>
      <c r="WF15" s="487"/>
      <c r="WG15" s="487"/>
      <c r="WH15" s="487"/>
      <c r="WI15" s="487"/>
      <c r="WJ15" s="487"/>
      <c r="WK15" s="487"/>
      <c r="WL15" s="487"/>
      <c r="WM15" s="487"/>
      <c r="WN15" s="487"/>
      <c r="WO15" s="487"/>
      <c r="WP15" s="487"/>
      <c r="WQ15" s="487"/>
      <c r="WR15" s="487"/>
      <c r="WS15" s="487"/>
      <c r="WT15" s="487"/>
      <c r="WU15" s="487"/>
      <c r="WV15" s="487"/>
      <c r="WW15" s="487"/>
      <c r="WX15" s="487"/>
      <c r="WY15" s="487"/>
      <c r="WZ15" s="487"/>
      <c r="XA15" s="487"/>
      <c r="XB15" s="487"/>
      <c r="XC15" s="487"/>
      <c r="XD15" s="487"/>
      <c r="XE15" s="487"/>
      <c r="XF15" s="487"/>
      <c r="XG15" s="487"/>
      <c r="XH15" s="487"/>
      <c r="XI15" s="487"/>
      <c r="XJ15" s="487"/>
      <c r="XK15" s="487"/>
      <c r="XL15" s="487"/>
      <c r="XM15" s="487"/>
      <c r="XN15" s="487"/>
      <c r="XO15" s="487"/>
      <c r="XP15" s="487"/>
      <c r="XQ15" s="487"/>
      <c r="XR15" s="487"/>
      <c r="XS15" s="487"/>
      <c r="XT15" s="487"/>
      <c r="XU15" s="487"/>
      <c r="XV15" s="487"/>
      <c r="XW15" s="487"/>
      <c r="XX15" s="487"/>
      <c r="XY15" s="487"/>
      <c r="XZ15" s="487"/>
      <c r="YA15" s="487"/>
      <c r="YB15" s="487"/>
      <c r="YC15" s="487"/>
      <c r="YD15" s="487"/>
      <c r="YE15" s="487"/>
      <c r="YF15" s="487"/>
      <c r="YG15" s="487"/>
      <c r="YH15" s="487"/>
      <c r="YI15" s="487"/>
      <c r="YJ15" s="487"/>
      <c r="YK15" s="487"/>
      <c r="YL15" s="487"/>
      <c r="YM15" s="487"/>
      <c r="YN15" s="487"/>
      <c r="YO15" s="487"/>
      <c r="YP15" s="487"/>
      <c r="YQ15" s="487"/>
      <c r="YR15" s="487"/>
      <c r="YS15" s="487"/>
      <c r="YT15" s="487"/>
      <c r="YU15" s="487"/>
      <c r="YV15" s="487"/>
      <c r="YW15" s="487"/>
      <c r="YX15" s="487"/>
      <c r="YY15" s="487"/>
      <c r="YZ15" s="487"/>
      <c r="ZA15" s="487"/>
      <c r="ZB15" s="487"/>
      <c r="ZC15" s="487"/>
      <c r="ZD15" s="487"/>
      <c r="ZE15" s="487"/>
      <c r="ZF15" s="487"/>
      <c r="ZG15" s="487"/>
      <c r="ZH15" s="487"/>
      <c r="ZI15" s="487"/>
      <c r="ZJ15" s="487"/>
      <c r="ZK15" s="487"/>
      <c r="ZL15" s="487"/>
      <c r="ZM15" s="487"/>
      <c r="ZN15" s="487"/>
      <c r="ZO15" s="487"/>
      <c r="ZP15" s="487"/>
      <c r="ZQ15" s="487"/>
      <c r="ZR15" s="487"/>
      <c r="ZS15" s="487"/>
      <c r="ZT15" s="487"/>
      <c r="ZU15" s="487"/>
      <c r="ZV15" s="487"/>
      <c r="ZW15" s="487"/>
      <c r="ZX15" s="487"/>
      <c r="ZY15" s="487"/>
      <c r="ZZ15" s="487"/>
      <c r="AAA15" s="487"/>
      <c r="AAB15" s="487"/>
      <c r="AAC15" s="487"/>
      <c r="AAD15" s="487"/>
      <c r="AAE15" s="487"/>
      <c r="AAF15" s="487"/>
      <c r="AAG15" s="487"/>
      <c r="AAH15" s="487"/>
      <c r="AAI15" s="487"/>
      <c r="AAJ15" s="487"/>
      <c r="AAK15" s="487"/>
      <c r="AAL15" s="487"/>
      <c r="AAM15" s="487"/>
      <c r="AAN15" s="487"/>
      <c r="AAO15" s="487"/>
      <c r="AAP15" s="487"/>
      <c r="AAQ15" s="487"/>
      <c r="AAR15" s="487"/>
      <c r="AAS15" s="487"/>
      <c r="AAT15" s="487"/>
      <c r="AAU15" s="487"/>
      <c r="AAV15" s="487"/>
      <c r="AAW15" s="487"/>
      <c r="AAX15" s="487"/>
      <c r="AAY15" s="487"/>
      <c r="AAZ15" s="487"/>
      <c r="ABA15" s="487"/>
      <c r="ABB15" s="487"/>
      <c r="ABC15" s="487"/>
      <c r="ABD15" s="487"/>
      <c r="ABE15" s="487"/>
      <c r="ABF15" s="487"/>
      <c r="ABG15" s="487"/>
      <c r="ABH15" s="487"/>
      <c r="ABI15" s="487"/>
      <c r="ABJ15" s="487"/>
      <c r="ABK15" s="487"/>
      <c r="ABL15" s="487"/>
      <c r="ABM15" s="487"/>
      <c r="ABN15" s="487"/>
      <c r="ABO15" s="487"/>
      <c r="ABP15" s="487"/>
      <c r="ABQ15" s="487"/>
      <c r="ABR15" s="487"/>
      <c r="ABS15" s="487"/>
      <c r="ABT15" s="487"/>
      <c r="ABU15" s="487"/>
      <c r="ABV15" s="487"/>
      <c r="ABW15" s="487"/>
      <c r="ABX15" s="487"/>
      <c r="ABY15" s="487"/>
      <c r="ABZ15" s="487"/>
      <c r="ACA15" s="487"/>
      <c r="ACB15" s="487"/>
      <c r="ACC15" s="487"/>
      <c r="ACD15" s="487"/>
      <c r="ACE15" s="487"/>
      <c r="ACF15" s="487"/>
      <c r="ACG15" s="487"/>
      <c r="ACH15" s="487"/>
      <c r="ACI15" s="487"/>
      <c r="ACJ15" s="487"/>
      <c r="ACK15" s="487"/>
      <c r="ACL15" s="487"/>
      <c r="ACM15" s="487"/>
      <c r="ACN15" s="487"/>
      <c r="ACO15" s="487"/>
      <c r="ACP15" s="487"/>
      <c r="ACQ15" s="487"/>
      <c r="ACR15" s="487"/>
      <c r="ACS15" s="487"/>
      <c r="ACT15" s="487"/>
      <c r="ACU15" s="487"/>
      <c r="ACV15" s="487"/>
      <c r="ACW15" s="487"/>
      <c r="ACX15" s="487"/>
      <c r="ACY15" s="487"/>
      <c r="ACZ15" s="487"/>
      <c r="ADA15" s="487"/>
      <c r="ADB15" s="487"/>
      <c r="ADC15" s="487"/>
      <c r="ADD15" s="487"/>
      <c r="ADE15" s="487"/>
      <c r="ADF15" s="487"/>
      <c r="ADG15" s="487"/>
      <c r="ADH15" s="487"/>
      <c r="ADI15" s="487"/>
      <c r="ADJ15" s="487"/>
      <c r="ADK15" s="487"/>
      <c r="ADL15" s="487"/>
      <c r="ADM15" s="487"/>
      <c r="ADN15" s="487"/>
      <c r="ADO15" s="487"/>
      <c r="ADP15" s="487"/>
      <c r="ADQ15" s="487"/>
      <c r="ADR15" s="487"/>
      <c r="ADS15" s="487"/>
      <c r="ADT15" s="487"/>
      <c r="ADU15" s="487"/>
      <c r="ADV15" s="487"/>
      <c r="ADW15" s="487"/>
      <c r="ADX15" s="487"/>
      <c r="ADY15" s="487"/>
      <c r="ADZ15" s="487"/>
      <c r="AEA15" s="487"/>
      <c r="AEB15" s="487"/>
      <c r="AEC15" s="487"/>
      <c r="AED15" s="487"/>
      <c r="AEE15" s="487"/>
      <c r="AEF15" s="487"/>
      <c r="AEG15" s="487"/>
      <c r="AEH15" s="487"/>
      <c r="AEI15" s="487"/>
      <c r="AEJ15" s="487"/>
      <c r="AEK15" s="487"/>
      <c r="AEL15" s="487"/>
      <c r="AEM15" s="487"/>
      <c r="AEN15" s="487"/>
      <c r="AEO15" s="487"/>
      <c r="AEP15" s="487"/>
      <c r="AEQ15" s="487"/>
      <c r="AER15" s="487"/>
      <c r="AES15" s="487"/>
      <c r="AET15" s="487"/>
      <c r="AEU15" s="487"/>
      <c r="AEV15" s="487"/>
      <c r="AEW15" s="487"/>
      <c r="AEX15" s="487"/>
      <c r="AEY15" s="487"/>
      <c r="AEZ15" s="487"/>
      <c r="AFA15" s="487"/>
      <c r="AFB15" s="487"/>
      <c r="AFC15" s="487"/>
      <c r="AFD15" s="487"/>
      <c r="AFE15" s="487"/>
      <c r="AFF15" s="487"/>
      <c r="AFG15" s="487"/>
      <c r="AFH15" s="487"/>
      <c r="AFI15" s="487"/>
      <c r="AFJ15" s="487"/>
      <c r="AFK15" s="487"/>
      <c r="AFL15" s="487"/>
      <c r="AFM15" s="487"/>
      <c r="AFN15" s="487"/>
      <c r="AFO15" s="487"/>
      <c r="AFP15" s="487"/>
      <c r="AFQ15" s="487"/>
      <c r="AFR15" s="487"/>
      <c r="AFS15" s="487"/>
      <c r="AFT15" s="487"/>
      <c r="AFU15" s="487"/>
      <c r="AFV15" s="487"/>
      <c r="AFW15" s="487"/>
      <c r="AFX15" s="487"/>
      <c r="AFY15" s="487"/>
      <c r="AFZ15" s="487"/>
      <c r="AGA15" s="487"/>
      <c r="AGB15" s="487"/>
      <c r="AGC15" s="487"/>
      <c r="AGD15" s="487"/>
      <c r="AGE15" s="487"/>
      <c r="AGF15" s="487"/>
      <c r="AGG15" s="487"/>
      <c r="AGH15" s="487"/>
      <c r="AGI15" s="487"/>
      <c r="AGJ15" s="487"/>
      <c r="AGK15" s="487"/>
      <c r="AGL15" s="487"/>
      <c r="AGM15" s="487"/>
      <c r="AGN15" s="487"/>
      <c r="AGO15" s="487"/>
      <c r="AGP15" s="487"/>
      <c r="AGQ15" s="487"/>
      <c r="AGR15" s="487"/>
      <c r="AGS15" s="487"/>
      <c r="AGT15" s="487"/>
      <c r="AGU15" s="487"/>
      <c r="AGV15" s="487"/>
      <c r="AGW15" s="487"/>
      <c r="AGX15" s="487"/>
      <c r="AGY15" s="487"/>
      <c r="AGZ15" s="487"/>
      <c r="AHA15" s="487"/>
      <c r="AHB15" s="487"/>
      <c r="AHC15" s="487"/>
      <c r="AHD15" s="487"/>
      <c r="AHE15" s="487"/>
      <c r="AHF15" s="487"/>
      <c r="AHG15" s="487"/>
      <c r="AHH15" s="487"/>
      <c r="AHI15" s="487"/>
      <c r="AHJ15" s="487"/>
      <c r="AHK15" s="487"/>
      <c r="AHL15" s="487"/>
      <c r="AHM15" s="487"/>
      <c r="AHN15" s="487"/>
      <c r="AHO15" s="487"/>
      <c r="AHP15" s="487"/>
      <c r="AHQ15" s="487"/>
      <c r="AHR15" s="487"/>
      <c r="AHS15" s="487"/>
      <c r="AHT15" s="487"/>
      <c r="AHU15" s="487"/>
      <c r="AHV15" s="487"/>
      <c r="AHW15" s="487"/>
      <c r="AHX15" s="487"/>
      <c r="AHY15" s="487"/>
      <c r="AHZ15" s="487"/>
      <c r="AIA15" s="487"/>
      <c r="AIB15" s="487"/>
      <c r="AIC15" s="487"/>
      <c r="AID15" s="487"/>
      <c r="AIE15" s="487"/>
      <c r="AIF15" s="487"/>
      <c r="AIG15" s="487"/>
      <c r="AIH15" s="487"/>
      <c r="AII15" s="487"/>
      <c r="AIJ15" s="487"/>
      <c r="AIK15" s="487"/>
      <c r="AIL15" s="487"/>
      <c r="AIM15" s="487"/>
      <c r="AIN15" s="487"/>
      <c r="AIO15" s="487"/>
      <c r="AIP15" s="487"/>
      <c r="AIQ15" s="487"/>
      <c r="AIR15" s="487"/>
      <c r="AIS15" s="487"/>
      <c r="AIT15" s="487"/>
      <c r="AIU15" s="487"/>
      <c r="AIV15" s="487"/>
      <c r="AIW15" s="487"/>
      <c r="AIX15" s="487"/>
      <c r="AIY15" s="487"/>
      <c r="AIZ15" s="487"/>
      <c r="AJA15" s="487"/>
      <c r="AJB15" s="487"/>
      <c r="AJC15" s="487"/>
      <c r="AJD15" s="487"/>
      <c r="AJE15" s="487"/>
      <c r="AJF15" s="487"/>
      <c r="AJG15" s="487"/>
      <c r="AJH15" s="487"/>
      <c r="AJI15" s="487"/>
      <c r="AJJ15" s="487"/>
      <c r="AJK15" s="487"/>
      <c r="AJL15" s="487"/>
      <c r="AJM15" s="487"/>
      <c r="AJN15" s="487"/>
      <c r="AJO15" s="487"/>
      <c r="AJP15" s="487"/>
      <c r="AJQ15" s="487"/>
      <c r="AJR15" s="487"/>
      <c r="AJS15" s="487"/>
      <c r="AJT15" s="487"/>
      <c r="AJU15" s="487"/>
      <c r="AJV15" s="487"/>
      <c r="AJW15" s="487"/>
      <c r="AJX15" s="487"/>
      <c r="AJY15" s="487"/>
      <c r="AJZ15" s="487"/>
      <c r="AKA15" s="487"/>
      <c r="AKB15" s="487"/>
      <c r="AKC15" s="487"/>
      <c r="AKD15" s="487"/>
      <c r="AKE15" s="487"/>
      <c r="AKF15" s="487"/>
      <c r="AKG15" s="487"/>
      <c r="AKH15" s="487"/>
      <c r="AKI15" s="487"/>
      <c r="AKJ15" s="487"/>
      <c r="AKK15" s="487"/>
      <c r="AKL15" s="487"/>
      <c r="AKM15" s="487"/>
      <c r="AKN15" s="487"/>
      <c r="AKO15" s="487"/>
      <c r="AKP15" s="487"/>
      <c r="AKQ15" s="487"/>
      <c r="AKR15" s="487"/>
      <c r="AKS15" s="487"/>
      <c r="AKT15" s="487"/>
      <c r="AKU15" s="487"/>
      <c r="AKV15" s="487"/>
      <c r="AKW15" s="487"/>
      <c r="AKX15" s="487"/>
      <c r="AKY15" s="487"/>
      <c r="AKZ15" s="487"/>
      <c r="ALA15" s="487"/>
      <c r="ALB15" s="487"/>
      <c r="ALC15" s="487"/>
      <c r="ALD15" s="487"/>
      <c r="ALE15" s="487"/>
      <c r="ALF15" s="487"/>
      <c r="ALG15" s="487"/>
      <c r="ALH15" s="487"/>
      <c r="ALI15" s="487"/>
      <c r="ALJ15" s="487"/>
      <c r="ALK15" s="487"/>
      <c r="ALL15" s="487"/>
      <c r="ALM15" s="487"/>
      <c r="ALN15" s="487"/>
      <c r="ALO15" s="487"/>
      <c r="ALP15" s="487"/>
      <c r="ALQ15" s="487"/>
      <c r="ALR15" s="487"/>
      <c r="ALS15" s="487"/>
      <c r="ALT15" s="487"/>
      <c r="ALU15" s="487"/>
      <c r="ALV15" s="487"/>
      <c r="ALW15" s="487"/>
      <c r="ALX15" s="487"/>
      <c r="ALY15" s="487"/>
      <c r="ALZ15" s="487"/>
      <c r="AMA15" s="487"/>
      <c r="AMB15" s="487"/>
      <c r="AMC15" s="487"/>
      <c r="AMD15" s="487"/>
      <c r="AME15" s="487"/>
      <c r="AMF15" s="487"/>
      <c r="AMG15" s="487"/>
      <c r="AMH15" s="487"/>
      <c r="AMI15" s="487"/>
      <c r="AMJ15" s="487"/>
      <c r="AMK15" s="487"/>
      <c r="AML15" s="487"/>
      <c r="AMM15" s="487"/>
      <c r="AMN15" s="487"/>
      <c r="AMO15" s="487"/>
      <c r="AMP15" s="487"/>
      <c r="AMQ15" s="487"/>
      <c r="AMR15" s="487"/>
      <c r="AMS15" s="487"/>
      <c r="AMT15" s="487"/>
      <c r="AMU15" s="487"/>
      <c r="AMV15" s="487"/>
      <c r="AMW15" s="487"/>
      <c r="AMX15" s="487"/>
      <c r="AMY15" s="487"/>
      <c r="AMZ15" s="487"/>
      <c r="ANA15" s="487"/>
      <c r="ANB15" s="487"/>
      <c r="ANC15" s="487"/>
      <c r="AND15" s="487"/>
      <c r="ANE15" s="487"/>
      <c r="ANF15" s="487"/>
      <c r="ANG15" s="487"/>
      <c r="ANH15" s="487"/>
      <c r="ANI15" s="487"/>
      <c r="ANJ15" s="487"/>
      <c r="ANK15" s="487"/>
      <c r="ANL15" s="487"/>
      <c r="ANM15" s="487"/>
      <c r="ANN15" s="487"/>
      <c r="ANO15" s="487"/>
      <c r="ANP15" s="487"/>
      <c r="ANQ15" s="487"/>
      <c r="ANR15" s="487"/>
      <c r="ANS15" s="487"/>
      <c r="ANT15" s="487"/>
      <c r="ANU15" s="487"/>
      <c r="ANV15" s="487"/>
      <c r="ANW15" s="487"/>
      <c r="ANX15" s="487"/>
      <c r="ANY15" s="487"/>
      <c r="ANZ15" s="487"/>
      <c r="AOA15" s="487"/>
      <c r="AOB15" s="487"/>
      <c r="AOC15" s="487"/>
      <c r="AOD15" s="487"/>
      <c r="AOE15" s="487"/>
      <c r="AOF15" s="487"/>
      <c r="AOG15" s="487"/>
      <c r="AOH15" s="487"/>
      <c r="AOI15" s="487"/>
      <c r="AOJ15" s="487"/>
      <c r="AOK15" s="487"/>
      <c r="AOL15" s="487"/>
      <c r="AOM15" s="487"/>
      <c r="AON15" s="487"/>
      <c r="AOO15" s="487"/>
      <c r="AOP15" s="487"/>
      <c r="AOQ15" s="487"/>
      <c r="AOR15" s="487"/>
      <c r="AOS15" s="487"/>
      <c r="AOT15" s="487"/>
      <c r="AOU15" s="487"/>
      <c r="AOV15" s="487"/>
      <c r="AOW15" s="487"/>
      <c r="AOX15" s="487"/>
      <c r="AOY15" s="487"/>
      <c r="AOZ15" s="487"/>
      <c r="APA15" s="487"/>
      <c r="APB15" s="487"/>
      <c r="APC15" s="487"/>
      <c r="APD15" s="487"/>
      <c r="APE15" s="487"/>
      <c r="APF15" s="487"/>
      <c r="APG15" s="487"/>
      <c r="APH15" s="487"/>
      <c r="API15" s="487"/>
      <c r="APJ15" s="487"/>
      <c r="APK15" s="487"/>
      <c r="APL15" s="487"/>
      <c r="APM15" s="487"/>
      <c r="APN15" s="487"/>
      <c r="APO15" s="487"/>
      <c r="APP15" s="487"/>
      <c r="APQ15" s="487"/>
      <c r="APR15" s="487"/>
      <c r="APS15" s="487"/>
      <c r="APT15" s="487"/>
      <c r="APU15" s="487"/>
      <c r="APV15" s="487"/>
      <c r="APW15" s="487"/>
      <c r="APX15" s="487"/>
      <c r="APY15" s="487"/>
      <c r="APZ15" s="487"/>
      <c r="AQA15" s="487"/>
      <c r="AQB15" s="487"/>
      <c r="AQC15" s="487"/>
      <c r="AQD15" s="487"/>
      <c r="AQE15" s="487"/>
      <c r="AQF15" s="487"/>
      <c r="AQG15" s="487"/>
      <c r="AQH15" s="487"/>
      <c r="AQI15" s="487"/>
      <c r="AQJ15" s="487"/>
      <c r="AQK15" s="487"/>
      <c r="AQL15" s="487"/>
      <c r="AQM15" s="487"/>
      <c r="AQN15" s="487"/>
      <c r="AQO15" s="487"/>
      <c r="AQP15" s="487"/>
      <c r="AQQ15" s="487"/>
      <c r="AQR15" s="487"/>
      <c r="AQS15" s="487"/>
      <c r="AQT15" s="487"/>
      <c r="AQU15" s="487"/>
      <c r="AQV15" s="487"/>
      <c r="AQW15" s="487"/>
      <c r="AQX15" s="487"/>
      <c r="AQY15" s="487"/>
      <c r="AQZ15" s="487"/>
      <c r="ARA15" s="487"/>
      <c r="ARB15" s="487"/>
      <c r="ARC15" s="487"/>
      <c r="ARD15" s="487"/>
      <c r="ARE15" s="487"/>
      <c r="ARF15" s="487"/>
      <c r="ARG15" s="487"/>
      <c r="ARH15" s="487"/>
      <c r="ARI15" s="487"/>
      <c r="ARJ15" s="487"/>
      <c r="ARK15" s="487"/>
      <c r="ARL15" s="487"/>
      <c r="ARM15" s="487"/>
      <c r="ARN15" s="487"/>
      <c r="ARO15" s="487"/>
      <c r="ARP15" s="487"/>
      <c r="ARQ15" s="487"/>
      <c r="ARR15" s="487"/>
      <c r="ARS15" s="487"/>
      <c r="ART15" s="487"/>
      <c r="ARU15" s="487"/>
      <c r="ARV15" s="487"/>
      <c r="ARW15" s="487"/>
      <c r="ARX15" s="487"/>
      <c r="ARY15" s="487"/>
      <c r="ARZ15" s="487"/>
      <c r="ASA15" s="487"/>
      <c r="ASB15" s="487"/>
      <c r="ASC15" s="487"/>
      <c r="ASD15" s="487"/>
      <c r="ASE15" s="487"/>
      <c r="ASF15" s="487"/>
      <c r="ASG15" s="487"/>
      <c r="ASH15" s="487"/>
      <c r="ASI15" s="487"/>
      <c r="ASJ15" s="487"/>
      <c r="ASK15" s="487"/>
      <c r="ASL15" s="487"/>
      <c r="ASM15" s="487"/>
      <c r="ASN15" s="487"/>
      <c r="ASO15" s="487"/>
      <c r="ASP15" s="487"/>
      <c r="ASQ15" s="487"/>
      <c r="ASR15" s="487"/>
      <c r="ASS15" s="487"/>
      <c r="AST15" s="487"/>
      <c r="ASU15" s="487"/>
      <c r="ASV15" s="487"/>
      <c r="ASW15" s="487"/>
      <c r="ASX15" s="487"/>
      <c r="ASY15" s="487"/>
      <c r="ASZ15" s="487"/>
      <c r="ATA15" s="487"/>
      <c r="ATB15" s="487"/>
      <c r="ATC15" s="487"/>
      <c r="ATD15" s="487"/>
      <c r="ATE15" s="487"/>
      <c r="ATF15" s="487"/>
      <c r="ATG15" s="487"/>
      <c r="ATH15" s="487"/>
      <c r="ATI15" s="487"/>
      <c r="ATJ15" s="487"/>
      <c r="ATK15" s="487"/>
      <c r="ATL15" s="487"/>
      <c r="ATM15" s="487"/>
      <c r="ATN15" s="487"/>
      <c r="ATO15" s="487"/>
      <c r="ATP15" s="487"/>
      <c r="ATQ15" s="487"/>
      <c r="ATR15" s="487"/>
      <c r="ATS15" s="487"/>
      <c r="ATT15" s="487"/>
      <c r="ATU15" s="487"/>
      <c r="ATV15" s="487"/>
      <c r="ATW15" s="487"/>
      <c r="ATX15" s="487"/>
      <c r="ATY15" s="487"/>
      <c r="ATZ15" s="487"/>
      <c r="AUA15" s="487"/>
      <c r="AUB15" s="487"/>
      <c r="AUC15" s="487"/>
      <c r="AUD15" s="487"/>
      <c r="AUE15" s="487"/>
      <c r="AUF15" s="487"/>
      <c r="AUG15" s="487"/>
      <c r="AUH15" s="487"/>
      <c r="AUI15" s="487"/>
      <c r="AUJ15" s="487"/>
      <c r="AUK15" s="487"/>
      <c r="AUL15" s="487"/>
      <c r="AUM15" s="487"/>
      <c r="AUN15" s="487"/>
      <c r="AUO15" s="487"/>
      <c r="AUP15" s="487"/>
      <c r="AUQ15" s="487"/>
      <c r="AUR15" s="487"/>
      <c r="AUS15" s="487"/>
      <c r="AUT15" s="487"/>
      <c r="AUU15" s="487"/>
      <c r="AUV15" s="487"/>
      <c r="AUW15" s="487"/>
      <c r="AUX15" s="487"/>
      <c r="AUY15" s="487"/>
      <c r="AUZ15" s="487"/>
      <c r="AVA15" s="487"/>
      <c r="AVB15" s="487"/>
      <c r="AVC15" s="487"/>
      <c r="AVD15" s="487"/>
      <c r="AVE15" s="487"/>
      <c r="AVF15" s="487"/>
      <c r="AVG15" s="487"/>
    </row>
    <row r="16" spans="1:1255" s="503" customFormat="1" ht="32.1" customHeight="1">
      <c r="A16" s="497"/>
      <c r="B16" s="498"/>
      <c r="C16" s="448"/>
      <c r="D16" s="448"/>
      <c r="E16" s="448"/>
      <c r="F16" s="448"/>
      <c r="G16" s="448"/>
      <c r="H16" s="448"/>
      <c r="I16" s="484"/>
      <c r="J16" s="448"/>
      <c r="K16" s="448"/>
      <c r="L16" s="499" t="s">
        <v>412</v>
      </c>
      <c r="M16" s="499" t="e">
        <f ca="1">SUM(M4:M15)</f>
        <v>#VALUE!</v>
      </c>
      <c r="N16" s="500" t="e">
        <f ca="1">SUM(N4:N15)</f>
        <v>#VALUE!</v>
      </c>
      <c r="O16" s="501" t="e">
        <f ca="1">SUM(O4:O15)</f>
        <v>#VALUE!</v>
      </c>
      <c r="P16" s="464" t="s">
        <v>413</v>
      </c>
      <c r="Q16" s="483">
        <f ca="1">VLOOKUP(VLOOKUP(I1,Worksheet!$A$18:$B$31,2),'1Test Data'!$O$30:$AJ$49,22,0)</f>
        <v>3.5923988388601198E-4</v>
      </c>
      <c r="R16" s="453"/>
      <c r="S16" s="465" t="e">
        <f ca="1">SUM(S4:S15)</f>
        <v>#VALUE!</v>
      </c>
      <c r="T16" s="465" t="e">
        <f ca="1">SUM(T4:T15)</f>
        <v>#VALUE!</v>
      </c>
      <c r="U16" s="455"/>
      <c r="V16" s="439"/>
      <c r="W16" s="439"/>
      <c r="X16" s="439"/>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502"/>
      <c r="AX16" s="502"/>
      <c r="AY16" s="502"/>
      <c r="AZ16" s="502"/>
      <c r="BA16" s="502"/>
      <c r="BB16" s="502"/>
      <c r="BC16" s="502"/>
      <c r="BD16" s="502"/>
      <c r="BE16" s="502"/>
      <c r="BF16" s="502"/>
      <c r="BG16" s="502"/>
      <c r="BH16" s="502"/>
      <c r="BI16" s="502"/>
      <c r="BJ16" s="502"/>
      <c r="BK16" s="502"/>
      <c r="BL16" s="502"/>
      <c r="BM16" s="502"/>
      <c r="BN16" s="502"/>
      <c r="BO16" s="502"/>
      <c r="BP16" s="502"/>
      <c r="BQ16" s="502"/>
      <c r="BR16" s="502"/>
      <c r="BS16" s="502"/>
      <c r="BT16" s="502"/>
      <c r="BU16" s="502"/>
      <c r="BV16" s="502"/>
      <c r="BW16" s="502"/>
      <c r="BX16" s="502"/>
      <c r="BY16" s="502"/>
      <c r="BZ16" s="502"/>
      <c r="CA16" s="502"/>
      <c r="CB16" s="502"/>
      <c r="CC16" s="502"/>
      <c r="CD16" s="502"/>
      <c r="CE16" s="502"/>
      <c r="CF16" s="502"/>
      <c r="CG16" s="502"/>
      <c r="CH16" s="502"/>
      <c r="CI16" s="502"/>
      <c r="CJ16" s="502"/>
      <c r="CK16" s="502"/>
      <c r="CL16" s="502"/>
      <c r="CM16" s="502"/>
      <c r="CN16" s="502"/>
      <c r="CO16" s="502"/>
      <c r="CP16" s="502"/>
      <c r="CQ16" s="502"/>
      <c r="CR16" s="502"/>
      <c r="CS16" s="502"/>
      <c r="CT16" s="502"/>
      <c r="CU16" s="502"/>
      <c r="CV16" s="502"/>
      <c r="CW16" s="502"/>
      <c r="CX16" s="502"/>
      <c r="CY16" s="502"/>
      <c r="CZ16" s="502"/>
      <c r="DA16" s="502"/>
      <c r="DB16" s="502"/>
      <c r="DC16" s="502"/>
      <c r="DD16" s="502"/>
      <c r="DE16" s="502"/>
      <c r="DF16" s="502"/>
      <c r="DG16" s="502"/>
      <c r="DH16" s="502"/>
      <c r="DI16" s="502"/>
      <c r="DJ16" s="502"/>
      <c r="DK16" s="502"/>
      <c r="DL16" s="502"/>
      <c r="DM16" s="502"/>
      <c r="DN16" s="502"/>
      <c r="DO16" s="502"/>
      <c r="DP16" s="502"/>
      <c r="DQ16" s="502"/>
      <c r="DR16" s="502"/>
      <c r="DS16" s="502"/>
      <c r="DT16" s="502"/>
      <c r="DU16" s="502"/>
      <c r="DV16" s="502"/>
      <c r="DW16" s="502"/>
      <c r="DX16" s="502"/>
      <c r="DY16" s="502"/>
      <c r="DZ16" s="502"/>
      <c r="EA16" s="502"/>
      <c r="EB16" s="502"/>
      <c r="EC16" s="502"/>
      <c r="ED16" s="502"/>
      <c r="EE16" s="502"/>
      <c r="EF16" s="502"/>
      <c r="EG16" s="502"/>
      <c r="EH16" s="502"/>
      <c r="EI16" s="502"/>
      <c r="EJ16" s="502"/>
      <c r="EK16" s="502"/>
      <c r="EL16" s="502"/>
      <c r="EM16" s="502"/>
      <c r="EN16" s="502"/>
      <c r="EO16" s="502"/>
      <c r="EP16" s="502"/>
      <c r="EQ16" s="502"/>
      <c r="ER16" s="502"/>
      <c r="ES16" s="502"/>
      <c r="ET16" s="502"/>
      <c r="EU16" s="502"/>
      <c r="EV16" s="502"/>
      <c r="EW16" s="502"/>
      <c r="EX16" s="502"/>
      <c r="EY16" s="502"/>
      <c r="EZ16" s="502"/>
      <c r="FA16" s="502"/>
      <c r="FB16" s="502"/>
      <c r="FC16" s="502"/>
      <c r="FD16" s="502"/>
      <c r="FE16" s="502"/>
      <c r="FF16" s="502"/>
      <c r="FG16" s="502"/>
      <c r="FH16" s="502"/>
      <c r="FI16" s="502"/>
      <c r="FJ16" s="502"/>
      <c r="FK16" s="502"/>
      <c r="FL16" s="502"/>
      <c r="FM16" s="502"/>
      <c r="FN16" s="502"/>
      <c r="FO16" s="502"/>
      <c r="FP16" s="502"/>
      <c r="FQ16" s="502"/>
      <c r="FR16" s="502"/>
      <c r="FS16" s="502"/>
      <c r="FT16" s="502"/>
      <c r="FU16" s="502"/>
      <c r="FV16" s="502"/>
      <c r="FW16" s="502"/>
      <c r="FX16" s="502"/>
      <c r="FY16" s="502"/>
      <c r="FZ16" s="502"/>
      <c r="GA16" s="502"/>
      <c r="GB16" s="502"/>
      <c r="GC16" s="502"/>
      <c r="GD16" s="502"/>
      <c r="GE16" s="502"/>
      <c r="GF16" s="502"/>
      <c r="GG16" s="502"/>
      <c r="GH16" s="502"/>
      <c r="GI16" s="502"/>
      <c r="GJ16" s="502"/>
      <c r="GK16" s="502"/>
      <c r="GL16" s="502"/>
      <c r="GM16" s="502"/>
      <c r="GN16" s="502"/>
      <c r="GO16" s="502"/>
      <c r="GP16" s="502"/>
      <c r="GQ16" s="502"/>
      <c r="GR16" s="502"/>
      <c r="GS16" s="502"/>
      <c r="GT16" s="502"/>
      <c r="GU16" s="502"/>
      <c r="GV16" s="502"/>
      <c r="GW16" s="502"/>
      <c r="GX16" s="502"/>
      <c r="GY16" s="502"/>
      <c r="GZ16" s="502"/>
      <c r="HA16" s="502"/>
      <c r="HB16" s="502"/>
      <c r="HC16" s="502"/>
      <c r="HD16" s="502"/>
      <c r="HE16" s="502"/>
      <c r="HF16" s="502"/>
      <c r="HG16" s="502"/>
      <c r="HH16" s="502"/>
      <c r="HI16" s="502"/>
      <c r="HJ16" s="502"/>
      <c r="HK16" s="502"/>
      <c r="HL16" s="502"/>
      <c r="HM16" s="502"/>
      <c r="HN16" s="502"/>
      <c r="HO16" s="502"/>
      <c r="HP16" s="502"/>
      <c r="HQ16" s="502"/>
      <c r="HR16" s="502"/>
      <c r="HS16" s="502"/>
      <c r="HT16" s="502"/>
      <c r="HU16" s="502"/>
      <c r="HV16" s="502"/>
      <c r="HW16" s="502"/>
      <c r="HX16" s="502"/>
      <c r="HY16" s="502"/>
      <c r="HZ16" s="502"/>
      <c r="IA16" s="502"/>
      <c r="IB16" s="502"/>
      <c r="IC16" s="502"/>
      <c r="ID16" s="502"/>
      <c r="IE16" s="502"/>
      <c r="IF16" s="502"/>
      <c r="IG16" s="502"/>
      <c r="IH16" s="502"/>
      <c r="II16" s="502"/>
      <c r="IJ16" s="502"/>
      <c r="IK16" s="502"/>
      <c r="IL16" s="502"/>
      <c r="IM16" s="502"/>
      <c r="IN16" s="502"/>
      <c r="IO16" s="502"/>
      <c r="IP16" s="502"/>
      <c r="IQ16" s="502"/>
      <c r="IR16" s="502"/>
      <c r="IS16" s="502"/>
      <c r="IT16" s="502"/>
      <c r="IU16" s="502"/>
      <c r="IV16" s="502"/>
      <c r="IW16" s="502"/>
      <c r="IX16" s="502"/>
      <c r="IY16" s="502"/>
      <c r="IZ16" s="502"/>
      <c r="JA16" s="502"/>
      <c r="JB16" s="502"/>
      <c r="JC16" s="502"/>
      <c r="JD16" s="502"/>
      <c r="JE16" s="502"/>
      <c r="JF16" s="502"/>
      <c r="JG16" s="502"/>
      <c r="JH16" s="502"/>
      <c r="JI16" s="502"/>
      <c r="JJ16" s="502"/>
      <c r="JK16" s="502"/>
      <c r="JL16" s="502"/>
      <c r="JM16" s="502"/>
      <c r="JN16" s="502"/>
      <c r="JO16" s="502"/>
      <c r="JP16" s="502"/>
      <c r="JQ16" s="502"/>
      <c r="JR16" s="502"/>
      <c r="JS16" s="502"/>
      <c r="JT16" s="502"/>
      <c r="JU16" s="502"/>
      <c r="JV16" s="502"/>
      <c r="JW16" s="502"/>
      <c r="JX16" s="502"/>
      <c r="JY16" s="502"/>
      <c r="JZ16" s="502"/>
      <c r="KA16" s="502"/>
      <c r="KB16" s="502"/>
      <c r="KC16" s="502"/>
      <c r="KD16" s="502"/>
      <c r="KE16" s="502"/>
      <c r="KF16" s="502"/>
      <c r="KG16" s="502"/>
      <c r="KH16" s="502"/>
      <c r="KI16" s="502"/>
      <c r="KJ16" s="502"/>
      <c r="KK16" s="502"/>
      <c r="KL16" s="502"/>
      <c r="KM16" s="502"/>
      <c r="KN16" s="502"/>
      <c r="KO16" s="502"/>
      <c r="KP16" s="502"/>
      <c r="KQ16" s="502"/>
      <c r="KR16" s="502"/>
      <c r="KS16" s="502"/>
      <c r="KT16" s="502"/>
      <c r="KU16" s="502"/>
      <c r="KV16" s="502"/>
      <c r="KW16" s="502"/>
      <c r="KX16" s="502"/>
      <c r="KY16" s="502"/>
      <c r="KZ16" s="502"/>
      <c r="LA16" s="502"/>
      <c r="LB16" s="502"/>
      <c r="LC16" s="502"/>
      <c r="LD16" s="502"/>
      <c r="LE16" s="502"/>
      <c r="LF16" s="502"/>
      <c r="LG16" s="502"/>
      <c r="LH16" s="502"/>
      <c r="LI16" s="502"/>
      <c r="LJ16" s="502"/>
      <c r="LK16" s="502"/>
      <c r="LL16" s="502"/>
      <c r="LM16" s="502"/>
      <c r="LN16" s="502"/>
      <c r="LO16" s="502"/>
      <c r="LP16" s="502"/>
      <c r="LQ16" s="502"/>
      <c r="LR16" s="502"/>
      <c r="LS16" s="502"/>
      <c r="LT16" s="502"/>
      <c r="LU16" s="502"/>
      <c r="LV16" s="502"/>
      <c r="LW16" s="502"/>
      <c r="LX16" s="502"/>
      <c r="LY16" s="502"/>
      <c r="LZ16" s="502"/>
      <c r="MA16" s="502"/>
      <c r="MB16" s="502"/>
      <c r="MC16" s="502"/>
      <c r="MD16" s="502"/>
      <c r="ME16" s="502"/>
      <c r="MF16" s="502"/>
      <c r="MG16" s="502"/>
      <c r="MH16" s="502"/>
      <c r="MI16" s="502"/>
      <c r="MJ16" s="502"/>
      <c r="MK16" s="502"/>
      <c r="ML16" s="502"/>
      <c r="MM16" s="502"/>
      <c r="MN16" s="502"/>
      <c r="MO16" s="502"/>
      <c r="MP16" s="502"/>
      <c r="MQ16" s="502"/>
      <c r="MR16" s="502"/>
      <c r="MS16" s="502"/>
      <c r="MT16" s="502"/>
      <c r="MU16" s="502"/>
      <c r="MV16" s="502"/>
      <c r="MW16" s="502"/>
      <c r="MX16" s="502"/>
      <c r="MY16" s="502"/>
      <c r="MZ16" s="502"/>
      <c r="NA16" s="502"/>
      <c r="NB16" s="502"/>
      <c r="NC16" s="502"/>
      <c r="ND16" s="502"/>
      <c r="NE16" s="502"/>
      <c r="NF16" s="502"/>
      <c r="NG16" s="502"/>
      <c r="NH16" s="502"/>
      <c r="NI16" s="502"/>
      <c r="NJ16" s="502"/>
      <c r="NK16" s="502"/>
      <c r="NL16" s="502"/>
      <c r="NM16" s="502"/>
      <c r="NN16" s="502"/>
      <c r="NO16" s="502"/>
      <c r="NP16" s="502"/>
      <c r="NQ16" s="502"/>
      <c r="NR16" s="502"/>
      <c r="NS16" s="502"/>
      <c r="NT16" s="502"/>
      <c r="NU16" s="502"/>
      <c r="NV16" s="502"/>
      <c r="NW16" s="502"/>
      <c r="NX16" s="502"/>
      <c r="NY16" s="502"/>
      <c r="NZ16" s="502"/>
      <c r="OA16" s="502"/>
      <c r="OB16" s="502"/>
      <c r="OC16" s="502"/>
      <c r="OD16" s="502"/>
      <c r="OE16" s="502"/>
      <c r="OF16" s="502"/>
      <c r="OG16" s="502"/>
      <c r="OH16" s="502"/>
      <c r="OI16" s="502"/>
      <c r="OJ16" s="502"/>
      <c r="OK16" s="502"/>
      <c r="OL16" s="502"/>
      <c r="OM16" s="502"/>
      <c r="ON16" s="502"/>
      <c r="OO16" s="502"/>
      <c r="OP16" s="502"/>
      <c r="OQ16" s="502"/>
      <c r="OR16" s="502"/>
      <c r="OS16" s="502"/>
      <c r="OT16" s="502"/>
      <c r="OU16" s="502"/>
      <c r="OV16" s="502"/>
      <c r="OW16" s="502"/>
      <c r="OX16" s="502"/>
      <c r="OY16" s="502"/>
      <c r="OZ16" s="502"/>
      <c r="PA16" s="502"/>
      <c r="PB16" s="502"/>
      <c r="PC16" s="502"/>
      <c r="PD16" s="502"/>
      <c r="PE16" s="502"/>
      <c r="PF16" s="502"/>
      <c r="PG16" s="502"/>
      <c r="PH16" s="502"/>
      <c r="PI16" s="502"/>
      <c r="PJ16" s="502"/>
      <c r="PK16" s="502"/>
      <c r="PL16" s="502"/>
      <c r="PM16" s="502"/>
      <c r="PN16" s="502"/>
      <c r="PO16" s="502"/>
      <c r="PP16" s="502"/>
      <c r="PQ16" s="502"/>
      <c r="PR16" s="502"/>
      <c r="PS16" s="502"/>
      <c r="PT16" s="502"/>
      <c r="PU16" s="502"/>
      <c r="PV16" s="502"/>
      <c r="PW16" s="502"/>
      <c r="PX16" s="502"/>
      <c r="PY16" s="502"/>
      <c r="PZ16" s="502"/>
      <c r="QA16" s="502"/>
      <c r="QB16" s="502"/>
      <c r="QC16" s="502"/>
      <c r="QD16" s="502"/>
      <c r="QE16" s="502"/>
      <c r="QF16" s="502"/>
      <c r="QG16" s="502"/>
      <c r="QH16" s="502"/>
      <c r="QI16" s="502"/>
      <c r="QJ16" s="502"/>
      <c r="QK16" s="502"/>
      <c r="QL16" s="502"/>
      <c r="QM16" s="502"/>
      <c r="QN16" s="502"/>
      <c r="QO16" s="502"/>
      <c r="QP16" s="502"/>
      <c r="QQ16" s="502"/>
      <c r="QR16" s="502"/>
      <c r="QS16" s="502"/>
      <c r="QT16" s="502"/>
      <c r="QU16" s="502"/>
      <c r="QV16" s="502"/>
      <c r="QW16" s="502"/>
      <c r="QX16" s="502"/>
      <c r="QY16" s="502"/>
      <c r="QZ16" s="502"/>
      <c r="RA16" s="502"/>
      <c r="RB16" s="502"/>
      <c r="RC16" s="502"/>
      <c r="RD16" s="502"/>
      <c r="RE16" s="502"/>
      <c r="RF16" s="502"/>
      <c r="RG16" s="502"/>
      <c r="RH16" s="502"/>
      <c r="RI16" s="502"/>
      <c r="RJ16" s="502"/>
      <c r="RK16" s="502"/>
      <c r="RL16" s="502"/>
      <c r="RM16" s="502"/>
      <c r="RN16" s="502"/>
      <c r="RO16" s="502"/>
      <c r="RP16" s="502"/>
      <c r="RQ16" s="502"/>
      <c r="RR16" s="502"/>
      <c r="RS16" s="502"/>
      <c r="RT16" s="502"/>
      <c r="RU16" s="502"/>
      <c r="RV16" s="502"/>
      <c r="RW16" s="502"/>
      <c r="RX16" s="502"/>
      <c r="RY16" s="502"/>
      <c r="RZ16" s="502"/>
      <c r="SA16" s="502"/>
      <c r="SB16" s="502"/>
      <c r="SC16" s="502"/>
      <c r="SD16" s="502"/>
      <c r="SE16" s="502"/>
      <c r="SF16" s="502"/>
      <c r="SG16" s="502"/>
      <c r="SH16" s="502"/>
      <c r="SI16" s="502"/>
      <c r="SJ16" s="502"/>
      <c r="SK16" s="502"/>
      <c r="SL16" s="502"/>
      <c r="SM16" s="502"/>
      <c r="SN16" s="502"/>
      <c r="SO16" s="502"/>
      <c r="SP16" s="502"/>
      <c r="SQ16" s="502"/>
      <c r="SR16" s="502"/>
      <c r="SS16" s="502"/>
      <c r="ST16" s="502"/>
      <c r="SU16" s="502"/>
      <c r="SV16" s="502"/>
      <c r="SW16" s="502"/>
      <c r="SX16" s="502"/>
      <c r="SY16" s="502"/>
      <c r="SZ16" s="502"/>
      <c r="TA16" s="502"/>
      <c r="TB16" s="502"/>
      <c r="TC16" s="502"/>
      <c r="TD16" s="502"/>
      <c r="TE16" s="502"/>
      <c r="TF16" s="502"/>
      <c r="TG16" s="502"/>
      <c r="TH16" s="502"/>
      <c r="TI16" s="502"/>
      <c r="TJ16" s="502"/>
      <c r="TK16" s="502"/>
      <c r="TL16" s="502"/>
      <c r="TM16" s="502"/>
      <c r="TN16" s="502"/>
      <c r="TO16" s="502"/>
      <c r="TP16" s="502"/>
      <c r="TQ16" s="502"/>
      <c r="TR16" s="502"/>
      <c r="TS16" s="502"/>
      <c r="TT16" s="502"/>
      <c r="TU16" s="502"/>
      <c r="TV16" s="502"/>
      <c r="TW16" s="502"/>
      <c r="TX16" s="502"/>
      <c r="TY16" s="502"/>
      <c r="TZ16" s="502"/>
      <c r="UA16" s="502"/>
      <c r="UB16" s="502"/>
      <c r="UC16" s="502"/>
      <c r="UD16" s="502"/>
      <c r="UE16" s="502"/>
      <c r="UF16" s="502"/>
      <c r="UG16" s="502"/>
      <c r="UH16" s="502"/>
      <c r="UI16" s="502"/>
      <c r="UJ16" s="502"/>
      <c r="UK16" s="502"/>
      <c r="UL16" s="502"/>
      <c r="UM16" s="502"/>
      <c r="UN16" s="502"/>
      <c r="UO16" s="502"/>
      <c r="UP16" s="502"/>
      <c r="UQ16" s="502"/>
      <c r="UR16" s="502"/>
      <c r="US16" s="502"/>
      <c r="UT16" s="502"/>
      <c r="UU16" s="502"/>
      <c r="UV16" s="502"/>
      <c r="UW16" s="502"/>
      <c r="UX16" s="502"/>
      <c r="UY16" s="502"/>
      <c r="UZ16" s="502"/>
      <c r="VA16" s="502"/>
      <c r="VB16" s="502"/>
      <c r="VC16" s="502"/>
      <c r="VD16" s="502"/>
      <c r="VE16" s="502"/>
      <c r="VF16" s="502"/>
      <c r="VG16" s="502"/>
      <c r="VH16" s="502"/>
      <c r="VI16" s="502"/>
      <c r="VJ16" s="502"/>
      <c r="VK16" s="502"/>
      <c r="VL16" s="502"/>
      <c r="VM16" s="502"/>
      <c r="VN16" s="502"/>
      <c r="VO16" s="502"/>
      <c r="VP16" s="502"/>
      <c r="VQ16" s="502"/>
      <c r="VR16" s="502"/>
      <c r="VS16" s="502"/>
      <c r="VT16" s="502"/>
      <c r="VU16" s="502"/>
      <c r="VV16" s="502"/>
      <c r="VW16" s="502"/>
      <c r="VX16" s="502"/>
      <c r="VY16" s="502"/>
      <c r="VZ16" s="502"/>
      <c r="WA16" s="502"/>
      <c r="WB16" s="502"/>
      <c r="WC16" s="502"/>
      <c r="WD16" s="502"/>
      <c r="WE16" s="502"/>
      <c r="WF16" s="502"/>
      <c r="WG16" s="502"/>
      <c r="WH16" s="502"/>
      <c r="WI16" s="502"/>
      <c r="WJ16" s="502"/>
      <c r="WK16" s="502"/>
      <c r="WL16" s="502"/>
      <c r="WM16" s="502"/>
      <c r="WN16" s="502"/>
      <c r="WO16" s="502"/>
      <c r="WP16" s="502"/>
      <c r="WQ16" s="502"/>
      <c r="WR16" s="502"/>
      <c r="WS16" s="502"/>
      <c r="WT16" s="502"/>
      <c r="WU16" s="502"/>
      <c r="WV16" s="502"/>
      <c r="WW16" s="502"/>
      <c r="WX16" s="502"/>
      <c r="WY16" s="502"/>
      <c r="WZ16" s="502"/>
      <c r="XA16" s="502"/>
      <c r="XB16" s="502"/>
      <c r="XC16" s="502"/>
      <c r="XD16" s="502"/>
      <c r="XE16" s="502"/>
      <c r="XF16" s="502"/>
      <c r="XG16" s="502"/>
      <c r="XH16" s="502"/>
      <c r="XI16" s="502"/>
      <c r="XJ16" s="502"/>
      <c r="XK16" s="502"/>
      <c r="XL16" s="502"/>
      <c r="XM16" s="502"/>
      <c r="XN16" s="502"/>
      <c r="XO16" s="502"/>
      <c r="XP16" s="502"/>
      <c r="XQ16" s="502"/>
      <c r="XR16" s="502"/>
      <c r="XS16" s="502"/>
      <c r="XT16" s="502"/>
      <c r="XU16" s="502"/>
      <c r="XV16" s="502"/>
      <c r="XW16" s="502"/>
      <c r="XX16" s="502"/>
      <c r="XY16" s="502"/>
      <c r="XZ16" s="502"/>
      <c r="YA16" s="502"/>
      <c r="YB16" s="502"/>
      <c r="YC16" s="502"/>
      <c r="YD16" s="502"/>
      <c r="YE16" s="502"/>
      <c r="YF16" s="502"/>
      <c r="YG16" s="502"/>
      <c r="YH16" s="502"/>
      <c r="YI16" s="502"/>
      <c r="YJ16" s="502"/>
      <c r="YK16" s="502"/>
      <c r="YL16" s="502"/>
      <c r="YM16" s="502"/>
      <c r="YN16" s="502"/>
      <c r="YO16" s="502"/>
      <c r="YP16" s="502"/>
      <c r="YQ16" s="502"/>
      <c r="YR16" s="502"/>
      <c r="YS16" s="502"/>
      <c r="YT16" s="502"/>
      <c r="YU16" s="502"/>
      <c r="YV16" s="502"/>
      <c r="YW16" s="502"/>
      <c r="YX16" s="502"/>
      <c r="YY16" s="502"/>
      <c r="YZ16" s="502"/>
      <c r="ZA16" s="502"/>
      <c r="ZB16" s="502"/>
      <c r="ZC16" s="502"/>
      <c r="ZD16" s="502"/>
      <c r="ZE16" s="502"/>
      <c r="ZF16" s="502"/>
      <c r="ZG16" s="502"/>
      <c r="ZH16" s="502"/>
      <c r="ZI16" s="502"/>
      <c r="ZJ16" s="502"/>
      <c r="ZK16" s="502"/>
      <c r="ZL16" s="502"/>
      <c r="ZM16" s="502"/>
      <c r="ZN16" s="502"/>
      <c r="ZO16" s="502"/>
      <c r="ZP16" s="502"/>
      <c r="ZQ16" s="502"/>
      <c r="ZR16" s="502"/>
      <c r="ZS16" s="502"/>
      <c r="ZT16" s="502"/>
      <c r="ZU16" s="502"/>
      <c r="ZV16" s="502"/>
      <c r="ZW16" s="502"/>
      <c r="ZX16" s="502"/>
      <c r="ZY16" s="502"/>
      <c r="ZZ16" s="502"/>
      <c r="AAA16" s="502"/>
      <c r="AAB16" s="502"/>
      <c r="AAC16" s="502"/>
      <c r="AAD16" s="502"/>
      <c r="AAE16" s="502"/>
      <c r="AAF16" s="502"/>
      <c r="AAG16" s="502"/>
      <c r="AAH16" s="502"/>
      <c r="AAI16" s="502"/>
      <c r="AAJ16" s="502"/>
      <c r="AAK16" s="502"/>
      <c r="AAL16" s="502"/>
      <c r="AAM16" s="502"/>
      <c r="AAN16" s="502"/>
      <c r="AAO16" s="502"/>
      <c r="AAP16" s="502"/>
      <c r="AAQ16" s="502"/>
      <c r="AAR16" s="502"/>
      <c r="AAS16" s="502"/>
      <c r="AAT16" s="502"/>
      <c r="AAU16" s="502"/>
      <c r="AAV16" s="502"/>
      <c r="AAW16" s="502"/>
      <c r="AAX16" s="502"/>
      <c r="AAY16" s="502"/>
      <c r="AAZ16" s="502"/>
      <c r="ABA16" s="502"/>
      <c r="ABB16" s="502"/>
      <c r="ABC16" s="502"/>
      <c r="ABD16" s="502"/>
      <c r="ABE16" s="502"/>
      <c r="ABF16" s="502"/>
      <c r="ABG16" s="502"/>
      <c r="ABH16" s="502"/>
      <c r="ABI16" s="502"/>
      <c r="ABJ16" s="502"/>
      <c r="ABK16" s="502"/>
      <c r="ABL16" s="502"/>
      <c r="ABM16" s="502"/>
      <c r="ABN16" s="502"/>
      <c r="ABO16" s="502"/>
      <c r="ABP16" s="502"/>
      <c r="ABQ16" s="502"/>
      <c r="ABR16" s="502"/>
      <c r="ABS16" s="502"/>
      <c r="ABT16" s="502"/>
      <c r="ABU16" s="502"/>
      <c r="ABV16" s="502"/>
      <c r="ABW16" s="502"/>
      <c r="ABX16" s="502"/>
      <c r="ABY16" s="502"/>
      <c r="ABZ16" s="502"/>
      <c r="ACA16" s="502"/>
      <c r="ACB16" s="502"/>
      <c r="ACC16" s="502"/>
      <c r="ACD16" s="502"/>
      <c r="ACE16" s="502"/>
      <c r="ACF16" s="502"/>
      <c r="ACG16" s="502"/>
      <c r="ACH16" s="502"/>
      <c r="ACI16" s="502"/>
      <c r="ACJ16" s="502"/>
      <c r="ACK16" s="502"/>
      <c r="ACL16" s="502"/>
      <c r="ACM16" s="502"/>
      <c r="ACN16" s="502"/>
      <c r="ACO16" s="502"/>
      <c r="ACP16" s="502"/>
      <c r="ACQ16" s="502"/>
      <c r="ACR16" s="502"/>
      <c r="ACS16" s="502"/>
      <c r="ACT16" s="502"/>
      <c r="ACU16" s="502"/>
      <c r="ACV16" s="502"/>
      <c r="ACW16" s="502"/>
      <c r="ACX16" s="502"/>
      <c r="ACY16" s="502"/>
      <c r="ACZ16" s="502"/>
      <c r="ADA16" s="502"/>
      <c r="ADB16" s="502"/>
      <c r="ADC16" s="502"/>
      <c r="ADD16" s="502"/>
      <c r="ADE16" s="502"/>
      <c r="ADF16" s="502"/>
      <c r="ADG16" s="502"/>
      <c r="ADH16" s="502"/>
      <c r="ADI16" s="502"/>
      <c r="ADJ16" s="502"/>
      <c r="ADK16" s="502"/>
      <c r="ADL16" s="502"/>
      <c r="ADM16" s="502"/>
      <c r="ADN16" s="502"/>
      <c r="ADO16" s="502"/>
      <c r="ADP16" s="502"/>
      <c r="ADQ16" s="502"/>
      <c r="ADR16" s="502"/>
      <c r="ADS16" s="502"/>
      <c r="ADT16" s="502"/>
      <c r="ADU16" s="502"/>
      <c r="ADV16" s="502"/>
      <c r="ADW16" s="502"/>
      <c r="ADX16" s="502"/>
      <c r="ADY16" s="502"/>
      <c r="ADZ16" s="502"/>
      <c r="AEA16" s="502"/>
      <c r="AEB16" s="502"/>
      <c r="AEC16" s="502"/>
      <c r="AED16" s="502"/>
      <c r="AEE16" s="502"/>
      <c r="AEF16" s="502"/>
      <c r="AEG16" s="502"/>
      <c r="AEH16" s="502"/>
      <c r="AEI16" s="502"/>
      <c r="AEJ16" s="502"/>
      <c r="AEK16" s="502"/>
      <c r="AEL16" s="502"/>
      <c r="AEM16" s="502"/>
      <c r="AEN16" s="502"/>
      <c r="AEO16" s="502"/>
      <c r="AEP16" s="502"/>
      <c r="AEQ16" s="502"/>
      <c r="AER16" s="502"/>
      <c r="AES16" s="502"/>
      <c r="AET16" s="502"/>
      <c r="AEU16" s="502"/>
      <c r="AEV16" s="502"/>
      <c r="AEW16" s="502"/>
      <c r="AEX16" s="502"/>
      <c r="AEY16" s="502"/>
      <c r="AEZ16" s="502"/>
      <c r="AFA16" s="502"/>
      <c r="AFB16" s="502"/>
      <c r="AFC16" s="502"/>
      <c r="AFD16" s="502"/>
      <c r="AFE16" s="502"/>
      <c r="AFF16" s="502"/>
      <c r="AFG16" s="502"/>
      <c r="AFH16" s="502"/>
      <c r="AFI16" s="502"/>
      <c r="AFJ16" s="502"/>
      <c r="AFK16" s="502"/>
      <c r="AFL16" s="502"/>
      <c r="AFM16" s="502"/>
      <c r="AFN16" s="502"/>
      <c r="AFO16" s="502"/>
      <c r="AFP16" s="502"/>
      <c r="AFQ16" s="502"/>
      <c r="AFR16" s="502"/>
      <c r="AFS16" s="502"/>
      <c r="AFT16" s="502"/>
      <c r="AFU16" s="502"/>
      <c r="AFV16" s="502"/>
      <c r="AFW16" s="502"/>
      <c r="AFX16" s="502"/>
      <c r="AFY16" s="502"/>
      <c r="AFZ16" s="502"/>
      <c r="AGA16" s="502"/>
      <c r="AGB16" s="502"/>
      <c r="AGC16" s="502"/>
      <c r="AGD16" s="502"/>
      <c r="AGE16" s="502"/>
      <c r="AGF16" s="502"/>
      <c r="AGG16" s="502"/>
      <c r="AGH16" s="502"/>
      <c r="AGI16" s="502"/>
      <c r="AGJ16" s="502"/>
      <c r="AGK16" s="502"/>
      <c r="AGL16" s="502"/>
      <c r="AGM16" s="502"/>
      <c r="AGN16" s="502"/>
      <c r="AGO16" s="502"/>
      <c r="AGP16" s="502"/>
      <c r="AGQ16" s="502"/>
      <c r="AGR16" s="502"/>
      <c r="AGS16" s="502"/>
      <c r="AGT16" s="502"/>
      <c r="AGU16" s="502"/>
      <c r="AGV16" s="502"/>
      <c r="AGW16" s="502"/>
      <c r="AGX16" s="502"/>
      <c r="AGY16" s="502"/>
      <c r="AGZ16" s="502"/>
      <c r="AHA16" s="502"/>
      <c r="AHB16" s="502"/>
      <c r="AHC16" s="502"/>
      <c r="AHD16" s="502"/>
      <c r="AHE16" s="502"/>
      <c r="AHF16" s="502"/>
      <c r="AHG16" s="502"/>
      <c r="AHH16" s="502"/>
      <c r="AHI16" s="502"/>
      <c r="AHJ16" s="502"/>
      <c r="AHK16" s="502"/>
      <c r="AHL16" s="502"/>
      <c r="AHM16" s="502"/>
      <c r="AHN16" s="502"/>
      <c r="AHO16" s="502"/>
      <c r="AHP16" s="502"/>
      <c r="AHQ16" s="502"/>
      <c r="AHR16" s="502"/>
      <c r="AHS16" s="502"/>
      <c r="AHT16" s="502"/>
      <c r="AHU16" s="502"/>
      <c r="AHV16" s="502"/>
      <c r="AHW16" s="502"/>
      <c r="AHX16" s="502"/>
      <c r="AHY16" s="502"/>
      <c r="AHZ16" s="502"/>
      <c r="AIA16" s="502"/>
      <c r="AIB16" s="502"/>
      <c r="AIC16" s="502"/>
      <c r="AID16" s="502"/>
      <c r="AIE16" s="502"/>
      <c r="AIF16" s="502"/>
      <c r="AIG16" s="502"/>
      <c r="AIH16" s="502"/>
      <c r="AII16" s="502"/>
      <c r="AIJ16" s="502"/>
      <c r="AIK16" s="502"/>
      <c r="AIL16" s="502"/>
      <c r="AIM16" s="502"/>
      <c r="AIN16" s="502"/>
      <c r="AIO16" s="502"/>
      <c r="AIP16" s="502"/>
      <c r="AIQ16" s="502"/>
      <c r="AIR16" s="502"/>
      <c r="AIS16" s="502"/>
      <c r="AIT16" s="502"/>
      <c r="AIU16" s="502"/>
      <c r="AIV16" s="502"/>
      <c r="AIW16" s="502"/>
      <c r="AIX16" s="502"/>
      <c r="AIY16" s="502"/>
      <c r="AIZ16" s="502"/>
      <c r="AJA16" s="502"/>
      <c r="AJB16" s="502"/>
      <c r="AJC16" s="502"/>
      <c r="AJD16" s="502"/>
      <c r="AJE16" s="502"/>
      <c r="AJF16" s="502"/>
      <c r="AJG16" s="502"/>
      <c r="AJH16" s="502"/>
      <c r="AJI16" s="502"/>
      <c r="AJJ16" s="502"/>
      <c r="AJK16" s="502"/>
      <c r="AJL16" s="502"/>
      <c r="AJM16" s="502"/>
      <c r="AJN16" s="502"/>
      <c r="AJO16" s="502"/>
      <c r="AJP16" s="502"/>
      <c r="AJQ16" s="502"/>
      <c r="AJR16" s="502"/>
      <c r="AJS16" s="502"/>
      <c r="AJT16" s="502"/>
      <c r="AJU16" s="502"/>
      <c r="AJV16" s="502"/>
      <c r="AJW16" s="502"/>
      <c r="AJX16" s="502"/>
      <c r="AJY16" s="502"/>
      <c r="AJZ16" s="502"/>
      <c r="AKA16" s="502"/>
      <c r="AKB16" s="502"/>
      <c r="AKC16" s="502"/>
      <c r="AKD16" s="502"/>
      <c r="AKE16" s="502"/>
      <c r="AKF16" s="502"/>
      <c r="AKG16" s="502"/>
      <c r="AKH16" s="502"/>
      <c r="AKI16" s="502"/>
      <c r="AKJ16" s="502"/>
      <c r="AKK16" s="502"/>
      <c r="AKL16" s="502"/>
      <c r="AKM16" s="502"/>
      <c r="AKN16" s="502"/>
      <c r="AKO16" s="502"/>
      <c r="AKP16" s="502"/>
      <c r="AKQ16" s="502"/>
      <c r="AKR16" s="502"/>
      <c r="AKS16" s="502"/>
      <c r="AKT16" s="502"/>
      <c r="AKU16" s="502"/>
      <c r="AKV16" s="502"/>
      <c r="AKW16" s="502"/>
      <c r="AKX16" s="502"/>
      <c r="AKY16" s="502"/>
      <c r="AKZ16" s="502"/>
      <c r="ALA16" s="502"/>
      <c r="ALB16" s="502"/>
      <c r="ALC16" s="502"/>
      <c r="ALD16" s="502"/>
      <c r="ALE16" s="502"/>
      <c r="ALF16" s="502"/>
      <c r="ALG16" s="502"/>
      <c r="ALH16" s="502"/>
      <c r="ALI16" s="502"/>
      <c r="ALJ16" s="502"/>
      <c r="ALK16" s="502"/>
      <c r="ALL16" s="502"/>
      <c r="ALM16" s="502"/>
      <c r="ALN16" s="502"/>
      <c r="ALO16" s="502"/>
      <c r="ALP16" s="502"/>
      <c r="ALQ16" s="502"/>
      <c r="ALR16" s="502"/>
      <c r="ALS16" s="502"/>
      <c r="ALT16" s="502"/>
      <c r="ALU16" s="502"/>
      <c r="ALV16" s="502"/>
      <c r="ALW16" s="502"/>
      <c r="ALX16" s="502"/>
      <c r="ALY16" s="502"/>
      <c r="ALZ16" s="502"/>
      <c r="AMA16" s="502"/>
      <c r="AMB16" s="502"/>
      <c r="AMC16" s="502"/>
      <c r="AMD16" s="502"/>
      <c r="AME16" s="502"/>
      <c r="AMF16" s="502"/>
      <c r="AMG16" s="502"/>
      <c r="AMH16" s="502"/>
      <c r="AMI16" s="502"/>
      <c r="AMJ16" s="502"/>
      <c r="AMK16" s="502"/>
      <c r="AML16" s="502"/>
      <c r="AMM16" s="502"/>
      <c r="AMN16" s="502"/>
      <c r="AMO16" s="502"/>
      <c r="AMP16" s="502"/>
      <c r="AMQ16" s="502"/>
      <c r="AMR16" s="502"/>
      <c r="AMS16" s="502"/>
      <c r="AMT16" s="502"/>
      <c r="AMU16" s="502"/>
      <c r="AMV16" s="502"/>
      <c r="AMW16" s="502"/>
      <c r="AMX16" s="502"/>
      <c r="AMY16" s="502"/>
      <c r="AMZ16" s="502"/>
      <c r="ANA16" s="502"/>
      <c r="ANB16" s="502"/>
      <c r="ANC16" s="502"/>
      <c r="AND16" s="502"/>
      <c r="ANE16" s="502"/>
      <c r="ANF16" s="502"/>
      <c r="ANG16" s="502"/>
      <c r="ANH16" s="502"/>
      <c r="ANI16" s="502"/>
      <c r="ANJ16" s="502"/>
      <c r="ANK16" s="502"/>
      <c r="ANL16" s="502"/>
      <c r="ANM16" s="502"/>
      <c r="ANN16" s="502"/>
      <c r="ANO16" s="502"/>
      <c r="ANP16" s="502"/>
      <c r="ANQ16" s="502"/>
      <c r="ANR16" s="502"/>
      <c r="ANS16" s="502"/>
      <c r="ANT16" s="502"/>
      <c r="ANU16" s="502"/>
      <c r="ANV16" s="502"/>
      <c r="ANW16" s="502"/>
      <c r="ANX16" s="502"/>
      <c r="ANY16" s="502"/>
      <c r="ANZ16" s="502"/>
      <c r="AOA16" s="502"/>
      <c r="AOB16" s="502"/>
      <c r="AOC16" s="502"/>
      <c r="AOD16" s="502"/>
      <c r="AOE16" s="502"/>
      <c r="AOF16" s="502"/>
      <c r="AOG16" s="502"/>
      <c r="AOH16" s="502"/>
      <c r="AOI16" s="502"/>
      <c r="AOJ16" s="502"/>
      <c r="AOK16" s="502"/>
      <c r="AOL16" s="502"/>
      <c r="AOM16" s="502"/>
      <c r="AON16" s="502"/>
      <c r="AOO16" s="502"/>
      <c r="AOP16" s="502"/>
      <c r="AOQ16" s="502"/>
      <c r="AOR16" s="502"/>
      <c r="AOS16" s="502"/>
      <c r="AOT16" s="502"/>
      <c r="AOU16" s="502"/>
      <c r="AOV16" s="502"/>
      <c r="AOW16" s="502"/>
      <c r="AOX16" s="502"/>
      <c r="AOY16" s="502"/>
      <c r="AOZ16" s="502"/>
      <c r="APA16" s="502"/>
      <c r="APB16" s="502"/>
      <c r="APC16" s="502"/>
      <c r="APD16" s="502"/>
      <c r="APE16" s="502"/>
      <c r="APF16" s="502"/>
      <c r="APG16" s="502"/>
      <c r="APH16" s="502"/>
      <c r="API16" s="502"/>
      <c r="APJ16" s="502"/>
      <c r="APK16" s="502"/>
      <c r="APL16" s="502"/>
      <c r="APM16" s="502"/>
      <c r="APN16" s="502"/>
      <c r="APO16" s="502"/>
      <c r="APP16" s="502"/>
      <c r="APQ16" s="502"/>
      <c r="APR16" s="502"/>
      <c r="APS16" s="502"/>
      <c r="APT16" s="502"/>
      <c r="APU16" s="502"/>
      <c r="APV16" s="502"/>
      <c r="APW16" s="502"/>
      <c r="APX16" s="502"/>
      <c r="APY16" s="502"/>
      <c r="APZ16" s="502"/>
      <c r="AQA16" s="502"/>
      <c r="AQB16" s="502"/>
      <c r="AQC16" s="502"/>
      <c r="AQD16" s="502"/>
      <c r="AQE16" s="502"/>
      <c r="AQF16" s="502"/>
      <c r="AQG16" s="502"/>
      <c r="AQH16" s="502"/>
      <c r="AQI16" s="502"/>
      <c r="AQJ16" s="502"/>
      <c r="AQK16" s="502"/>
      <c r="AQL16" s="502"/>
      <c r="AQM16" s="502"/>
      <c r="AQN16" s="502"/>
      <c r="AQO16" s="502"/>
      <c r="AQP16" s="502"/>
      <c r="AQQ16" s="502"/>
      <c r="AQR16" s="502"/>
      <c r="AQS16" s="502"/>
      <c r="AQT16" s="502"/>
      <c r="AQU16" s="502"/>
      <c r="AQV16" s="502"/>
      <c r="AQW16" s="502"/>
      <c r="AQX16" s="502"/>
      <c r="AQY16" s="502"/>
      <c r="AQZ16" s="502"/>
      <c r="ARA16" s="502"/>
      <c r="ARB16" s="502"/>
      <c r="ARC16" s="502"/>
      <c r="ARD16" s="502"/>
      <c r="ARE16" s="502"/>
      <c r="ARF16" s="502"/>
      <c r="ARG16" s="502"/>
      <c r="ARH16" s="502"/>
      <c r="ARI16" s="502"/>
      <c r="ARJ16" s="502"/>
      <c r="ARK16" s="502"/>
      <c r="ARL16" s="502"/>
      <c r="ARM16" s="502"/>
      <c r="ARN16" s="502"/>
      <c r="ARO16" s="502"/>
      <c r="ARP16" s="502"/>
      <c r="ARQ16" s="502"/>
      <c r="ARR16" s="502"/>
      <c r="ARS16" s="502"/>
      <c r="ART16" s="502"/>
      <c r="ARU16" s="502"/>
      <c r="ARV16" s="502"/>
      <c r="ARW16" s="502"/>
      <c r="ARX16" s="502"/>
      <c r="ARY16" s="502"/>
      <c r="ARZ16" s="502"/>
      <c r="ASA16" s="502"/>
      <c r="ASB16" s="502"/>
      <c r="ASC16" s="502"/>
      <c r="ASD16" s="502"/>
      <c r="ASE16" s="502"/>
      <c r="ASF16" s="502"/>
      <c r="ASG16" s="502"/>
      <c r="ASH16" s="502"/>
      <c r="ASI16" s="502"/>
      <c r="ASJ16" s="502"/>
      <c r="ASK16" s="502"/>
      <c r="ASL16" s="502"/>
      <c r="ASM16" s="502"/>
      <c r="ASN16" s="502"/>
      <c r="ASO16" s="502"/>
      <c r="ASP16" s="502"/>
      <c r="ASQ16" s="502"/>
      <c r="ASR16" s="502"/>
      <c r="ASS16" s="502"/>
      <c r="AST16" s="502"/>
      <c r="ASU16" s="502"/>
      <c r="ASV16" s="502"/>
      <c r="ASW16" s="502"/>
      <c r="ASX16" s="502"/>
      <c r="ASY16" s="502"/>
      <c r="ASZ16" s="502"/>
      <c r="ATA16" s="502"/>
      <c r="ATB16" s="502"/>
      <c r="ATC16" s="502"/>
      <c r="ATD16" s="502"/>
      <c r="ATE16" s="502"/>
      <c r="ATF16" s="502"/>
      <c r="ATG16" s="502"/>
      <c r="ATH16" s="502"/>
      <c r="ATI16" s="502"/>
      <c r="ATJ16" s="502"/>
      <c r="ATK16" s="502"/>
      <c r="ATL16" s="502"/>
      <c r="ATM16" s="502"/>
      <c r="ATN16" s="502"/>
      <c r="ATO16" s="502"/>
      <c r="ATP16" s="502"/>
      <c r="ATQ16" s="502"/>
      <c r="ATR16" s="502"/>
      <c r="ATS16" s="502"/>
      <c r="ATT16" s="502"/>
      <c r="ATU16" s="502"/>
      <c r="ATV16" s="502"/>
      <c r="ATW16" s="502"/>
      <c r="ATX16" s="502"/>
      <c r="ATY16" s="502"/>
      <c r="ATZ16" s="502"/>
      <c r="AUA16" s="502"/>
      <c r="AUB16" s="502"/>
      <c r="AUC16" s="502"/>
      <c r="AUD16" s="502"/>
      <c r="AUE16" s="502"/>
      <c r="AUF16" s="502"/>
      <c r="AUG16" s="502"/>
      <c r="AUH16" s="502"/>
      <c r="AUI16" s="502"/>
      <c r="AUJ16" s="502"/>
      <c r="AUK16" s="502"/>
      <c r="AUL16" s="502"/>
      <c r="AUM16" s="502"/>
      <c r="AUN16" s="502"/>
      <c r="AUO16" s="502"/>
      <c r="AUP16" s="502"/>
      <c r="AUQ16" s="502"/>
      <c r="AUR16" s="502"/>
      <c r="AUS16" s="502"/>
      <c r="AUT16" s="502"/>
      <c r="AUU16" s="502"/>
      <c r="AUV16" s="502"/>
      <c r="AUW16" s="502"/>
      <c r="AUX16" s="502"/>
      <c r="AUY16" s="502"/>
      <c r="AUZ16" s="502"/>
      <c r="AVA16" s="502"/>
      <c r="AVB16" s="502"/>
      <c r="AVC16" s="502"/>
      <c r="AVD16" s="502"/>
      <c r="AVE16" s="502"/>
      <c r="AVF16" s="502"/>
      <c r="AVG16" s="502"/>
    </row>
    <row r="17" spans="1:1255" ht="14.1" customHeight="1">
      <c r="A17" s="504"/>
      <c r="B17" s="448"/>
      <c r="C17" s="498" t="s">
        <v>414</v>
      </c>
      <c r="D17" s="448"/>
      <c r="E17" s="448"/>
      <c r="F17" s="448"/>
      <c r="G17" s="448"/>
      <c r="H17" s="448"/>
      <c r="I17" s="448"/>
      <c r="J17" s="448"/>
      <c r="K17" s="448"/>
      <c r="L17" s="505"/>
      <c r="M17" s="505"/>
      <c r="N17" s="505"/>
      <c r="O17" s="505"/>
      <c r="P17" s="464" t="s">
        <v>394</v>
      </c>
      <c r="Q17" s="483">
        <f ca="1">VLOOKUP(VLOOKUP(I1,Worksheet!$A$18:$B$31,2),'1Test Data'!$O$30:$AK$49,23,0)</f>
        <v>0</v>
      </c>
      <c r="R17" s="453"/>
      <c r="S17" s="453"/>
      <c r="T17" s="453"/>
      <c r="U17" s="455"/>
      <c r="V17" s="439"/>
      <c r="W17" s="439"/>
      <c r="X17" s="439"/>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row>
    <row r="18" spans="1:1255" ht="14.1" customHeight="1">
      <c r="A18" s="504"/>
      <c r="B18" s="448"/>
      <c r="C18" s="1090" t="s">
        <v>415</v>
      </c>
      <c r="D18" s="1091"/>
      <c r="E18" s="1091"/>
      <c r="F18" s="1091"/>
      <c r="G18" s="1092"/>
      <c r="H18" s="448"/>
      <c r="I18" s="448"/>
      <c r="J18" s="448"/>
      <c r="K18" s="448"/>
      <c r="L18" s="506" t="s">
        <v>416</v>
      </c>
      <c r="M18" s="507" t="e">
        <f ca="1">M16^0.5</f>
        <v>#VALUE!</v>
      </c>
      <c r="N18" s="508" t="str">
        <f>Uncert!$F$4</f>
        <v>ABS kPa</v>
      </c>
      <c r="O18" s="505" t="e">
        <f ca="1">(M16-M7-M12-M14-M15)^0.5</f>
        <v>#VALUE!</v>
      </c>
      <c r="P18" s="464" t="s">
        <v>396</v>
      </c>
      <c r="Q18" s="483">
        <f ca="1">VLOOKUP(VLOOKUP(I1,Worksheet!$A$18:$B$31,2),'1Test Data'!$O$30:$AL$49,24,0)</f>
        <v>1.269097E-18</v>
      </c>
      <c r="R18" s="453"/>
      <c r="S18" s="453"/>
      <c r="T18" s="453"/>
      <c r="U18" s="455"/>
      <c r="V18" s="439"/>
      <c r="W18" s="439"/>
      <c r="X18" s="439"/>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row>
    <row r="19" spans="1:1255" s="503" customFormat="1" ht="14.1" customHeight="1">
      <c r="A19" s="504"/>
      <c r="B19" s="448"/>
      <c r="C19" s="1093"/>
      <c r="D19" s="1094"/>
      <c r="E19" s="1094"/>
      <c r="F19" s="1094"/>
      <c r="G19" s="1095"/>
      <c r="H19" s="448"/>
      <c r="I19" s="448"/>
      <c r="J19" s="448"/>
      <c r="K19" s="448"/>
      <c r="L19" s="506" t="s">
        <v>417</v>
      </c>
      <c r="M19" s="507" t="e">
        <f ca="1">M18^4/N16</f>
        <v>#VALUE!</v>
      </c>
      <c r="N19" s="509"/>
      <c r="O19" s="510" t="e">
        <f ca="1">O18^4/(N16-N7-N12-N14-N15)</f>
        <v>#VALUE!</v>
      </c>
      <c r="P19" s="464" t="s">
        <v>201</v>
      </c>
      <c r="Q19" s="483">
        <f ca="1">VLOOKUP(VLOOKUP(I1,Worksheet!$A$18:$B$31,2),'1Test Data'!$O$30:$AM$49,25,0)</f>
        <v>1</v>
      </c>
      <c r="R19" s="453"/>
      <c r="S19" s="453"/>
      <c r="T19" s="453"/>
      <c r="U19" s="455"/>
      <c r="V19" s="439"/>
      <c r="W19" s="439"/>
      <c r="X19" s="439"/>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c r="DQ19" s="502"/>
      <c r="DR19" s="502"/>
      <c r="DS19" s="502"/>
      <c r="DT19" s="502"/>
      <c r="DU19" s="502"/>
      <c r="DV19" s="502"/>
      <c r="DW19" s="502"/>
      <c r="DX19" s="502"/>
      <c r="DY19" s="502"/>
      <c r="DZ19" s="502"/>
      <c r="EA19" s="502"/>
      <c r="EB19" s="502"/>
      <c r="EC19" s="502"/>
      <c r="ED19" s="502"/>
      <c r="EE19" s="502"/>
      <c r="EF19" s="502"/>
      <c r="EG19" s="502"/>
      <c r="EH19" s="502"/>
      <c r="EI19" s="502"/>
      <c r="EJ19" s="502"/>
      <c r="EK19" s="502"/>
      <c r="EL19" s="502"/>
      <c r="EM19" s="502"/>
      <c r="EN19" s="502"/>
      <c r="EO19" s="502"/>
      <c r="EP19" s="502"/>
      <c r="EQ19" s="502"/>
      <c r="ER19" s="502"/>
      <c r="ES19" s="502"/>
      <c r="ET19" s="502"/>
      <c r="EU19" s="502"/>
      <c r="EV19" s="502"/>
      <c r="EW19" s="502"/>
      <c r="EX19" s="502"/>
      <c r="EY19" s="502"/>
      <c r="EZ19" s="502"/>
      <c r="FA19" s="502"/>
      <c r="FB19" s="502"/>
      <c r="FC19" s="502"/>
      <c r="FD19" s="502"/>
      <c r="FE19" s="502"/>
      <c r="FF19" s="502"/>
      <c r="FG19" s="502"/>
      <c r="FH19" s="502"/>
      <c r="FI19" s="502"/>
      <c r="FJ19" s="502"/>
      <c r="FK19" s="502"/>
      <c r="FL19" s="502"/>
      <c r="FM19" s="502"/>
      <c r="FN19" s="502"/>
      <c r="FO19" s="502"/>
      <c r="FP19" s="502"/>
      <c r="FQ19" s="502"/>
      <c r="FR19" s="502"/>
      <c r="FS19" s="502"/>
      <c r="FT19" s="502"/>
      <c r="FU19" s="502"/>
      <c r="FV19" s="502"/>
      <c r="FW19" s="502"/>
      <c r="FX19" s="502"/>
      <c r="FY19" s="502"/>
      <c r="FZ19" s="502"/>
      <c r="GA19" s="502"/>
      <c r="GB19" s="502"/>
      <c r="GC19" s="502"/>
      <c r="GD19" s="502"/>
      <c r="GE19" s="502"/>
      <c r="GF19" s="502"/>
      <c r="GG19" s="502"/>
      <c r="GH19" s="502"/>
      <c r="GI19" s="502"/>
      <c r="GJ19" s="502"/>
      <c r="GK19" s="502"/>
      <c r="GL19" s="502"/>
      <c r="GM19" s="502"/>
      <c r="GN19" s="502"/>
      <c r="GO19" s="502"/>
      <c r="GP19" s="502"/>
      <c r="GQ19" s="502"/>
      <c r="GR19" s="502"/>
      <c r="GS19" s="502"/>
      <c r="GT19" s="502"/>
      <c r="GU19" s="502"/>
      <c r="GV19" s="502"/>
      <c r="GW19" s="502"/>
      <c r="GX19" s="502"/>
      <c r="GY19" s="502"/>
      <c r="GZ19" s="502"/>
      <c r="HA19" s="502"/>
      <c r="HB19" s="502"/>
      <c r="HC19" s="502"/>
      <c r="HD19" s="502"/>
      <c r="HE19" s="502"/>
      <c r="HF19" s="502"/>
      <c r="HG19" s="502"/>
      <c r="HH19" s="502"/>
      <c r="HI19" s="502"/>
      <c r="HJ19" s="502"/>
      <c r="HK19" s="502"/>
      <c r="HL19" s="502"/>
      <c r="HM19" s="502"/>
      <c r="HN19" s="502"/>
      <c r="HO19" s="502"/>
      <c r="HP19" s="502"/>
      <c r="HQ19" s="502"/>
      <c r="HR19" s="502"/>
      <c r="HS19" s="502"/>
      <c r="HT19" s="502"/>
      <c r="HU19" s="502"/>
      <c r="HV19" s="502"/>
      <c r="HW19" s="502"/>
      <c r="HX19" s="502"/>
      <c r="HY19" s="502"/>
      <c r="HZ19" s="502"/>
      <c r="IA19" s="502"/>
      <c r="IB19" s="502"/>
      <c r="IC19" s="502"/>
      <c r="ID19" s="502"/>
      <c r="IE19" s="502"/>
      <c r="IF19" s="502"/>
      <c r="IG19" s="502"/>
      <c r="IH19" s="502"/>
      <c r="II19" s="502"/>
      <c r="IJ19" s="502"/>
      <c r="IK19" s="502"/>
      <c r="IL19" s="502"/>
      <c r="IM19" s="502"/>
      <c r="IN19" s="502"/>
      <c r="IO19" s="502"/>
      <c r="IP19" s="502"/>
      <c r="IQ19" s="502"/>
      <c r="IR19" s="502"/>
      <c r="IS19" s="502"/>
      <c r="IT19" s="502"/>
      <c r="IU19" s="502"/>
      <c r="IV19" s="502"/>
      <c r="IW19" s="502"/>
      <c r="IX19" s="502"/>
      <c r="IY19" s="502"/>
      <c r="IZ19" s="502"/>
      <c r="JA19" s="502"/>
      <c r="JB19" s="502"/>
      <c r="JC19" s="502"/>
      <c r="JD19" s="502"/>
      <c r="JE19" s="502"/>
      <c r="JF19" s="502"/>
      <c r="JG19" s="502"/>
      <c r="JH19" s="502"/>
      <c r="JI19" s="502"/>
      <c r="JJ19" s="502"/>
      <c r="JK19" s="502"/>
      <c r="JL19" s="502"/>
      <c r="JM19" s="502"/>
      <c r="JN19" s="502"/>
      <c r="JO19" s="502"/>
      <c r="JP19" s="502"/>
      <c r="JQ19" s="502"/>
      <c r="JR19" s="502"/>
      <c r="JS19" s="502"/>
      <c r="JT19" s="502"/>
      <c r="JU19" s="502"/>
      <c r="JV19" s="502"/>
      <c r="JW19" s="502"/>
      <c r="JX19" s="502"/>
      <c r="JY19" s="502"/>
      <c r="JZ19" s="502"/>
      <c r="KA19" s="502"/>
      <c r="KB19" s="502"/>
      <c r="KC19" s="502"/>
      <c r="KD19" s="502"/>
      <c r="KE19" s="502"/>
      <c r="KF19" s="502"/>
      <c r="KG19" s="502"/>
      <c r="KH19" s="502"/>
      <c r="KI19" s="502"/>
      <c r="KJ19" s="502"/>
      <c r="KK19" s="502"/>
      <c r="KL19" s="502"/>
      <c r="KM19" s="502"/>
      <c r="KN19" s="502"/>
      <c r="KO19" s="502"/>
      <c r="KP19" s="502"/>
      <c r="KQ19" s="502"/>
      <c r="KR19" s="502"/>
      <c r="KS19" s="502"/>
      <c r="KT19" s="502"/>
      <c r="KU19" s="502"/>
      <c r="KV19" s="502"/>
      <c r="KW19" s="502"/>
      <c r="KX19" s="502"/>
      <c r="KY19" s="502"/>
      <c r="KZ19" s="502"/>
      <c r="LA19" s="502"/>
      <c r="LB19" s="502"/>
      <c r="LC19" s="502"/>
      <c r="LD19" s="502"/>
      <c r="LE19" s="502"/>
      <c r="LF19" s="502"/>
      <c r="LG19" s="502"/>
      <c r="LH19" s="502"/>
      <c r="LI19" s="502"/>
      <c r="LJ19" s="502"/>
      <c r="LK19" s="502"/>
      <c r="LL19" s="502"/>
      <c r="LM19" s="502"/>
      <c r="LN19" s="502"/>
      <c r="LO19" s="502"/>
      <c r="LP19" s="502"/>
      <c r="LQ19" s="502"/>
      <c r="LR19" s="502"/>
      <c r="LS19" s="502"/>
      <c r="LT19" s="502"/>
      <c r="LU19" s="502"/>
      <c r="LV19" s="502"/>
      <c r="LW19" s="502"/>
      <c r="LX19" s="502"/>
      <c r="LY19" s="502"/>
      <c r="LZ19" s="502"/>
      <c r="MA19" s="502"/>
      <c r="MB19" s="502"/>
      <c r="MC19" s="502"/>
      <c r="MD19" s="502"/>
      <c r="ME19" s="502"/>
      <c r="MF19" s="502"/>
      <c r="MG19" s="502"/>
      <c r="MH19" s="502"/>
      <c r="MI19" s="502"/>
      <c r="MJ19" s="502"/>
      <c r="MK19" s="502"/>
      <c r="ML19" s="502"/>
      <c r="MM19" s="502"/>
      <c r="MN19" s="502"/>
      <c r="MO19" s="502"/>
      <c r="MP19" s="502"/>
      <c r="MQ19" s="502"/>
      <c r="MR19" s="502"/>
      <c r="MS19" s="502"/>
      <c r="MT19" s="502"/>
      <c r="MU19" s="502"/>
      <c r="MV19" s="502"/>
      <c r="MW19" s="502"/>
      <c r="MX19" s="502"/>
      <c r="MY19" s="502"/>
      <c r="MZ19" s="502"/>
      <c r="NA19" s="502"/>
      <c r="NB19" s="502"/>
      <c r="NC19" s="502"/>
      <c r="ND19" s="502"/>
      <c r="NE19" s="502"/>
      <c r="NF19" s="502"/>
      <c r="NG19" s="502"/>
      <c r="NH19" s="502"/>
      <c r="NI19" s="502"/>
      <c r="NJ19" s="502"/>
      <c r="NK19" s="502"/>
      <c r="NL19" s="502"/>
      <c r="NM19" s="502"/>
      <c r="NN19" s="502"/>
      <c r="NO19" s="502"/>
      <c r="NP19" s="502"/>
      <c r="NQ19" s="502"/>
      <c r="NR19" s="502"/>
      <c r="NS19" s="502"/>
      <c r="NT19" s="502"/>
      <c r="NU19" s="502"/>
      <c r="NV19" s="502"/>
      <c r="NW19" s="502"/>
      <c r="NX19" s="502"/>
      <c r="NY19" s="502"/>
      <c r="NZ19" s="502"/>
      <c r="OA19" s="502"/>
      <c r="OB19" s="502"/>
      <c r="OC19" s="502"/>
      <c r="OD19" s="502"/>
      <c r="OE19" s="502"/>
      <c r="OF19" s="502"/>
      <c r="OG19" s="502"/>
      <c r="OH19" s="502"/>
      <c r="OI19" s="502"/>
      <c r="OJ19" s="502"/>
      <c r="OK19" s="502"/>
      <c r="OL19" s="502"/>
      <c r="OM19" s="502"/>
      <c r="ON19" s="502"/>
      <c r="OO19" s="502"/>
      <c r="OP19" s="502"/>
      <c r="OQ19" s="502"/>
      <c r="OR19" s="502"/>
      <c r="OS19" s="502"/>
      <c r="OT19" s="502"/>
      <c r="OU19" s="502"/>
      <c r="OV19" s="502"/>
      <c r="OW19" s="502"/>
      <c r="OX19" s="502"/>
      <c r="OY19" s="502"/>
      <c r="OZ19" s="502"/>
      <c r="PA19" s="502"/>
      <c r="PB19" s="502"/>
      <c r="PC19" s="502"/>
      <c r="PD19" s="502"/>
      <c r="PE19" s="502"/>
      <c r="PF19" s="502"/>
      <c r="PG19" s="502"/>
      <c r="PH19" s="502"/>
      <c r="PI19" s="502"/>
      <c r="PJ19" s="502"/>
      <c r="PK19" s="502"/>
      <c r="PL19" s="502"/>
      <c r="PM19" s="502"/>
      <c r="PN19" s="502"/>
      <c r="PO19" s="502"/>
      <c r="PP19" s="502"/>
      <c r="PQ19" s="502"/>
      <c r="PR19" s="502"/>
      <c r="PS19" s="502"/>
      <c r="PT19" s="502"/>
      <c r="PU19" s="502"/>
      <c r="PV19" s="502"/>
      <c r="PW19" s="502"/>
      <c r="PX19" s="502"/>
      <c r="PY19" s="502"/>
      <c r="PZ19" s="502"/>
      <c r="QA19" s="502"/>
      <c r="QB19" s="502"/>
      <c r="QC19" s="502"/>
      <c r="QD19" s="502"/>
      <c r="QE19" s="502"/>
      <c r="QF19" s="502"/>
      <c r="QG19" s="502"/>
      <c r="QH19" s="502"/>
      <c r="QI19" s="502"/>
      <c r="QJ19" s="502"/>
      <c r="QK19" s="502"/>
      <c r="QL19" s="502"/>
      <c r="QM19" s="502"/>
      <c r="QN19" s="502"/>
      <c r="QO19" s="502"/>
      <c r="QP19" s="502"/>
      <c r="QQ19" s="502"/>
      <c r="QR19" s="502"/>
      <c r="QS19" s="502"/>
      <c r="QT19" s="502"/>
      <c r="QU19" s="502"/>
      <c r="QV19" s="502"/>
      <c r="QW19" s="502"/>
      <c r="QX19" s="502"/>
      <c r="QY19" s="502"/>
      <c r="QZ19" s="502"/>
      <c r="RA19" s="502"/>
      <c r="RB19" s="502"/>
      <c r="RC19" s="502"/>
      <c r="RD19" s="502"/>
      <c r="RE19" s="502"/>
      <c r="RF19" s="502"/>
      <c r="RG19" s="502"/>
      <c r="RH19" s="502"/>
      <c r="RI19" s="502"/>
      <c r="RJ19" s="502"/>
      <c r="RK19" s="502"/>
      <c r="RL19" s="502"/>
      <c r="RM19" s="502"/>
      <c r="RN19" s="502"/>
      <c r="RO19" s="502"/>
      <c r="RP19" s="502"/>
      <c r="RQ19" s="502"/>
      <c r="RR19" s="502"/>
      <c r="RS19" s="502"/>
      <c r="RT19" s="502"/>
      <c r="RU19" s="502"/>
      <c r="RV19" s="502"/>
      <c r="RW19" s="502"/>
      <c r="RX19" s="502"/>
      <c r="RY19" s="502"/>
      <c r="RZ19" s="502"/>
      <c r="SA19" s="502"/>
      <c r="SB19" s="502"/>
      <c r="SC19" s="502"/>
      <c r="SD19" s="502"/>
      <c r="SE19" s="502"/>
      <c r="SF19" s="502"/>
      <c r="SG19" s="502"/>
      <c r="SH19" s="502"/>
      <c r="SI19" s="502"/>
      <c r="SJ19" s="502"/>
      <c r="SK19" s="502"/>
      <c r="SL19" s="502"/>
      <c r="SM19" s="502"/>
      <c r="SN19" s="502"/>
      <c r="SO19" s="502"/>
      <c r="SP19" s="502"/>
      <c r="SQ19" s="502"/>
      <c r="SR19" s="502"/>
      <c r="SS19" s="502"/>
      <c r="ST19" s="502"/>
      <c r="SU19" s="502"/>
      <c r="SV19" s="502"/>
      <c r="SW19" s="502"/>
      <c r="SX19" s="502"/>
      <c r="SY19" s="502"/>
      <c r="SZ19" s="502"/>
      <c r="TA19" s="502"/>
      <c r="TB19" s="502"/>
      <c r="TC19" s="502"/>
      <c r="TD19" s="502"/>
      <c r="TE19" s="502"/>
      <c r="TF19" s="502"/>
      <c r="TG19" s="502"/>
      <c r="TH19" s="502"/>
      <c r="TI19" s="502"/>
      <c r="TJ19" s="502"/>
      <c r="TK19" s="502"/>
      <c r="TL19" s="502"/>
      <c r="TM19" s="502"/>
      <c r="TN19" s="502"/>
      <c r="TO19" s="502"/>
      <c r="TP19" s="502"/>
      <c r="TQ19" s="502"/>
      <c r="TR19" s="502"/>
      <c r="TS19" s="502"/>
      <c r="TT19" s="502"/>
      <c r="TU19" s="502"/>
      <c r="TV19" s="502"/>
      <c r="TW19" s="502"/>
      <c r="TX19" s="502"/>
      <c r="TY19" s="502"/>
      <c r="TZ19" s="502"/>
      <c r="UA19" s="502"/>
      <c r="UB19" s="502"/>
      <c r="UC19" s="502"/>
      <c r="UD19" s="502"/>
      <c r="UE19" s="502"/>
      <c r="UF19" s="502"/>
      <c r="UG19" s="502"/>
      <c r="UH19" s="502"/>
      <c r="UI19" s="502"/>
      <c r="UJ19" s="502"/>
      <c r="UK19" s="502"/>
      <c r="UL19" s="502"/>
      <c r="UM19" s="502"/>
      <c r="UN19" s="502"/>
      <c r="UO19" s="502"/>
      <c r="UP19" s="502"/>
      <c r="UQ19" s="502"/>
      <c r="UR19" s="502"/>
      <c r="US19" s="502"/>
      <c r="UT19" s="502"/>
      <c r="UU19" s="502"/>
      <c r="UV19" s="502"/>
      <c r="UW19" s="502"/>
      <c r="UX19" s="502"/>
      <c r="UY19" s="502"/>
      <c r="UZ19" s="502"/>
      <c r="VA19" s="502"/>
      <c r="VB19" s="502"/>
      <c r="VC19" s="502"/>
      <c r="VD19" s="502"/>
      <c r="VE19" s="502"/>
      <c r="VF19" s="502"/>
      <c r="VG19" s="502"/>
      <c r="VH19" s="502"/>
      <c r="VI19" s="502"/>
      <c r="VJ19" s="502"/>
      <c r="VK19" s="502"/>
      <c r="VL19" s="502"/>
      <c r="VM19" s="502"/>
      <c r="VN19" s="502"/>
      <c r="VO19" s="502"/>
      <c r="VP19" s="502"/>
      <c r="VQ19" s="502"/>
      <c r="VR19" s="502"/>
      <c r="VS19" s="502"/>
      <c r="VT19" s="502"/>
      <c r="VU19" s="502"/>
      <c r="VV19" s="502"/>
      <c r="VW19" s="502"/>
      <c r="VX19" s="502"/>
      <c r="VY19" s="502"/>
      <c r="VZ19" s="502"/>
      <c r="WA19" s="502"/>
      <c r="WB19" s="502"/>
      <c r="WC19" s="502"/>
      <c r="WD19" s="502"/>
      <c r="WE19" s="502"/>
      <c r="WF19" s="502"/>
      <c r="WG19" s="502"/>
      <c r="WH19" s="502"/>
      <c r="WI19" s="502"/>
      <c r="WJ19" s="502"/>
      <c r="WK19" s="502"/>
      <c r="WL19" s="502"/>
      <c r="WM19" s="502"/>
      <c r="WN19" s="502"/>
      <c r="WO19" s="502"/>
      <c r="WP19" s="502"/>
      <c r="WQ19" s="502"/>
      <c r="WR19" s="502"/>
      <c r="WS19" s="502"/>
      <c r="WT19" s="502"/>
      <c r="WU19" s="502"/>
      <c r="WV19" s="502"/>
      <c r="WW19" s="502"/>
      <c r="WX19" s="502"/>
      <c r="WY19" s="502"/>
      <c r="WZ19" s="502"/>
      <c r="XA19" s="502"/>
      <c r="XB19" s="502"/>
      <c r="XC19" s="502"/>
      <c r="XD19" s="502"/>
      <c r="XE19" s="502"/>
      <c r="XF19" s="502"/>
      <c r="XG19" s="502"/>
      <c r="XH19" s="502"/>
      <c r="XI19" s="502"/>
      <c r="XJ19" s="502"/>
      <c r="XK19" s="502"/>
      <c r="XL19" s="502"/>
      <c r="XM19" s="502"/>
      <c r="XN19" s="502"/>
      <c r="XO19" s="502"/>
      <c r="XP19" s="502"/>
      <c r="XQ19" s="502"/>
      <c r="XR19" s="502"/>
      <c r="XS19" s="502"/>
      <c r="XT19" s="502"/>
      <c r="XU19" s="502"/>
      <c r="XV19" s="502"/>
      <c r="XW19" s="502"/>
      <c r="XX19" s="502"/>
      <c r="XY19" s="502"/>
      <c r="XZ19" s="502"/>
      <c r="YA19" s="502"/>
      <c r="YB19" s="502"/>
      <c r="YC19" s="502"/>
      <c r="YD19" s="502"/>
      <c r="YE19" s="502"/>
      <c r="YF19" s="502"/>
      <c r="YG19" s="502"/>
      <c r="YH19" s="502"/>
      <c r="YI19" s="502"/>
      <c r="YJ19" s="502"/>
      <c r="YK19" s="502"/>
      <c r="YL19" s="502"/>
      <c r="YM19" s="502"/>
      <c r="YN19" s="502"/>
      <c r="YO19" s="502"/>
      <c r="YP19" s="502"/>
      <c r="YQ19" s="502"/>
      <c r="YR19" s="502"/>
      <c r="YS19" s="502"/>
      <c r="YT19" s="502"/>
      <c r="YU19" s="502"/>
      <c r="YV19" s="502"/>
      <c r="YW19" s="502"/>
      <c r="YX19" s="502"/>
      <c r="YY19" s="502"/>
      <c r="YZ19" s="502"/>
      <c r="ZA19" s="502"/>
      <c r="ZB19" s="502"/>
      <c r="ZC19" s="502"/>
      <c r="ZD19" s="502"/>
      <c r="ZE19" s="502"/>
      <c r="ZF19" s="502"/>
      <c r="ZG19" s="502"/>
      <c r="ZH19" s="502"/>
      <c r="ZI19" s="502"/>
      <c r="ZJ19" s="502"/>
      <c r="ZK19" s="502"/>
      <c r="ZL19" s="502"/>
      <c r="ZM19" s="502"/>
      <c r="ZN19" s="502"/>
      <c r="ZO19" s="502"/>
      <c r="ZP19" s="502"/>
      <c r="ZQ19" s="502"/>
      <c r="ZR19" s="502"/>
      <c r="ZS19" s="502"/>
      <c r="ZT19" s="502"/>
      <c r="ZU19" s="502"/>
      <c r="ZV19" s="502"/>
      <c r="ZW19" s="502"/>
      <c r="ZX19" s="502"/>
      <c r="ZY19" s="502"/>
      <c r="ZZ19" s="502"/>
      <c r="AAA19" s="502"/>
      <c r="AAB19" s="502"/>
      <c r="AAC19" s="502"/>
      <c r="AAD19" s="502"/>
      <c r="AAE19" s="502"/>
      <c r="AAF19" s="502"/>
      <c r="AAG19" s="502"/>
      <c r="AAH19" s="502"/>
      <c r="AAI19" s="502"/>
      <c r="AAJ19" s="502"/>
      <c r="AAK19" s="502"/>
      <c r="AAL19" s="502"/>
      <c r="AAM19" s="502"/>
      <c r="AAN19" s="502"/>
      <c r="AAO19" s="502"/>
      <c r="AAP19" s="502"/>
      <c r="AAQ19" s="502"/>
      <c r="AAR19" s="502"/>
      <c r="AAS19" s="502"/>
      <c r="AAT19" s="502"/>
      <c r="AAU19" s="502"/>
      <c r="AAV19" s="502"/>
      <c r="AAW19" s="502"/>
      <c r="AAX19" s="502"/>
      <c r="AAY19" s="502"/>
      <c r="AAZ19" s="502"/>
      <c r="ABA19" s="502"/>
      <c r="ABB19" s="502"/>
      <c r="ABC19" s="502"/>
      <c r="ABD19" s="502"/>
      <c r="ABE19" s="502"/>
      <c r="ABF19" s="502"/>
      <c r="ABG19" s="502"/>
      <c r="ABH19" s="502"/>
      <c r="ABI19" s="502"/>
      <c r="ABJ19" s="502"/>
      <c r="ABK19" s="502"/>
      <c r="ABL19" s="502"/>
      <c r="ABM19" s="502"/>
      <c r="ABN19" s="502"/>
      <c r="ABO19" s="502"/>
      <c r="ABP19" s="502"/>
      <c r="ABQ19" s="502"/>
      <c r="ABR19" s="502"/>
      <c r="ABS19" s="502"/>
      <c r="ABT19" s="502"/>
      <c r="ABU19" s="502"/>
      <c r="ABV19" s="502"/>
      <c r="ABW19" s="502"/>
      <c r="ABX19" s="502"/>
      <c r="ABY19" s="502"/>
      <c r="ABZ19" s="502"/>
      <c r="ACA19" s="502"/>
      <c r="ACB19" s="502"/>
      <c r="ACC19" s="502"/>
      <c r="ACD19" s="502"/>
      <c r="ACE19" s="502"/>
      <c r="ACF19" s="502"/>
      <c r="ACG19" s="502"/>
      <c r="ACH19" s="502"/>
      <c r="ACI19" s="502"/>
      <c r="ACJ19" s="502"/>
      <c r="ACK19" s="502"/>
      <c r="ACL19" s="502"/>
      <c r="ACM19" s="502"/>
      <c r="ACN19" s="502"/>
      <c r="ACO19" s="502"/>
      <c r="ACP19" s="502"/>
      <c r="ACQ19" s="502"/>
      <c r="ACR19" s="502"/>
      <c r="ACS19" s="502"/>
      <c r="ACT19" s="502"/>
      <c r="ACU19" s="502"/>
      <c r="ACV19" s="502"/>
      <c r="ACW19" s="502"/>
      <c r="ACX19" s="502"/>
      <c r="ACY19" s="502"/>
      <c r="ACZ19" s="502"/>
      <c r="ADA19" s="502"/>
      <c r="ADB19" s="502"/>
      <c r="ADC19" s="502"/>
      <c r="ADD19" s="502"/>
      <c r="ADE19" s="502"/>
      <c r="ADF19" s="502"/>
      <c r="ADG19" s="502"/>
      <c r="ADH19" s="502"/>
      <c r="ADI19" s="502"/>
      <c r="ADJ19" s="502"/>
      <c r="ADK19" s="502"/>
      <c r="ADL19" s="502"/>
      <c r="ADM19" s="502"/>
      <c r="ADN19" s="502"/>
      <c r="ADO19" s="502"/>
      <c r="ADP19" s="502"/>
      <c r="ADQ19" s="502"/>
      <c r="ADR19" s="502"/>
      <c r="ADS19" s="502"/>
      <c r="ADT19" s="502"/>
      <c r="ADU19" s="502"/>
      <c r="ADV19" s="502"/>
      <c r="ADW19" s="502"/>
      <c r="ADX19" s="502"/>
      <c r="ADY19" s="502"/>
      <c r="ADZ19" s="502"/>
      <c r="AEA19" s="502"/>
      <c r="AEB19" s="502"/>
      <c r="AEC19" s="502"/>
      <c r="AED19" s="502"/>
      <c r="AEE19" s="502"/>
      <c r="AEF19" s="502"/>
      <c r="AEG19" s="502"/>
      <c r="AEH19" s="502"/>
      <c r="AEI19" s="502"/>
      <c r="AEJ19" s="502"/>
      <c r="AEK19" s="502"/>
      <c r="AEL19" s="502"/>
      <c r="AEM19" s="502"/>
      <c r="AEN19" s="502"/>
      <c r="AEO19" s="502"/>
      <c r="AEP19" s="502"/>
      <c r="AEQ19" s="502"/>
      <c r="AER19" s="502"/>
      <c r="AES19" s="502"/>
      <c r="AET19" s="502"/>
      <c r="AEU19" s="502"/>
      <c r="AEV19" s="502"/>
      <c r="AEW19" s="502"/>
      <c r="AEX19" s="502"/>
      <c r="AEY19" s="502"/>
      <c r="AEZ19" s="502"/>
      <c r="AFA19" s="502"/>
      <c r="AFB19" s="502"/>
      <c r="AFC19" s="502"/>
      <c r="AFD19" s="502"/>
      <c r="AFE19" s="502"/>
      <c r="AFF19" s="502"/>
      <c r="AFG19" s="502"/>
      <c r="AFH19" s="502"/>
      <c r="AFI19" s="502"/>
      <c r="AFJ19" s="502"/>
      <c r="AFK19" s="502"/>
      <c r="AFL19" s="502"/>
      <c r="AFM19" s="502"/>
      <c r="AFN19" s="502"/>
      <c r="AFO19" s="502"/>
      <c r="AFP19" s="502"/>
      <c r="AFQ19" s="502"/>
      <c r="AFR19" s="502"/>
      <c r="AFS19" s="502"/>
      <c r="AFT19" s="502"/>
      <c r="AFU19" s="502"/>
      <c r="AFV19" s="502"/>
      <c r="AFW19" s="502"/>
      <c r="AFX19" s="502"/>
      <c r="AFY19" s="502"/>
      <c r="AFZ19" s="502"/>
      <c r="AGA19" s="502"/>
      <c r="AGB19" s="502"/>
      <c r="AGC19" s="502"/>
      <c r="AGD19" s="502"/>
      <c r="AGE19" s="502"/>
      <c r="AGF19" s="502"/>
      <c r="AGG19" s="502"/>
      <c r="AGH19" s="502"/>
      <c r="AGI19" s="502"/>
      <c r="AGJ19" s="502"/>
      <c r="AGK19" s="502"/>
      <c r="AGL19" s="502"/>
      <c r="AGM19" s="502"/>
      <c r="AGN19" s="502"/>
      <c r="AGO19" s="502"/>
      <c r="AGP19" s="502"/>
      <c r="AGQ19" s="502"/>
      <c r="AGR19" s="502"/>
      <c r="AGS19" s="502"/>
      <c r="AGT19" s="502"/>
      <c r="AGU19" s="502"/>
      <c r="AGV19" s="502"/>
      <c r="AGW19" s="502"/>
      <c r="AGX19" s="502"/>
      <c r="AGY19" s="502"/>
      <c r="AGZ19" s="502"/>
      <c r="AHA19" s="502"/>
      <c r="AHB19" s="502"/>
      <c r="AHC19" s="502"/>
      <c r="AHD19" s="502"/>
      <c r="AHE19" s="502"/>
      <c r="AHF19" s="502"/>
      <c r="AHG19" s="502"/>
      <c r="AHH19" s="502"/>
      <c r="AHI19" s="502"/>
      <c r="AHJ19" s="502"/>
      <c r="AHK19" s="502"/>
      <c r="AHL19" s="502"/>
      <c r="AHM19" s="502"/>
      <c r="AHN19" s="502"/>
      <c r="AHO19" s="502"/>
      <c r="AHP19" s="502"/>
      <c r="AHQ19" s="502"/>
      <c r="AHR19" s="502"/>
      <c r="AHS19" s="502"/>
      <c r="AHT19" s="502"/>
      <c r="AHU19" s="502"/>
      <c r="AHV19" s="502"/>
      <c r="AHW19" s="502"/>
      <c r="AHX19" s="502"/>
      <c r="AHY19" s="502"/>
      <c r="AHZ19" s="502"/>
      <c r="AIA19" s="502"/>
      <c r="AIB19" s="502"/>
      <c r="AIC19" s="502"/>
      <c r="AID19" s="502"/>
      <c r="AIE19" s="502"/>
      <c r="AIF19" s="502"/>
      <c r="AIG19" s="502"/>
      <c r="AIH19" s="502"/>
      <c r="AII19" s="502"/>
      <c r="AIJ19" s="502"/>
      <c r="AIK19" s="502"/>
      <c r="AIL19" s="502"/>
      <c r="AIM19" s="502"/>
      <c r="AIN19" s="502"/>
      <c r="AIO19" s="502"/>
      <c r="AIP19" s="502"/>
      <c r="AIQ19" s="502"/>
      <c r="AIR19" s="502"/>
      <c r="AIS19" s="502"/>
      <c r="AIT19" s="502"/>
      <c r="AIU19" s="502"/>
      <c r="AIV19" s="502"/>
      <c r="AIW19" s="502"/>
      <c r="AIX19" s="502"/>
      <c r="AIY19" s="502"/>
      <c r="AIZ19" s="502"/>
      <c r="AJA19" s="502"/>
      <c r="AJB19" s="502"/>
      <c r="AJC19" s="502"/>
      <c r="AJD19" s="502"/>
      <c r="AJE19" s="502"/>
      <c r="AJF19" s="502"/>
      <c r="AJG19" s="502"/>
      <c r="AJH19" s="502"/>
      <c r="AJI19" s="502"/>
      <c r="AJJ19" s="502"/>
      <c r="AJK19" s="502"/>
      <c r="AJL19" s="502"/>
      <c r="AJM19" s="502"/>
      <c r="AJN19" s="502"/>
      <c r="AJO19" s="502"/>
      <c r="AJP19" s="502"/>
      <c r="AJQ19" s="502"/>
      <c r="AJR19" s="502"/>
      <c r="AJS19" s="502"/>
      <c r="AJT19" s="502"/>
      <c r="AJU19" s="502"/>
      <c r="AJV19" s="502"/>
      <c r="AJW19" s="502"/>
      <c r="AJX19" s="502"/>
      <c r="AJY19" s="502"/>
      <c r="AJZ19" s="502"/>
      <c r="AKA19" s="502"/>
      <c r="AKB19" s="502"/>
      <c r="AKC19" s="502"/>
      <c r="AKD19" s="502"/>
      <c r="AKE19" s="502"/>
      <c r="AKF19" s="502"/>
      <c r="AKG19" s="502"/>
      <c r="AKH19" s="502"/>
      <c r="AKI19" s="502"/>
      <c r="AKJ19" s="502"/>
      <c r="AKK19" s="502"/>
      <c r="AKL19" s="502"/>
      <c r="AKM19" s="502"/>
      <c r="AKN19" s="502"/>
      <c r="AKO19" s="502"/>
      <c r="AKP19" s="502"/>
      <c r="AKQ19" s="502"/>
      <c r="AKR19" s="502"/>
      <c r="AKS19" s="502"/>
      <c r="AKT19" s="502"/>
      <c r="AKU19" s="502"/>
      <c r="AKV19" s="502"/>
      <c r="AKW19" s="502"/>
      <c r="AKX19" s="502"/>
      <c r="AKY19" s="502"/>
      <c r="AKZ19" s="502"/>
      <c r="ALA19" s="502"/>
      <c r="ALB19" s="502"/>
      <c r="ALC19" s="502"/>
      <c r="ALD19" s="502"/>
      <c r="ALE19" s="502"/>
      <c r="ALF19" s="502"/>
      <c r="ALG19" s="502"/>
      <c r="ALH19" s="502"/>
      <c r="ALI19" s="502"/>
      <c r="ALJ19" s="502"/>
      <c r="ALK19" s="502"/>
      <c r="ALL19" s="502"/>
      <c r="ALM19" s="502"/>
      <c r="ALN19" s="502"/>
      <c r="ALO19" s="502"/>
      <c r="ALP19" s="502"/>
      <c r="ALQ19" s="502"/>
      <c r="ALR19" s="502"/>
      <c r="ALS19" s="502"/>
      <c r="ALT19" s="502"/>
      <c r="ALU19" s="502"/>
      <c r="ALV19" s="502"/>
      <c r="ALW19" s="502"/>
      <c r="ALX19" s="502"/>
      <c r="ALY19" s="502"/>
      <c r="ALZ19" s="502"/>
      <c r="AMA19" s="502"/>
      <c r="AMB19" s="502"/>
      <c r="AMC19" s="502"/>
      <c r="AMD19" s="502"/>
      <c r="AME19" s="502"/>
      <c r="AMF19" s="502"/>
      <c r="AMG19" s="502"/>
      <c r="AMH19" s="502"/>
      <c r="AMI19" s="502"/>
      <c r="AMJ19" s="502"/>
      <c r="AMK19" s="502"/>
      <c r="AML19" s="502"/>
      <c r="AMM19" s="502"/>
      <c r="AMN19" s="502"/>
      <c r="AMO19" s="502"/>
      <c r="AMP19" s="502"/>
      <c r="AMQ19" s="502"/>
      <c r="AMR19" s="502"/>
      <c r="AMS19" s="502"/>
      <c r="AMT19" s="502"/>
      <c r="AMU19" s="502"/>
      <c r="AMV19" s="502"/>
      <c r="AMW19" s="502"/>
      <c r="AMX19" s="502"/>
      <c r="AMY19" s="502"/>
      <c r="AMZ19" s="502"/>
      <c r="ANA19" s="502"/>
      <c r="ANB19" s="502"/>
      <c r="ANC19" s="502"/>
      <c r="AND19" s="502"/>
      <c r="ANE19" s="502"/>
      <c r="ANF19" s="502"/>
      <c r="ANG19" s="502"/>
      <c r="ANH19" s="502"/>
      <c r="ANI19" s="502"/>
      <c r="ANJ19" s="502"/>
      <c r="ANK19" s="502"/>
      <c r="ANL19" s="502"/>
      <c r="ANM19" s="502"/>
      <c r="ANN19" s="502"/>
      <c r="ANO19" s="502"/>
      <c r="ANP19" s="502"/>
      <c r="ANQ19" s="502"/>
      <c r="ANR19" s="502"/>
      <c r="ANS19" s="502"/>
      <c r="ANT19" s="502"/>
      <c r="ANU19" s="502"/>
      <c r="ANV19" s="502"/>
      <c r="ANW19" s="502"/>
      <c r="ANX19" s="502"/>
      <c r="ANY19" s="502"/>
      <c r="ANZ19" s="502"/>
      <c r="AOA19" s="502"/>
      <c r="AOB19" s="502"/>
      <c r="AOC19" s="502"/>
      <c r="AOD19" s="502"/>
      <c r="AOE19" s="502"/>
      <c r="AOF19" s="502"/>
      <c r="AOG19" s="502"/>
      <c r="AOH19" s="502"/>
      <c r="AOI19" s="502"/>
      <c r="AOJ19" s="502"/>
      <c r="AOK19" s="502"/>
      <c r="AOL19" s="502"/>
      <c r="AOM19" s="502"/>
      <c r="AON19" s="502"/>
      <c r="AOO19" s="502"/>
      <c r="AOP19" s="502"/>
      <c r="AOQ19" s="502"/>
      <c r="AOR19" s="502"/>
      <c r="AOS19" s="502"/>
      <c r="AOT19" s="502"/>
      <c r="AOU19" s="502"/>
      <c r="AOV19" s="502"/>
      <c r="AOW19" s="502"/>
      <c r="AOX19" s="502"/>
      <c r="AOY19" s="502"/>
      <c r="AOZ19" s="502"/>
      <c r="APA19" s="502"/>
      <c r="APB19" s="502"/>
      <c r="APC19" s="502"/>
      <c r="APD19" s="502"/>
      <c r="APE19" s="502"/>
      <c r="APF19" s="502"/>
      <c r="APG19" s="502"/>
      <c r="APH19" s="502"/>
      <c r="API19" s="502"/>
      <c r="APJ19" s="502"/>
      <c r="APK19" s="502"/>
      <c r="APL19" s="502"/>
      <c r="APM19" s="502"/>
      <c r="APN19" s="502"/>
      <c r="APO19" s="502"/>
      <c r="APP19" s="502"/>
      <c r="APQ19" s="502"/>
      <c r="APR19" s="502"/>
      <c r="APS19" s="502"/>
      <c r="APT19" s="502"/>
      <c r="APU19" s="502"/>
      <c r="APV19" s="502"/>
      <c r="APW19" s="502"/>
      <c r="APX19" s="502"/>
      <c r="APY19" s="502"/>
      <c r="APZ19" s="502"/>
      <c r="AQA19" s="502"/>
      <c r="AQB19" s="502"/>
      <c r="AQC19" s="502"/>
      <c r="AQD19" s="502"/>
      <c r="AQE19" s="502"/>
      <c r="AQF19" s="502"/>
      <c r="AQG19" s="502"/>
      <c r="AQH19" s="502"/>
      <c r="AQI19" s="502"/>
      <c r="AQJ19" s="502"/>
      <c r="AQK19" s="502"/>
      <c r="AQL19" s="502"/>
      <c r="AQM19" s="502"/>
      <c r="AQN19" s="502"/>
      <c r="AQO19" s="502"/>
      <c r="AQP19" s="502"/>
      <c r="AQQ19" s="502"/>
      <c r="AQR19" s="502"/>
      <c r="AQS19" s="502"/>
      <c r="AQT19" s="502"/>
      <c r="AQU19" s="502"/>
      <c r="AQV19" s="502"/>
      <c r="AQW19" s="502"/>
      <c r="AQX19" s="502"/>
      <c r="AQY19" s="502"/>
      <c r="AQZ19" s="502"/>
      <c r="ARA19" s="502"/>
      <c r="ARB19" s="502"/>
      <c r="ARC19" s="502"/>
      <c r="ARD19" s="502"/>
      <c r="ARE19" s="502"/>
      <c r="ARF19" s="502"/>
      <c r="ARG19" s="502"/>
      <c r="ARH19" s="502"/>
      <c r="ARI19" s="502"/>
      <c r="ARJ19" s="502"/>
      <c r="ARK19" s="502"/>
      <c r="ARL19" s="502"/>
      <c r="ARM19" s="502"/>
      <c r="ARN19" s="502"/>
      <c r="ARO19" s="502"/>
      <c r="ARP19" s="502"/>
      <c r="ARQ19" s="502"/>
      <c r="ARR19" s="502"/>
      <c r="ARS19" s="502"/>
      <c r="ART19" s="502"/>
      <c r="ARU19" s="502"/>
      <c r="ARV19" s="502"/>
      <c r="ARW19" s="502"/>
      <c r="ARX19" s="502"/>
      <c r="ARY19" s="502"/>
      <c r="ARZ19" s="502"/>
      <c r="ASA19" s="502"/>
      <c r="ASB19" s="502"/>
      <c r="ASC19" s="502"/>
      <c r="ASD19" s="502"/>
      <c r="ASE19" s="502"/>
      <c r="ASF19" s="502"/>
      <c r="ASG19" s="502"/>
      <c r="ASH19" s="502"/>
      <c r="ASI19" s="502"/>
      <c r="ASJ19" s="502"/>
      <c r="ASK19" s="502"/>
      <c r="ASL19" s="502"/>
      <c r="ASM19" s="502"/>
      <c r="ASN19" s="502"/>
      <c r="ASO19" s="502"/>
      <c r="ASP19" s="502"/>
      <c r="ASQ19" s="502"/>
      <c r="ASR19" s="502"/>
      <c r="ASS19" s="502"/>
      <c r="AST19" s="502"/>
      <c r="ASU19" s="502"/>
      <c r="ASV19" s="502"/>
      <c r="ASW19" s="502"/>
      <c r="ASX19" s="502"/>
      <c r="ASY19" s="502"/>
      <c r="ASZ19" s="502"/>
      <c r="ATA19" s="502"/>
      <c r="ATB19" s="502"/>
      <c r="ATC19" s="502"/>
      <c r="ATD19" s="502"/>
      <c r="ATE19" s="502"/>
      <c r="ATF19" s="502"/>
      <c r="ATG19" s="502"/>
      <c r="ATH19" s="502"/>
      <c r="ATI19" s="502"/>
      <c r="ATJ19" s="502"/>
      <c r="ATK19" s="502"/>
      <c r="ATL19" s="502"/>
      <c r="ATM19" s="502"/>
      <c r="ATN19" s="502"/>
      <c r="ATO19" s="502"/>
      <c r="ATP19" s="502"/>
      <c r="ATQ19" s="502"/>
      <c r="ATR19" s="502"/>
      <c r="ATS19" s="502"/>
      <c r="ATT19" s="502"/>
      <c r="ATU19" s="502"/>
      <c r="ATV19" s="502"/>
      <c r="ATW19" s="502"/>
      <c r="ATX19" s="502"/>
      <c r="ATY19" s="502"/>
      <c r="ATZ19" s="502"/>
      <c r="AUA19" s="502"/>
      <c r="AUB19" s="502"/>
      <c r="AUC19" s="502"/>
      <c r="AUD19" s="502"/>
      <c r="AUE19" s="502"/>
      <c r="AUF19" s="502"/>
      <c r="AUG19" s="502"/>
      <c r="AUH19" s="502"/>
      <c r="AUI19" s="502"/>
      <c r="AUJ19" s="502"/>
      <c r="AUK19" s="502"/>
      <c r="AUL19" s="502"/>
      <c r="AUM19" s="502"/>
      <c r="AUN19" s="502"/>
      <c r="AUO19" s="502"/>
      <c r="AUP19" s="502"/>
      <c r="AUQ19" s="502"/>
      <c r="AUR19" s="502"/>
      <c r="AUS19" s="502"/>
      <c r="AUT19" s="502"/>
      <c r="AUU19" s="502"/>
      <c r="AUV19" s="502"/>
      <c r="AUW19" s="502"/>
      <c r="AUX19" s="502"/>
      <c r="AUY19" s="502"/>
      <c r="AUZ19" s="502"/>
      <c r="AVA19" s="502"/>
      <c r="AVB19" s="502"/>
      <c r="AVC19" s="502"/>
      <c r="AVD19" s="502"/>
      <c r="AVE19" s="502"/>
      <c r="AVF19" s="502"/>
      <c r="AVG19" s="502"/>
    </row>
    <row r="20" spans="1:1255" s="503" customFormat="1" ht="14.1" customHeight="1">
      <c r="A20" s="504"/>
      <c r="B20" s="448"/>
      <c r="C20" s="1093"/>
      <c r="D20" s="1094"/>
      <c r="E20" s="1094"/>
      <c r="F20" s="1094"/>
      <c r="G20" s="1095"/>
      <c r="H20" s="448"/>
      <c r="I20" s="448"/>
      <c r="J20" s="448"/>
      <c r="K20" s="448"/>
      <c r="L20" s="506" t="s">
        <v>418</v>
      </c>
      <c r="M20" s="507" t="e">
        <f ca="1">TINV(0.05,M19)</f>
        <v>#VALUE!</v>
      </c>
      <c r="N20" s="508"/>
      <c r="O20" s="507" t="e">
        <f ca="1">TINV(0.05,O19)</f>
        <v>#VALUE!</v>
      </c>
      <c r="P20" s="464" t="s">
        <v>88</v>
      </c>
      <c r="Q20" s="483">
        <f ca="1">VLOOKUP(VLOOKUP(I1,Worksheet!$A$18:$B$31,2),'1Test Data'!$O$30:$AN$49,26,0)</f>
        <v>1.7722764049999999E-15</v>
      </c>
      <c r="R20" s="453"/>
      <c r="S20" s="453"/>
      <c r="T20" s="453"/>
      <c r="U20" s="455"/>
      <c r="V20" s="439"/>
      <c r="W20" s="439"/>
      <c r="X20" s="439"/>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c r="DX20" s="502"/>
      <c r="DY20" s="502"/>
      <c r="DZ20" s="502"/>
      <c r="EA20" s="502"/>
      <c r="EB20" s="502"/>
      <c r="EC20" s="502"/>
      <c r="ED20" s="502"/>
      <c r="EE20" s="502"/>
      <c r="EF20" s="502"/>
      <c r="EG20" s="502"/>
      <c r="EH20" s="502"/>
      <c r="EI20" s="502"/>
      <c r="EJ20" s="502"/>
      <c r="EK20" s="502"/>
      <c r="EL20" s="502"/>
      <c r="EM20" s="502"/>
      <c r="EN20" s="502"/>
      <c r="EO20" s="502"/>
      <c r="EP20" s="502"/>
      <c r="EQ20" s="502"/>
      <c r="ER20" s="502"/>
      <c r="ES20" s="502"/>
      <c r="ET20" s="502"/>
      <c r="EU20" s="502"/>
      <c r="EV20" s="502"/>
      <c r="EW20" s="502"/>
      <c r="EX20" s="502"/>
      <c r="EY20" s="502"/>
      <c r="EZ20" s="502"/>
      <c r="FA20" s="502"/>
      <c r="FB20" s="502"/>
      <c r="FC20" s="502"/>
      <c r="FD20" s="502"/>
      <c r="FE20" s="502"/>
      <c r="FF20" s="502"/>
      <c r="FG20" s="502"/>
      <c r="FH20" s="502"/>
      <c r="FI20" s="502"/>
      <c r="FJ20" s="502"/>
      <c r="FK20" s="502"/>
      <c r="FL20" s="502"/>
      <c r="FM20" s="502"/>
      <c r="FN20" s="502"/>
      <c r="FO20" s="502"/>
      <c r="FP20" s="502"/>
      <c r="FQ20" s="502"/>
      <c r="FR20" s="502"/>
      <c r="FS20" s="502"/>
      <c r="FT20" s="502"/>
      <c r="FU20" s="502"/>
      <c r="FV20" s="502"/>
      <c r="FW20" s="502"/>
      <c r="FX20" s="502"/>
      <c r="FY20" s="502"/>
      <c r="FZ20" s="502"/>
      <c r="GA20" s="502"/>
      <c r="GB20" s="502"/>
      <c r="GC20" s="502"/>
      <c r="GD20" s="502"/>
      <c r="GE20" s="502"/>
      <c r="GF20" s="502"/>
      <c r="GG20" s="502"/>
      <c r="GH20" s="502"/>
      <c r="GI20" s="502"/>
      <c r="GJ20" s="502"/>
      <c r="GK20" s="502"/>
      <c r="GL20" s="502"/>
      <c r="GM20" s="502"/>
      <c r="GN20" s="502"/>
      <c r="GO20" s="502"/>
      <c r="GP20" s="502"/>
      <c r="GQ20" s="502"/>
      <c r="GR20" s="502"/>
      <c r="GS20" s="502"/>
      <c r="GT20" s="502"/>
      <c r="GU20" s="502"/>
      <c r="GV20" s="502"/>
      <c r="GW20" s="502"/>
      <c r="GX20" s="502"/>
      <c r="GY20" s="502"/>
      <c r="GZ20" s="502"/>
      <c r="HA20" s="502"/>
      <c r="HB20" s="502"/>
      <c r="HC20" s="502"/>
      <c r="HD20" s="502"/>
      <c r="HE20" s="502"/>
      <c r="HF20" s="502"/>
      <c r="HG20" s="502"/>
      <c r="HH20" s="502"/>
      <c r="HI20" s="502"/>
      <c r="HJ20" s="502"/>
      <c r="HK20" s="502"/>
      <c r="HL20" s="502"/>
      <c r="HM20" s="502"/>
      <c r="HN20" s="502"/>
      <c r="HO20" s="502"/>
      <c r="HP20" s="502"/>
      <c r="HQ20" s="502"/>
      <c r="HR20" s="502"/>
      <c r="HS20" s="502"/>
      <c r="HT20" s="502"/>
      <c r="HU20" s="502"/>
      <c r="HV20" s="502"/>
      <c r="HW20" s="502"/>
      <c r="HX20" s="502"/>
      <c r="HY20" s="502"/>
      <c r="HZ20" s="502"/>
      <c r="IA20" s="502"/>
      <c r="IB20" s="502"/>
      <c r="IC20" s="502"/>
      <c r="ID20" s="502"/>
      <c r="IE20" s="502"/>
      <c r="IF20" s="502"/>
      <c r="IG20" s="502"/>
      <c r="IH20" s="502"/>
      <c r="II20" s="502"/>
      <c r="IJ20" s="502"/>
      <c r="IK20" s="502"/>
      <c r="IL20" s="502"/>
      <c r="IM20" s="502"/>
      <c r="IN20" s="502"/>
      <c r="IO20" s="502"/>
      <c r="IP20" s="502"/>
      <c r="IQ20" s="502"/>
      <c r="IR20" s="502"/>
      <c r="IS20" s="502"/>
      <c r="IT20" s="502"/>
      <c r="IU20" s="502"/>
      <c r="IV20" s="502"/>
      <c r="IW20" s="502"/>
      <c r="IX20" s="502"/>
      <c r="IY20" s="502"/>
      <c r="IZ20" s="502"/>
      <c r="JA20" s="502"/>
      <c r="JB20" s="502"/>
      <c r="JC20" s="502"/>
      <c r="JD20" s="502"/>
      <c r="JE20" s="502"/>
      <c r="JF20" s="502"/>
      <c r="JG20" s="502"/>
      <c r="JH20" s="502"/>
      <c r="JI20" s="502"/>
      <c r="JJ20" s="502"/>
      <c r="JK20" s="502"/>
      <c r="JL20" s="502"/>
      <c r="JM20" s="502"/>
      <c r="JN20" s="502"/>
      <c r="JO20" s="502"/>
      <c r="JP20" s="502"/>
      <c r="JQ20" s="502"/>
      <c r="JR20" s="502"/>
      <c r="JS20" s="502"/>
      <c r="JT20" s="502"/>
      <c r="JU20" s="502"/>
      <c r="JV20" s="502"/>
      <c r="JW20" s="502"/>
      <c r="JX20" s="502"/>
      <c r="JY20" s="502"/>
      <c r="JZ20" s="502"/>
      <c r="KA20" s="502"/>
      <c r="KB20" s="502"/>
      <c r="KC20" s="502"/>
      <c r="KD20" s="502"/>
      <c r="KE20" s="502"/>
      <c r="KF20" s="502"/>
      <c r="KG20" s="502"/>
      <c r="KH20" s="502"/>
      <c r="KI20" s="502"/>
      <c r="KJ20" s="502"/>
      <c r="KK20" s="502"/>
      <c r="KL20" s="502"/>
      <c r="KM20" s="502"/>
      <c r="KN20" s="502"/>
      <c r="KO20" s="502"/>
      <c r="KP20" s="502"/>
      <c r="KQ20" s="502"/>
      <c r="KR20" s="502"/>
      <c r="KS20" s="502"/>
      <c r="KT20" s="502"/>
      <c r="KU20" s="502"/>
      <c r="KV20" s="502"/>
      <c r="KW20" s="502"/>
      <c r="KX20" s="502"/>
      <c r="KY20" s="502"/>
      <c r="KZ20" s="502"/>
      <c r="LA20" s="502"/>
      <c r="LB20" s="502"/>
      <c r="LC20" s="502"/>
      <c r="LD20" s="502"/>
      <c r="LE20" s="502"/>
      <c r="LF20" s="502"/>
      <c r="LG20" s="502"/>
      <c r="LH20" s="502"/>
      <c r="LI20" s="502"/>
      <c r="LJ20" s="502"/>
      <c r="LK20" s="502"/>
      <c r="LL20" s="502"/>
      <c r="LM20" s="502"/>
      <c r="LN20" s="502"/>
      <c r="LO20" s="502"/>
      <c r="LP20" s="502"/>
      <c r="LQ20" s="502"/>
      <c r="LR20" s="502"/>
      <c r="LS20" s="502"/>
      <c r="LT20" s="502"/>
      <c r="LU20" s="502"/>
      <c r="LV20" s="502"/>
      <c r="LW20" s="502"/>
      <c r="LX20" s="502"/>
      <c r="LY20" s="502"/>
      <c r="LZ20" s="502"/>
      <c r="MA20" s="502"/>
      <c r="MB20" s="502"/>
      <c r="MC20" s="502"/>
      <c r="MD20" s="502"/>
      <c r="ME20" s="502"/>
      <c r="MF20" s="502"/>
      <c r="MG20" s="502"/>
      <c r="MH20" s="502"/>
      <c r="MI20" s="502"/>
      <c r="MJ20" s="502"/>
      <c r="MK20" s="502"/>
      <c r="ML20" s="502"/>
      <c r="MM20" s="502"/>
      <c r="MN20" s="502"/>
      <c r="MO20" s="502"/>
      <c r="MP20" s="502"/>
      <c r="MQ20" s="502"/>
      <c r="MR20" s="502"/>
      <c r="MS20" s="502"/>
      <c r="MT20" s="502"/>
      <c r="MU20" s="502"/>
      <c r="MV20" s="502"/>
      <c r="MW20" s="502"/>
      <c r="MX20" s="502"/>
      <c r="MY20" s="502"/>
      <c r="MZ20" s="502"/>
      <c r="NA20" s="502"/>
      <c r="NB20" s="502"/>
      <c r="NC20" s="502"/>
      <c r="ND20" s="502"/>
      <c r="NE20" s="502"/>
      <c r="NF20" s="502"/>
      <c r="NG20" s="502"/>
      <c r="NH20" s="502"/>
      <c r="NI20" s="502"/>
      <c r="NJ20" s="502"/>
      <c r="NK20" s="502"/>
      <c r="NL20" s="502"/>
      <c r="NM20" s="502"/>
      <c r="NN20" s="502"/>
      <c r="NO20" s="502"/>
      <c r="NP20" s="502"/>
      <c r="NQ20" s="502"/>
      <c r="NR20" s="502"/>
      <c r="NS20" s="502"/>
      <c r="NT20" s="502"/>
      <c r="NU20" s="502"/>
      <c r="NV20" s="502"/>
      <c r="NW20" s="502"/>
      <c r="NX20" s="502"/>
      <c r="NY20" s="502"/>
      <c r="NZ20" s="502"/>
      <c r="OA20" s="502"/>
      <c r="OB20" s="502"/>
      <c r="OC20" s="502"/>
      <c r="OD20" s="502"/>
      <c r="OE20" s="502"/>
      <c r="OF20" s="502"/>
      <c r="OG20" s="502"/>
      <c r="OH20" s="502"/>
      <c r="OI20" s="502"/>
      <c r="OJ20" s="502"/>
      <c r="OK20" s="502"/>
      <c r="OL20" s="502"/>
      <c r="OM20" s="502"/>
      <c r="ON20" s="502"/>
      <c r="OO20" s="502"/>
      <c r="OP20" s="502"/>
      <c r="OQ20" s="502"/>
      <c r="OR20" s="502"/>
      <c r="OS20" s="502"/>
      <c r="OT20" s="502"/>
      <c r="OU20" s="502"/>
      <c r="OV20" s="502"/>
      <c r="OW20" s="502"/>
      <c r="OX20" s="502"/>
      <c r="OY20" s="502"/>
      <c r="OZ20" s="502"/>
      <c r="PA20" s="502"/>
      <c r="PB20" s="502"/>
      <c r="PC20" s="502"/>
      <c r="PD20" s="502"/>
      <c r="PE20" s="502"/>
      <c r="PF20" s="502"/>
      <c r="PG20" s="502"/>
      <c r="PH20" s="502"/>
      <c r="PI20" s="502"/>
      <c r="PJ20" s="502"/>
      <c r="PK20" s="502"/>
      <c r="PL20" s="502"/>
      <c r="PM20" s="502"/>
      <c r="PN20" s="502"/>
      <c r="PO20" s="502"/>
      <c r="PP20" s="502"/>
      <c r="PQ20" s="502"/>
      <c r="PR20" s="502"/>
      <c r="PS20" s="502"/>
      <c r="PT20" s="502"/>
      <c r="PU20" s="502"/>
      <c r="PV20" s="502"/>
      <c r="PW20" s="502"/>
      <c r="PX20" s="502"/>
      <c r="PY20" s="502"/>
      <c r="PZ20" s="502"/>
      <c r="QA20" s="502"/>
      <c r="QB20" s="502"/>
      <c r="QC20" s="502"/>
      <c r="QD20" s="502"/>
      <c r="QE20" s="502"/>
      <c r="QF20" s="502"/>
      <c r="QG20" s="502"/>
      <c r="QH20" s="502"/>
      <c r="QI20" s="502"/>
      <c r="QJ20" s="502"/>
      <c r="QK20" s="502"/>
      <c r="QL20" s="502"/>
      <c r="QM20" s="502"/>
      <c r="QN20" s="502"/>
      <c r="QO20" s="502"/>
      <c r="QP20" s="502"/>
      <c r="QQ20" s="502"/>
      <c r="QR20" s="502"/>
      <c r="QS20" s="502"/>
      <c r="QT20" s="502"/>
      <c r="QU20" s="502"/>
      <c r="QV20" s="502"/>
      <c r="QW20" s="502"/>
      <c r="QX20" s="502"/>
      <c r="QY20" s="502"/>
      <c r="QZ20" s="502"/>
      <c r="RA20" s="502"/>
      <c r="RB20" s="502"/>
      <c r="RC20" s="502"/>
      <c r="RD20" s="502"/>
      <c r="RE20" s="502"/>
      <c r="RF20" s="502"/>
      <c r="RG20" s="502"/>
      <c r="RH20" s="502"/>
      <c r="RI20" s="502"/>
      <c r="RJ20" s="502"/>
      <c r="RK20" s="502"/>
      <c r="RL20" s="502"/>
      <c r="RM20" s="502"/>
      <c r="RN20" s="502"/>
      <c r="RO20" s="502"/>
      <c r="RP20" s="502"/>
      <c r="RQ20" s="502"/>
      <c r="RR20" s="502"/>
      <c r="RS20" s="502"/>
      <c r="RT20" s="502"/>
      <c r="RU20" s="502"/>
      <c r="RV20" s="502"/>
      <c r="RW20" s="502"/>
      <c r="RX20" s="502"/>
      <c r="RY20" s="502"/>
      <c r="RZ20" s="502"/>
      <c r="SA20" s="502"/>
      <c r="SB20" s="502"/>
      <c r="SC20" s="502"/>
      <c r="SD20" s="502"/>
      <c r="SE20" s="502"/>
      <c r="SF20" s="502"/>
      <c r="SG20" s="502"/>
      <c r="SH20" s="502"/>
      <c r="SI20" s="502"/>
      <c r="SJ20" s="502"/>
      <c r="SK20" s="502"/>
      <c r="SL20" s="502"/>
      <c r="SM20" s="502"/>
      <c r="SN20" s="502"/>
      <c r="SO20" s="502"/>
      <c r="SP20" s="502"/>
      <c r="SQ20" s="502"/>
      <c r="SR20" s="502"/>
      <c r="SS20" s="502"/>
      <c r="ST20" s="502"/>
      <c r="SU20" s="502"/>
      <c r="SV20" s="502"/>
      <c r="SW20" s="502"/>
      <c r="SX20" s="502"/>
      <c r="SY20" s="502"/>
      <c r="SZ20" s="502"/>
      <c r="TA20" s="502"/>
      <c r="TB20" s="502"/>
      <c r="TC20" s="502"/>
      <c r="TD20" s="502"/>
      <c r="TE20" s="502"/>
      <c r="TF20" s="502"/>
      <c r="TG20" s="502"/>
      <c r="TH20" s="502"/>
      <c r="TI20" s="502"/>
      <c r="TJ20" s="502"/>
      <c r="TK20" s="502"/>
      <c r="TL20" s="502"/>
      <c r="TM20" s="502"/>
      <c r="TN20" s="502"/>
      <c r="TO20" s="502"/>
      <c r="TP20" s="502"/>
      <c r="TQ20" s="502"/>
      <c r="TR20" s="502"/>
      <c r="TS20" s="502"/>
      <c r="TT20" s="502"/>
      <c r="TU20" s="502"/>
      <c r="TV20" s="502"/>
      <c r="TW20" s="502"/>
      <c r="TX20" s="502"/>
      <c r="TY20" s="502"/>
      <c r="TZ20" s="502"/>
      <c r="UA20" s="502"/>
      <c r="UB20" s="502"/>
      <c r="UC20" s="502"/>
      <c r="UD20" s="502"/>
      <c r="UE20" s="502"/>
      <c r="UF20" s="502"/>
      <c r="UG20" s="502"/>
      <c r="UH20" s="502"/>
      <c r="UI20" s="502"/>
      <c r="UJ20" s="502"/>
      <c r="UK20" s="502"/>
      <c r="UL20" s="502"/>
      <c r="UM20" s="502"/>
      <c r="UN20" s="502"/>
      <c r="UO20" s="502"/>
      <c r="UP20" s="502"/>
      <c r="UQ20" s="502"/>
      <c r="UR20" s="502"/>
      <c r="US20" s="502"/>
      <c r="UT20" s="502"/>
      <c r="UU20" s="502"/>
      <c r="UV20" s="502"/>
      <c r="UW20" s="502"/>
      <c r="UX20" s="502"/>
      <c r="UY20" s="502"/>
      <c r="UZ20" s="502"/>
      <c r="VA20" s="502"/>
      <c r="VB20" s="502"/>
      <c r="VC20" s="502"/>
      <c r="VD20" s="502"/>
      <c r="VE20" s="502"/>
      <c r="VF20" s="502"/>
      <c r="VG20" s="502"/>
      <c r="VH20" s="502"/>
      <c r="VI20" s="502"/>
      <c r="VJ20" s="502"/>
      <c r="VK20" s="502"/>
      <c r="VL20" s="502"/>
      <c r="VM20" s="502"/>
      <c r="VN20" s="502"/>
      <c r="VO20" s="502"/>
      <c r="VP20" s="502"/>
      <c r="VQ20" s="502"/>
      <c r="VR20" s="502"/>
      <c r="VS20" s="502"/>
      <c r="VT20" s="502"/>
      <c r="VU20" s="502"/>
      <c r="VV20" s="502"/>
      <c r="VW20" s="502"/>
      <c r="VX20" s="502"/>
      <c r="VY20" s="502"/>
      <c r="VZ20" s="502"/>
      <c r="WA20" s="502"/>
      <c r="WB20" s="502"/>
      <c r="WC20" s="502"/>
      <c r="WD20" s="502"/>
      <c r="WE20" s="502"/>
      <c r="WF20" s="502"/>
      <c r="WG20" s="502"/>
      <c r="WH20" s="502"/>
      <c r="WI20" s="502"/>
      <c r="WJ20" s="502"/>
      <c r="WK20" s="502"/>
      <c r="WL20" s="502"/>
      <c r="WM20" s="502"/>
      <c r="WN20" s="502"/>
      <c r="WO20" s="502"/>
      <c r="WP20" s="502"/>
      <c r="WQ20" s="502"/>
      <c r="WR20" s="502"/>
      <c r="WS20" s="502"/>
      <c r="WT20" s="502"/>
      <c r="WU20" s="502"/>
      <c r="WV20" s="502"/>
      <c r="WW20" s="502"/>
      <c r="WX20" s="502"/>
      <c r="WY20" s="502"/>
      <c r="WZ20" s="502"/>
      <c r="XA20" s="502"/>
      <c r="XB20" s="502"/>
      <c r="XC20" s="502"/>
      <c r="XD20" s="502"/>
      <c r="XE20" s="502"/>
      <c r="XF20" s="502"/>
      <c r="XG20" s="502"/>
      <c r="XH20" s="502"/>
      <c r="XI20" s="502"/>
      <c r="XJ20" s="502"/>
      <c r="XK20" s="502"/>
      <c r="XL20" s="502"/>
      <c r="XM20" s="502"/>
      <c r="XN20" s="502"/>
      <c r="XO20" s="502"/>
      <c r="XP20" s="502"/>
      <c r="XQ20" s="502"/>
      <c r="XR20" s="502"/>
      <c r="XS20" s="502"/>
      <c r="XT20" s="502"/>
      <c r="XU20" s="502"/>
      <c r="XV20" s="502"/>
      <c r="XW20" s="502"/>
      <c r="XX20" s="502"/>
      <c r="XY20" s="502"/>
      <c r="XZ20" s="502"/>
      <c r="YA20" s="502"/>
      <c r="YB20" s="502"/>
      <c r="YC20" s="502"/>
      <c r="YD20" s="502"/>
      <c r="YE20" s="502"/>
      <c r="YF20" s="502"/>
      <c r="YG20" s="502"/>
      <c r="YH20" s="502"/>
      <c r="YI20" s="502"/>
      <c r="YJ20" s="502"/>
      <c r="YK20" s="502"/>
      <c r="YL20" s="502"/>
      <c r="YM20" s="502"/>
      <c r="YN20" s="502"/>
      <c r="YO20" s="502"/>
      <c r="YP20" s="502"/>
      <c r="YQ20" s="502"/>
      <c r="YR20" s="502"/>
      <c r="YS20" s="502"/>
      <c r="YT20" s="502"/>
      <c r="YU20" s="502"/>
      <c r="YV20" s="502"/>
      <c r="YW20" s="502"/>
      <c r="YX20" s="502"/>
      <c r="YY20" s="502"/>
      <c r="YZ20" s="502"/>
      <c r="ZA20" s="502"/>
      <c r="ZB20" s="502"/>
      <c r="ZC20" s="502"/>
      <c r="ZD20" s="502"/>
      <c r="ZE20" s="502"/>
      <c r="ZF20" s="502"/>
      <c r="ZG20" s="502"/>
      <c r="ZH20" s="502"/>
      <c r="ZI20" s="502"/>
      <c r="ZJ20" s="502"/>
      <c r="ZK20" s="502"/>
      <c r="ZL20" s="502"/>
      <c r="ZM20" s="502"/>
      <c r="ZN20" s="502"/>
      <c r="ZO20" s="502"/>
      <c r="ZP20" s="502"/>
      <c r="ZQ20" s="502"/>
      <c r="ZR20" s="502"/>
      <c r="ZS20" s="502"/>
      <c r="ZT20" s="502"/>
      <c r="ZU20" s="502"/>
      <c r="ZV20" s="502"/>
      <c r="ZW20" s="502"/>
      <c r="ZX20" s="502"/>
      <c r="ZY20" s="502"/>
      <c r="ZZ20" s="502"/>
      <c r="AAA20" s="502"/>
      <c r="AAB20" s="502"/>
      <c r="AAC20" s="502"/>
      <c r="AAD20" s="502"/>
      <c r="AAE20" s="502"/>
      <c r="AAF20" s="502"/>
      <c r="AAG20" s="502"/>
      <c r="AAH20" s="502"/>
      <c r="AAI20" s="502"/>
      <c r="AAJ20" s="502"/>
      <c r="AAK20" s="502"/>
      <c r="AAL20" s="502"/>
      <c r="AAM20" s="502"/>
      <c r="AAN20" s="502"/>
      <c r="AAO20" s="502"/>
      <c r="AAP20" s="502"/>
      <c r="AAQ20" s="502"/>
      <c r="AAR20" s="502"/>
      <c r="AAS20" s="502"/>
      <c r="AAT20" s="502"/>
      <c r="AAU20" s="502"/>
      <c r="AAV20" s="502"/>
      <c r="AAW20" s="502"/>
      <c r="AAX20" s="502"/>
      <c r="AAY20" s="502"/>
      <c r="AAZ20" s="502"/>
      <c r="ABA20" s="502"/>
      <c r="ABB20" s="502"/>
      <c r="ABC20" s="502"/>
      <c r="ABD20" s="502"/>
      <c r="ABE20" s="502"/>
      <c r="ABF20" s="502"/>
      <c r="ABG20" s="502"/>
      <c r="ABH20" s="502"/>
      <c r="ABI20" s="502"/>
      <c r="ABJ20" s="502"/>
      <c r="ABK20" s="502"/>
      <c r="ABL20" s="502"/>
      <c r="ABM20" s="502"/>
      <c r="ABN20" s="502"/>
      <c r="ABO20" s="502"/>
      <c r="ABP20" s="502"/>
      <c r="ABQ20" s="502"/>
      <c r="ABR20" s="502"/>
      <c r="ABS20" s="502"/>
      <c r="ABT20" s="502"/>
      <c r="ABU20" s="502"/>
      <c r="ABV20" s="502"/>
      <c r="ABW20" s="502"/>
      <c r="ABX20" s="502"/>
      <c r="ABY20" s="502"/>
      <c r="ABZ20" s="502"/>
      <c r="ACA20" s="502"/>
      <c r="ACB20" s="502"/>
      <c r="ACC20" s="502"/>
      <c r="ACD20" s="502"/>
      <c r="ACE20" s="502"/>
      <c r="ACF20" s="502"/>
      <c r="ACG20" s="502"/>
      <c r="ACH20" s="502"/>
      <c r="ACI20" s="502"/>
      <c r="ACJ20" s="502"/>
      <c r="ACK20" s="502"/>
      <c r="ACL20" s="502"/>
      <c r="ACM20" s="502"/>
      <c r="ACN20" s="502"/>
      <c r="ACO20" s="502"/>
      <c r="ACP20" s="502"/>
      <c r="ACQ20" s="502"/>
      <c r="ACR20" s="502"/>
      <c r="ACS20" s="502"/>
      <c r="ACT20" s="502"/>
      <c r="ACU20" s="502"/>
      <c r="ACV20" s="502"/>
      <c r="ACW20" s="502"/>
      <c r="ACX20" s="502"/>
      <c r="ACY20" s="502"/>
      <c r="ACZ20" s="502"/>
      <c r="ADA20" s="502"/>
      <c r="ADB20" s="502"/>
      <c r="ADC20" s="502"/>
      <c r="ADD20" s="502"/>
      <c r="ADE20" s="502"/>
      <c r="ADF20" s="502"/>
      <c r="ADG20" s="502"/>
      <c r="ADH20" s="502"/>
      <c r="ADI20" s="502"/>
      <c r="ADJ20" s="502"/>
      <c r="ADK20" s="502"/>
      <c r="ADL20" s="502"/>
      <c r="ADM20" s="502"/>
      <c r="ADN20" s="502"/>
      <c r="ADO20" s="502"/>
      <c r="ADP20" s="502"/>
      <c r="ADQ20" s="502"/>
      <c r="ADR20" s="502"/>
      <c r="ADS20" s="502"/>
      <c r="ADT20" s="502"/>
      <c r="ADU20" s="502"/>
      <c r="ADV20" s="502"/>
      <c r="ADW20" s="502"/>
      <c r="ADX20" s="502"/>
      <c r="ADY20" s="502"/>
      <c r="ADZ20" s="502"/>
      <c r="AEA20" s="502"/>
      <c r="AEB20" s="502"/>
      <c r="AEC20" s="502"/>
      <c r="AED20" s="502"/>
      <c r="AEE20" s="502"/>
      <c r="AEF20" s="502"/>
      <c r="AEG20" s="502"/>
      <c r="AEH20" s="502"/>
      <c r="AEI20" s="502"/>
      <c r="AEJ20" s="502"/>
      <c r="AEK20" s="502"/>
      <c r="AEL20" s="502"/>
      <c r="AEM20" s="502"/>
      <c r="AEN20" s="502"/>
      <c r="AEO20" s="502"/>
      <c r="AEP20" s="502"/>
      <c r="AEQ20" s="502"/>
      <c r="AER20" s="502"/>
      <c r="AES20" s="502"/>
      <c r="AET20" s="502"/>
      <c r="AEU20" s="502"/>
      <c r="AEV20" s="502"/>
      <c r="AEW20" s="502"/>
      <c r="AEX20" s="502"/>
      <c r="AEY20" s="502"/>
      <c r="AEZ20" s="502"/>
      <c r="AFA20" s="502"/>
      <c r="AFB20" s="502"/>
      <c r="AFC20" s="502"/>
      <c r="AFD20" s="502"/>
      <c r="AFE20" s="502"/>
      <c r="AFF20" s="502"/>
      <c r="AFG20" s="502"/>
      <c r="AFH20" s="502"/>
      <c r="AFI20" s="502"/>
      <c r="AFJ20" s="502"/>
      <c r="AFK20" s="502"/>
      <c r="AFL20" s="502"/>
      <c r="AFM20" s="502"/>
      <c r="AFN20" s="502"/>
      <c r="AFO20" s="502"/>
      <c r="AFP20" s="502"/>
      <c r="AFQ20" s="502"/>
      <c r="AFR20" s="502"/>
      <c r="AFS20" s="502"/>
      <c r="AFT20" s="502"/>
      <c r="AFU20" s="502"/>
      <c r="AFV20" s="502"/>
      <c r="AFW20" s="502"/>
      <c r="AFX20" s="502"/>
      <c r="AFY20" s="502"/>
      <c r="AFZ20" s="502"/>
      <c r="AGA20" s="502"/>
      <c r="AGB20" s="502"/>
      <c r="AGC20" s="502"/>
      <c r="AGD20" s="502"/>
      <c r="AGE20" s="502"/>
      <c r="AGF20" s="502"/>
      <c r="AGG20" s="502"/>
      <c r="AGH20" s="502"/>
      <c r="AGI20" s="502"/>
      <c r="AGJ20" s="502"/>
      <c r="AGK20" s="502"/>
      <c r="AGL20" s="502"/>
      <c r="AGM20" s="502"/>
      <c r="AGN20" s="502"/>
      <c r="AGO20" s="502"/>
      <c r="AGP20" s="502"/>
      <c r="AGQ20" s="502"/>
      <c r="AGR20" s="502"/>
      <c r="AGS20" s="502"/>
      <c r="AGT20" s="502"/>
      <c r="AGU20" s="502"/>
      <c r="AGV20" s="502"/>
      <c r="AGW20" s="502"/>
      <c r="AGX20" s="502"/>
      <c r="AGY20" s="502"/>
      <c r="AGZ20" s="502"/>
      <c r="AHA20" s="502"/>
      <c r="AHB20" s="502"/>
      <c r="AHC20" s="502"/>
      <c r="AHD20" s="502"/>
      <c r="AHE20" s="502"/>
      <c r="AHF20" s="502"/>
      <c r="AHG20" s="502"/>
      <c r="AHH20" s="502"/>
      <c r="AHI20" s="502"/>
      <c r="AHJ20" s="502"/>
      <c r="AHK20" s="502"/>
      <c r="AHL20" s="502"/>
      <c r="AHM20" s="502"/>
      <c r="AHN20" s="502"/>
      <c r="AHO20" s="502"/>
      <c r="AHP20" s="502"/>
      <c r="AHQ20" s="502"/>
      <c r="AHR20" s="502"/>
      <c r="AHS20" s="502"/>
      <c r="AHT20" s="502"/>
      <c r="AHU20" s="502"/>
      <c r="AHV20" s="502"/>
      <c r="AHW20" s="502"/>
      <c r="AHX20" s="502"/>
      <c r="AHY20" s="502"/>
      <c r="AHZ20" s="502"/>
      <c r="AIA20" s="502"/>
      <c r="AIB20" s="502"/>
      <c r="AIC20" s="502"/>
      <c r="AID20" s="502"/>
      <c r="AIE20" s="502"/>
      <c r="AIF20" s="502"/>
      <c r="AIG20" s="502"/>
      <c r="AIH20" s="502"/>
      <c r="AII20" s="502"/>
      <c r="AIJ20" s="502"/>
      <c r="AIK20" s="502"/>
      <c r="AIL20" s="502"/>
      <c r="AIM20" s="502"/>
      <c r="AIN20" s="502"/>
      <c r="AIO20" s="502"/>
      <c r="AIP20" s="502"/>
      <c r="AIQ20" s="502"/>
      <c r="AIR20" s="502"/>
      <c r="AIS20" s="502"/>
      <c r="AIT20" s="502"/>
      <c r="AIU20" s="502"/>
      <c r="AIV20" s="502"/>
      <c r="AIW20" s="502"/>
      <c r="AIX20" s="502"/>
      <c r="AIY20" s="502"/>
      <c r="AIZ20" s="502"/>
      <c r="AJA20" s="502"/>
      <c r="AJB20" s="502"/>
      <c r="AJC20" s="502"/>
      <c r="AJD20" s="502"/>
      <c r="AJE20" s="502"/>
      <c r="AJF20" s="502"/>
      <c r="AJG20" s="502"/>
      <c r="AJH20" s="502"/>
      <c r="AJI20" s="502"/>
      <c r="AJJ20" s="502"/>
      <c r="AJK20" s="502"/>
      <c r="AJL20" s="502"/>
      <c r="AJM20" s="502"/>
      <c r="AJN20" s="502"/>
      <c r="AJO20" s="502"/>
      <c r="AJP20" s="502"/>
      <c r="AJQ20" s="502"/>
      <c r="AJR20" s="502"/>
      <c r="AJS20" s="502"/>
      <c r="AJT20" s="502"/>
      <c r="AJU20" s="502"/>
      <c r="AJV20" s="502"/>
      <c r="AJW20" s="502"/>
      <c r="AJX20" s="502"/>
      <c r="AJY20" s="502"/>
      <c r="AJZ20" s="502"/>
      <c r="AKA20" s="502"/>
      <c r="AKB20" s="502"/>
      <c r="AKC20" s="502"/>
      <c r="AKD20" s="502"/>
      <c r="AKE20" s="502"/>
      <c r="AKF20" s="502"/>
      <c r="AKG20" s="502"/>
      <c r="AKH20" s="502"/>
      <c r="AKI20" s="502"/>
      <c r="AKJ20" s="502"/>
      <c r="AKK20" s="502"/>
      <c r="AKL20" s="502"/>
      <c r="AKM20" s="502"/>
      <c r="AKN20" s="502"/>
      <c r="AKO20" s="502"/>
      <c r="AKP20" s="502"/>
      <c r="AKQ20" s="502"/>
      <c r="AKR20" s="502"/>
      <c r="AKS20" s="502"/>
      <c r="AKT20" s="502"/>
      <c r="AKU20" s="502"/>
      <c r="AKV20" s="502"/>
      <c r="AKW20" s="502"/>
      <c r="AKX20" s="502"/>
      <c r="AKY20" s="502"/>
      <c r="AKZ20" s="502"/>
      <c r="ALA20" s="502"/>
      <c r="ALB20" s="502"/>
      <c r="ALC20" s="502"/>
      <c r="ALD20" s="502"/>
      <c r="ALE20" s="502"/>
      <c r="ALF20" s="502"/>
      <c r="ALG20" s="502"/>
      <c r="ALH20" s="502"/>
      <c r="ALI20" s="502"/>
      <c r="ALJ20" s="502"/>
      <c r="ALK20" s="502"/>
      <c r="ALL20" s="502"/>
      <c r="ALM20" s="502"/>
      <c r="ALN20" s="502"/>
      <c r="ALO20" s="502"/>
      <c r="ALP20" s="502"/>
      <c r="ALQ20" s="502"/>
      <c r="ALR20" s="502"/>
      <c r="ALS20" s="502"/>
      <c r="ALT20" s="502"/>
      <c r="ALU20" s="502"/>
      <c r="ALV20" s="502"/>
      <c r="ALW20" s="502"/>
      <c r="ALX20" s="502"/>
      <c r="ALY20" s="502"/>
      <c r="ALZ20" s="502"/>
      <c r="AMA20" s="502"/>
      <c r="AMB20" s="502"/>
      <c r="AMC20" s="502"/>
      <c r="AMD20" s="502"/>
      <c r="AME20" s="502"/>
      <c r="AMF20" s="502"/>
      <c r="AMG20" s="502"/>
      <c r="AMH20" s="502"/>
      <c r="AMI20" s="502"/>
      <c r="AMJ20" s="502"/>
      <c r="AMK20" s="502"/>
      <c r="AML20" s="502"/>
      <c r="AMM20" s="502"/>
      <c r="AMN20" s="502"/>
      <c r="AMO20" s="502"/>
      <c r="AMP20" s="502"/>
      <c r="AMQ20" s="502"/>
      <c r="AMR20" s="502"/>
      <c r="AMS20" s="502"/>
      <c r="AMT20" s="502"/>
      <c r="AMU20" s="502"/>
      <c r="AMV20" s="502"/>
      <c r="AMW20" s="502"/>
      <c r="AMX20" s="502"/>
      <c r="AMY20" s="502"/>
      <c r="AMZ20" s="502"/>
      <c r="ANA20" s="502"/>
      <c r="ANB20" s="502"/>
      <c r="ANC20" s="502"/>
      <c r="AND20" s="502"/>
      <c r="ANE20" s="502"/>
      <c r="ANF20" s="502"/>
      <c r="ANG20" s="502"/>
      <c r="ANH20" s="502"/>
      <c r="ANI20" s="502"/>
      <c r="ANJ20" s="502"/>
      <c r="ANK20" s="502"/>
      <c r="ANL20" s="502"/>
      <c r="ANM20" s="502"/>
      <c r="ANN20" s="502"/>
      <c r="ANO20" s="502"/>
      <c r="ANP20" s="502"/>
      <c r="ANQ20" s="502"/>
      <c r="ANR20" s="502"/>
      <c r="ANS20" s="502"/>
      <c r="ANT20" s="502"/>
      <c r="ANU20" s="502"/>
      <c r="ANV20" s="502"/>
      <c r="ANW20" s="502"/>
      <c r="ANX20" s="502"/>
      <c r="ANY20" s="502"/>
      <c r="ANZ20" s="502"/>
      <c r="AOA20" s="502"/>
      <c r="AOB20" s="502"/>
      <c r="AOC20" s="502"/>
      <c r="AOD20" s="502"/>
      <c r="AOE20" s="502"/>
      <c r="AOF20" s="502"/>
      <c r="AOG20" s="502"/>
      <c r="AOH20" s="502"/>
      <c r="AOI20" s="502"/>
      <c r="AOJ20" s="502"/>
      <c r="AOK20" s="502"/>
      <c r="AOL20" s="502"/>
      <c r="AOM20" s="502"/>
      <c r="AON20" s="502"/>
      <c r="AOO20" s="502"/>
      <c r="AOP20" s="502"/>
      <c r="AOQ20" s="502"/>
      <c r="AOR20" s="502"/>
      <c r="AOS20" s="502"/>
      <c r="AOT20" s="502"/>
      <c r="AOU20" s="502"/>
      <c r="AOV20" s="502"/>
      <c r="AOW20" s="502"/>
      <c r="AOX20" s="502"/>
      <c r="AOY20" s="502"/>
      <c r="AOZ20" s="502"/>
      <c r="APA20" s="502"/>
      <c r="APB20" s="502"/>
      <c r="APC20" s="502"/>
      <c r="APD20" s="502"/>
      <c r="APE20" s="502"/>
      <c r="APF20" s="502"/>
      <c r="APG20" s="502"/>
      <c r="APH20" s="502"/>
      <c r="API20" s="502"/>
      <c r="APJ20" s="502"/>
      <c r="APK20" s="502"/>
      <c r="APL20" s="502"/>
      <c r="APM20" s="502"/>
      <c r="APN20" s="502"/>
      <c r="APO20" s="502"/>
      <c r="APP20" s="502"/>
      <c r="APQ20" s="502"/>
      <c r="APR20" s="502"/>
      <c r="APS20" s="502"/>
      <c r="APT20" s="502"/>
      <c r="APU20" s="502"/>
      <c r="APV20" s="502"/>
      <c r="APW20" s="502"/>
      <c r="APX20" s="502"/>
      <c r="APY20" s="502"/>
      <c r="APZ20" s="502"/>
      <c r="AQA20" s="502"/>
      <c r="AQB20" s="502"/>
      <c r="AQC20" s="502"/>
      <c r="AQD20" s="502"/>
      <c r="AQE20" s="502"/>
      <c r="AQF20" s="502"/>
      <c r="AQG20" s="502"/>
      <c r="AQH20" s="502"/>
      <c r="AQI20" s="502"/>
      <c r="AQJ20" s="502"/>
      <c r="AQK20" s="502"/>
      <c r="AQL20" s="502"/>
      <c r="AQM20" s="502"/>
      <c r="AQN20" s="502"/>
      <c r="AQO20" s="502"/>
      <c r="AQP20" s="502"/>
      <c r="AQQ20" s="502"/>
      <c r="AQR20" s="502"/>
      <c r="AQS20" s="502"/>
      <c r="AQT20" s="502"/>
      <c r="AQU20" s="502"/>
      <c r="AQV20" s="502"/>
      <c r="AQW20" s="502"/>
      <c r="AQX20" s="502"/>
      <c r="AQY20" s="502"/>
      <c r="AQZ20" s="502"/>
      <c r="ARA20" s="502"/>
      <c r="ARB20" s="502"/>
      <c r="ARC20" s="502"/>
      <c r="ARD20" s="502"/>
      <c r="ARE20" s="502"/>
      <c r="ARF20" s="502"/>
      <c r="ARG20" s="502"/>
      <c r="ARH20" s="502"/>
      <c r="ARI20" s="502"/>
      <c r="ARJ20" s="502"/>
      <c r="ARK20" s="502"/>
      <c r="ARL20" s="502"/>
      <c r="ARM20" s="502"/>
      <c r="ARN20" s="502"/>
      <c r="ARO20" s="502"/>
      <c r="ARP20" s="502"/>
      <c r="ARQ20" s="502"/>
      <c r="ARR20" s="502"/>
      <c r="ARS20" s="502"/>
      <c r="ART20" s="502"/>
      <c r="ARU20" s="502"/>
      <c r="ARV20" s="502"/>
      <c r="ARW20" s="502"/>
      <c r="ARX20" s="502"/>
      <c r="ARY20" s="502"/>
      <c r="ARZ20" s="502"/>
      <c r="ASA20" s="502"/>
      <c r="ASB20" s="502"/>
      <c r="ASC20" s="502"/>
      <c r="ASD20" s="502"/>
      <c r="ASE20" s="502"/>
      <c r="ASF20" s="502"/>
      <c r="ASG20" s="502"/>
      <c r="ASH20" s="502"/>
      <c r="ASI20" s="502"/>
      <c r="ASJ20" s="502"/>
      <c r="ASK20" s="502"/>
      <c r="ASL20" s="502"/>
      <c r="ASM20" s="502"/>
      <c r="ASN20" s="502"/>
      <c r="ASO20" s="502"/>
      <c r="ASP20" s="502"/>
      <c r="ASQ20" s="502"/>
      <c r="ASR20" s="502"/>
      <c r="ASS20" s="502"/>
      <c r="AST20" s="502"/>
      <c r="ASU20" s="502"/>
      <c r="ASV20" s="502"/>
      <c r="ASW20" s="502"/>
      <c r="ASX20" s="502"/>
      <c r="ASY20" s="502"/>
      <c r="ASZ20" s="502"/>
      <c r="ATA20" s="502"/>
      <c r="ATB20" s="502"/>
      <c r="ATC20" s="502"/>
      <c r="ATD20" s="502"/>
      <c r="ATE20" s="502"/>
      <c r="ATF20" s="502"/>
      <c r="ATG20" s="502"/>
      <c r="ATH20" s="502"/>
      <c r="ATI20" s="502"/>
      <c r="ATJ20" s="502"/>
      <c r="ATK20" s="502"/>
      <c r="ATL20" s="502"/>
      <c r="ATM20" s="502"/>
      <c r="ATN20" s="502"/>
      <c r="ATO20" s="502"/>
      <c r="ATP20" s="502"/>
      <c r="ATQ20" s="502"/>
      <c r="ATR20" s="502"/>
      <c r="ATS20" s="502"/>
      <c r="ATT20" s="502"/>
      <c r="ATU20" s="502"/>
      <c r="ATV20" s="502"/>
      <c r="ATW20" s="502"/>
      <c r="ATX20" s="502"/>
      <c r="ATY20" s="502"/>
      <c r="ATZ20" s="502"/>
      <c r="AUA20" s="502"/>
      <c r="AUB20" s="502"/>
      <c r="AUC20" s="502"/>
      <c r="AUD20" s="502"/>
      <c r="AUE20" s="502"/>
      <c r="AUF20" s="502"/>
      <c r="AUG20" s="502"/>
      <c r="AUH20" s="502"/>
      <c r="AUI20" s="502"/>
      <c r="AUJ20" s="502"/>
      <c r="AUK20" s="502"/>
      <c r="AUL20" s="502"/>
      <c r="AUM20" s="502"/>
      <c r="AUN20" s="502"/>
      <c r="AUO20" s="502"/>
      <c r="AUP20" s="502"/>
      <c r="AUQ20" s="502"/>
      <c r="AUR20" s="502"/>
      <c r="AUS20" s="502"/>
      <c r="AUT20" s="502"/>
      <c r="AUU20" s="502"/>
      <c r="AUV20" s="502"/>
      <c r="AUW20" s="502"/>
      <c r="AUX20" s="502"/>
      <c r="AUY20" s="502"/>
      <c r="AUZ20" s="502"/>
      <c r="AVA20" s="502"/>
      <c r="AVB20" s="502"/>
      <c r="AVC20" s="502"/>
      <c r="AVD20" s="502"/>
      <c r="AVE20" s="502"/>
      <c r="AVF20" s="502"/>
      <c r="AVG20" s="502"/>
    </row>
    <row r="21" spans="1:1255" s="457" customFormat="1" ht="14.1" customHeight="1">
      <c r="A21" s="504"/>
      <c r="B21" s="448"/>
      <c r="C21" s="1093"/>
      <c r="D21" s="1094"/>
      <c r="E21" s="1094"/>
      <c r="F21" s="1094"/>
      <c r="G21" s="1095"/>
      <c r="H21" s="448"/>
      <c r="I21" s="448"/>
      <c r="J21" s="448"/>
      <c r="K21" s="448"/>
      <c r="L21" s="506" t="s">
        <v>419</v>
      </c>
      <c r="M21" s="507" t="e">
        <f ca="1">M18*M20</f>
        <v>#VALUE!</v>
      </c>
      <c r="N21" s="508" t="str">
        <f>Uncert!$F$4</f>
        <v>ABS kPa</v>
      </c>
      <c r="O21" s="507" t="e">
        <f ca="1">O18*O20</f>
        <v>#VALUE!</v>
      </c>
      <c r="P21" s="464" t="s">
        <v>420</v>
      </c>
      <c r="Q21" s="483">
        <f ca="1">ABS(Q17*F1^3+Q18*F1^2+Q19*F1+Q20)</f>
        <v>1.7722764049999999E-15</v>
      </c>
      <c r="R21" s="453"/>
      <c r="S21" s="453"/>
      <c r="T21" s="453"/>
      <c r="U21" s="455"/>
      <c r="V21" s="439"/>
      <c r="W21" s="439"/>
      <c r="X21" s="439"/>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56"/>
      <c r="AX21" s="456"/>
      <c r="AY21" s="456"/>
      <c r="AZ21" s="456"/>
      <c r="BA21" s="456"/>
      <c r="BB21" s="456"/>
      <c r="BC21" s="456"/>
      <c r="BD21" s="456"/>
      <c r="BE21" s="456"/>
      <c r="BF21" s="456"/>
      <c r="BG21" s="456"/>
      <c r="BH21" s="456"/>
      <c r="BI21" s="456"/>
      <c r="BJ21" s="456"/>
      <c r="BK21" s="456"/>
      <c r="BL21" s="456"/>
      <c r="BM21" s="456"/>
      <c r="BN21" s="456"/>
      <c r="BO21" s="456"/>
      <c r="BP21" s="456"/>
      <c r="BQ21" s="456"/>
      <c r="BR21" s="456"/>
      <c r="BS21" s="456"/>
      <c r="BT21" s="456"/>
      <c r="BU21" s="456"/>
      <c r="BV21" s="456"/>
      <c r="BW21" s="456"/>
      <c r="BX21" s="456"/>
      <c r="BY21" s="456"/>
      <c r="BZ21" s="456"/>
      <c r="CA21" s="456"/>
      <c r="CB21" s="456"/>
      <c r="CC21" s="456"/>
      <c r="CD21" s="456"/>
      <c r="CE21" s="456"/>
      <c r="CF21" s="456"/>
      <c r="CG21" s="456"/>
      <c r="CH21" s="456"/>
      <c r="CI21" s="456"/>
      <c r="CJ21" s="456"/>
      <c r="CK21" s="456"/>
      <c r="CL21" s="456"/>
      <c r="CM21" s="456"/>
      <c r="CN21" s="456"/>
      <c r="CO21" s="456"/>
      <c r="CP21" s="456"/>
      <c r="CQ21" s="456"/>
      <c r="CR21" s="456"/>
      <c r="CS21" s="456"/>
      <c r="CT21" s="456"/>
      <c r="CU21" s="456"/>
      <c r="CV21" s="456"/>
      <c r="CW21" s="456"/>
      <c r="CX21" s="456"/>
      <c r="CY21" s="456"/>
      <c r="CZ21" s="456"/>
      <c r="DA21" s="456"/>
      <c r="DB21" s="456"/>
      <c r="DC21" s="456"/>
      <c r="DD21" s="456"/>
      <c r="DE21" s="456"/>
      <c r="DF21" s="456"/>
      <c r="DG21" s="456"/>
      <c r="DH21" s="456"/>
      <c r="DI21" s="456"/>
      <c r="DJ21" s="456"/>
      <c r="DK21" s="456"/>
      <c r="DL21" s="456"/>
      <c r="DM21" s="456"/>
      <c r="DN21" s="456"/>
      <c r="DO21" s="456"/>
      <c r="DP21" s="456"/>
      <c r="DQ21" s="456"/>
      <c r="DR21" s="456"/>
      <c r="DS21" s="456"/>
      <c r="DT21" s="456"/>
      <c r="DU21" s="456"/>
      <c r="DV21" s="456"/>
      <c r="DW21" s="456"/>
      <c r="DX21" s="456"/>
      <c r="DY21" s="456"/>
      <c r="DZ21" s="456"/>
      <c r="EA21" s="456"/>
      <c r="EB21" s="456"/>
      <c r="EC21" s="456"/>
      <c r="ED21" s="456"/>
      <c r="EE21" s="456"/>
      <c r="EF21" s="456"/>
      <c r="EG21" s="456"/>
      <c r="EH21" s="456"/>
      <c r="EI21" s="456"/>
      <c r="EJ21" s="456"/>
      <c r="EK21" s="456"/>
      <c r="EL21" s="456"/>
      <c r="EM21" s="456"/>
      <c r="EN21" s="456"/>
      <c r="EO21" s="456"/>
      <c r="EP21" s="456"/>
      <c r="EQ21" s="456"/>
      <c r="ER21" s="456"/>
      <c r="ES21" s="456"/>
      <c r="ET21" s="456"/>
      <c r="EU21" s="456"/>
      <c r="EV21" s="456"/>
      <c r="EW21" s="456"/>
      <c r="EX21" s="456"/>
      <c r="EY21" s="456"/>
      <c r="EZ21" s="456"/>
      <c r="FA21" s="456"/>
      <c r="FB21" s="456"/>
      <c r="FC21" s="456"/>
      <c r="FD21" s="456"/>
      <c r="FE21" s="456"/>
      <c r="FF21" s="456"/>
      <c r="FG21" s="456"/>
      <c r="FH21" s="456"/>
      <c r="FI21" s="456"/>
      <c r="FJ21" s="456"/>
      <c r="FK21" s="456"/>
      <c r="FL21" s="456"/>
      <c r="FM21" s="456"/>
      <c r="FN21" s="456"/>
      <c r="FO21" s="456"/>
      <c r="FP21" s="456"/>
      <c r="FQ21" s="456"/>
      <c r="FR21" s="456"/>
      <c r="FS21" s="456"/>
      <c r="FT21" s="456"/>
      <c r="FU21" s="456"/>
      <c r="FV21" s="456"/>
      <c r="FW21" s="456"/>
      <c r="FX21" s="456"/>
      <c r="FY21" s="456"/>
      <c r="FZ21" s="456"/>
      <c r="GA21" s="456"/>
      <c r="GB21" s="456"/>
      <c r="GC21" s="456"/>
      <c r="GD21" s="456"/>
      <c r="GE21" s="456"/>
      <c r="GF21" s="456"/>
      <c r="GG21" s="456"/>
      <c r="GH21" s="456"/>
      <c r="GI21" s="456"/>
      <c r="GJ21" s="456"/>
      <c r="GK21" s="456"/>
      <c r="GL21" s="456"/>
      <c r="GM21" s="456"/>
      <c r="GN21" s="456"/>
      <c r="GO21" s="456"/>
      <c r="GP21" s="456"/>
      <c r="GQ21" s="456"/>
      <c r="GR21" s="456"/>
      <c r="GS21" s="456"/>
      <c r="GT21" s="456"/>
      <c r="GU21" s="456"/>
      <c r="GV21" s="456"/>
      <c r="GW21" s="456"/>
      <c r="GX21" s="456"/>
      <c r="GY21" s="456"/>
      <c r="GZ21" s="456"/>
      <c r="HA21" s="456"/>
      <c r="HB21" s="456"/>
      <c r="HC21" s="456"/>
      <c r="HD21" s="456"/>
      <c r="HE21" s="456"/>
      <c r="HF21" s="456"/>
      <c r="HG21" s="456"/>
      <c r="HH21" s="456"/>
      <c r="HI21" s="456"/>
      <c r="HJ21" s="456"/>
      <c r="HK21" s="456"/>
      <c r="HL21" s="456"/>
      <c r="HM21" s="456"/>
      <c r="HN21" s="456"/>
      <c r="HO21" s="456"/>
      <c r="HP21" s="456"/>
      <c r="HQ21" s="456"/>
      <c r="HR21" s="456"/>
      <c r="HS21" s="456"/>
      <c r="HT21" s="456"/>
      <c r="HU21" s="456"/>
      <c r="HV21" s="456"/>
      <c r="HW21" s="456"/>
      <c r="HX21" s="456"/>
      <c r="HY21" s="456"/>
      <c r="HZ21" s="456"/>
      <c r="IA21" s="456"/>
      <c r="IB21" s="456"/>
      <c r="IC21" s="456"/>
      <c r="ID21" s="456"/>
      <c r="IE21" s="456"/>
      <c r="IF21" s="456"/>
      <c r="IG21" s="456"/>
      <c r="IH21" s="456"/>
      <c r="II21" s="456"/>
      <c r="IJ21" s="456"/>
      <c r="IK21" s="456"/>
      <c r="IL21" s="456"/>
      <c r="IM21" s="456"/>
      <c r="IN21" s="456"/>
      <c r="IO21" s="456"/>
      <c r="IP21" s="456"/>
      <c r="IQ21" s="456"/>
      <c r="IR21" s="456"/>
      <c r="IS21" s="456"/>
      <c r="IT21" s="456"/>
      <c r="IU21" s="456"/>
      <c r="IV21" s="456"/>
      <c r="IW21" s="456"/>
      <c r="IX21" s="456"/>
      <c r="IY21" s="456"/>
      <c r="IZ21" s="456"/>
      <c r="JA21" s="456"/>
      <c r="JB21" s="456"/>
      <c r="JC21" s="456"/>
      <c r="JD21" s="456"/>
      <c r="JE21" s="456"/>
      <c r="JF21" s="456"/>
      <c r="JG21" s="456"/>
      <c r="JH21" s="456"/>
      <c r="JI21" s="456"/>
      <c r="JJ21" s="456"/>
      <c r="JK21" s="456"/>
      <c r="JL21" s="456"/>
      <c r="JM21" s="456"/>
      <c r="JN21" s="456"/>
      <c r="JO21" s="456"/>
      <c r="JP21" s="456"/>
      <c r="JQ21" s="456"/>
      <c r="JR21" s="456"/>
      <c r="JS21" s="456"/>
      <c r="JT21" s="456"/>
      <c r="JU21" s="456"/>
      <c r="JV21" s="456"/>
      <c r="JW21" s="456"/>
      <c r="JX21" s="456"/>
      <c r="JY21" s="456"/>
      <c r="JZ21" s="456"/>
      <c r="KA21" s="456"/>
      <c r="KB21" s="456"/>
      <c r="KC21" s="456"/>
      <c r="KD21" s="456"/>
      <c r="KE21" s="456"/>
      <c r="KF21" s="456"/>
      <c r="KG21" s="456"/>
      <c r="KH21" s="456"/>
      <c r="KI21" s="456"/>
      <c r="KJ21" s="456"/>
      <c r="KK21" s="456"/>
      <c r="KL21" s="456"/>
      <c r="KM21" s="456"/>
      <c r="KN21" s="456"/>
      <c r="KO21" s="456"/>
      <c r="KP21" s="456"/>
      <c r="KQ21" s="456"/>
      <c r="KR21" s="456"/>
      <c r="KS21" s="456"/>
      <c r="KT21" s="456"/>
      <c r="KU21" s="456"/>
      <c r="KV21" s="456"/>
      <c r="KW21" s="456"/>
      <c r="KX21" s="456"/>
      <c r="KY21" s="456"/>
      <c r="KZ21" s="456"/>
      <c r="LA21" s="456"/>
      <c r="LB21" s="456"/>
      <c r="LC21" s="456"/>
      <c r="LD21" s="456"/>
      <c r="LE21" s="456"/>
      <c r="LF21" s="456"/>
      <c r="LG21" s="456"/>
      <c r="LH21" s="456"/>
      <c r="LI21" s="456"/>
      <c r="LJ21" s="456"/>
      <c r="LK21" s="456"/>
      <c r="LL21" s="456"/>
      <c r="LM21" s="456"/>
      <c r="LN21" s="456"/>
      <c r="LO21" s="456"/>
      <c r="LP21" s="456"/>
      <c r="LQ21" s="456"/>
      <c r="LR21" s="456"/>
      <c r="LS21" s="456"/>
      <c r="LT21" s="456"/>
      <c r="LU21" s="456"/>
      <c r="LV21" s="456"/>
      <c r="LW21" s="456"/>
      <c r="LX21" s="456"/>
      <c r="LY21" s="456"/>
      <c r="LZ21" s="456"/>
      <c r="MA21" s="456"/>
      <c r="MB21" s="456"/>
      <c r="MC21" s="456"/>
      <c r="MD21" s="456"/>
      <c r="ME21" s="456"/>
      <c r="MF21" s="456"/>
      <c r="MG21" s="456"/>
      <c r="MH21" s="456"/>
      <c r="MI21" s="456"/>
      <c r="MJ21" s="456"/>
      <c r="MK21" s="456"/>
      <c r="ML21" s="456"/>
      <c r="MM21" s="456"/>
      <c r="MN21" s="456"/>
      <c r="MO21" s="456"/>
      <c r="MP21" s="456"/>
      <c r="MQ21" s="456"/>
      <c r="MR21" s="456"/>
      <c r="MS21" s="456"/>
      <c r="MT21" s="456"/>
      <c r="MU21" s="456"/>
      <c r="MV21" s="456"/>
      <c r="MW21" s="456"/>
      <c r="MX21" s="456"/>
      <c r="MY21" s="456"/>
      <c r="MZ21" s="456"/>
      <c r="NA21" s="456"/>
      <c r="NB21" s="456"/>
      <c r="NC21" s="456"/>
      <c r="ND21" s="456"/>
      <c r="NE21" s="456"/>
      <c r="NF21" s="456"/>
      <c r="NG21" s="456"/>
      <c r="NH21" s="456"/>
      <c r="NI21" s="456"/>
      <c r="NJ21" s="456"/>
      <c r="NK21" s="456"/>
      <c r="NL21" s="456"/>
      <c r="NM21" s="456"/>
      <c r="NN21" s="456"/>
      <c r="NO21" s="456"/>
      <c r="NP21" s="456"/>
      <c r="NQ21" s="456"/>
      <c r="NR21" s="456"/>
      <c r="NS21" s="456"/>
      <c r="NT21" s="456"/>
      <c r="NU21" s="456"/>
      <c r="NV21" s="456"/>
      <c r="NW21" s="456"/>
      <c r="NX21" s="456"/>
      <c r="NY21" s="456"/>
      <c r="NZ21" s="456"/>
      <c r="OA21" s="456"/>
      <c r="OB21" s="456"/>
      <c r="OC21" s="456"/>
      <c r="OD21" s="456"/>
      <c r="OE21" s="456"/>
      <c r="OF21" s="456"/>
      <c r="OG21" s="456"/>
      <c r="OH21" s="456"/>
      <c r="OI21" s="456"/>
      <c r="OJ21" s="456"/>
      <c r="OK21" s="456"/>
      <c r="OL21" s="456"/>
      <c r="OM21" s="456"/>
      <c r="ON21" s="456"/>
      <c r="OO21" s="456"/>
      <c r="OP21" s="456"/>
      <c r="OQ21" s="456"/>
      <c r="OR21" s="456"/>
      <c r="OS21" s="456"/>
      <c r="OT21" s="456"/>
      <c r="OU21" s="456"/>
      <c r="OV21" s="456"/>
      <c r="OW21" s="456"/>
      <c r="OX21" s="456"/>
      <c r="OY21" s="456"/>
      <c r="OZ21" s="456"/>
      <c r="PA21" s="456"/>
      <c r="PB21" s="456"/>
      <c r="PC21" s="456"/>
      <c r="PD21" s="456"/>
      <c r="PE21" s="456"/>
      <c r="PF21" s="456"/>
      <c r="PG21" s="456"/>
      <c r="PH21" s="456"/>
      <c r="PI21" s="456"/>
      <c r="PJ21" s="456"/>
      <c r="PK21" s="456"/>
      <c r="PL21" s="456"/>
      <c r="PM21" s="456"/>
      <c r="PN21" s="456"/>
      <c r="PO21" s="456"/>
      <c r="PP21" s="456"/>
      <c r="PQ21" s="456"/>
      <c r="PR21" s="456"/>
      <c r="PS21" s="456"/>
      <c r="PT21" s="456"/>
      <c r="PU21" s="456"/>
      <c r="PV21" s="456"/>
      <c r="PW21" s="456"/>
      <c r="PX21" s="456"/>
      <c r="PY21" s="456"/>
      <c r="PZ21" s="456"/>
      <c r="QA21" s="456"/>
      <c r="QB21" s="456"/>
      <c r="QC21" s="456"/>
      <c r="QD21" s="456"/>
      <c r="QE21" s="456"/>
      <c r="QF21" s="456"/>
      <c r="QG21" s="456"/>
      <c r="QH21" s="456"/>
      <c r="QI21" s="456"/>
      <c r="QJ21" s="456"/>
      <c r="QK21" s="456"/>
      <c r="QL21" s="456"/>
      <c r="QM21" s="456"/>
      <c r="QN21" s="456"/>
      <c r="QO21" s="456"/>
      <c r="QP21" s="456"/>
      <c r="QQ21" s="456"/>
      <c r="QR21" s="456"/>
      <c r="QS21" s="456"/>
      <c r="QT21" s="456"/>
      <c r="QU21" s="456"/>
      <c r="QV21" s="456"/>
      <c r="QW21" s="456"/>
      <c r="QX21" s="456"/>
      <c r="QY21" s="456"/>
      <c r="QZ21" s="456"/>
      <c r="RA21" s="456"/>
      <c r="RB21" s="456"/>
      <c r="RC21" s="456"/>
      <c r="RD21" s="456"/>
      <c r="RE21" s="456"/>
      <c r="RF21" s="456"/>
      <c r="RG21" s="456"/>
      <c r="RH21" s="456"/>
      <c r="RI21" s="456"/>
      <c r="RJ21" s="456"/>
      <c r="RK21" s="456"/>
      <c r="RL21" s="456"/>
      <c r="RM21" s="456"/>
      <c r="RN21" s="456"/>
      <c r="RO21" s="456"/>
      <c r="RP21" s="456"/>
      <c r="RQ21" s="456"/>
      <c r="RR21" s="456"/>
      <c r="RS21" s="456"/>
      <c r="RT21" s="456"/>
      <c r="RU21" s="456"/>
      <c r="RV21" s="456"/>
      <c r="RW21" s="456"/>
      <c r="RX21" s="456"/>
      <c r="RY21" s="456"/>
      <c r="RZ21" s="456"/>
      <c r="SA21" s="456"/>
      <c r="SB21" s="456"/>
      <c r="SC21" s="456"/>
      <c r="SD21" s="456"/>
      <c r="SE21" s="456"/>
      <c r="SF21" s="456"/>
      <c r="SG21" s="456"/>
      <c r="SH21" s="456"/>
      <c r="SI21" s="456"/>
      <c r="SJ21" s="456"/>
      <c r="SK21" s="456"/>
      <c r="SL21" s="456"/>
      <c r="SM21" s="456"/>
      <c r="SN21" s="456"/>
      <c r="SO21" s="456"/>
      <c r="SP21" s="456"/>
      <c r="SQ21" s="456"/>
      <c r="SR21" s="456"/>
      <c r="SS21" s="456"/>
      <c r="ST21" s="456"/>
      <c r="SU21" s="456"/>
      <c r="SV21" s="456"/>
      <c r="SW21" s="456"/>
      <c r="SX21" s="456"/>
      <c r="SY21" s="456"/>
      <c r="SZ21" s="456"/>
      <c r="TA21" s="456"/>
      <c r="TB21" s="456"/>
      <c r="TC21" s="456"/>
      <c r="TD21" s="456"/>
      <c r="TE21" s="456"/>
      <c r="TF21" s="456"/>
      <c r="TG21" s="456"/>
      <c r="TH21" s="456"/>
      <c r="TI21" s="456"/>
      <c r="TJ21" s="456"/>
      <c r="TK21" s="456"/>
      <c r="TL21" s="456"/>
      <c r="TM21" s="456"/>
      <c r="TN21" s="456"/>
      <c r="TO21" s="456"/>
      <c r="TP21" s="456"/>
      <c r="TQ21" s="456"/>
      <c r="TR21" s="456"/>
      <c r="TS21" s="456"/>
      <c r="TT21" s="456"/>
      <c r="TU21" s="456"/>
      <c r="TV21" s="456"/>
      <c r="TW21" s="456"/>
      <c r="TX21" s="456"/>
      <c r="TY21" s="456"/>
      <c r="TZ21" s="456"/>
      <c r="UA21" s="456"/>
      <c r="UB21" s="456"/>
      <c r="UC21" s="456"/>
      <c r="UD21" s="456"/>
      <c r="UE21" s="456"/>
      <c r="UF21" s="456"/>
      <c r="UG21" s="456"/>
      <c r="UH21" s="456"/>
      <c r="UI21" s="456"/>
      <c r="UJ21" s="456"/>
      <c r="UK21" s="456"/>
      <c r="UL21" s="456"/>
      <c r="UM21" s="456"/>
      <c r="UN21" s="456"/>
      <c r="UO21" s="456"/>
      <c r="UP21" s="456"/>
      <c r="UQ21" s="456"/>
      <c r="UR21" s="456"/>
      <c r="US21" s="456"/>
      <c r="UT21" s="456"/>
      <c r="UU21" s="456"/>
      <c r="UV21" s="456"/>
      <c r="UW21" s="456"/>
      <c r="UX21" s="456"/>
      <c r="UY21" s="456"/>
      <c r="UZ21" s="456"/>
      <c r="VA21" s="456"/>
      <c r="VB21" s="456"/>
      <c r="VC21" s="456"/>
      <c r="VD21" s="456"/>
      <c r="VE21" s="456"/>
      <c r="VF21" s="456"/>
      <c r="VG21" s="456"/>
      <c r="VH21" s="456"/>
      <c r="VI21" s="456"/>
      <c r="VJ21" s="456"/>
      <c r="VK21" s="456"/>
      <c r="VL21" s="456"/>
      <c r="VM21" s="456"/>
      <c r="VN21" s="456"/>
      <c r="VO21" s="456"/>
      <c r="VP21" s="456"/>
      <c r="VQ21" s="456"/>
      <c r="VR21" s="456"/>
      <c r="VS21" s="456"/>
      <c r="VT21" s="456"/>
      <c r="VU21" s="456"/>
      <c r="VV21" s="456"/>
      <c r="VW21" s="456"/>
      <c r="VX21" s="456"/>
      <c r="VY21" s="456"/>
      <c r="VZ21" s="456"/>
      <c r="WA21" s="456"/>
      <c r="WB21" s="456"/>
      <c r="WC21" s="456"/>
      <c r="WD21" s="456"/>
      <c r="WE21" s="456"/>
      <c r="WF21" s="456"/>
      <c r="WG21" s="456"/>
      <c r="WH21" s="456"/>
      <c r="WI21" s="456"/>
      <c r="WJ21" s="456"/>
      <c r="WK21" s="456"/>
      <c r="WL21" s="456"/>
      <c r="WM21" s="456"/>
      <c r="WN21" s="456"/>
      <c r="WO21" s="456"/>
      <c r="WP21" s="456"/>
      <c r="WQ21" s="456"/>
      <c r="WR21" s="456"/>
      <c r="WS21" s="456"/>
      <c r="WT21" s="456"/>
      <c r="WU21" s="456"/>
      <c r="WV21" s="456"/>
      <c r="WW21" s="456"/>
      <c r="WX21" s="456"/>
      <c r="WY21" s="456"/>
      <c r="WZ21" s="456"/>
      <c r="XA21" s="456"/>
      <c r="XB21" s="456"/>
      <c r="XC21" s="456"/>
      <c r="XD21" s="456"/>
      <c r="XE21" s="456"/>
      <c r="XF21" s="456"/>
      <c r="XG21" s="456"/>
      <c r="XH21" s="456"/>
      <c r="XI21" s="456"/>
      <c r="XJ21" s="456"/>
      <c r="XK21" s="456"/>
      <c r="XL21" s="456"/>
      <c r="XM21" s="456"/>
      <c r="XN21" s="456"/>
      <c r="XO21" s="456"/>
      <c r="XP21" s="456"/>
      <c r="XQ21" s="456"/>
      <c r="XR21" s="456"/>
      <c r="XS21" s="456"/>
      <c r="XT21" s="456"/>
      <c r="XU21" s="456"/>
      <c r="XV21" s="456"/>
      <c r="XW21" s="456"/>
      <c r="XX21" s="456"/>
      <c r="XY21" s="456"/>
      <c r="XZ21" s="456"/>
      <c r="YA21" s="456"/>
      <c r="YB21" s="456"/>
      <c r="YC21" s="456"/>
      <c r="YD21" s="456"/>
      <c r="YE21" s="456"/>
      <c r="YF21" s="456"/>
      <c r="YG21" s="456"/>
      <c r="YH21" s="456"/>
      <c r="YI21" s="456"/>
      <c r="YJ21" s="456"/>
      <c r="YK21" s="456"/>
      <c r="YL21" s="456"/>
      <c r="YM21" s="456"/>
      <c r="YN21" s="456"/>
      <c r="YO21" s="456"/>
      <c r="YP21" s="456"/>
      <c r="YQ21" s="456"/>
      <c r="YR21" s="456"/>
      <c r="YS21" s="456"/>
      <c r="YT21" s="456"/>
      <c r="YU21" s="456"/>
      <c r="YV21" s="456"/>
      <c r="YW21" s="456"/>
      <c r="YX21" s="456"/>
      <c r="YY21" s="456"/>
      <c r="YZ21" s="456"/>
      <c r="ZA21" s="456"/>
      <c r="ZB21" s="456"/>
      <c r="ZC21" s="456"/>
      <c r="ZD21" s="456"/>
      <c r="ZE21" s="456"/>
      <c r="ZF21" s="456"/>
      <c r="ZG21" s="456"/>
      <c r="ZH21" s="456"/>
      <c r="ZI21" s="456"/>
      <c r="ZJ21" s="456"/>
      <c r="ZK21" s="456"/>
      <c r="ZL21" s="456"/>
      <c r="ZM21" s="456"/>
      <c r="ZN21" s="456"/>
      <c r="ZO21" s="456"/>
      <c r="ZP21" s="456"/>
      <c r="ZQ21" s="456"/>
      <c r="ZR21" s="456"/>
      <c r="ZS21" s="456"/>
      <c r="ZT21" s="456"/>
      <c r="ZU21" s="456"/>
      <c r="ZV21" s="456"/>
      <c r="ZW21" s="456"/>
      <c r="ZX21" s="456"/>
      <c r="ZY21" s="456"/>
      <c r="ZZ21" s="456"/>
      <c r="AAA21" s="456"/>
      <c r="AAB21" s="456"/>
      <c r="AAC21" s="456"/>
      <c r="AAD21" s="456"/>
      <c r="AAE21" s="456"/>
      <c r="AAF21" s="456"/>
      <c r="AAG21" s="456"/>
      <c r="AAH21" s="456"/>
      <c r="AAI21" s="456"/>
      <c r="AAJ21" s="456"/>
      <c r="AAK21" s="456"/>
      <c r="AAL21" s="456"/>
      <c r="AAM21" s="456"/>
      <c r="AAN21" s="456"/>
      <c r="AAO21" s="456"/>
      <c r="AAP21" s="456"/>
      <c r="AAQ21" s="456"/>
      <c r="AAR21" s="456"/>
      <c r="AAS21" s="456"/>
      <c r="AAT21" s="456"/>
      <c r="AAU21" s="456"/>
      <c r="AAV21" s="456"/>
      <c r="AAW21" s="456"/>
      <c r="AAX21" s="456"/>
      <c r="AAY21" s="456"/>
      <c r="AAZ21" s="456"/>
      <c r="ABA21" s="456"/>
      <c r="ABB21" s="456"/>
      <c r="ABC21" s="456"/>
      <c r="ABD21" s="456"/>
      <c r="ABE21" s="456"/>
      <c r="ABF21" s="456"/>
      <c r="ABG21" s="456"/>
      <c r="ABH21" s="456"/>
      <c r="ABI21" s="456"/>
      <c r="ABJ21" s="456"/>
      <c r="ABK21" s="456"/>
      <c r="ABL21" s="456"/>
      <c r="ABM21" s="456"/>
      <c r="ABN21" s="456"/>
      <c r="ABO21" s="456"/>
      <c r="ABP21" s="456"/>
      <c r="ABQ21" s="456"/>
      <c r="ABR21" s="456"/>
      <c r="ABS21" s="456"/>
      <c r="ABT21" s="456"/>
      <c r="ABU21" s="456"/>
      <c r="ABV21" s="456"/>
      <c r="ABW21" s="456"/>
      <c r="ABX21" s="456"/>
      <c r="ABY21" s="456"/>
      <c r="ABZ21" s="456"/>
      <c r="ACA21" s="456"/>
      <c r="ACB21" s="456"/>
      <c r="ACC21" s="456"/>
      <c r="ACD21" s="456"/>
      <c r="ACE21" s="456"/>
      <c r="ACF21" s="456"/>
      <c r="ACG21" s="456"/>
      <c r="ACH21" s="456"/>
      <c r="ACI21" s="456"/>
      <c r="ACJ21" s="456"/>
      <c r="ACK21" s="456"/>
      <c r="ACL21" s="456"/>
      <c r="ACM21" s="456"/>
      <c r="ACN21" s="456"/>
      <c r="ACO21" s="456"/>
      <c r="ACP21" s="456"/>
      <c r="ACQ21" s="456"/>
      <c r="ACR21" s="456"/>
      <c r="ACS21" s="456"/>
      <c r="ACT21" s="456"/>
      <c r="ACU21" s="456"/>
      <c r="ACV21" s="456"/>
      <c r="ACW21" s="456"/>
      <c r="ACX21" s="456"/>
      <c r="ACY21" s="456"/>
      <c r="ACZ21" s="456"/>
      <c r="ADA21" s="456"/>
      <c r="ADB21" s="456"/>
      <c r="ADC21" s="456"/>
      <c r="ADD21" s="456"/>
      <c r="ADE21" s="456"/>
      <c r="ADF21" s="456"/>
      <c r="ADG21" s="456"/>
      <c r="ADH21" s="456"/>
      <c r="ADI21" s="456"/>
      <c r="ADJ21" s="456"/>
      <c r="ADK21" s="456"/>
      <c r="ADL21" s="456"/>
      <c r="ADM21" s="456"/>
      <c r="ADN21" s="456"/>
      <c r="ADO21" s="456"/>
      <c r="ADP21" s="456"/>
      <c r="ADQ21" s="456"/>
      <c r="ADR21" s="456"/>
      <c r="ADS21" s="456"/>
      <c r="ADT21" s="456"/>
      <c r="ADU21" s="456"/>
      <c r="ADV21" s="456"/>
      <c r="ADW21" s="456"/>
      <c r="ADX21" s="456"/>
      <c r="ADY21" s="456"/>
      <c r="ADZ21" s="456"/>
      <c r="AEA21" s="456"/>
      <c r="AEB21" s="456"/>
      <c r="AEC21" s="456"/>
      <c r="AED21" s="456"/>
      <c r="AEE21" s="456"/>
      <c r="AEF21" s="456"/>
      <c r="AEG21" s="456"/>
      <c r="AEH21" s="456"/>
      <c r="AEI21" s="456"/>
      <c r="AEJ21" s="456"/>
      <c r="AEK21" s="456"/>
      <c r="AEL21" s="456"/>
      <c r="AEM21" s="456"/>
      <c r="AEN21" s="456"/>
      <c r="AEO21" s="456"/>
      <c r="AEP21" s="456"/>
      <c r="AEQ21" s="456"/>
      <c r="AER21" s="456"/>
      <c r="AES21" s="456"/>
      <c r="AET21" s="456"/>
      <c r="AEU21" s="456"/>
      <c r="AEV21" s="456"/>
      <c r="AEW21" s="456"/>
      <c r="AEX21" s="456"/>
      <c r="AEY21" s="456"/>
      <c r="AEZ21" s="456"/>
      <c r="AFA21" s="456"/>
      <c r="AFB21" s="456"/>
      <c r="AFC21" s="456"/>
      <c r="AFD21" s="456"/>
      <c r="AFE21" s="456"/>
      <c r="AFF21" s="456"/>
      <c r="AFG21" s="456"/>
      <c r="AFH21" s="456"/>
      <c r="AFI21" s="456"/>
      <c r="AFJ21" s="456"/>
      <c r="AFK21" s="456"/>
      <c r="AFL21" s="456"/>
      <c r="AFM21" s="456"/>
      <c r="AFN21" s="456"/>
      <c r="AFO21" s="456"/>
      <c r="AFP21" s="456"/>
      <c r="AFQ21" s="456"/>
      <c r="AFR21" s="456"/>
      <c r="AFS21" s="456"/>
      <c r="AFT21" s="456"/>
      <c r="AFU21" s="456"/>
      <c r="AFV21" s="456"/>
      <c r="AFW21" s="456"/>
      <c r="AFX21" s="456"/>
      <c r="AFY21" s="456"/>
      <c r="AFZ21" s="456"/>
      <c r="AGA21" s="456"/>
      <c r="AGB21" s="456"/>
      <c r="AGC21" s="456"/>
      <c r="AGD21" s="456"/>
      <c r="AGE21" s="456"/>
      <c r="AGF21" s="456"/>
      <c r="AGG21" s="456"/>
      <c r="AGH21" s="456"/>
      <c r="AGI21" s="456"/>
      <c r="AGJ21" s="456"/>
      <c r="AGK21" s="456"/>
      <c r="AGL21" s="456"/>
      <c r="AGM21" s="456"/>
      <c r="AGN21" s="456"/>
      <c r="AGO21" s="456"/>
      <c r="AGP21" s="456"/>
      <c r="AGQ21" s="456"/>
      <c r="AGR21" s="456"/>
      <c r="AGS21" s="456"/>
      <c r="AGT21" s="456"/>
      <c r="AGU21" s="456"/>
      <c r="AGV21" s="456"/>
      <c r="AGW21" s="456"/>
      <c r="AGX21" s="456"/>
      <c r="AGY21" s="456"/>
      <c r="AGZ21" s="456"/>
      <c r="AHA21" s="456"/>
      <c r="AHB21" s="456"/>
      <c r="AHC21" s="456"/>
      <c r="AHD21" s="456"/>
      <c r="AHE21" s="456"/>
      <c r="AHF21" s="456"/>
      <c r="AHG21" s="456"/>
      <c r="AHH21" s="456"/>
      <c r="AHI21" s="456"/>
      <c r="AHJ21" s="456"/>
      <c r="AHK21" s="456"/>
      <c r="AHL21" s="456"/>
      <c r="AHM21" s="456"/>
      <c r="AHN21" s="456"/>
      <c r="AHO21" s="456"/>
      <c r="AHP21" s="456"/>
      <c r="AHQ21" s="456"/>
      <c r="AHR21" s="456"/>
      <c r="AHS21" s="456"/>
      <c r="AHT21" s="456"/>
      <c r="AHU21" s="456"/>
      <c r="AHV21" s="456"/>
      <c r="AHW21" s="456"/>
      <c r="AHX21" s="456"/>
      <c r="AHY21" s="456"/>
      <c r="AHZ21" s="456"/>
      <c r="AIA21" s="456"/>
      <c r="AIB21" s="456"/>
      <c r="AIC21" s="456"/>
      <c r="AID21" s="456"/>
      <c r="AIE21" s="456"/>
      <c r="AIF21" s="456"/>
      <c r="AIG21" s="456"/>
      <c r="AIH21" s="456"/>
      <c r="AII21" s="456"/>
      <c r="AIJ21" s="456"/>
      <c r="AIK21" s="456"/>
      <c r="AIL21" s="456"/>
      <c r="AIM21" s="456"/>
      <c r="AIN21" s="456"/>
      <c r="AIO21" s="456"/>
      <c r="AIP21" s="456"/>
      <c r="AIQ21" s="456"/>
      <c r="AIR21" s="456"/>
      <c r="AIS21" s="456"/>
      <c r="AIT21" s="456"/>
      <c r="AIU21" s="456"/>
      <c r="AIV21" s="456"/>
      <c r="AIW21" s="456"/>
      <c r="AIX21" s="456"/>
      <c r="AIY21" s="456"/>
      <c r="AIZ21" s="456"/>
      <c r="AJA21" s="456"/>
      <c r="AJB21" s="456"/>
      <c r="AJC21" s="456"/>
      <c r="AJD21" s="456"/>
      <c r="AJE21" s="456"/>
      <c r="AJF21" s="456"/>
      <c r="AJG21" s="456"/>
      <c r="AJH21" s="456"/>
      <c r="AJI21" s="456"/>
      <c r="AJJ21" s="456"/>
      <c r="AJK21" s="456"/>
      <c r="AJL21" s="456"/>
      <c r="AJM21" s="456"/>
      <c r="AJN21" s="456"/>
      <c r="AJO21" s="456"/>
      <c r="AJP21" s="456"/>
      <c r="AJQ21" s="456"/>
      <c r="AJR21" s="456"/>
      <c r="AJS21" s="456"/>
      <c r="AJT21" s="456"/>
      <c r="AJU21" s="456"/>
      <c r="AJV21" s="456"/>
      <c r="AJW21" s="456"/>
      <c r="AJX21" s="456"/>
      <c r="AJY21" s="456"/>
      <c r="AJZ21" s="456"/>
      <c r="AKA21" s="456"/>
      <c r="AKB21" s="456"/>
      <c r="AKC21" s="456"/>
      <c r="AKD21" s="456"/>
      <c r="AKE21" s="456"/>
      <c r="AKF21" s="456"/>
      <c r="AKG21" s="456"/>
      <c r="AKH21" s="456"/>
      <c r="AKI21" s="456"/>
      <c r="AKJ21" s="456"/>
      <c r="AKK21" s="456"/>
      <c r="AKL21" s="456"/>
      <c r="AKM21" s="456"/>
      <c r="AKN21" s="456"/>
      <c r="AKO21" s="456"/>
      <c r="AKP21" s="456"/>
      <c r="AKQ21" s="456"/>
      <c r="AKR21" s="456"/>
      <c r="AKS21" s="456"/>
      <c r="AKT21" s="456"/>
      <c r="AKU21" s="456"/>
      <c r="AKV21" s="456"/>
      <c r="AKW21" s="456"/>
      <c r="AKX21" s="456"/>
      <c r="AKY21" s="456"/>
      <c r="AKZ21" s="456"/>
      <c r="ALA21" s="456"/>
      <c r="ALB21" s="456"/>
      <c r="ALC21" s="456"/>
      <c r="ALD21" s="456"/>
      <c r="ALE21" s="456"/>
      <c r="ALF21" s="456"/>
      <c r="ALG21" s="456"/>
      <c r="ALH21" s="456"/>
      <c r="ALI21" s="456"/>
      <c r="ALJ21" s="456"/>
      <c r="ALK21" s="456"/>
      <c r="ALL21" s="456"/>
      <c r="ALM21" s="456"/>
      <c r="ALN21" s="456"/>
      <c r="ALO21" s="456"/>
      <c r="ALP21" s="456"/>
      <c r="ALQ21" s="456"/>
      <c r="ALR21" s="456"/>
      <c r="ALS21" s="456"/>
      <c r="ALT21" s="456"/>
      <c r="ALU21" s="456"/>
      <c r="ALV21" s="456"/>
      <c r="ALW21" s="456"/>
      <c r="ALX21" s="456"/>
      <c r="ALY21" s="456"/>
      <c r="ALZ21" s="456"/>
      <c r="AMA21" s="456"/>
      <c r="AMB21" s="456"/>
      <c r="AMC21" s="456"/>
      <c r="AMD21" s="456"/>
      <c r="AME21" s="456"/>
      <c r="AMF21" s="456"/>
      <c r="AMG21" s="456"/>
      <c r="AMH21" s="456"/>
      <c r="AMI21" s="456"/>
      <c r="AMJ21" s="456"/>
      <c r="AMK21" s="456"/>
      <c r="AML21" s="456"/>
      <c r="AMM21" s="456"/>
      <c r="AMN21" s="456"/>
      <c r="AMO21" s="456"/>
      <c r="AMP21" s="456"/>
      <c r="AMQ21" s="456"/>
      <c r="AMR21" s="456"/>
      <c r="AMS21" s="456"/>
      <c r="AMT21" s="456"/>
      <c r="AMU21" s="456"/>
      <c r="AMV21" s="456"/>
      <c r="AMW21" s="456"/>
      <c r="AMX21" s="456"/>
      <c r="AMY21" s="456"/>
      <c r="AMZ21" s="456"/>
      <c r="ANA21" s="456"/>
      <c r="ANB21" s="456"/>
      <c r="ANC21" s="456"/>
      <c r="AND21" s="456"/>
      <c r="ANE21" s="456"/>
      <c r="ANF21" s="456"/>
      <c r="ANG21" s="456"/>
      <c r="ANH21" s="456"/>
      <c r="ANI21" s="456"/>
      <c r="ANJ21" s="456"/>
      <c r="ANK21" s="456"/>
      <c r="ANL21" s="456"/>
      <c r="ANM21" s="456"/>
      <c r="ANN21" s="456"/>
      <c r="ANO21" s="456"/>
      <c r="ANP21" s="456"/>
      <c r="ANQ21" s="456"/>
      <c r="ANR21" s="456"/>
      <c r="ANS21" s="456"/>
      <c r="ANT21" s="456"/>
      <c r="ANU21" s="456"/>
      <c r="ANV21" s="456"/>
      <c r="ANW21" s="456"/>
      <c r="ANX21" s="456"/>
      <c r="ANY21" s="456"/>
      <c r="ANZ21" s="456"/>
      <c r="AOA21" s="456"/>
      <c r="AOB21" s="456"/>
      <c r="AOC21" s="456"/>
      <c r="AOD21" s="456"/>
      <c r="AOE21" s="456"/>
      <c r="AOF21" s="456"/>
      <c r="AOG21" s="456"/>
      <c r="AOH21" s="456"/>
      <c r="AOI21" s="456"/>
      <c r="AOJ21" s="456"/>
      <c r="AOK21" s="456"/>
      <c r="AOL21" s="456"/>
      <c r="AOM21" s="456"/>
      <c r="AON21" s="456"/>
      <c r="AOO21" s="456"/>
      <c r="AOP21" s="456"/>
      <c r="AOQ21" s="456"/>
      <c r="AOR21" s="456"/>
      <c r="AOS21" s="456"/>
      <c r="AOT21" s="456"/>
      <c r="AOU21" s="456"/>
      <c r="AOV21" s="456"/>
      <c r="AOW21" s="456"/>
      <c r="AOX21" s="456"/>
      <c r="AOY21" s="456"/>
      <c r="AOZ21" s="456"/>
      <c r="APA21" s="456"/>
      <c r="APB21" s="456"/>
      <c r="APC21" s="456"/>
      <c r="APD21" s="456"/>
      <c r="APE21" s="456"/>
      <c r="APF21" s="456"/>
      <c r="APG21" s="456"/>
      <c r="APH21" s="456"/>
      <c r="API21" s="456"/>
      <c r="APJ21" s="456"/>
      <c r="APK21" s="456"/>
      <c r="APL21" s="456"/>
      <c r="APM21" s="456"/>
      <c r="APN21" s="456"/>
      <c r="APO21" s="456"/>
      <c r="APP21" s="456"/>
      <c r="APQ21" s="456"/>
      <c r="APR21" s="456"/>
      <c r="APS21" s="456"/>
      <c r="APT21" s="456"/>
      <c r="APU21" s="456"/>
      <c r="APV21" s="456"/>
      <c r="APW21" s="456"/>
      <c r="APX21" s="456"/>
      <c r="APY21" s="456"/>
      <c r="APZ21" s="456"/>
      <c r="AQA21" s="456"/>
      <c r="AQB21" s="456"/>
      <c r="AQC21" s="456"/>
      <c r="AQD21" s="456"/>
      <c r="AQE21" s="456"/>
      <c r="AQF21" s="456"/>
      <c r="AQG21" s="456"/>
      <c r="AQH21" s="456"/>
      <c r="AQI21" s="456"/>
      <c r="AQJ21" s="456"/>
      <c r="AQK21" s="456"/>
      <c r="AQL21" s="456"/>
      <c r="AQM21" s="456"/>
      <c r="AQN21" s="456"/>
      <c r="AQO21" s="456"/>
      <c r="AQP21" s="456"/>
      <c r="AQQ21" s="456"/>
      <c r="AQR21" s="456"/>
      <c r="AQS21" s="456"/>
      <c r="AQT21" s="456"/>
      <c r="AQU21" s="456"/>
      <c r="AQV21" s="456"/>
      <c r="AQW21" s="456"/>
      <c r="AQX21" s="456"/>
      <c r="AQY21" s="456"/>
      <c r="AQZ21" s="456"/>
      <c r="ARA21" s="456"/>
      <c r="ARB21" s="456"/>
      <c r="ARC21" s="456"/>
      <c r="ARD21" s="456"/>
      <c r="ARE21" s="456"/>
      <c r="ARF21" s="456"/>
      <c r="ARG21" s="456"/>
      <c r="ARH21" s="456"/>
      <c r="ARI21" s="456"/>
      <c r="ARJ21" s="456"/>
      <c r="ARK21" s="456"/>
      <c r="ARL21" s="456"/>
      <c r="ARM21" s="456"/>
      <c r="ARN21" s="456"/>
      <c r="ARO21" s="456"/>
      <c r="ARP21" s="456"/>
      <c r="ARQ21" s="456"/>
      <c r="ARR21" s="456"/>
      <c r="ARS21" s="456"/>
      <c r="ART21" s="456"/>
      <c r="ARU21" s="456"/>
      <c r="ARV21" s="456"/>
      <c r="ARW21" s="456"/>
      <c r="ARX21" s="456"/>
      <c r="ARY21" s="456"/>
      <c r="ARZ21" s="456"/>
      <c r="ASA21" s="456"/>
      <c r="ASB21" s="456"/>
      <c r="ASC21" s="456"/>
      <c r="ASD21" s="456"/>
      <c r="ASE21" s="456"/>
      <c r="ASF21" s="456"/>
      <c r="ASG21" s="456"/>
      <c r="ASH21" s="456"/>
      <c r="ASI21" s="456"/>
      <c r="ASJ21" s="456"/>
      <c r="ASK21" s="456"/>
      <c r="ASL21" s="456"/>
      <c r="ASM21" s="456"/>
      <c r="ASN21" s="456"/>
      <c r="ASO21" s="456"/>
      <c r="ASP21" s="456"/>
      <c r="ASQ21" s="456"/>
      <c r="ASR21" s="456"/>
      <c r="ASS21" s="456"/>
      <c r="AST21" s="456"/>
      <c r="ASU21" s="456"/>
      <c r="ASV21" s="456"/>
      <c r="ASW21" s="456"/>
      <c r="ASX21" s="456"/>
      <c r="ASY21" s="456"/>
      <c r="ASZ21" s="456"/>
      <c r="ATA21" s="456"/>
      <c r="ATB21" s="456"/>
      <c r="ATC21" s="456"/>
      <c r="ATD21" s="456"/>
      <c r="ATE21" s="456"/>
      <c r="ATF21" s="456"/>
      <c r="ATG21" s="456"/>
      <c r="ATH21" s="456"/>
      <c r="ATI21" s="456"/>
      <c r="ATJ21" s="456"/>
      <c r="ATK21" s="456"/>
      <c r="ATL21" s="456"/>
      <c r="ATM21" s="456"/>
      <c r="ATN21" s="456"/>
      <c r="ATO21" s="456"/>
      <c r="ATP21" s="456"/>
      <c r="ATQ21" s="456"/>
      <c r="ATR21" s="456"/>
      <c r="ATS21" s="456"/>
      <c r="ATT21" s="456"/>
      <c r="ATU21" s="456"/>
      <c r="ATV21" s="456"/>
      <c r="ATW21" s="456"/>
      <c r="ATX21" s="456"/>
      <c r="ATY21" s="456"/>
      <c r="ATZ21" s="456"/>
      <c r="AUA21" s="456"/>
      <c r="AUB21" s="456"/>
      <c r="AUC21" s="456"/>
      <c r="AUD21" s="456"/>
      <c r="AUE21" s="456"/>
      <c r="AUF21" s="456"/>
      <c r="AUG21" s="456"/>
      <c r="AUH21" s="456"/>
      <c r="AUI21" s="456"/>
      <c r="AUJ21" s="456"/>
      <c r="AUK21" s="456"/>
      <c r="AUL21" s="456"/>
      <c r="AUM21" s="456"/>
      <c r="AUN21" s="456"/>
      <c r="AUO21" s="456"/>
      <c r="AUP21" s="456"/>
      <c r="AUQ21" s="456"/>
      <c r="AUR21" s="456"/>
      <c r="AUS21" s="456"/>
      <c r="AUT21" s="456"/>
      <c r="AUU21" s="456"/>
      <c r="AUV21" s="456"/>
      <c r="AUW21" s="456"/>
      <c r="AUX21" s="456"/>
      <c r="AUY21" s="456"/>
      <c r="AUZ21" s="456"/>
      <c r="AVA21" s="456"/>
      <c r="AVB21" s="456"/>
      <c r="AVC21" s="456"/>
      <c r="AVD21" s="456"/>
      <c r="AVE21" s="456"/>
      <c r="AVF21" s="456"/>
      <c r="AVG21" s="456"/>
    </row>
    <row r="22" spans="1:1255" ht="14.1" customHeight="1">
      <c r="A22" s="497"/>
      <c r="B22" s="498"/>
      <c r="C22" s="1096"/>
      <c r="D22" s="1097"/>
      <c r="E22" s="1097"/>
      <c r="F22" s="1097"/>
      <c r="G22" s="1098"/>
      <c r="H22" s="448"/>
      <c r="I22" s="448"/>
      <c r="J22" s="511"/>
      <c r="K22" s="511"/>
      <c r="L22" s="512" t="s">
        <v>421</v>
      </c>
      <c r="M22" s="513" t="e">
        <f ca="1">M21</f>
        <v>#VALUE!</v>
      </c>
      <c r="N22" s="514" t="str">
        <f>Uncert!$F$4</f>
        <v>ABS kPa</v>
      </c>
      <c r="O22" s="513" t="e">
        <f ca="1">O21</f>
        <v>#VALUE!</v>
      </c>
      <c r="P22" s="464" t="s">
        <v>422</v>
      </c>
      <c r="Q22" s="483">
        <f ca="1">VLOOKUP(VLOOKUP(I1,Worksheet!$A$18:$B$31,2),'1Test Data'!$O$30:$AP$49,28,0)</f>
        <v>0</v>
      </c>
      <c r="R22" s="453"/>
      <c r="S22" s="453"/>
      <c r="T22" s="453"/>
      <c r="U22" s="455"/>
      <c r="V22" s="439"/>
      <c r="W22" s="439"/>
      <c r="X22" s="439"/>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row>
    <row r="23" spans="1:1255" ht="14.1" customHeight="1">
      <c r="A23" s="497"/>
      <c r="B23" s="498"/>
      <c r="C23" s="498" t="s">
        <v>423</v>
      </c>
      <c r="D23" s="448"/>
      <c r="E23" s="448"/>
      <c r="F23" s="448"/>
      <c r="G23" s="448"/>
      <c r="H23" s="515" t="e">
        <f>"N " &amp; ReadoutType</f>
        <v>#NAME?</v>
      </c>
      <c r="I23" s="516" t="e">
        <f ca="1">($O24/$K12)</f>
        <v>#VALUE!</v>
      </c>
      <c r="J23" s="448"/>
      <c r="K23" s="448"/>
      <c r="L23" s="505"/>
      <c r="M23" s="517" t="e">
        <f ca="1">(M22/F1)*100</f>
        <v>#VALUE!</v>
      </c>
      <c r="N23" s="518" t="s">
        <v>78</v>
      </c>
      <c r="O23" s="517"/>
      <c r="P23" s="519"/>
      <c r="Q23" s="519"/>
      <c r="R23" s="453"/>
      <c r="S23" s="453"/>
      <c r="T23" s="453"/>
      <c r="U23" s="455"/>
      <c r="V23" s="439"/>
      <c r="W23" s="439"/>
      <c r="X23" s="439"/>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row>
    <row r="24" spans="1:1255" ht="14.1" customHeight="1">
      <c r="A24" s="497"/>
      <c r="B24" s="498"/>
      <c r="C24" s="520" t="s">
        <v>33</v>
      </c>
      <c r="D24" s="521" t="str">
        <f ca="1">Gravity</f>
        <v/>
      </c>
      <c r="E24" s="520" t="s">
        <v>36</v>
      </c>
      <c r="F24" s="522"/>
      <c r="G24" s="523"/>
      <c r="H24" s="524" t="e">
        <f>ReadoutType</f>
        <v>#NAME?</v>
      </c>
      <c r="I24" s="516" t="e">
        <f ca="1">($M24/$K12)</f>
        <v>#VALUE!</v>
      </c>
      <c r="J24" s="1103" t="s">
        <v>424</v>
      </c>
      <c r="K24" s="1104"/>
      <c r="L24" s="1104"/>
      <c r="M24" s="525" t="e">
        <f ca="1">IF(NATA="Y",IF(M22&lt;Scopekpa,IF(Scopekpa&lt;((F1/100)*ScopeReading),((F1/100)*ScopeReading),Scopekpa),IF(M22&lt;((F1/100)*ScopeReading),((F1/100)*ScopeReading),M22)),Uncert!M22)</f>
        <v>#VALUE!</v>
      </c>
      <c r="N24" s="522" t="s">
        <v>425</v>
      </c>
      <c r="O24" s="525" t="e">
        <f ca="1">IF(NATA="Y",IF(O22&lt;Scopekpa,IF(Scopekpa&lt;((F1/100)*ScopeReading),((F1/100)*ScopeReading),Scopekpa),IF(O22&lt;((F1/100)*ScopeReading),((F1/100)*ScopeReading),O22)),Uncert!O22)</f>
        <v>#VALUE!</v>
      </c>
      <c r="P24" s="522"/>
      <c r="Q24" s="522"/>
      <c r="R24" s="453"/>
      <c r="S24" s="453"/>
      <c r="T24" s="453"/>
      <c r="U24" s="455"/>
      <c r="V24" s="439"/>
      <c r="W24" s="439"/>
      <c r="X24" s="439"/>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row>
    <row r="25" spans="1:1255" ht="14.25" thickBot="1">
      <c r="A25" s="526" t="str">
        <f>"Worksheet!A" &amp; 17+(ROW()/25)</f>
        <v>Worksheet!A18</v>
      </c>
      <c r="B25" s="527"/>
      <c r="C25" s="527"/>
      <c r="D25" s="528">
        <f>ROW()/25</f>
        <v>1</v>
      </c>
      <c r="E25" s="529"/>
      <c r="F25" s="529"/>
      <c r="G25" s="529"/>
      <c r="H25" s="529"/>
      <c r="I25" s="530"/>
      <c r="J25" s="1105" t="s">
        <v>424</v>
      </c>
      <c r="K25" s="1105"/>
      <c r="L25" s="1105"/>
      <c r="M25" s="531" t="e">
        <f ca="1">IF(NATA="Y",IF(M23&lt;ScopeReading,ScopeReading,M23),M23)</f>
        <v>#VALUE!</v>
      </c>
      <c r="N25" s="532" t="s">
        <v>78</v>
      </c>
      <c r="O25" s="531"/>
      <c r="P25" s="532"/>
      <c r="Q25" s="527"/>
      <c r="R25" s="527"/>
      <c r="S25" s="527"/>
      <c r="T25" s="527"/>
      <c r="U25" s="533"/>
    </row>
    <row r="26" spans="1:1255" s="440" customFormat="1">
      <c r="A26" s="1099" t="e">
        <f ca="1">"Uncertainty Budget: Digital Pressure Gauge (" &amp; Q26&amp; ", "&amp; Q27 &amp; H26 &amp;" x " &amp; Division   &amp;H26 &amp; " )" &amp; " Test Point "&amp;D50</f>
        <v>#N/A</v>
      </c>
      <c r="B26" s="1100"/>
      <c r="C26" s="1100"/>
      <c r="D26" s="1100"/>
      <c r="E26" s="1100"/>
      <c r="F26" s="1101">
        <f ca="1">ABS(I26*UnitConvert)</f>
        <v>0</v>
      </c>
      <c r="G26" s="1102"/>
      <c r="H26" s="428" t="s">
        <v>371</v>
      </c>
      <c r="I26" s="429">
        <f ca="1">INDIRECT(A50)</f>
        <v>342.762</v>
      </c>
      <c r="J26" s="430" t="str">
        <f>_xlfn.SINGLE(Units)</f>
        <v>mm</v>
      </c>
      <c r="K26" s="431" t="e">
        <f ca="1">IF(C29="","","Uncertainty (U) = ±"&amp;TEXT(M47,"0.0")&amp;$F$4&amp;",  &amp;  (k="&amp;TEXT(M45,"0.00")&amp;", confidence level=95%)")</f>
        <v>#N/A</v>
      </c>
      <c r="L26" s="432"/>
      <c r="M26" s="432"/>
      <c r="N26" s="432"/>
      <c r="O26" s="433"/>
      <c r="P26" s="434" t="s">
        <v>372</v>
      </c>
      <c r="Q26" s="435" t="e">
        <f ca="1">VLOOKUP(VLOOKUP(I26,Worksheet!$A$18:$B$31,2),'1Test Data'!$M$6:$O$10,2,0)</f>
        <v>#N/A</v>
      </c>
      <c r="R26" s="436"/>
      <c r="S26" s="436"/>
      <c r="T26" s="437" t="str">
        <f ca="1">"TEX Ver "&amp;Mods!$A$1</f>
        <v>TEX Ver TAS-SST001v1</v>
      </c>
      <c r="U26" s="438"/>
    </row>
    <row r="27" spans="1:1255" s="440" customFormat="1">
      <c r="A27" s="442" t="s">
        <v>373</v>
      </c>
      <c r="B27" s="443"/>
      <c r="C27" s="444"/>
      <c r="D27" s="445" t="s">
        <v>374</v>
      </c>
      <c r="E27" s="446">
        <f ca="1">Q27</f>
        <v>115</v>
      </c>
      <c r="F27" s="447"/>
      <c r="G27" s="447" t="e">
        <f ca="1">ROUND(M47/(F26/100),2)&amp;"% of Full Scale"</f>
        <v>#VALUE!</v>
      </c>
      <c r="H27" s="448"/>
      <c r="I27" s="448"/>
      <c r="J27" s="449" t="e">
        <f ca="1">M48</f>
        <v>#VALUE!</v>
      </c>
      <c r="K27" s="448"/>
      <c r="L27" s="450"/>
      <c r="M27" s="450"/>
      <c r="N27" s="450"/>
      <c r="O27" s="433"/>
      <c r="P27" s="451" t="s">
        <v>375</v>
      </c>
      <c r="Q27" s="452">
        <f ca="1">VLOOKUP(VLOOKUP(I26,Worksheet!$A$18:$B$31,2),'1Test Data'!$O$30:$T$49,6,0)</f>
        <v>115</v>
      </c>
      <c r="R27" s="453">
        <v>0</v>
      </c>
      <c r="S27" s="453"/>
      <c r="T27" s="454">
        <f ca="1">Mods!$A$4</f>
        <v>45809.486168981479</v>
      </c>
      <c r="U27" s="455"/>
    </row>
    <row r="28" spans="1:1255" s="440" customFormat="1" ht="38.25">
      <c r="A28" s="458" t="s">
        <v>376</v>
      </c>
      <c r="B28" s="459" t="s">
        <v>377</v>
      </c>
      <c r="C28" s="460" t="s">
        <v>378</v>
      </c>
      <c r="D28" s="460" t="s">
        <v>379</v>
      </c>
      <c r="E28" s="460" t="s">
        <v>380</v>
      </c>
      <c r="F28" s="460" t="s">
        <v>381</v>
      </c>
      <c r="G28" s="460" t="s">
        <v>178</v>
      </c>
      <c r="H28" s="461" t="s">
        <v>382</v>
      </c>
      <c r="I28" s="461" t="s">
        <v>383</v>
      </c>
      <c r="J28" s="462" t="s">
        <v>384</v>
      </c>
      <c r="K28" s="463" t="s">
        <v>385</v>
      </c>
      <c r="L28" s="461" t="s">
        <v>386</v>
      </c>
      <c r="M28" s="461" t="s">
        <v>387</v>
      </c>
      <c r="N28" s="461" t="s">
        <v>388</v>
      </c>
      <c r="O28" s="461" t="s">
        <v>389</v>
      </c>
      <c r="P28" s="464" t="s">
        <v>390</v>
      </c>
      <c r="Q28" s="452">
        <f ca="1">VLOOKUP(VLOOKUP(I26,Worksheet!$A$18:$B$31,2),'1Test Data'!$O$30:$V$49,8,0)</f>
        <v>0</v>
      </c>
      <c r="R28" s="465" t="s">
        <v>391</v>
      </c>
      <c r="S28" s="465" t="s">
        <v>391</v>
      </c>
      <c r="T28" s="466" t="s">
        <v>392</v>
      </c>
      <c r="U28" s="467"/>
    </row>
    <row r="29" spans="1:1255" s="440" customFormat="1" ht="18" customHeight="1">
      <c r="A29" s="470">
        <v>1</v>
      </c>
      <c r="B29" s="471">
        <f>$B$4</f>
        <v>1</v>
      </c>
      <c r="C29" s="472" t="e">
        <f ca="1">"Reference Device  ("&amp;Q27&amp;" Druck Transducer) + Sey
Uncertainty from Calibration Report - "&amp;Q26</f>
        <v>#N/A</v>
      </c>
      <c r="D29" s="471" t="s">
        <v>393</v>
      </c>
      <c r="E29" s="473" t="e">
        <f ca="1">Q33+Q34</f>
        <v>#VALUE!</v>
      </c>
      <c r="F29" s="474" t="str">
        <f>H26</f>
        <v>ABS kPa</v>
      </c>
      <c r="G29" s="475" t="str">
        <f>IF(OR(D29="",B29=0),"",IF(D29="ESDM","A","B"))</f>
        <v>B</v>
      </c>
      <c r="H29" s="476" t="e">
        <f ca="1">IF(OR(E29="",B29=0),"",IF(D29="ESDM",1,IF(D29="N95",2,IF(D29="Rect",(3^0.5)))))</f>
        <v>#VALUE!</v>
      </c>
      <c r="I29" s="477">
        <f>IF(D29="N95",60,100)</f>
        <v>60</v>
      </c>
      <c r="J29" s="478" t="e">
        <f ca="1">IF(OR(E29="",B29=0),"",(E29/H29))</f>
        <v>#VALUE!</v>
      </c>
      <c r="K29" s="479">
        <v>1</v>
      </c>
      <c r="L29" s="480" t="e">
        <f ca="1">IF(OR(E29="",B29=0),"",K29*J29)</f>
        <v>#VALUE!</v>
      </c>
      <c r="M29" s="480" t="e">
        <f t="shared" ref="M29:M40" ca="1" si="10">IF(OR(E29="",B29=0),"0",L29^2)</f>
        <v>#VALUE!</v>
      </c>
      <c r="N29" s="481" t="e">
        <f t="shared" ref="N29:N40" ca="1" si="11">IF(OR(D29="",B29=0),"0",(L29)^4/I29)</f>
        <v>#VALUE!</v>
      </c>
      <c r="O29" s="482" t="e">
        <f t="shared" ref="O29:O40" ca="1" si="12">T29</f>
        <v>#VALUE!</v>
      </c>
      <c r="P29" s="464" t="s">
        <v>394</v>
      </c>
      <c r="Q29" s="483" t="e">
        <f ca="1">VLOOKUP(VLOOKUP(I26,Worksheet!$A$18:$B$31,2),'1Test Data'!$O$30:$Y$49,11,0)</f>
        <v>#VALUE!</v>
      </c>
      <c r="R29" s="484" t="e">
        <f ca="1">IF(OR(E29="",B29=0),"",K29*J29)</f>
        <v>#VALUE!</v>
      </c>
      <c r="S29" s="465" t="e">
        <f ca="1">IF(OR(E29="",B29=0),"",ABS(R29))</f>
        <v>#VALUE!</v>
      </c>
      <c r="T29" s="465" t="e">
        <f ca="1">IF(OR(E29="",B29=0),"",ABS(L29/S41))</f>
        <v>#VALUE!</v>
      </c>
      <c r="U29" s="485"/>
      <c r="W29" s="534">
        <f>$B$4</f>
        <v>1</v>
      </c>
    </row>
    <row r="30" spans="1:1255" s="440" customFormat="1" ht="27" customHeight="1">
      <c r="A30" s="470">
        <v>2</v>
      </c>
      <c r="B30" s="471">
        <f>$B$5</f>
        <v>1</v>
      </c>
      <c r="C30" s="472" t="e">
        <f ca="1">"Reference Device  Specs +Sey
(" &amp; Q27 &amp; H26 &amp; " Druck Transducer)
"&amp;Q28 &amp; "% of F.S. from Calibration Report - " &amp; Q26</f>
        <v>#N/A</v>
      </c>
      <c r="D30" s="471" t="s">
        <v>395</v>
      </c>
      <c r="E30" s="473">
        <f ca="1">Q46+Q47</f>
        <v>1.7722764049999999E-15</v>
      </c>
      <c r="F30" s="474" t="str">
        <f ca="1">IF(OR(E30="",B30=0),"",$F$4)</f>
        <v>ABS kPa</v>
      </c>
      <c r="G30" s="475" t="str">
        <f t="shared" ref="G30:G40" si="13">IF(OR(D30="",B30=0),"",IF(D30="ESDM","A","B"))</f>
        <v>B</v>
      </c>
      <c r="H30" s="476">
        <f t="shared" ref="H30:H40" ca="1" si="14">IF(OR(E30="",B30=0),"",IF(D30="ESDM",1,IF(D30="N95",2,IF(D30="Rect",(3^0.5)))))</f>
        <v>1.7320508075688772</v>
      </c>
      <c r="I30" s="477">
        <f t="shared" ref="I30:I40" si="15">IF(D30="N95",60,100)</f>
        <v>100</v>
      </c>
      <c r="J30" s="478">
        <f t="shared" ref="J30:J40" ca="1" si="16">IF(OR(E30="",B30=0),"",(E30/H30))</f>
        <v>1.0232242595051723E-15</v>
      </c>
      <c r="K30" s="479">
        <v>1</v>
      </c>
      <c r="L30" s="480">
        <f t="shared" ref="L30:L40" ca="1" si="17">IF(OR(E30="",B30=0),"",K30*J30)</f>
        <v>1.0232242595051723E-15</v>
      </c>
      <c r="M30" s="480">
        <f t="shared" ca="1" si="10"/>
        <v>1.0469878852399082E-30</v>
      </c>
      <c r="N30" s="481">
        <f t="shared" ca="1" si="11"/>
        <v>1.0961836318391352E-62</v>
      </c>
      <c r="O30" s="482" t="e">
        <f t="shared" ca="1" si="12"/>
        <v>#VALUE!</v>
      </c>
      <c r="P30" s="464" t="s">
        <v>396</v>
      </c>
      <c r="Q30" s="483" t="e">
        <f ca="1">VLOOKUP(VLOOKUP(I26,Worksheet!$A$18:$B$31,2),'1Test Data'!$O$30:$Z$49,12,0)</f>
        <v>#VALUE!</v>
      </c>
      <c r="R30" s="484">
        <f t="shared" ref="R30:R40" ca="1" si="18">IF(OR(E30="",B30=0),"",K30*J30)</f>
        <v>1.0232242595051723E-15</v>
      </c>
      <c r="S30" s="465">
        <f t="shared" ref="S30:S40" ca="1" si="19">IF(OR(E30="",B30=0),"",ABS(R30))</f>
        <v>1.0232242595051723E-15</v>
      </c>
      <c r="T30" s="465" t="e">
        <f ca="1">IF(OR(E30="",B30=0),"",ABS(L30/S41))</f>
        <v>#VALUE!</v>
      </c>
      <c r="U30" s="485"/>
      <c r="W30" s="534">
        <f>$B$5</f>
        <v>1</v>
      </c>
    </row>
    <row r="31" spans="1:1255" s="440" customFormat="1" ht="18">
      <c r="A31" s="470">
        <v>3</v>
      </c>
      <c r="B31" s="471">
        <f>$B$6</f>
        <v>1</v>
      </c>
      <c r="C31" s="472" t="s">
        <v>397</v>
      </c>
      <c r="D31" s="471" t="s">
        <v>395</v>
      </c>
      <c r="E31" s="473">
        <f ca="1">Q35*F26/100</f>
        <v>0</v>
      </c>
      <c r="F31" s="474" t="str">
        <f ca="1">IF(OR(E31="",B31=0),"",$F$4)</f>
        <v>ABS kPa</v>
      </c>
      <c r="G31" s="475" t="str">
        <f t="shared" si="13"/>
        <v>B</v>
      </c>
      <c r="H31" s="476">
        <f t="shared" ca="1" si="14"/>
        <v>1.7320508075688772</v>
      </c>
      <c r="I31" s="477">
        <f t="shared" si="15"/>
        <v>100</v>
      </c>
      <c r="J31" s="478">
        <f t="shared" ca="1" si="16"/>
        <v>0</v>
      </c>
      <c r="K31" s="479">
        <v>1</v>
      </c>
      <c r="L31" s="480">
        <f t="shared" ca="1" si="17"/>
        <v>0</v>
      </c>
      <c r="M31" s="480">
        <f t="shared" ca="1" si="10"/>
        <v>0</v>
      </c>
      <c r="N31" s="481">
        <f t="shared" ca="1" si="11"/>
        <v>0</v>
      </c>
      <c r="O31" s="482" t="e">
        <f t="shared" ca="1" si="12"/>
        <v>#VALUE!</v>
      </c>
      <c r="P31" s="464" t="s">
        <v>201</v>
      </c>
      <c r="Q31" s="483" t="e">
        <f ca="1">VLOOKUP(VLOOKUP(I26,Worksheet!$A$18:$B$31,2),'1Test Data'!$O$30:$AA$49,13,0)</f>
        <v>#VALUE!</v>
      </c>
      <c r="R31" s="484">
        <f t="shared" ca="1" si="18"/>
        <v>0</v>
      </c>
      <c r="S31" s="465">
        <f t="shared" ca="1" si="19"/>
        <v>0</v>
      </c>
      <c r="T31" s="465" t="e">
        <f ca="1">IF(OR(E31="",B31=0),"",ABS(L31/S41))</f>
        <v>#VALUE!</v>
      </c>
      <c r="U31" s="485"/>
      <c r="W31" s="534">
        <f>$B$6</f>
        <v>1</v>
      </c>
    </row>
    <row r="32" spans="1:1255" s="440" customFormat="1" ht="25.5" customHeight="1">
      <c r="A32" s="470">
        <v>4</v>
      </c>
      <c r="B32" s="471" t="e">
        <f>$B$7</f>
        <v>#NAME?</v>
      </c>
      <c r="C32" s="472" t="s">
        <v>398</v>
      </c>
      <c r="D32" s="471" t="s">
        <v>395</v>
      </c>
      <c r="E32" s="473">
        <f>EDMS*UnitConvert</f>
        <v>0</v>
      </c>
      <c r="F32" s="474" t="e">
        <f>IF(OR(E32="",B32=0),"",$F$4)</f>
        <v>#NAME?</v>
      </c>
      <c r="G32" s="475" t="e">
        <f t="shared" si="13"/>
        <v>#NAME?</v>
      </c>
      <c r="H32" s="476" t="e">
        <f t="shared" si="14"/>
        <v>#NAME?</v>
      </c>
      <c r="I32" s="477">
        <f t="shared" si="15"/>
        <v>100</v>
      </c>
      <c r="J32" s="478" t="e">
        <f t="shared" si="16"/>
        <v>#NAME?</v>
      </c>
      <c r="K32" s="479">
        <v>1</v>
      </c>
      <c r="L32" s="480" t="e">
        <f t="shared" si="17"/>
        <v>#NAME?</v>
      </c>
      <c r="M32" s="480" t="e">
        <f t="shared" si="10"/>
        <v>#NAME?</v>
      </c>
      <c r="N32" s="481" t="e">
        <f t="shared" si="11"/>
        <v>#NAME?</v>
      </c>
      <c r="O32" s="482" t="e">
        <f t="shared" si="12"/>
        <v>#NAME?</v>
      </c>
      <c r="P32" s="464" t="s">
        <v>88</v>
      </c>
      <c r="Q32" s="483" t="e">
        <f ca="1">VLOOKUP(VLOOKUP(I26,Worksheet!$A$18:$B$31,2),'1Test Data'!$O$30:$AB$49,14,0)</f>
        <v>#VALUE!</v>
      </c>
      <c r="R32" s="484" t="e">
        <f t="shared" si="18"/>
        <v>#NAME?</v>
      </c>
      <c r="S32" s="465" t="e">
        <f t="shared" si="19"/>
        <v>#NAME?</v>
      </c>
      <c r="T32" s="465" t="e">
        <f>IF(OR(E32="",B32=0),"",ABS(L32/S41))</f>
        <v>#NAME?</v>
      </c>
      <c r="U32" s="485"/>
      <c r="W32" s="534" t="e">
        <f>$B$7</f>
        <v>#NAME?</v>
      </c>
    </row>
    <row r="33" spans="1:23" s="440" customFormat="1" ht="27">
      <c r="A33" s="470">
        <v>5</v>
      </c>
      <c r="B33" s="471">
        <f>$B$8</f>
        <v>0</v>
      </c>
      <c r="C33" s="472" t="str">
        <f>C8</f>
        <v>Gravity -0.001 m/s2 Sensitivity = Test Pressure / Gravity</v>
      </c>
      <c r="D33" s="471" t="s">
        <v>395</v>
      </c>
      <c r="E33" s="473">
        <f>E8</f>
        <v>1E-3</v>
      </c>
      <c r="F33" s="474" t="s">
        <v>400</v>
      </c>
      <c r="G33" s="475" t="str">
        <f t="shared" si="13"/>
        <v/>
      </c>
      <c r="H33" s="476" t="str">
        <f t="shared" si="14"/>
        <v/>
      </c>
      <c r="I33" s="477">
        <f t="shared" si="15"/>
        <v>100</v>
      </c>
      <c r="J33" s="478" t="str">
        <f t="shared" si="16"/>
        <v/>
      </c>
      <c r="K33" s="479">
        <f ca="1">F26*E33</f>
        <v>0</v>
      </c>
      <c r="L33" s="480" t="str">
        <f t="shared" si="17"/>
        <v/>
      </c>
      <c r="M33" s="480" t="str">
        <f t="shared" si="10"/>
        <v>0</v>
      </c>
      <c r="N33" s="481" t="str">
        <f t="shared" si="11"/>
        <v>0</v>
      </c>
      <c r="O33" s="482" t="str">
        <f>IFERROR(T33,0)</f>
        <v/>
      </c>
      <c r="P33" s="492" t="s">
        <v>401</v>
      </c>
      <c r="Q33" s="493" t="e">
        <f ca="1">ABS(Q29*F26^3+Q30*F26^2+Q31*F26+Q32)</f>
        <v>#VALUE!</v>
      </c>
      <c r="R33" s="484" t="str">
        <f t="shared" si="18"/>
        <v/>
      </c>
      <c r="S33" s="465" t="str">
        <f t="shared" si="19"/>
        <v/>
      </c>
      <c r="T33" s="465" t="str">
        <f>IF(OR(E33="",B33=0),"",ABS(L33/S41))</f>
        <v/>
      </c>
      <c r="U33" s="485"/>
      <c r="W33" s="534">
        <f>$B$8</f>
        <v>0</v>
      </c>
    </row>
    <row r="34" spans="1:23" s="440" customFormat="1" ht="27">
      <c r="A34" s="470">
        <v>6</v>
      </c>
      <c r="B34" s="471">
        <f>$B$9</f>
        <v>0</v>
      </c>
      <c r="C34" s="472" t="s">
        <v>402</v>
      </c>
      <c r="D34" s="471" t="s">
        <v>395</v>
      </c>
      <c r="E34" s="473">
        <v>2</v>
      </c>
      <c r="F34" s="474" t="s">
        <v>403</v>
      </c>
      <c r="G34" s="475" t="str">
        <f t="shared" si="13"/>
        <v/>
      </c>
      <c r="H34" s="476" t="str">
        <f t="shared" si="14"/>
        <v/>
      </c>
      <c r="I34" s="477">
        <f t="shared" si="15"/>
        <v>100</v>
      </c>
      <c r="J34" s="478" t="str">
        <f t="shared" si="16"/>
        <v/>
      </c>
      <c r="K34" s="479">
        <f ca="1">F26*-0.000022</f>
        <v>0</v>
      </c>
      <c r="L34" s="480" t="str">
        <f t="shared" si="17"/>
        <v/>
      </c>
      <c r="M34" s="480" t="str">
        <f t="shared" si="10"/>
        <v>0</v>
      </c>
      <c r="N34" s="481" t="str">
        <f t="shared" si="11"/>
        <v>0</v>
      </c>
      <c r="O34" s="482" t="str">
        <f t="shared" si="12"/>
        <v/>
      </c>
      <c r="P34" s="494" t="s">
        <v>404</v>
      </c>
      <c r="Q34" s="483" t="e">
        <f ca="1">VLOOKUP(VLOOKUP(I26,Worksheet!$A$18:$B$31,2),'1Test Data'!$O$30:$AD$49,14,0)</f>
        <v>#VALUE!</v>
      </c>
      <c r="R34" s="484" t="str">
        <f t="shared" si="18"/>
        <v/>
      </c>
      <c r="S34" s="465" t="str">
        <f t="shared" si="19"/>
        <v/>
      </c>
      <c r="T34" s="465" t="str">
        <f>IF(OR(E34="",B34=0),"",ABS(L34/S41))</f>
        <v/>
      </c>
      <c r="U34" s="485"/>
      <c r="W34" s="534">
        <f>$B$9</f>
        <v>0</v>
      </c>
    </row>
    <row r="35" spans="1:23" s="440" customFormat="1" ht="27">
      <c r="A35" s="470">
        <v>7</v>
      </c>
      <c r="B35" s="471">
        <f>$B$10</f>
        <v>0</v>
      </c>
      <c r="C35" s="472" t="s">
        <v>405</v>
      </c>
      <c r="D35" s="471" t="s">
        <v>395</v>
      </c>
      <c r="E35" s="473">
        <v>0.5</v>
      </c>
      <c r="F35" s="474" t="s">
        <v>406</v>
      </c>
      <c r="G35" s="475" t="str">
        <f t="shared" si="13"/>
        <v/>
      </c>
      <c r="H35" s="476" t="str">
        <f t="shared" si="14"/>
        <v/>
      </c>
      <c r="I35" s="477">
        <f t="shared" si="15"/>
        <v>100</v>
      </c>
      <c r="J35" s="478" t="str">
        <f t="shared" si="16"/>
        <v/>
      </c>
      <c r="K35" s="479">
        <f ca="1">(0.098*F26)/1000</f>
        <v>0</v>
      </c>
      <c r="L35" s="480" t="str">
        <f t="shared" si="17"/>
        <v/>
      </c>
      <c r="M35" s="480" t="str">
        <f t="shared" si="10"/>
        <v>0</v>
      </c>
      <c r="N35" s="481" t="str">
        <f t="shared" si="11"/>
        <v>0</v>
      </c>
      <c r="O35" s="482" t="str">
        <f t="shared" si="12"/>
        <v/>
      </c>
      <c r="P35" s="464" t="s">
        <v>407</v>
      </c>
      <c r="Q35" s="452">
        <f ca="1">VLOOKUP(VLOOKUP(I26,Worksheet!$A$18:$B$31,2),'1Test Data'!$O$30:$X$49,10,0)</f>
        <v>99.999099999999999</v>
      </c>
      <c r="R35" s="484" t="str">
        <f t="shared" si="18"/>
        <v/>
      </c>
      <c r="S35" s="465" t="str">
        <f t="shared" si="19"/>
        <v/>
      </c>
      <c r="T35" s="465" t="str">
        <f>IF(OR(E35="",B35=0),"",ABS(L35/S41))</f>
        <v/>
      </c>
      <c r="U35" s="485"/>
      <c r="W35" s="534">
        <f>$B$10</f>
        <v>0</v>
      </c>
    </row>
    <row r="36" spans="1:23" s="440" customFormat="1" ht="27">
      <c r="A36" s="470">
        <v>8</v>
      </c>
      <c r="B36" s="471">
        <f>$B$11</f>
        <v>0</v>
      </c>
      <c r="C36" s="472" t="s">
        <v>408</v>
      </c>
      <c r="D36" s="471" t="s">
        <v>395</v>
      </c>
      <c r="E36" s="473">
        <v>0.05</v>
      </c>
      <c r="F36" s="474" t="s">
        <v>406</v>
      </c>
      <c r="G36" s="475" t="str">
        <f t="shared" si="13"/>
        <v/>
      </c>
      <c r="H36" s="476" t="str">
        <f t="shared" si="14"/>
        <v/>
      </c>
      <c r="I36" s="477">
        <f t="shared" si="15"/>
        <v>100</v>
      </c>
      <c r="J36" s="478" t="str">
        <f t="shared" si="16"/>
        <v/>
      </c>
      <c r="K36" s="479">
        <f ca="1">F26/8000</f>
        <v>0</v>
      </c>
      <c r="L36" s="480" t="str">
        <f t="shared" si="17"/>
        <v/>
      </c>
      <c r="M36" s="480" t="str">
        <f t="shared" si="10"/>
        <v>0</v>
      </c>
      <c r="N36" s="481" t="str">
        <f t="shared" si="11"/>
        <v>0</v>
      </c>
      <c r="O36" s="482" t="str">
        <f t="shared" si="12"/>
        <v/>
      </c>
      <c r="P36" s="464" t="s">
        <v>394</v>
      </c>
      <c r="Q36" s="483">
        <f ca="1">VLOOKUP(VLOOKUP(I26,Worksheet!$A$18:$B$31,2),'1Test Data'!$O$30:$AE$49,17,0)</f>
        <v>1.4824341088260499E-7</v>
      </c>
      <c r="R36" s="484" t="str">
        <f t="shared" si="18"/>
        <v/>
      </c>
      <c r="S36" s="465" t="str">
        <f t="shared" si="19"/>
        <v/>
      </c>
      <c r="T36" s="465" t="str">
        <f>IF(OR(E36="",B36=0),"",ABS(L36/S41))</f>
        <v/>
      </c>
      <c r="U36" s="485"/>
      <c r="W36" s="534">
        <f>$B$11</f>
        <v>0</v>
      </c>
    </row>
    <row r="37" spans="1:23" s="440" customFormat="1" ht="25.5" customHeight="1">
      <c r="A37" s="470">
        <v>9</v>
      </c>
      <c r="B37" s="471" t="e">
        <f>$B$12</f>
        <v>#NAME?</v>
      </c>
      <c r="C37" s="472" t="str">
        <f>"Electrical reference devise" &amp; '1Test Data'!$O$3 &amp;  CHAR(10) &amp; "SN: " &amp; '1Test Data'!$P$3 &amp; ", Cert No: " &amp; '1Test Data'!$Q$3</f>
        <v>Electrical reference devisea
SN: b, Cert No: c</v>
      </c>
      <c r="D37" s="471" t="s">
        <v>395</v>
      </c>
      <c r="E37" s="473">
        <f>ElectUncert</f>
        <v>2E-3</v>
      </c>
      <c r="F37" s="474" t="e">
        <f>IF(OR(E37="",B37=0),"",ReadoutType)</f>
        <v>#NAME?</v>
      </c>
      <c r="G37" s="475" t="e">
        <f t="shared" si="13"/>
        <v>#NAME?</v>
      </c>
      <c r="H37" s="476" t="e">
        <f t="shared" si="14"/>
        <v>#NAME?</v>
      </c>
      <c r="I37" s="477">
        <f t="shared" si="15"/>
        <v>100</v>
      </c>
      <c r="J37" s="478" t="e">
        <f t="shared" si="16"/>
        <v>#NAME?</v>
      </c>
      <c r="K37" s="479" t="e">
        <f>Capacity/(Upper-Lower)</f>
        <v>#NAME?</v>
      </c>
      <c r="L37" s="480" t="e">
        <f t="shared" si="17"/>
        <v>#NAME?</v>
      </c>
      <c r="M37" s="480" t="e">
        <f t="shared" si="10"/>
        <v>#NAME?</v>
      </c>
      <c r="N37" s="481" t="e">
        <f t="shared" si="11"/>
        <v>#NAME?</v>
      </c>
      <c r="O37" s="482" t="e">
        <f t="shared" si="12"/>
        <v>#NAME?</v>
      </c>
      <c r="P37" s="464" t="s">
        <v>396</v>
      </c>
      <c r="Q37" s="483">
        <f ca="1">VLOOKUP(VLOOKUP(I26,Worksheet!$A$18:$B$31,2),'1Test Data'!$O$30:$AF$49,18,0)</f>
        <v>-4.1031056692041199E-5</v>
      </c>
      <c r="R37" s="484" t="e">
        <f t="shared" si="18"/>
        <v>#NAME?</v>
      </c>
      <c r="S37" s="465" t="e">
        <f t="shared" si="19"/>
        <v>#NAME?</v>
      </c>
      <c r="T37" s="465" t="e">
        <f>IF(OR(E37="",B37=0),"",ABS(L37/S41))</f>
        <v>#NAME?</v>
      </c>
      <c r="U37" s="485"/>
      <c r="W37" s="534" t="e">
        <f>$B$12</f>
        <v>#NAME?</v>
      </c>
    </row>
    <row r="38" spans="1:23" s="440" customFormat="1">
      <c r="A38" s="470">
        <v>10</v>
      </c>
      <c r="B38" s="471">
        <f>$B$13</f>
        <v>1</v>
      </c>
      <c r="C38" s="472" t="s">
        <v>409</v>
      </c>
      <c r="D38" s="471" t="s">
        <v>395</v>
      </c>
      <c r="E38" s="473" t="e">
        <f>Worksheet!D19*UnitConvert</f>
        <v>#VALUE!</v>
      </c>
      <c r="F38" s="474" t="e">
        <f>IF(OR(E38="",B38=0),"",$F$4)</f>
        <v>#VALUE!</v>
      </c>
      <c r="G38" s="475" t="str">
        <f t="shared" si="13"/>
        <v>B</v>
      </c>
      <c r="H38" s="476" t="e">
        <f t="shared" si="14"/>
        <v>#VALUE!</v>
      </c>
      <c r="I38" s="477">
        <f t="shared" si="15"/>
        <v>100</v>
      </c>
      <c r="J38" s="478" t="e">
        <f t="shared" si="16"/>
        <v>#VALUE!</v>
      </c>
      <c r="K38" s="479">
        <v>1</v>
      </c>
      <c r="L38" s="480" t="e">
        <f t="shared" si="17"/>
        <v>#VALUE!</v>
      </c>
      <c r="M38" s="480" t="e">
        <f t="shared" si="10"/>
        <v>#VALUE!</v>
      </c>
      <c r="N38" s="481" t="e">
        <f t="shared" si="11"/>
        <v>#VALUE!</v>
      </c>
      <c r="O38" s="482" t="e">
        <f t="shared" si="12"/>
        <v>#VALUE!</v>
      </c>
      <c r="P38" s="464" t="s">
        <v>201</v>
      </c>
      <c r="Q38" s="483">
        <f ca="1">VLOOKUP(VLOOKUP(I26,Worksheet!$A$18:$B$31,2),'1Test Data'!$O$30:$AG$49,19,0)</f>
        <v>-0.99624436323844501</v>
      </c>
      <c r="R38" s="484" t="e">
        <f t="shared" si="18"/>
        <v>#VALUE!</v>
      </c>
      <c r="S38" s="465" t="e">
        <f t="shared" si="19"/>
        <v>#VALUE!</v>
      </c>
      <c r="T38" s="465" t="e">
        <f>IF(OR(E38="",B38=0),"",ABS(L38/S41))</f>
        <v>#VALUE!</v>
      </c>
      <c r="U38" s="485"/>
      <c r="W38" s="534">
        <f>$B$13</f>
        <v>1</v>
      </c>
    </row>
    <row r="39" spans="1:23" s="440" customFormat="1" ht="13.5" customHeight="1">
      <c r="A39" s="470">
        <v>11</v>
      </c>
      <c r="B39" s="471" t="e">
        <f>$B$14</f>
        <v>#NAME?</v>
      </c>
      <c r="C39" s="496" t="e">
        <f>"DUT Type " &amp;ReadoutType&amp; " Resolution "&amp;Readability &amp; "kPa
Digital - Type B - Rect - 1/2 of  least count with D of F = 100 &amp; (k=1.73)
Analogue - Type B - N95 - Best scale readability with D of F = 60 &amp; k=2.00"</f>
        <v>#NAME?</v>
      </c>
      <c r="D39" s="471" t="e">
        <f>IF(ReadoutType="Digital","Rect","N95")</f>
        <v>#NAME?</v>
      </c>
      <c r="E39" s="473" t="e">
        <f>IF(Elect=1,($K37)/1000,IF(ReadoutType="Digital",Readability/2,Readability)*UnitConvert)</f>
        <v>#NAME?</v>
      </c>
      <c r="F39" s="474" t="e">
        <f>IF(OR(E39="",B39=0),"",$F$4)</f>
        <v>#NAME?</v>
      </c>
      <c r="G39" s="475" t="e">
        <f t="shared" si="13"/>
        <v>#NAME?</v>
      </c>
      <c r="H39" s="476" t="e">
        <f t="shared" si="14"/>
        <v>#NAME?</v>
      </c>
      <c r="I39" s="477" t="e">
        <f t="shared" si="15"/>
        <v>#NAME?</v>
      </c>
      <c r="J39" s="478" t="e">
        <f t="shared" si="16"/>
        <v>#NAME?</v>
      </c>
      <c r="K39" s="479">
        <v>1</v>
      </c>
      <c r="L39" s="480" t="e">
        <f t="shared" si="17"/>
        <v>#NAME?</v>
      </c>
      <c r="M39" s="480" t="e">
        <f t="shared" si="10"/>
        <v>#NAME?</v>
      </c>
      <c r="N39" s="481" t="e">
        <f t="shared" si="11"/>
        <v>#NAME?</v>
      </c>
      <c r="O39" s="482" t="e">
        <f t="shared" si="12"/>
        <v>#NAME?</v>
      </c>
      <c r="P39" s="464" t="s">
        <v>88</v>
      </c>
      <c r="Q39" s="483">
        <f ca="1">VLOOKUP(VLOOKUP(I26,Worksheet!$A$18:$B$31,2),'1Test Data'!$O$30:$AH$49,20,0)</f>
        <v>-0.113765936201805</v>
      </c>
      <c r="R39" s="484" t="e">
        <f t="shared" si="18"/>
        <v>#NAME?</v>
      </c>
      <c r="S39" s="465" t="e">
        <f t="shared" si="19"/>
        <v>#NAME?</v>
      </c>
      <c r="T39" s="465" t="e">
        <f>IF(OR(E39="",B39=0),"",ABS(L39/S41))</f>
        <v>#NAME?</v>
      </c>
      <c r="U39" s="485"/>
      <c r="W39" s="534" t="e">
        <f>$B$14</f>
        <v>#NAME?</v>
      </c>
    </row>
    <row r="40" spans="1:23" s="440" customFormat="1" ht="27">
      <c r="A40" s="470">
        <v>12</v>
      </c>
      <c r="B40" s="471" t="e">
        <f>$B$15</f>
        <v>#NAME?</v>
      </c>
      <c r="C40" s="496" t="s">
        <v>410</v>
      </c>
      <c r="D40" s="471" t="s">
        <v>395</v>
      </c>
      <c r="E40" s="473" t="e">
        <f>E39</f>
        <v>#NAME?</v>
      </c>
      <c r="F40" s="474" t="e">
        <f>IF(OR(E40="",B40=0),"",$F$4)</f>
        <v>#NAME?</v>
      </c>
      <c r="G40" s="475" t="e">
        <f t="shared" si="13"/>
        <v>#NAME?</v>
      </c>
      <c r="H40" s="476" t="e">
        <f t="shared" si="14"/>
        <v>#NAME?</v>
      </c>
      <c r="I40" s="477">
        <f t="shared" si="15"/>
        <v>100</v>
      </c>
      <c r="J40" s="478" t="e">
        <f t="shared" si="16"/>
        <v>#NAME?</v>
      </c>
      <c r="K40" s="479">
        <v>1</v>
      </c>
      <c r="L40" s="480" t="e">
        <f t="shared" si="17"/>
        <v>#NAME?</v>
      </c>
      <c r="M40" s="480" t="e">
        <f t="shared" si="10"/>
        <v>#NAME?</v>
      </c>
      <c r="N40" s="481" t="e">
        <f t="shared" si="11"/>
        <v>#NAME?</v>
      </c>
      <c r="O40" s="482" t="e">
        <f t="shared" si="12"/>
        <v>#NAME?</v>
      </c>
      <c r="P40" s="464" t="s">
        <v>411</v>
      </c>
      <c r="Q40" s="483">
        <f ca="1">ABS(Q36*F26^3+Q37*F26^2+Q38*F26+Q39)</f>
        <v>0.113765936201805</v>
      </c>
      <c r="R40" s="484" t="e">
        <f t="shared" si="18"/>
        <v>#NAME?</v>
      </c>
      <c r="S40" s="465" t="e">
        <f t="shared" si="19"/>
        <v>#NAME?</v>
      </c>
      <c r="T40" s="465" t="e">
        <f>IF(OR(E40="",B40=0),"",ABS(L40/S41))</f>
        <v>#NAME?</v>
      </c>
      <c r="U40" s="485"/>
      <c r="W40" s="534" t="e">
        <f>$B$15</f>
        <v>#NAME?</v>
      </c>
    </row>
    <row r="41" spans="1:23" s="440" customFormat="1" ht="25.5">
      <c r="A41" s="497"/>
      <c r="B41" s="498"/>
      <c r="C41" s="448"/>
      <c r="D41" s="448"/>
      <c r="E41" s="448"/>
      <c r="F41" s="448"/>
      <c r="G41" s="448"/>
      <c r="H41" s="448"/>
      <c r="I41" s="484"/>
      <c r="J41" s="448"/>
      <c r="K41" s="448"/>
      <c r="L41" s="499" t="s">
        <v>412</v>
      </c>
      <c r="M41" s="499" t="e">
        <f ca="1">SUM(M29:M40)</f>
        <v>#VALUE!</v>
      </c>
      <c r="N41" s="500" t="e">
        <f ca="1">SUM(N29:N40)</f>
        <v>#VALUE!</v>
      </c>
      <c r="O41" s="501" t="e">
        <f ca="1">SUM(O29:O40)</f>
        <v>#VALUE!</v>
      </c>
      <c r="P41" s="464" t="s">
        <v>413</v>
      </c>
      <c r="Q41" s="483">
        <f ca="1">VLOOKUP(VLOOKUP(I26,Worksheet!$A$18:$B$31,2),'1Test Data'!$O$30:$AJ$49,22,0)</f>
        <v>3.5923988388601198E-4</v>
      </c>
      <c r="R41" s="453"/>
      <c r="S41" s="465" t="e">
        <f ca="1">SUM(S29:S40)</f>
        <v>#VALUE!</v>
      </c>
      <c r="T41" s="465" t="e">
        <f ca="1">SUM(T29:T40)</f>
        <v>#VALUE!</v>
      </c>
      <c r="U41" s="455"/>
    </row>
    <row r="42" spans="1:23" s="440" customFormat="1">
      <c r="A42" s="504"/>
      <c r="B42" s="448"/>
      <c r="C42" s="498" t="s">
        <v>414</v>
      </c>
      <c r="D42" s="448"/>
      <c r="E42" s="448"/>
      <c r="F42" s="448"/>
      <c r="G42" s="448"/>
      <c r="H42" s="448"/>
      <c r="I42" s="448"/>
      <c r="J42" s="448"/>
      <c r="K42" s="448"/>
      <c r="L42" s="505"/>
      <c r="M42" s="505"/>
      <c r="N42" s="505"/>
      <c r="O42" s="505"/>
      <c r="P42" s="464" t="s">
        <v>394</v>
      </c>
      <c r="Q42" s="483">
        <f ca="1">VLOOKUP(VLOOKUP(I26,Worksheet!$A$18:$B$31,2),'1Test Data'!$O$30:$AK$49,23,0)</f>
        <v>0</v>
      </c>
      <c r="R42" s="453"/>
      <c r="S42" s="453"/>
      <c r="T42" s="453"/>
      <c r="U42" s="455"/>
    </row>
    <row r="43" spans="1:23" s="440" customFormat="1" ht="13.5" customHeight="1">
      <c r="A43" s="504"/>
      <c r="B43" s="448"/>
      <c r="C43" s="1090" t="s">
        <v>415</v>
      </c>
      <c r="D43" s="1091"/>
      <c r="E43" s="1091"/>
      <c r="F43" s="1091"/>
      <c r="G43" s="1092"/>
      <c r="H43" s="448"/>
      <c r="I43" s="448"/>
      <c r="J43" s="448"/>
      <c r="K43" s="448"/>
      <c r="L43" s="506" t="s">
        <v>416</v>
      </c>
      <c r="M43" s="507" t="e">
        <f ca="1">M41^0.5</f>
        <v>#VALUE!</v>
      </c>
      <c r="N43" s="508" t="str">
        <f>Uncert!$F$4</f>
        <v>ABS kPa</v>
      </c>
      <c r="O43" s="505" t="e">
        <f ca="1">(M41-M32-M37-M39-M40)^0.5</f>
        <v>#VALUE!</v>
      </c>
      <c r="P43" s="464" t="s">
        <v>396</v>
      </c>
      <c r="Q43" s="483">
        <f ca="1">VLOOKUP(VLOOKUP(I26,Worksheet!$A$18:$B$31,2),'1Test Data'!$O$30:$AL$49,24,0)</f>
        <v>1.269097E-18</v>
      </c>
      <c r="R43" s="453"/>
      <c r="S43" s="453"/>
      <c r="T43" s="453"/>
      <c r="U43" s="455"/>
    </row>
    <row r="44" spans="1:23" s="440" customFormat="1">
      <c r="A44" s="504"/>
      <c r="B44" s="448"/>
      <c r="C44" s="1093"/>
      <c r="D44" s="1094"/>
      <c r="E44" s="1094"/>
      <c r="F44" s="1094"/>
      <c r="G44" s="1095"/>
      <c r="H44" s="448"/>
      <c r="I44" s="448"/>
      <c r="J44" s="448"/>
      <c r="K44" s="448"/>
      <c r="L44" s="506" t="s">
        <v>417</v>
      </c>
      <c r="M44" s="507" t="e">
        <f ca="1">M43^4/N41</f>
        <v>#VALUE!</v>
      </c>
      <c r="N44" s="509"/>
      <c r="O44" s="510" t="e">
        <f ca="1">O43^4/(N41-N32-N37-N39-N40)</f>
        <v>#VALUE!</v>
      </c>
      <c r="P44" s="464" t="s">
        <v>201</v>
      </c>
      <c r="Q44" s="483">
        <f ca="1">VLOOKUP(VLOOKUP(I26,Worksheet!$A$18:$B$31,2),'1Test Data'!$O$30:$AM$49,25,0)</f>
        <v>1</v>
      </c>
      <c r="R44" s="453"/>
      <c r="S44" s="453"/>
      <c r="T44" s="453"/>
      <c r="U44" s="455"/>
    </row>
    <row r="45" spans="1:23" s="440" customFormat="1">
      <c r="A45" s="504"/>
      <c r="B45" s="448"/>
      <c r="C45" s="1093"/>
      <c r="D45" s="1094"/>
      <c r="E45" s="1094"/>
      <c r="F45" s="1094"/>
      <c r="G45" s="1095"/>
      <c r="H45" s="448"/>
      <c r="I45" s="448"/>
      <c r="J45" s="448"/>
      <c r="K45" s="448"/>
      <c r="L45" s="506" t="s">
        <v>418</v>
      </c>
      <c r="M45" s="507" t="e">
        <f ca="1">TINV(0.05,M44)</f>
        <v>#VALUE!</v>
      </c>
      <c r="N45" s="508"/>
      <c r="O45" s="507" t="e">
        <f ca="1">TINV(0.05,O44)</f>
        <v>#VALUE!</v>
      </c>
      <c r="P45" s="464" t="s">
        <v>88</v>
      </c>
      <c r="Q45" s="483">
        <f ca="1">VLOOKUP(VLOOKUP(I26,Worksheet!$A$18:$B$31,2),'1Test Data'!$O$30:$AN$49,26,0)</f>
        <v>1.7722764049999999E-15</v>
      </c>
      <c r="R45" s="453"/>
      <c r="S45" s="453"/>
      <c r="T45" s="453"/>
      <c r="U45" s="455"/>
    </row>
    <row r="46" spans="1:23" s="440" customFormat="1">
      <c r="A46" s="504"/>
      <c r="B46" s="448"/>
      <c r="C46" s="1093"/>
      <c r="D46" s="1094"/>
      <c r="E46" s="1094"/>
      <c r="F46" s="1094"/>
      <c r="G46" s="1095"/>
      <c r="H46" s="448"/>
      <c r="I46" s="448"/>
      <c r="J46" s="448"/>
      <c r="K46" s="448"/>
      <c r="L46" s="506" t="s">
        <v>419</v>
      </c>
      <c r="M46" s="507" t="e">
        <f ca="1">M43*M45</f>
        <v>#VALUE!</v>
      </c>
      <c r="N46" s="508" t="str">
        <f>Uncert!$F$4</f>
        <v>ABS kPa</v>
      </c>
      <c r="O46" s="507" t="e">
        <f ca="1">O43*O45</f>
        <v>#VALUE!</v>
      </c>
      <c r="P46" s="464" t="s">
        <v>420</v>
      </c>
      <c r="Q46" s="483">
        <f ca="1">ABS(Q42*F26^3+Q43*F26^2+Q44*F26+Q45)</f>
        <v>1.7722764049999999E-15</v>
      </c>
      <c r="R46" s="453"/>
      <c r="S46" s="453"/>
      <c r="T46" s="453"/>
      <c r="U46" s="455"/>
    </row>
    <row r="47" spans="1:23" s="440" customFormat="1">
      <c r="A47" s="497"/>
      <c r="B47" s="498"/>
      <c r="C47" s="1096"/>
      <c r="D47" s="1097"/>
      <c r="E47" s="1097"/>
      <c r="F47" s="1097"/>
      <c r="G47" s="1098"/>
      <c r="H47" s="448"/>
      <c r="I47" s="448"/>
      <c r="J47" s="511"/>
      <c r="K47" s="511"/>
      <c r="L47" s="512" t="s">
        <v>421</v>
      </c>
      <c r="M47" s="513" t="e">
        <f ca="1">M46</f>
        <v>#VALUE!</v>
      </c>
      <c r="N47" s="514" t="str">
        <f>Uncert!$F$4</f>
        <v>ABS kPa</v>
      </c>
      <c r="O47" s="513" t="e">
        <f ca="1">O46</f>
        <v>#VALUE!</v>
      </c>
      <c r="P47" s="464" t="s">
        <v>422</v>
      </c>
      <c r="Q47" s="483">
        <f ca="1">VLOOKUP(VLOOKUP(I26,Worksheet!$A$18:$B$31,2),'1Test Data'!$O$30:$AP$49,28,0)</f>
        <v>0</v>
      </c>
      <c r="R47" s="453"/>
      <c r="S47" s="453"/>
      <c r="T47" s="453"/>
      <c r="U47" s="455"/>
    </row>
    <row r="48" spans="1:23" s="440" customFormat="1">
      <c r="A48" s="497"/>
      <c r="B48" s="498"/>
      <c r="C48" s="498" t="s">
        <v>423</v>
      </c>
      <c r="D48" s="448"/>
      <c r="E48" s="448"/>
      <c r="F48" s="448"/>
      <c r="G48" s="448"/>
      <c r="H48" s="515" t="e">
        <f>"N " &amp; ReadoutType</f>
        <v>#NAME?</v>
      </c>
      <c r="I48" s="516" t="e">
        <f ca="1">($O49/$K37)</f>
        <v>#VALUE!</v>
      </c>
      <c r="J48" s="448"/>
      <c r="K48" s="448"/>
      <c r="L48" s="505"/>
      <c r="M48" s="517" t="e">
        <f ca="1">(M47/F26)*100</f>
        <v>#VALUE!</v>
      </c>
      <c r="N48" s="518" t="s">
        <v>78</v>
      </c>
      <c r="O48" s="517"/>
      <c r="P48" s="519"/>
      <c r="Q48" s="519"/>
      <c r="R48" s="453"/>
      <c r="S48" s="453"/>
      <c r="T48" s="453"/>
      <c r="U48" s="455"/>
    </row>
    <row r="49" spans="1:21" s="440" customFormat="1">
      <c r="A49" s="497"/>
      <c r="B49" s="498"/>
      <c r="C49" s="520" t="s">
        <v>33</v>
      </c>
      <c r="D49" s="521" t="str">
        <f ca="1">Gravity</f>
        <v/>
      </c>
      <c r="E49" s="520" t="s">
        <v>36</v>
      </c>
      <c r="F49" s="522"/>
      <c r="G49" s="523"/>
      <c r="H49" s="524" t="e">
        <f>ReadoutType</f>
        <v>#NAME?</v>
      </c>
      <c r="I49" s="516" t="e">
        <f ca="1">($M49/$K37)</f>
        <v>#VALUE!</v>
      </c>
      <c r="J49" s="1103" t="s">
        <v>424</v>
      </c>
      <c r="K49" s="1104"/>
      <c r="L49" s="1104"/>
      <c r="M49" s="525" t="e">
        <f ca="1">IF(NATA="Y",IF(M47&lt;Scopekpa,IF(Scopekpa&lt;((F26/100)*ScopeReading),((F26/100)*ScopeReading),Scopekpa),IF(M47&lt;((F26/100)*ScopeReading),((F26/100)*ScopeReading),M47)),Uncert!M47)</f>
        <v>#VALUE!</v>
      </c>
      <c r="N49" s="522" t="s">
        <v>425</v>
      </c>
      <c r="O49" s="525" t="e">
        <f ca="1">IF(NATA="Y",IF(O47&lt;Scopekpa,IF(Scopekpa&lt;((F26/100)*ScopeReading),((F26/100)*ScopeReading),Scopekpa),IF(O47&lt;((F26/100)*ScopeReading),((F26/100)*ScopeReading),O47)),Uncert!O47)</f>
        <v>#VALUE!</v>
      </c>
      <c r="P49" s="522"/>
      <c r="Q49" s="522"/>
      <c r="R49" s="453"/>
      <c r="S49" s="453"/>
      <c r="T49" s="453"/>
      <c r="U49" s="455"/>
    </row>
    <row r="50" spans="1:21" s="440" customFormat="1" ht="14.25" thickBot="1">
      <c r="A50" s="526" t="str">
        <f>"Worksheet!A" &amp; 17+(ROW()/25)</f>
        <v>Worksheet!A19</v>
      </c>
      <c r="B50" s="527"/>
      <c r="C50" s="527"/>
      <c r="D50" s="528">
        <f>ROW()/25</f>
        <v>2</v>
      </c>
      <c r="E50" s="529"/>
      <c r="F50" s="529"/>
      <c r="G50" s="529"/>
      <c r="H50" s="529"/>
      <c r="I50" s="530"/>
      <c r="J50" s="1105" t="s">
        <v>424</v>
      </c>
      <c r="K50" s="1105"/>
      <c r="L50" s="1105"/>
      <c r="M50" s="531" t="e">
        <f ca="1">IF(NATA="Y",IF(M48&lt;ScopeReading,ScopeReading,M48),M48)</f>
        <v>#VALUE!</v>
      </c>
      <c r="N50" s="532" t="s">
        <v>78</v>
      </c>
      <c r="O50" s="531"/>
      <c r="P50" s="532"/>
      <c r="Q50" s="527"/>
      <c r="R50" s="527"/>
      <c r="S50" s="527"/>
      <c r="T50" s="527"/>
      <c r="U50" s="533"/>
    </row>
    <row r="51" spans="1:21" s="440" customFormat="1">
      <c r="A51" s="1099" t="e">
        <f ca="1">"Uncertainty Budget: Digital Pressure Gauge (" &amp; Q51&amp; ", "&amp; Q52 &amp; H51 &amp;" x " &amp; Division   &amp;H51 &amp; " )" &amp; " Test Point "&amp;D75</f>
        <v>#N/A</v>
      </c>
      <c r="B51" s="1100"/>
      <c r="C51" s="1100"/>
      <c r="D51" s="1100"/>
      <c r="E51" s="1100"/>
      <c r="F51" s="1101">
        <f ca="1">ABS(I51*UnitConvert)</f>
        <v>0</v>
      </c>
      <c r="G51" s="1102"/>
      <c r="H51" s="428" t="s">
        <v>371</v>
      </c>
      <c r="I51" s="429">
        <f ca="1">INDIRECT(A75)</f>
        <v>342.762</v>
      </c>
      <c r="J51" s="430" t="str">
        <f>_xlfn.SINGLE(Units)</f>
        <v>mm</v>
      </c>
      <c r="K51" s="431" t="e">
        <f ca="1">IF(C54="","","Uncertainty (U) = ±"&amp;TEXT(M72,"0.0")&amp;$F$4&amp;",  &amp;  (k="&amp;TEXT(M70,"0.00")&amp;", confidence level=95%)")</f>
        <v>#N/A</v>
      </c>
      <c r="L51" s="432"/>
      <c r="M51" s="432"/>
      <c r="N51" s="432"/>
      <c r="O51" s="433"/>
      <c r="P51" s="434" t="s">
        <v>372</v>
      </c>
      <c r="Q51" s="435" t="e">
        <f ca="1">VLOOKUP(VLOOKUP(I51,Worksheet!$A$18:$B$31,2),'1Test Data'!$M$6:$O$10,2,0)</f>
        <v>#N/A</v>
      </c>
      <c r="R51" s="436"/>
      <c r="S51" s="436"/>
      <c r="T51" s="437" t="str">
        <f ca="1">"TEX Ver "&amp;Mods!$A$1</f>
        <v>TEX Ver TAS-SST001v1</v>
      </c>
      <c r="U51" s="438"/>
    </row>
    <row r="52" spans="1:21" s="440" customFormat="1">
      <c r="A52" s="442" t="s">
        <v>373</v>
      </c>
      <c r="B52" s="443"/>
      <c r="C52" s="444"/>
      <c r="D52" s="445" t="s">
        <v>374</v>
      </c>
      <c r="E52" s="446">
        <f ca="1">Q52</f>
        <v>115</v>
      </c>
      <c r="F52" s="447"/>
      <c r="G52" s="447" t="e">
        <f ca="1">ROUND(M72/(F51/100),2)&amp;"% of Full Scale"</f>
        <v>#VALUE!</v>
      </c>
      <c r="H52" s="448"/>
      <c r="I52" s="448"/>
      <c r="J52" s="449" t="e">
        <f ca="1">M73</f>
        <v>#VALUE!</v>
      </c>
      <c r="K52" s="448"/>
      <c r="L52" s="450"/>
      <c r="M52" s="450"/>
      <c r="N52" s="450"/>
      <c r="O52" s="433"/>
      <c r="P52" s="451" t="s">
        <v>375</v>
      </c>
      <c r="Q52" s="452">
        <f ca="1">VLOOKUP(VLOOKUP(I51,Worksheet!$A$18:$B$31,2),'1Test Data'!$O$30:$T$49,6,0)</f>
        <v>115</v>
      </c>
      <c r="R52" s="453">
        <v>0</v>
      </c>
      <c r="S52" s="453"/>
      <c r="T52" s="454">
        <f ca="1">Mods!$A$4</f>
        <v>45809.486168981479</v>
      </c>
      <c r="U52" s="455"/>
    </row>
    <row r="53" spans="1:21" s="440" customFormat="1" ht="38.25">
      <c r="A53" s="458" t="s">
        <v>376</v>
      </c>
      <c r="B53" s="459" t="s">
        <v>377</v>
      </c>
      <c r="C53" s="460" t="s">
        <v>378</v>
      </c>
      <c r="D53" s="460" t="s">
        <v>379</v>
      </c>
      <c r="E53" s="460" t="s">
        <v>380</v>
      </c>
      <c r="F53" s="460" t="s">
        <v>381</v>
      </c>
      <c r="G53" s="460" t="s">
        <v>178</v>
      </c>
      <c r="H53" s="461" t="s">
        <v>382</v>
      </c>
      <c r="I53" s="461" t="s">
        <v>383</v>
      </c>
      <c r="J53" s="462" t="s">
        <v>384</v>
      </c>
      <c r="K53" s="463" t="s">
        <v>385</v>
      </c>
      <c r="L53" s="461" t="s">
        <v>386</v>
      </c>
      <c r="M53" s="461" t="s">
        <v>387</v>
      </c>
      <c r="N53" s="461" t="s">
        <v>388</v>
      </c>
      <c r="O53" s="461" t="s">
        <v>389</v>
      </c>
      <c r="P53" s="464" t="s">
        <v>390</v>
      </c>
      <c r="Q53" s="452">
        <f ca="1">VLOOKUP(VLOOKUP(I51,Worksheet!$A$18:$B$31,2),'1Test Data'!$O$30:$V$49,8,0)</f>
        <v>0</v>
      </c>
      <c r="R53" s="465" t="s">
        <v>391</v>
      </c>
      <c r="S53" s="465" t="s">
        <v>391</v>
      </c>
      <c r="T53" s="466" t="s">
        <v>392</v>
      </c>
      <c r="U53" s="467"/>
    </row>
    <row r="54" spans="1:21" s="440" customFormat="1" ht="18" customHeight="1">
      <c r="A54" s="470">
        <v>1</v>
      </c>
      <c r="B54" s="471">
        <f>$B$4</f>
        <v>1</v>
      </c>
      <c r="C54" s="472" t="e">
        <f ca="1">"Reference Device  ("&amp;Q52&amp;" Druck Transducer) + Sey
Uncertainty from Calibration Report - "&amp;Q51</f>
        <v>#N/A</v>
      </c>
      <c r="D54" s="471" t="s">
        <v>393</v>
      </c>
      <c r="E54" s="473" t="e">
        <f ca="1">Q58+Q59</f>
        <v>#VALUE!</v>
      </c>
      <c r="F54" s="474" t="str">
        <f>H51</f>
        <v>ABS kPa</v>
      </c>
      <c r="G54" s="475" t="str">
        <f>IF(OR(D54="",B54=0),"",IF(D54="ESDM","A","B"))</f>
        <v>B</v>
      </c>
      <c r="H54" s="476" t="e">
        <f ca="1">IF(OR(E54="",B54=0),"",IF(D54="ESDM",1,IF(D54="N95",2,IF(D54="Rect",(3^0.5)))))</f>
        <v>#VALUE!</v>
      </c>
      <c r="I54" s="477">
        <f>IF(D54="N95",60,100)</f>
        <v>60</v>
      </c>
      <c r="J54" s="478" t="e">
        <f ca="1">IF(OR(E54="",B54=0),"",(E54/H54))</f>
        <v>#VALUE!</v>
      </c>
      <c r="K54" s="479">
        <v>1</v>
      </c>
      <c r="L54" s="480" t="e">
        <f ca="1">IF(OR(E54="",B54=0),"",K54*J54)</f>
        <v>#VALUE!</v>
      </c>
      <c r="M54" s="480" t="e">
        <f t="shared" ref="M54:M65" ca="1" si="20">IF(OR(E54="",B54=0),"0",L54^2)</f>
        <v>#VALUE!</v>
      </c>
      <c r="N54" s="481" t="e">
        <f t="shared" ref="N54:N65" ca="1" si="21">IF(OR(D54="",B54=0),"0",(L54)^4/I54)</f>
        <v>#VALUE!</v>
      </c>
      <c r="O54" s="482" t="e">
        <f t="shared" ref="O54:O65" ca="1" si="22">T54</f>
        <v>#VALUE!</v>
      </c>
      <c r="P54" s="464" t="s">
        <v>394</v>
      </c>
      <c r="Q54" s="483" t="e">
        <f ca="1">VLOOKUP(VLOOKUP(I51,Worksheet!$A$18:$B$31,2),'1Test Data'!$O$30:$Y$49,11,0)</f>
        <v>#VALUE!</v>
      </c>
      <c r="R54" s="484" t="e">
        <f ca="1">IF(OR(E54="",B54=0),"",K54*J54)</f>
        <v>#VALUE!</v>
      </c>
      <c r="S54" s="465" t="e">
        <f ca="1">IF(OR(E54="",B54=0),"",ABS(R54))</f>
        <v>#VALUE!</v>
      </c>
      <c r="T54" s="465" t="e">
        <f ca="1">IF(OR(E54="",B54=0),"",ABS(L54/S66))</f>
        <v>#VALUE!</v>
      </c>
      <c r="U54" s="485"/>
    </row>
    <row r="55" spans="1:21" s="440" customFormat="1" ht="27" customHeight="1">
      <c r="A55" s="470">
        <v>2</v>
      </c>
      <c r="B55" s="471">
        <f>$B$5</f>
        <v>1</v>
      </c>
      <c r="C55" s="472" t="e">
        <f ca="1">"Reference Device  Specs +Sey
(" &amp; Q52 &amp; H51 &amp; " Druck Transducer)
"&amp;Q53 &amp; "% of F.S. from Calibration Report - " &amp; Q51</f>
        <v>#N/A</v>
      </c>
      <c r="D55" s="471" t="s">
        <v>395</v>
      </c>
      <c r="E55" s="473">
        <f ca="1">Q71+Q72</f>
        <v>1.7722764049999999E-15</v>
      </c>
      <c r="F55" s="474" t="str">
        <f ca="1">IF(OR(E55="",B55=0),"",$F$4)</f>
        <v>ABS kPa</v>
      </c>
      <c r="G55" s="475" t="str">
        <f t="shared" ref="G55:G65" si="23">IF(OR(D55="",B55=0),"",IF(D55="ESDM","A","B"))</f>
        <v>B</v>
      </c>
      <c r="H55" s="476">
        <f t="shared" ref="H55:H65" ca="1" si="24">IF(OR(E55="",B55=0),"",IF(D55="ESDM",1,IF(D55="N95",2,IF(D55="Rect",(3^0.5)))))</f>
        <v>1.7320508075688772</v>
      </c>
      <c r="I55" s="477">
        <f t="shared" ref="I55:I65" si="25">IF(D55="N95",60,100)</f>
        <v>100</v>
      </c>
      <c r="J55" s="478">
        <f t="shared" ref="J55:J65" ca="1" si="26">IF(OR(E55="",B55=0),"",(E55/H55))</f>
        <v>1.0232242595051723E-15</v>
      </c>
      <c r="K55" s="479">
        <v>1</v>
      </c>
      <c r="L55" s="480">
        <f t="shared" ref="L55:L65" ca="1" si="27">IF(OR(E55="",B55=0),"",K55*J55)</f>
        <v>1.0232242595051723E-15</v>
      </c>
      <c r="M55" s="480">
        <f t="shared" ca="1" si="20"/>
        <v>1.0469878852399082E-30</v>
      </c>
      <c r="N55" s="481">
        <f t="shared" ca="1" si="21"/>
        <v>1.0961836318391352E-62</v>
      </c>
      <c r="O55" s="482" t="e">
        <f t="shared" ca="1" si="22"/>
        <v>#VALUE!</v>
      </c>
      <c r="P55" s="464" t="s">
        <v>396</v>
      </c>
      <c r="Q55" s="483" t="e">
        <f ca="1">VLOOKUP(VLOOKUP(I51,Worksheet!$A$18:$B$31,2),'1Test Data'!$O$30:$Z$49,12,0)</f>
        <v>#VALUE!</v>
      </c>
      <c r="R55" s="484">
        <f t="shared" ref="R55:R65" ca="1" si="28">IF(OR(E55="",B55=0),"",K55*J55)</f>
        <v>1.0232242595051723E-15</v>
      </c>
      <c r="S55" s="465">
        <f t="shared" ref="S55:S65" ca="1" si="29">IF(OR(E55="",B55=0),"",ABS(R55))</f>
        <v>1.0232242595051723E-15</v>
      </c>
      <c r="T55" s="465" t="e">
        <f ca="1">IF(OR(E55="",B55=0),"",ABS(L55/S66))</f>
        <v>#VALUE!</v>
      </c>
      <c r="U55" s="485"/>
    </row>
    <row r="56" spans="1:21" s="440" customFormat="1" ht="18">
      <c r="A56" s="470">
        <v>3</v>
      </c>
      <c r="B56" s="471">
        <f>$B$6</f>
        <v>1</v>
      </c>
      <c r="C56" s="472" t="s">
        <v>397</v>
      </c>
      <c r="D56" s="471" t="s">
        <v>395</v>
      </c>
      <c r="E56" s="473">
        <f ca="1">Q60*F51/100</f>
        <v>0</v>
      </c>
      <c r="F56" s="474" t="str">
        <f ca="1">IF(OR(E56="",B56=0),"",$F$4)</f>
        <v>ABS kPa</v>
      </c>
      <c r="G56" s="475" t="str">
        <f t="shared" si="23"/>
        <v>B</v>
      </c>
      <c r="H56" s="476">
        <f t="shared" ca="1" si="24"/>
        <v>1.7320508075688772</v>
      </c>
      <c r="I56" s="477">
        <f t="shared" si="25"/>
        <v>100</v>
      </c>
      <c r="J56" s="478">
        <f t="shared" ca="1" si="26"/>
        <v>0</v>
      </c>
      <c r="K56" s="479">
        <v>1</v>
      </c>
      <c r="L56" s="480">
        <f t="shared" ca="1" si="27"/>
        <v>0</v>
      </c>
      <c r="M56" s="480">
        <f t="shared" ca="1" si="20"/>
        <v>0</v>
      </c>
      <c r="N56" s="481">
        <f t="shared" ca="1" si="21"/>
        <v>0</v>
      </c>
      <c r="O56" s="482" t="e">
        <f t="shared" ca="1" si="22"/>
        <v>#VALUE!</v>
      </c>
      <c r="P56" s="464" t="s">
        <v>201</v>
      </c>
      <c r="Q56" s="483" t="e">
        <f ca="1">VLOOKUP(VLOOKUP(I51,Worksheet!$A$18:$B$31,2),'1Test Data'!$O$30:$AA$49,13,0)</f>
        <v>#VALUE!</v>
      </c>
      <c r="R56" s="484">
        <f t="shared" ca="1" si="28"/>
        <v>0</v>
      </c>
      <c r="S56" s="465">
        <f t="shared" ca="1" si="29"/>
        <v>0</v>
      </c>
      <c r="T56" s="465" t="e">
        <f ca="1">IF(OR(E56="",B56=0),"",ABS(L56/S66))</f>
        <v>#VALUE!</v>
      </c>
      <c r="U56" s="485"/>
    </row>
    <row r="57" spans="1:21" s="440" customFormat="1" ht="18" customHeight="1">
      <c r="A57" s="470">
        <v>4</v>
      </c>
      <c r="B57" s="471" t="e">
        <f>$B$7</f>
        <v>#NAME?</v>
      </c>
      <c r="C57" s="472" t="s">
        <v>398</v>
      </c>
      <c r="D57" s="471" t="s">
        <v>395</v>
      </c>
      <c r="E57" s="473">
        <f>EDMS*UnitConvert</f>
        <v>0</v>
      </c>
      <c r="F57" s="474" t="e">
        <f>IF(OR(E57="",B57=0),"",$F$4)</f>
        <v>#NAME?</v>
      </c>
      <c r="G57" s="475" t="e">
        <f t="shared" si="23"/>
        <v>#NAME?</v>
      </c>
      <c r="H57" s="476" t="e">
        <f t="shared" si="24"/>
        <v>#NAME?</v>
      </c>
      <c r="I57" s="477">
        <f t="shared" si="25"/>
        <v>100</v>
      </c>
      <c r="J57" s="478" t="e">
        <f t="shared" si="26"/>
        <v>#NAME?</v>
      </c>
      <c r="K57" s="479">
        <v>1</v>
      </c>
      <c r="L57" s="480" t="e">
        <f t="shared" si="27"/>
        <v>#NAME?</v>
      </c>
      <c r="M57" s="480" t="e">
        <f t="shared" si="20"/>
        <v>#NAME?</v>
      </c>
      <c r="N57" s="481" t="e">
        <f t="shared" si="21"/>
        <v>#NAME?</v>
      </c>
      <c r="O57" s="482" t="e">
        <f t="shared" si="22"/>
        <v>#NAME?</v>
      </c>
      <c r="P57" s="464" t="s">
        <v>88</v>
      </c>
      <c r="Q57" s="483" t="e">
        <f ca="1">VLOOKUP(VLOOKUP(I51,Worksheet!$A$18:$B$31,2),'1Test Data'!$O$30:$AB$49,14,0)</f>
        <v>#VALUE!</v>
      </c>
      <c r="R57" s="484" t="e">
        <f t="shared" si="28"/>
        <v>#NAME?</v>
      </c>
      <c r="S57" s="465" t="e">
        <f t="shared" si="29"/>
        <v>#NAME?</v>
      </c>
      <c r="T57" s="465" t="e">
        <f>IF(OR(E57="",B57=0),"",ABS(L57/S66))</f>
        <v>#NAME?</v>
      </c>
      <c r="U57" s="485"/>
    </row>
    <row r="58" spans="1:21" s="440" customFormat="1" ht="27">
      <c r="A58" s="470">
        <v>5</v>
      </c>
      <c r="B58" s="471">
        <f>$B$8</f>
        <v>0</v>
      </c>
      <c r="C58" s="472" t="str">
        <f>C8</f>
        <v>Gravity -0.001 m/s2 Sensitivity = Test Pressure / Gravity</v>
      </c>
      <c r="D58" s="471" t="s">
        <v>395</v>
      </c>
      <c r="E58" s="473">
        <f>E8</f>
        <v>1E-3</v>
      </c>
      <c r="F58" s="474" t="s">
        <v>400</v>
      </c>
      <c r="G58" s="475" t="str">
        <f t="shared" si="23"/>
        <v/>
      </c>
      <c r="H58" s="476" t="str">
        <f t="shared" si="24"/>
        <v/>
      </c>
      <c r="I58" s="477">
        <f t="shared" si="25"/>
        <v>100</v>
      </c>
      <c r="J58" s="478" t="str">
        <f t="shared" si="26"/>
        <v/>
      </c>
      <c r="K58" s="479">
        <f ca="1">F51*E58</f>
        <v>0</v>
      </c>
      <c r="L58" s="480" t="str">
        <f t="shared" si="27"/>
        <v/>
      </c>
      <c r="M58" s="480" t="str">
        <f t="shared" si="20"/>
        <v>0</v>
      </c>
      <c r="N58" s="481" t="str">
        <f t="shared" si="21"/>
        <v>0</v>
      </c>
      <c r="O58" s="482" t="str">
        <f>IFERROR(T58,0)</f>
        <v/>
      </c>
      <c r="P58" s="492" t="s">
        <v>401</v>
      </c>
      <c r="Q58" s="493" t="e">
        <f ca="1">ABS(Q54*F51^3+Q55*F51^2+Q56*F51+Q57)</f>
        <v>#VALUE!</v>
      </c>
      <c r="R58" s="484" t="str">
        <f t="shared" si="28"/>
        <v/>
      </c>
      <c r="S58" s="465" t="str">
        <f t="shared" si="29"/>
        <v/>
      </c>
      <c r="T58" s="465" t="str">
        <f>IF(OR(E58="",B58=0),"",ABS(L58/S66))</f>
        <v/>
      </c>
      <c r="U58" s="485"/>
    </row>
    <row r="59" spans="1:21" s="440" customFormat="1" ht="27">
      <c r="A59" s="470">
        <v>6</v>
      </c>
      <c r="B59" s="471">
        <f>$B$9</f>
        <v>0</v>
      </c>
      <c r="C59" s="472" t="s">
        <v>402</v>
      </c>
      <c r="D59" s="471" t="s">
        <v>395</v>
      </c>
      <c r="E59" s="473">
        <v>2</v>
      </c>
      <c r="F59" s="474" t="s">
        <v>403</v>
      </c>
      <c r="G59" s="475" t="str">
        <f t="shared" si="23"/>
        <v/>
      </c>
      <c r="H59" s="476" t="str">
        <f t="shared" si="24"/>
        <v/>
      </c>
      <c r="I59" s="477">
        <f t="shared" si="25"/>
        <v>100</v>
      </c>
      <c r="J59" s="478" t="str">
        <f t="shared" si="26"/>
        <v/>
      </c>
      <c r="K59" s="479">
        <f ca="1">F51*-0.000022</f>
        <v>0</v>
      </c>
      <c r="L59" s="480" t="str">
        <f t="shared" si="27"/>
        <v/>
      </c>
      <c r="M59" s="480" t="str">
        <f t="shared" si="20"/>
        <v>0</v>
      </c>
      <c r="N59" s="481" t="str">
        <f t="shared" si="21"/>
        <v>0</v>
      </c>
      <c r="O59" s="482" t="str">
        <f t="shared" si="22"/>
        <v/>
      </c>
      <c r="P59" s="494" t="s">
        <v>404</v>
      </c>
      <c r="Q59" s="483" t="e">
        <f ca="1">VLOOKUP(VLOOKUP(I51,Worksheet!$A$18:$B$31,2),'1Test Data'!$O$30:$AD$49,14,0)</f>
        <v>#VALUE!</v>
      </c>
      <c r="R59" s="484" t="str">
        <f t="shared" si="28"/>
        <v/>
      </c>
      <c r="S59" s="465" t="str">
        <f t="shared" si="29"/>
        <v/>
      </c>
      <c r="T59" s="465" t="str">
        <f>IF(OR(E59="",B59=0),"",ABS(L59/S66))</f>
        <v/>
      </c>
      <c r="U59" s="485"/>
    </row>
    <row r="60" spans="1:21" s="440" customFormat="1" ht="27">
      <c r="A60" s="470">
        <v>7</v>
      </c>
      <c r="B60" s="471">
        <f>$B$10</f>
        <v>0</v>
      </c>
      <c r="C60" s="472" t="s">
        <v>405</v>
      </c>
      <c r="D60" s="471" t="s">
        <v>395</v>
      </c>
      <c r="E60" s="473">
        <v>0.5</v>
      </c>
      <c r="F60" s="474" t="s">
        <v>406</v>
      </c>
      <c r="G60" s="475" t="str">
        <f t="shared" si="23"/>
        <v/>
      </c>
      <c r="H60" s="476" t="str">
        <f t="shared" si="24"/>
        <v/>
      </c>
      <c r="I60" s="477">
        <f t="shared" si="25"/>
        <v>100</v>
      </c>
      <c r="J60" s="478" t="str">
        <f t="shared" si="26"/>
        <v/>
      </c>
      <c r="K60" s="479">
        <f ca="1">(0.098*F51)/1000</f>
        <v>0</v>
      </c>
      <c r="L60" s="480" t="str">
        <f t="shared" si="27"/>
        <v/>
      </c>
      <c r="M60" s="480" t="str">
        <f t="shared" si="20"/>
        <v>0</v>
      </c>
      <c r="N60" s="481" t="str">
        <f t="shared" si="21"/>
        <v>0</v>
      </c>
      <c r="O60" s="482" t="str">
        <f t="shared" si="22"/>
        <v/>
      </c>
      <c r="P60" s="464" t="s">
        <v>407</v>
      </c>
      <c r="Q60" s="452">
        <f ca="1">VLOOKUP(VLOOKUP(I51,Worksheet!$A$18:$B$31,2),'1Test Data'!$O$30:$X$49,10,0)</f>
        <v>99.999099999999999</v>
      </c>
      <c r="R60" s="484" t="str">
        <f t="shared" si="28"/>
        <v/>
      </c>
      <c r="S60" s="465" t="str">
        <f t="shared" si="29"/>
        <v/>
      </c>
      <c r="T60" s="465" t="str">
        <f>IF(OR(E60="",B60=0),"",ABS(L60/S66))</f>
        <v/>
      </c>
      <c r="U60" s="485"/>
    </row>
    <row r="61" spans="1:21" s="440" customFormat="1" ht="27">
      <c r="A61" s="470">
        <v>8</v>
      </c>
      <c r="B61" s="471">
        <f>$B$11</f>
        <v>0</v>
      </c>
      <c r="C61" s="472" t="s">
        <v>408</v>
      </c>
      <c r="D61" s="471" t="s">
        <v>395</v>
      </c>
      <c r="E61" s="473">
        <v>0.05</v>
      </c>
      <c r="F61" s="474" t="s">
        <v>406</v>
      </c>
      <c r="G61" s="475" t="str">
        <f t="shared" si="23"/>
        <v/>
      </c>
      <c r="H61" s="476" t="str">
        <f t="shared" si="24"/>
        <v/>
      </c>
      <c r="I61" s="477">
        <f t="shared" si="25"/>
        <v>100</v>
      </c>
      <c r="J61" s="478" t="str">
        <f t="shared" si="26"/>
        <v/>
      </c>
      <c r="K61" s="479">
        <f ca="1">F51/8000</f>
        <v>0</v>
      </c>
      <c r="L61" s="480" t="str">
        <f t="shared" si="27"/>
        <v/>
      </c>
      <c r="M61" s="480" t="str">
        <f t="shared" si="20"/>
        <v>0</v>
      </c>
      <c r="N61" s="481" t="str">
        <f t="shared" si="21"/>
        <v>0</v>
      </c>
      <c r="O61" s="482" t="str">
        <f t="shared" si="22"/>
        <v/>
      </c>
      <c r="P61" s="464" t="s">
        <v>394</v>
      </c>
      <c r="Q61" s="483">
        <f ca="1">VLOOKUP(VLOOKUP(I51,Worksheet!$A$18:$B$31,2),'1Test Data'!$O$30:$AE$49,17,0)</f>
        <v>1.4824341088260499E-7</v>
      </c>
      <c r="R61" s="484" t="str">
        <f t="shared" si="28"/>
        <v/>
      </c>
      <c r="S61" s="465" t="str">
        <f t="shared" si="29"/>
        <v/>
      </c>
      <c r="T61" s="465" t="str">
        <f>IF(OR(E61="",B61=0),"",ABS(L61/S66))</f>
        <v/>
      </c>
      <c r="U61" s="485"/>
    </row>
    <row r="62" spans="1:21" s="440" customFormat="1" ht="25.5" customHeight="1">
      <c r="A62" s="470">
        <v>9</v>
      </c>
      <c r="B62" s="471" t="e">
        <f>$B$12</f>
        <v>#NAME?</v>
      </c>
      <c r="C62" s="472" t="str">
        <f>"Electrical reference devise" &amp; '1Test Data'!$O$3 &amp;  CHAR(10) &amp; "SN: " &amp; '1Test Data'!$P$3 &amp; ", Cert No: " &amp; '1Test Data'!$Q$3</f>
        <v>Electrical reference devisea
SN: b, Cert No: c</v>
      </c>
      <c r="D62" s="471" t="s">
        <v>395</v>
      </c>
      <c r="E62" s="473">
        <f>ElectUncert</f>
        <v>2E-3</v>
      </c>
      <c r="F62" s="474" t="e">
        <f>IF(OR(E62="",B62=0),"",ReadoutType)</f>
        <v>#NAME?</v>
      </c>
      <c r="G62" s="475" t="e">
        <f t="shared" si="23"/>
        <v>#NAME?</v>
      </c>
      <c r="H62" s="476" t="e">
        <f t="shared" si="24"/>
        <v>#NAME?</v>
      </c>
      <c r="I62" s="477">
        <f t="shared" si="25"/>
        <v>100</v>
      </c>
      <c r="J62" s="478" t="e">
        <f t="shared" si="26"/>
        <v>#NAME?</v>
      </c>
      <c r="K62" s="479" t="e">
        <f>Capacity/(Upper-Lower)</f>
        <v>#NAME?</v>
      </c>
      <c r="L62" s="480" t="e">
        <f t="shared" si="27"/>
        <v>#NAME?</v>
      </c>
      <c r="M62" s="480" t="e">
        <f t="shared" si="20"/>
        <v>#NAME?</v>
      </c>
      <c r="N62" s="481" t="e">
        <f t="shared" si="21"/>
        <v>#NAME?</v>
      </c>
      <c r="O62" s="482" t="e">
        <f t="shared" si="22"/>
        <v>#NAME?</v>
      </c>
      <c r="P62" s="464" t="s">
        <v>396</v>
      </c>
      <c r="Q62" s="483">
        <f ca="1">VLOOKUP(VLOOKUP(I51,Worksheet!$A$18:$B$31,2),'1Test Data'!$O$30:$AF$49,18,0)</f>
        <v>-4.1031056692041199E-5</v>
      </c>
      <c r="R62" s="484" t="e">
        <f t="shared" si="28"/>
        <v>#NAME?</v>
      </c>
      <c r="S62" s="465" t="e">
        <f t="shared" si="29"/>
        <v>#NAME?</v>
      </c>
      <c r="T62" s="465" t="e">
        <f>IF(OR(E62="",B62=0),"",ABS(L62/S66))</f>
        <v>#NAME?</v>
      </c>
      <c r="U62" s="485"/>
    </row>
    <row r="63" spans="1:21" s="440" customFormat="1">
      <c r="A63" s="470">
        <v>10</v>
      </c>
      <c r="B63" s="471">
        <f>$B$13</f>
        <v>1</v>
      </c>
      <c r="C63" s="472" t="s">
        <v>409</v>
      </c>
      <c r="D63" s="471" t="s">
        <v>395</v>
      </c>
      <c r="E63" s="473" t="e">
        <f>Worksheet!D20*UnitConvert</f>
        <v>#VALUE!</v>
      </c>
      <c r="F63" s="474" t="e">
        <f>IF(OR(E63="",B63=0),"",$F$4)</f>
        <v>#VALUE!</v>
      </c>
      <c r="G63" s="475" t="str">
        <f t="shared" si="23"/>
        <v>B</v>
      </c>
      <c r="H63" s="476" t="e">
        <f t="shared" si="24"/>
        <v>#VALUE!</v>
      </c>
      <c r="I63" s="477">
        <f t="shared" si="25"/>
        <v>100</v>
      </c>
      <c r="J63" s="478" t="e">
        <f t="shared" si="26"/>
        <v>#VALUE!</v>
      </c>
      <c r="K63" s="479">
        <v>1</v>
      </c>
      <c r="L63" s="480" t="e">
        <f t="shared" si="27"/>
        <v>#VALUE!</v>
      </c>
      <c r="M63" s="480" t="e">
        <f t="shared" si="20"/>
        <v>#VALUE!</v>
      </c>
      <c r="N63" s="481" t="e">
        <f t="shared" si="21"/>
        <v>#VALUE!</v>
      </c>
      <c r="O63" s="482" t="e">
        <f t="shared" si="22"/>
        <v>#VALUE!</v>
      </c>
      <c r="P63" s="464" t="s">
        <v>201</v>
      </c>
      <c r="Q63" s="483">
        <f ca="1">VLOOKUP(VLOOKUP(I51,Worksheet!$A$18:$B$31,2),'1Test Data'!$O$30:$AG$49,19,0)</f>
        <v>-0.99624436323844501</v>
      </c>
      <c r="R63" s="484" t="e">
        <f t="shared" si="28"/>
        <v>#VALUE!</v>
      </c>
      <c r="S63" s="465" t="e">
        <f t="shared" si="29"/>
        <v>#VALUE!</v>
      </c>
      <c r="T63" s="465" t="e">
        <f>IF(OR(E63="",B63=0),"",ABS(L63/S66))</f>
        <v>#VALUE!</v>
      </c>
      <c r="U63" s="485"/>
    </row>
    <row r="64" spans="1:21" s="440" customFormat="1" ht="13.5" customHeight="1">
      <c r="A64" s="470">
        <v>11</v>
      </c>
      <c r="B64" s="471" t="e">
        <f>$B$14</f>
        <v>#NAME?</v>
      </c>
      <c r="C64" s="496" t="e">
        <f>"DUT Type " &amp;ReadoutType&amp; " Resolution "&amp;Readability &amp; "kPa
Digital - Type B - Rect - 1/2 of  least count with D of F = 100 &amp; (k=1.73)
Analogue - Type B - N95 - Best scale readability with D of F = 60 &amp; k=2.00"</f>
        <v>#NAME?</v>
      </c>
      <c r="D64" s="471" t="e">
        <f>IF(ReadoutType="Digital","Rect","N95")</f>
        <v>#NAME?</v>
      </c>
      <c r="E64" s="473" t="e">
        <f>IF(Elect=1,($K62)/1000,IF(ReadoutType="Digital",Readability/2,Readability)*UnitConvert)</f>
        <v>#NAME?</v>
      </c>
      <c r="F64" s="474" t="e">
        <f>IF(OR(E64="",B64=0),"",$F$4)</f>
        <v>#NAME?</v>
      </c>
      <c r="G64" s="475" t="e">
        <f t="shared" si="23"/>
        <v>#NAME?</v>
      </c>
      <c r="H64" s="476" t="e">
        <f t="shared" si="24"/>
        <v>#NAME?</v>
      </c>
      <c r="I64" s="477" t="e">
        <f t="shared" si="25"/>
        <v>#NAME?</v>
      </c>
      <c r="J64" s="478" t="e">
        <f t="shared" si="26"/>
        <v>#NAME?</v>
      </c>
      <c r="K64" s="479">
        <v>1</v>
      </c>
      <c r="L64" s="480" t="e">
        <f t="shared" si="27"/>
        <v>#NAME?</v>
      </c>
      <c r="M64" s="480" t="e">
        <f t="shared" si="20"/>
        <v>#NAME?</v>
      </c>
      <c r="N64" s="481" t="e">
        <f t="shared" si="21"/>
        <v>#NAME?</v>
      </c>
      <c r="O64" s="482" t="e">
        <f t="shared" si="22"/>
        <v>#NAME?</v>
      </c>
      <c r="P64" s="464" t="s">
        <v>88</v>
      </c>
      <c r="Q64" s="483">
        <f ca="1">VLOOKUP(VLOOKUP(I51,Worksheet!$A$18:$B$31,2),'1Test Data'!$O$30:$AH$49,20,0)</f>
        <v>-0.113765936201805</v>
      </c>
      <c r="R64" s="484" t="e">
        <f t="shared" si="28"/>
        <v>#NAME?</v>
      </c>
      <c r="S64" s="465" t="e">
        <f t="shared" si="29"/>
        <v>#NAME?</v>
      </c>
      <c r="T64" s="465" t="e">
        <f>IF(OR(E64="",B64=0),"",ABS(L64/S66))</f>
        <v>#NAME?</v>
      </c>
      <c r="U64" s="485"/>
    </row>
    <row r="65" spans="1:21" s="440" customFormat="1" ht="27">
      <c r="A65" s="470">
        <v>12</v>
      </c>
      <c r="B65" s="471" t="e">
        <f>$B$15</f>
        <v>#NAME?</v>
      </c>
      <c r="C65" s="496" t="s">
        <v>410</v>
      </c>
      <c r="D65" s="471" t="s">
        <v>395</v>
      </c>
      <c r="E65" s="473" t="e">
        <f>E64</f>
        <v>#NAME?</v>
      </c>
      <c r="F65" s="474" t="e">
        <f>IF(OR(E65="",B65=0),"",$F$4)</f>
        <v>#NAME?</v>
      </c>
      <c r="G65" s="475" t="e">
        <f t="shared" si="23"/>
        <v>#NAME?</v>
      </c>
      <c r="H65" s="476" t="e">
        <f t="shared" si="24"/>
        <v>#NAME?</v>
      </c>
      <c r="I65" s="477">
        <f t="shared" si="25"/>
        <v>100</v>
      </c>
      <c r="J65" s="478" t="e">
        <f t="shared" si="26"/>
        <v>#NAME?</v>
      </c>
      <c r="K65" s="479">
        <v>1</v>
      </c>
      <c r="L65" s="480" t="e">
        <f t="shared" si="27"/>
        <v>#NAME?</v>
      </c>
      <c r="M65" s="480" t="e">
        <f t="shared" si="20"/>
        <v>#NAME?</v>
      </c>
      <c r="N65" s="481" t="e">
        <f t="shared" si="21"/>
        <v>#NAME?</v>
      </c>
      <c r="O65" s="482" t="e">
        <f t="shared" si="22"/>
        <v>#NAME?</v>
      </c>
      <c r="P65" s="464" t="s">
        <v>411</v>
      </c>
      <c r="Q65" s="483">
        <f ca="1">ABS(Q61*F51^3+Q62*F51^2+Q63*F51+Q64)</f>
        <v>0.113765936201805</v>
      </c>
      <c r="R65" s="484" t="e">
        <f t="shared" si="28"/>
        <v>#NAME?</v>
      </c>
      <c r="S65" s="465" t="e">
        <f t="shared" si="29"/>
        <v>#NAME?</v>
      </c>
      <c r="T65" s="465" t="e">
        <f>IF(OR(E65="",B65=0),"",ABS(L65/S66))</f>
        <v>#NAME?</v>
      </c>
      <c r="U65" s="485"/>
    </row>
    <row r="66" spans="1:21" s="440" customFormat="1" ht="25.5">
      <c r="A66" s="497"/>
      <c r="B66" s="498"/>
      <c r="C66" s="448"/>
      <c r="D66" s="448"/>
      <c r="E66" s="448"/>
      <c r="F66" s="448"/>
      <c r="G66" s="448"/>
      <c r="H66" s="448"/>
      <c r="I66" s="484"/>
      <c r="J66" s="448"/>
      <c r="K66" s="448"/>
      <c r="L66" s="499" t="s">
        <v>412</v>
      </c>
      <c r="M66" s="499" t="e">
        <f ca="1">SUM(M54:M65)</f>
        <v>#VALUE!</v>
      </c>
      <c r="N66" s="500" t="e">
        <f ca="1">SUM(N54:N65)</f>
        <v>#VALUE!</v>
      </c>
      <c r="O66" s="501" t="e">
        <f ca="1">SUM(O54:O65)</f>
        <v>#VALUE!</v>
      </c>
      <c r="P66" s="464" t="s">
        <v>413</v>
      </c>
      <c r="Q66" s="483">
        <f ca="1">VLOOKUP(VLOOKUP(I51,Worksheet!$A$18:$B$31,2),'1Test Data'!$O$30:$AJ$49,22,0)</f>
        <v>3.5923988388601198E-4</v>
      </c>
      <c r="R66" s="453"/>
      <c r="S66" s="465" t="e">
        <f ca="1">SUM(S54:S65)</f>
        <v>#VALUE!</v>
      </c>
      <c r="T66" s="465" t="e">
        <f ca="1">SUM(T54:T65)</f>
        <v>#VALUE!</v>
      </c>
      <c r="U66" s="455"/>
    </row>
    <row r="67" spans="1:21" s="440" customFormat="1">
      <c r="A67" s="504"/>
      <c r="B67" s="448"/>
      <c r="C67" s="498" t="s">
        <v>414</v>
      </c>
      <c r="D67" s="448"/>
      <c r="E67" s="448"/>
      <c r="F67" s="448"/>
      <c r="G67" s="448"/>
      <c r="H67" s="448"/>
      <c r="I67" s="448"/>
      <c r="J67" s="448"/>
      <c r="K67" s="448"/>
      <c r="L67" s="505"/>
      <c r="M67" s="505"/>
      <c r="N67" s="505"/>
      <c r="O67" s="505"/>
      <c r="P67" s="464" t="s">
        <v>394</v>
      </c>
      <c r="Q67" s="483">
        <f ca="1">VLOOKUP(VLOOKUP(I51,Worksheet!$A$18:$B$31,2),'1Test Data'!$O$30:$AK$49,23,0)</f>
        <v>0</v>
      </c>
      <c r="R67" s="453"/>
      <c r="S67" s="453"/>
      <c r="T67" s="453"/>
      <c r="U67" s="455"/>
    </row>
    <row r="68" spans="1:21" s="440" customFormat="1" ht="13.5" customHeight="1">
      <c r="A68" s="504"/>
      <c r="B68" s="448"/>
      <c r="C68" s="1090" t="s">
        <v>415</v>
      </c>
      <c r="D68" s="1091"/>
      <c r="E68" s="1091"/>
      <c r="F68" s="1091"/>
      <c r="G68" s="1092"/>
      <c r="H68" s="448"/>
      <c r="I68" s="448"/>
      <c r="J68" s="448"/>
      <c r="K68" s="448"/>
      <c r="L68" s="506" t="s">
        <v>416</v>
      </c>
      <c r="M68" s="507" t="e">
        <f ca="1">M66^0.5</f>
        <v>#VALUE!</v>
      </c>
      <c r="N68" s="508" t="str">
        <f>Uncert!$F$4</f>
        <v>ABS kPa</v>
      </c>
      <c r="O68" s="505" t="e">
        <f ca="1">(M66-M57-M62-M64-M65)^0.5</f>
        <v>#VALUE!</v>
      </c>
      <c r="P68" s="464" t="s">
        <v>396</v>
      </c>
      <c r="Q68" s="483">
        <f ca="1">VLOOKUP(VLOOKUP(I51,Worksheet!$A$18:$B$31,2),'1Test Data'!$O$30:$AL$49,24,0)</f>
        <v>1.269097E-18</v>
      </c>
      <c r="R68" s="453"/>
      <c r="S68" s="453"/>
      <c r="T68" s="453"/>
      <c r="U68" s="455"/>
    </row>
    <row r="69" spans="1:21" s="440" customFormat="1">
      <c r="A69" s="504"/>
      <c r="B69" s="448"/>
      <c r="C69" s="1093"/>
      <c r="D69" s="1094"/>
      <c r="E69" s="1094"/>
      <c r="F69" s="1094"/>
      <c r="G69" s="1095"/>
      <c r="H69" s="448"/>
      <c r="I69" s="448"/>
      <c r="J69" s="448"/>
      <c r="K69" s="448"/>
      <c r="L69" s="506" t="s">
        <v>417</v>
      </c>
      <c r="M69" s="507" t="e">
        <f ca="1">M68^4/N66</f>
        <v>#VALUE!</v>
      </c>
      <c r="N69" s="509"/>
      <c r="O69" s="510" t="e">
        <f ca="1">O68^4/(N66-N57-N62-N64-N65)</f>
        <v>#VALUE!</v>
      </c>
      <c r="P69" s="464" t="s">
        <v>201</v>
      </c>
      <c r="Q69" s="483">
        <f ca="1">VLOOKUP(VLOOKUP(I51,Worksheet!$A$18:$B$31,2),'1Test Data'!$O$30:$AM$49,25,0)</f>
        <v>1</v>
      </c>
      <c r="R69" s="453"/>
      <c r="S69" s="453"/>
      <c r="T69" s="453"/>
      <c r="U69" s="455"/>
    </row>
    <row r="70" spans="1:21" s="440" customFormat="1">
      <c r="A70" s="504"/>
      <c r="B70" s="448"/>
      <c r="C70" s="1093"/>
      <c r="D70" s="1094"/>
      <c r="E70" s="1094"/>
      <c r="F70" s="1094"/>
      <c r="G70" s="1095"/>
      <c r="H70" s="448"/>
      <c r="I70" s="448"/>
      <c r="J70" s="448"/>
      <c r="K70" s="448"/>
      <c r="L70" s="506" t="s">
        <v>418</v>
      </c>
      <c r="M70" s="507" t="e">
        <f ca="1">TINV(0.05,M69)</f>
        <v>#VALUE!</v>
      </c>
      <c r="N70" s="508"/>
      <c r="O70" s="507" t="e">
        <f ca="1">TINV(0.05,O69)</f>
        <v>#VALUE!</v>
      </c>
      <c r="P70" s="464" t="s">
        <v>88</v>
      </c>
      <c r="Q70" s="483">
        <f ca="1">VLOOKUP(VLOOKUP(I51,Worksheet!$A$18:$B$31,2),'1Test Data'!$O$30:$AN$49,26,0)</f>
        <v>1.7722764049999999E-15</v>
      </c>
      <c r="R70" s="453"/>
      <c r="S70" s="453"/>
      <c r="T70" s="453"/>
      <c r="U70" s="455"/>
    </row>
    <row r="71" spans="1:21" s="440" customFormat="1">
      <c r="A71" s="504"/>
      <c r="B71" s="448"/>
      <c r="C71" s="1093"/>
      <c r="D71" s="1094"/>
      <c r="E71" s="1094"/>
      <c r="F71" s="1094"/>
      <c r="G71" s="1095"/>
      <c r="H71" s="448"/>
      <c r="I71" s="448"/>
      <c r="J71" s="448"/>
      <c r="K71" s="448"/>
      <c r="L71" s="506" t="s">
        <v>419</v>
      </c>
      <c r="M71" s="507" t="e">
        <f ca="1">M68*M70</f>
        <v>#VALUE!</v>
      </c>
      <c r="N71" s="508" t="str">
        <f>Uncert!$F$4</f>
        <v>ABS kPa</v>
      </c>
      <c r="O71" s="507" t="e">
        <f ca="1">O68*O70</f>
        <v>#VALUE!</v>
      </c>
      <c r="P71" s="464" t="s">
        <v>420</v>
      </c>
      <c r="Q71" s="483">
        <f ca="1">ABS(Q67*F51^3+Q68*F51^2+Q69*F51+Q70)</f>
        <v>1.7722764049999999E-15</v>
      </c>
      <c r="R71" s="453"/>
      <c r="S71" s="453"/>
      <c r="T71" s="453"/>
      <c r="U71" s="455"/>
    </row>
    <row r="72" spans="1:21" s="440" customFormat="1">
      <c r="A72" s="497"/>
      <c r="B72" s="498"/>
      <c r="C72" s="1096"/>
      <c r="D72" s="1097"/>
      <c r="E72" s="1097"/>
      <c r="F72" s="1097"/>
      <c r="G72" s="1098"/>
      <c r="H72" s="448"/>
      <c r="I72" s="448"/>
      <c r="J72" s="511"/>
      <c r="K72" s="511"/>
      <c r="L72" s="512" t="s">
        <v>421</v>
      </c>
      <c r="M72" s="513" t="e">
        <f ca="1">M71</f>
        <v>#VALUE!</v>
      </c>
      <c r="N72" s="514" t="str">
        <f>Uncert!$F$4</f>
        <v>ABS kPa</v>
      </c>
      <c r="O72" s="513" t="e">
        <f ca="1">O71</f>
        <v>#VALUE!</v>
      </c>
      <c r="P72" s="464" t="s">
        <v>422</v>
      </c>
      <c r="Q72" s="483">
        <f ca="1">VLOOKUP(VLOOKUP(I51,Worksheet!$A$18:$B$31,2),'1Test Data'!$O$30:$AP$49,28,0)</f>
        <v>0</v>
      </c>
      <c r="R72" s="453"/>
      <c r="S72" s="453"/>
      <c r="T72" s="453"/>
      <c r="U72" s="455"/>
    </row>
    <row r="73" spans="1:21" s="440" customFormat="1">
      <c r="A73" s="497"/>
      <c r="B73" s="498"/>
      <c r="C73" s="498" t="s">
        <v>423</v>
      </c>
      <c r="D73" s="448"/>
      <c r="E73" s="448"/>
      <c r="F73" s="448"/>
      <c r="G73" s="448"/>
      <c r="H73" s="515" t="e">
        <f>"N " &amp; ReadoutType</f>
        <v>#NAME?</v>
      </c>
      <c r="I73" s="516" t="e">
        <f ca="1">($O74/$K62)</f>
        <v>#VALUE!</v>
      </c>
      <c r="J73" s="448"/>
      <c r="K73" s="448"/>
      <c r="L73" s="505"/>
      <c r="M73" s="517" t="e">
        <f ca="1">(M72/F51)*100</f>
        <v>#VALUE!</v>
      </c>
      <c r="N73" s="518" t="s">
        <v>78</v>
      </c>
      <c r="O73" s="517"/>
      <c r="P73" s="519"/>
      <c r="Q73" s="519"/>
      <c r="R73" s="453"/>
      <c r="S73" s="453"/>
      <c r="T73" s="453"/>
      <c r="U73" s="455"/>
    </row>
    <row r="74" spans="1:21" s="440" customFormat="1">
      <c r="A74" s="497"/>
      <c r="B74" s="498"/>
      <c r="C74" s="520" t="s">
        <v>33</v>
      </c>
      <c r="D74" s="521" t="str">
        <f ca="1">Gravity</f>
        <v/>
      </c>
      <c r="E74" s="520" t="s">
        <v>36</v>
      </c>
      <c r="F74" s="522"/>
      <c r="G74" s="523"/>
      <c r="H74" s="524" t="e">
        <f>ReadoutType</f>
        <v>#NAME?</v>
      </c>
      <c r="I74" s="516" t="e">
        <f ca="1">($M74/$K62)</f>
        <v>#VALUE!</v>
      </c>
      <c r="J74" s="1103" t="s">
        <v>424</v>
      </c>
      <c r="K74" s="1104"/>
      <c r="L74" s="1104"/>
      <c r="M74" s="525" t="e">
        <f ca="1">IF(NATA="Y",IF(M72&lt;Scopekpa,IF(Scopekpa&lt;((F51/100)*ScopeReading),((F51/100)*ScopeReading),Scopekpa),IF(M72&lt;((F51/100)*ScopeReading),((F51/100)*ScopeReading),M72)),Uncert!M72)</f>
        <v>#VALUE!</v>
      </c>
      <c r="N74" s="522" t="s">
        <v>425</v>
      </c>
      <c r="O74" s="525" t="e">
        <f ca="1">IF(NATA="Y",IF(O72&lt;Scopekpa,IF(Scopekpa&lt;((F51/100)*ScopeReading),((F51/100)*ScopeReading),Scopekpa),IF(O72&lt;((F51/100)*ScopeReading),((F51/100)*ScopeReading),O72)),Uncert!O72)</f>
        <v>#VALUE!</v>
      </c>
      <c r="P74" s="522"/>
      <c r="Q74" s="522"/>
      <c r="R74" s="453"/>
      <c r="S74" s="453"/>
      <c r="T74" s="453"/>
      <c r="U74" s="455"/>
    </row>
    <row r="75" spans="1:21" s="440" customFormat="1" ht="14.25" thickBot="1">
      <c r="A75" s="526" t="str">
        <f>"Worksheet!A" &amp; 17+(ROW()/25)</f>
        <v>Worksheet!A20</v>
      </c>
      <c r="B75" s="527"/>
      <c r="C75" s="527"/>
      <c r="D75" s="528">
        <f>ROW()/25</f>
        <v>3</v>
      </c>
      <c r="E75" s="529"/>
      <c r="F75" s="529"/>
      <c r="G75" s="529"/>
      <c r="H75" s="529"/>
      <c r="I75" s="530"/>
      <c r="J75" s="1105" t="s">
        <v>424</v>
      </c>
      <c r="K75" s="1105"/>
      <c r="L75" s="1105"/>
      <c r="M75" s="531" t="e">
        <f ca="1">IF(NATA="Y",IF(M73&lt;ScopeReading,ScopeReading,M73),M73)</f>
        <v>#VALUE!</v>
      </c>
      <c r="N75" s="532" t="s">
        <v>78</v>
      </c>
      <c r="O75" s="531"/>
      <c r="P75" s="532"/>
      <c r="Q75" s="527"/>
      <c r="R75" s="527"/>
      <c r="S75" s="527"/>
      <c r="T75" s="527"/>
      <c r="U75" s="533"/>
    </row>
    <row r="76" spans="1:21" s="440" customFormat="1">
      <c r="A76" s="1099" t="e">
        <f ca="1">"Uncertainty Budget: Digital Pressure Gauge (" &amp; Q76&amp; ", "&amp; Q77 &amp; H76 &amp;" x " &amp; Division   &amp;H76 &amp; " )" &amp; " Test Point "&amp;D100</f>
        <v>#N/A</v>
      </c>
      <c r="B76" s="1100"/>
      <c r="C76" s="1100"/>
      <c r="D76" s="1100"/>
      <c r="E76" s="1100"/>
      <c r="F76" s="1101">
        <f ca="1">ABS(I76*UnitConvert)</f>
        <v>0</v>
      </c>
      <c r="G76" s="1102"/>
      <c r="H76" s="428" t="s">
        <v>371</v>
      </c>
      <c r="I76" s="429">
        <f ca="1">INDIRECT(A100)</f>
        <v>0</v>
      </c>
      <c r="J76" s="430" t="str">
        <f>_xlfn.SINGLE(Units)</f>
        <v>mm</v>
      </c>
      <c r="K76" s="431" t="e">
        <f ca="1">IF(C79="","","Uncertainty (U) = ±"&amp;TEXT(M97,"0.0")&amp;$F$4&amp;",  &amp;  (k="&amp;TEXT(M95,"0.00")&amp;", confidence level=95%)")</f>
        <v>#N/A</v>
      </c>
      <c r="L76" s="432"/>
      <c r="M76" s="432"/>
      <c r="N76" s="432"/>
      <c r="O76" s="433"/>
      <c r="P76" s="434" t="s">
        <v>372</v>
      </c>
      <c r="Q76" s="435" t="e">
        <f ca="1">VLOOKUP(VLOOKUP(I76,Worksheet!$A$18:$B$31,2),'1Test Data'!$M$6:$O$10,2,0)</f>
        <v>#N/A</v>
      </c>
      <c r="R76" s="436"/>
      <c r="S76" s="436"/>
      <c r="T76" s="437" t="str">
        <f ca="1">"TEX Ver "&amp;Mods!$A$1</f>
        <v>TEX Ver TAS-SST001v1</v>
      </c>
      <c r="U76" s="438"/>
    </row>
    <row r="77" spans="1:21" s="440" customFormat="1">
      <c r="A77" s="442" t="s">
        <v>373</v>
      </c>
      <c r="B77" s="443"/>
      <c r="C77" s="444"/>
      <c r="D77" s="445" t="s">
        <v>374</v>
      </c>
      <c r="E77" s="446" t="e">
        <f ca="1">Q77</f>
        <v>#N/A</v>
      </c>
      <c r="F77" s="447"/>
      <c r="G77" s="447" t="e">
        <f ca="1">ROUND(M97/(F76/100),2)&amp;"% of Full Scale"</f>
        <v>#N/A</v>
      </c>
      <c r="H77" s="448"/>
      <c r="I77" s="448"/>
      <c r="J77" s="449" t="e">
        <f ca="1">M98</f>
        <v>#N/A</v>
      </c>
      <c r="K77" s="448"/>
      <c r="L77" s="450"/>
      <c r="M77" s="450"/>
      <c r="N77" s="450"/>
      <c r="O77" s="433"/>
      <c r="P77" s="451" t="s">
        <v>375</v>
      </c>
      <c r="Q77" s="452" t="e">
        <f ca="1">VLOOKUP(VLOOKUP(I76,Worksheet!$A$18:$B$31,2),'1Test Data'!$O$30:$T$49,6,0)</f>
        <v>#N/A</v>
      </c>
      <c r="R77" s="453">
        <v>0</v>
      </c>
      <c r="S77" s="453"/>
      <c r="T77" s="454">
        <f ca="1">Mods!$A$4</f>
        <v>45809.486168981479</v>
      </c>
      <c r="U77" s="455"/>
    </row>
    <row r="78" spans="1:21" s="440" customFormat="1" ht="38.25">
      <c r="A78" s="458" t="s">
        <v>376</v>
      </c>
      <c r="B78" s="459" t="s">
        <v>377</v>
      </c>
      <c r="C78" s="460" t="s">
        <v>378</v>
      </c>
      <c r="D78" s="460" t="s">
        <v>379</v>
      </c>
      <c r="E78" s="460" t="s">
        <v>380</v>
      </c>
      <c r="F78" s="460" t="s">
        <v>381</v>
      </c>
      <c r="G78" s="460" t="s">
        <v>178</v>
      </c>
      <c r="H78" s="461" t="s">
        <v>382</v>
      </c>
      <c r="I78" s="461" t="s">
        <v>383</v>
      </c>
      <c r="J78" s="462" t="s">
        <v>384</v>
      </c>
      <c r="K78" s="463" t="s">
        <v>385</v>
      </c>
      <c r="L78" s="461" t="s">
        <v>386</v>
      </c>
      <c r="M78" s="461" t="s">
        <v>387</v>
      </c>
      <c r="N78" s="461" t="s">
        <v>388</v>
      </c>
      <c r="O78" s="461" t="s">
        <v>389</v>
      </c>
      <c r="P78" s="464" t="s">
        <v>390</v>
      </c>
      <c r="Q78" s="452" t="e">
        <f ca="1">VLOOKUP(VLOOKUP(I76,Worksheet!$A$18:$B$31,2),'1Test Data'!$O$30:$V$49,8,0)</f>
        <v>#N/A</v>
      </c>
      <c r="R78" s="465" t="s">
        <v>391</v>
      </c>
      <c r="S78" s="465" t="s">
        <v>391</v>
      </c>
      <c r="T78" s="466" t="s">
        <v>392</v>
      </c>
      <c r="U78" s="467"/>
    </row>
    <row r="79" spans="1:21" s="440" customFormat="1" ht="18" customHeight="1">
      <c r="A79" s="470">
        <v>1</v>
      </c>
      <c r="B79" s="471">
        <f>$B$4</f>
        <v>1</v>
      </c>
      <c r="C79" s="472" t="e">
        <f ca="1">"Reference Device  ("&amp;Q77&amp;" Druck Transducer) + Sey
Uncertainty from Calibration Report - "&amp;Q76</f>
        <v>#N/A</v>
      </c>
      <c r="D79" s="471" t="s">
        <v>393</v>
      </c>
      <c r="E79" s="473" t="e">
        <f ca="1">Q83+Q84</f>
        <v>#N/A</v>
      </c>
      <c r="F79" s="474" t="str">
        <f>H76</f>
        <v>ABS kPa</v>
      </c>
      <c r="G79" s="475" t="str">
        <f>IF(OR(D79="",B79=0),"",IF(D79="ESDM","A","B"))</f>
        <v>B</v>
      </c>
      <c r="H79" s="476" t="e">
        <f ca="1">IF(OR(E79="",B79=0),"",IF(D79="ESDM",1,IF(D79="N95",2,IF(D79="Rect",(3^0.5)))))</f>
        <v>#N/A</v>
      </c>
      <c r="I79" s="477">
        <f>IF(D79="N95",60,100)</f>
        <v>60</v>
      </c>
      <c r="J79" s="478" t="e">
        <f ca="1">IF(OR(E79="",B79=0),"",(E79/H79))</f>
        <v>#N/A</v>
      </c>
      <c r="K79" s="479">
        <v>1</v>
      </c>
      <c r="L79" s="480" t="e">
        <f ca="1">IF(OR(E79="",B79=0),"",K79*J79)</f>
        <v>#N/A</v>
      </c>
      <c r="M79" s="480" t="e">
        <f t="shared" ref="M79:M90" ca="1" si="30">IF(OR(E79="",B79=0),"0",L79^2)</f>
        <v>#N/A</v>
      </c>
      <c r="N79" s="481" t="e">
        <f t="shared" ref="N79:N90" ca="1" si="31">IF(OR(D79="",B79=0),"0",(L79)^4/I79)</f>
        <v>#N/A</v>
      </c>
      <c r="O79" s="482" t="e">
        <f t="shared" ref="O79:O90" ca="1" si="32">T79</f>
        <v>#N/A</v>
      </c>
      <c r="P79" s="464" t="s">
        <v>394</v>
      </c>
      <c r="Q79" s="483" t="e">
        <f ca="1">VLOOKUP(VLOOKUP(I76,Worksheet!$A$18:$B$31,2),'1Test Data'!$O$30:$Y$49,11,0)</f>
        <v>#N/A</v>
      </c>
      <c r="R79" s="484" t="e">
        <f ca="1">IF(OR(E79="",B79=0),"",K79*J79)</f>
        <v>#N/A</v>
      </c>
      <c r="S79" s="465" t="e">
        <f ca="1">IF(OR(E79="",B79=0),"",ABS(R79))</f>
        <v>#N/A</v>
      </c>
      <c r="T79" s="465" t="e">
        <f ca="1">IF(OR(E79="",B79=0),"",ABS(L79/S91))</f>
        <v>#N/A</v>
      </c>
      <c r="U79" s="485"/>
    </row>
    <row r="80" spans="1:21" s="440" customFormat="1" ht="27" customHeight="1">
      <c r="A80" s="470">
        <v>2</v>
      </c>
      <c r="B80" s="471">
        <f>$B$5</f>
        <v>1</v>
      </c>
      <c r="C80" s="472" t="e">
        <f ca="1">"Reference Device  Specs +Sey
(" &amp; Q77 &amp; H76 &amp; " Druck Transducer)
"&amp;Q78 &amp; "% of F.S. from Calibration Report - " &amp; Q76</f>
        <v>#N/A</v>
      </c>
      <c r="D80" s="471" t="s">
        <v>395</v>
      </c>
      <c r="E80" s="473" t="e">
        <f ca="1">Q96+Q97</f>
        <v>#N/A</v>
      </c>
      <c r="F80" s="474" t="e">
        <f ca="1">IF(OR(E80="",B80=0),"",$F$4)</f>
        <v>#N/A</v>
      </c>
      <c r="G80" s="475" t="str">
        <f t="shared" ref="G80:G90" si="33">IF(OR(D80="",B80=0),"",IF(D80="ESDM","A","B"))</f>
        <v>B</v>
      </c>
      <c r="H80" s="476" t="e">
        <f t="shared" ref="H80:H90" ca="1" si="34">IF(OR(E80="",B80=0),"",IF(D80="ESDM",1,IF(D80="N95",2,IF(D80="Rect",(3^0.5)))))</f>
        <v>#N/A</v>
      </c>
      <c r="I80" s="477">
        <f t="shared" ref="I80:I90" si="35">IF(D80="N95",60,100)</f>
        <v>100</v>
      </c>
      <c r="J80" s="478" t="e">
        <f t="shared" ref="J80:J90" ca="1" si="36">IF(OR(E80="",B80=0),"",(E80/H80))</f>
        <v>#N/A</v>
      </c>
      <c r="K80" s="479">
        <v>1</v>
      </c>
      <c r="L80" s="480" t="e">
        <f t="shared" ref="L80:L90" ca="1" si="37">IF(OR(E80="",B80=0),"",K80*J80)</f>
        <v>#N/A</v>
      </c>
      <c r="M80" s="480" t="e">
        <f t="shared" ca="1" si="30"/>
        <v>#N/A</v>
      </c>
      <c r="N80" s="481" t="e">
        <f t="shared" ca="1" si="31"/>
        <v>#N/A</v>
      </c>
      <c r="O80" s="482" t="e">
        <f t="shared" ca="1" si="32"/>
        <v>#N/A</v>
      </c>
      <c r="P80" s="464" t="s">
        <v>396</v>
      </c>
      <c r="Q80" s="483" t="e">
        <f ca="1">VLOOKUP(VLOOKUP(I76,Worksheet!$A$18:$B$31,2),'1Test Data'!$O$30:$Z$49,12,0)</f>
        <v>#N/A</v>
      </c>
      <c r="R80" s="484" t="e">
        <f t="shared" ref="R80:R90" ca="1" si="38">IF(OR(E80="",B80=0),"",K80*J80)</f>
        <v>#N/A</v>
      </c>
      <c r="S80" s="465" t="e">
        <f t="shared" ref="S80:S90" ca="1" si="39">IF(OR(E80="",B80=0),"",ABS(R80))</f>
        <v>#N/A</v>
      </c>
      <c r="T80" s="465" t="e">
        <f ca="1">IF(OR(E80="",B80=0),"",ABS(L80/S91))</f>
        <v>#N/A</v>
      </c>
      <c r="U80" s="485"/>
    </row>
    <row r="81" spans="1:21" s="440" customFormat="1" ht="18">
      <c r="A81" s="470">
        <v>3</v>
      </c>
      <c r="B81" s="471">
        <f>$B$6</f>
        <v>1</v>
      </c>
      <c r="C81" s="472" t="s">
        <v>397</v>
      </c>
      <c r="D81" s="471" t="s">
        <v>395</v>
      </c>
      <c r="E81" s="473" t="e">
        <f ca="1">Q85*F76/100</f>
        <v>#N/A</v>
      </c>
      <c r="F81" s="474" t="e">
        <f ca="1">IF(OR(E81="",B81=0),"",$F$4)</f>
        <v>#N/A</v>
      </c>
      <c r="G81" s="475" t="str">
        <f t="shared" si="33"/>
        <v>B</v>
      </c>
      <c r="H81" s="476" t="e">
        <f t="shared" ca="1" si="34"/>
        <v>#N/A</v>
      </c>
      <c r="I81" s="477">
        <f t="shared" si="35"/>
        <v>100</v>
      </c>
      <c r="J81" s="478" t="e">
        <f t="shared" ca="1" si="36"/>
        <v>#N/A</v>
      </c>
      <c r="K81" s="479">
        <v>1</v>
      </c>
      <c r="L81" s="480" t="e">
        <f t="shared" ca="1" si="37"/>
        <v>#N/A</v>
      </c>
      <c r="M81" s="480" t="e">
        <f t="shared" ca="1" si="30"/>
        <v>#N/A</v>
      </c>
      <c r="N81" s="481" t="e">
        <f t="shared" ca="1" si="31"/>
        <v>#N/A</v>
      </c>
      <c r="O81" s="482" t="e">
        <f t="shared" ca="1" si="32"/>
        <v>#N/A</v>
      </c>
      <c r="P81" s="464" t="s">
        <v>201</v>
      </c>
      <c r="Q81" s="483" t="e">
        <f ca="1">VLOOKUP(VLOOKUP(I76,Worksheet!$A$18:$B$31,2),'1Test Data'!$O$30:$AA$49,13,0)</f>
        <v>#N/A</v>
      </c>
      <c r="R81" s="484" t="e">
        <f t="shared" ca="1" si="38"/>
        <v>#N/A</v>
      </c>
      <c r="S81" s="465" t="e">
        <f t="shared" ca="1" si="39"/>
        <v>#N/A</v>
      </c>
      <c r="T81" s="465" t="e">
        <f ca="1">IF(OR(E81="",B81=0),"",ABS(L81/S91))</f>
        <v>#N/A</v>
      </c>
      <c r="U81" s="485"/>
    </row>
    <row r="82" spans="1:21" s="440" customFormat="1" ht="18" customHeight="1">
      <c r="A82" s="470">
        <v>4</v>
      </c>
      <c r="B82" s="471" t="e">
        <f>$B$7</f>
        <v>#NAME?</v>
      </c>
      <c r="C82" s="472" t="s">
        <v>398</v>
      </c>
      <c r="D82" s="471" t="s">
        <v>395</v>
      </c>
      <c r="E82" s="473">
        <f>EDMS*UnitConvert</f>
        <v>0</v>
      </c>
      <c r="F82" s="474" t="e">
        <f>IF(OR(E82="",B82=0),"",$F$4)</f>
        <v>#NAME?</v>
      </c>
      <c r="G82" s="475" t="e">
        <f t="shared" si="33"/>
        <v>#NAME?</v>
      </c>
      <c r="H82" s="476" t="e">
        <f t="shared" si="34"/>
        <v>#NAME?</v>
      </c>
      <c r="I82" s="477">
        <f t="shared" si="35"/>
        <v>100</v>
      </c>
      <c r="J82" s="478" t="e">
        <f t="shared" si="36"/>
        <v>#NAME?</v>
      </c>
      <c r="K82" s="479">
        <v>1</v>
      </c>
      <c r="L82" s="480" t="e">
        <f t="shared" si="37"/>
        <v>#NAME?</v>
      </c>
      <c r="M82" s="480" t="e">
        <f t="shared" si="30"/>
        <v>#NAME?</v>
      </c>
      <c r="N82" s="481" t="e">
        <f t="shared" si="31"/>
        <v>#NAME?</v>
      </c>
      <c r="O82" s="482" t="e">
        <f t="shared" si="32"/>
        <v>#NAME?</v>
      </c>
      <c r="P82" s="464" t="s">
        <v>88</v>
      </c>
      <c r="Q82" s="483" t="e">
        <f ca="1">VLOOKUP(VLOOKUP(I76,Worksheet!$A$18:$B$31,2),'1Test Data'!$O$30:$AB$49,14,0)</f>
        <v>#N/A</v>
      </c>
      <c r="R82" s="484" t="e">
        <f t="shared" si="38"/>
        <v>#NAME?</v>
      </c>
      <c r="S82" s="465" t="e">
        <f t="shared" si="39"/>
        <v>#NAME?</v>
      </c>
      <c r="T82" s="465" t="e">
        <f>IF(OR(E82="",B82=0),"",ABS(L82/S91))</f>
        <v>#NAME?</v>
      </c>
      <c r="U82" s="485"/>
    </row>
    <row r="83" spans="1:21" s="440" customFormat="1" ht="27">
      <c r="A83" s="470">
        <v>5</v>
      </c>
      <c r="B83" s="471">
        <f>$B$8</f>
        <v>0</v>
      </c>
      <c r="C83" s="472" t="str">
        <f>C33</f>
        <v>Gravity -0.001 m/s2 Sensitivity = Test Pressure / Gravity</v>
      </c>
      <c r="D83" s="471" t="s">
        <v>395</v>
      </c>
      <c r="E83" s="473">
        <f>E8</f>
        <v>1E-3</v>
      </c>
      <c r="F83" s="474" t="s">
        <v>400</v>
      </c>
      <c r="G83" s="475" t="str">
        <f t="shared" si="33"/>
        <v/>
      </c>
      <c r="H83" s="476" t="str">
        <f t="shared" si="34"/>
        <v/>
      </c>
      <c r="I83" s="477">
        <f t="shared" si="35"/>
        <v>100</v>
      </c>
      <c r="J83" s="478" t="str">
        <f t="shared" si="36"/>
        <v/>
      </c>
      <c r="K83" s="479">
        <f ca="1">F76*E83</f>
        <v>0</v>
      </c>
      <c r="L83" s="480" t="str">
        <f t="shared" si="37"/>
        <v/>
      </c>
      <c r="M83" s="480" t="str">
        <f t="shared" si="30"/>
        <v>0</v>
      </c>
      <c r="N83" s="481" t="str">
        <f t="shared" si="31"/>
        <v>0</v>
      </c>
      <c r="O83" s="482" t="str">
        <f>IFERROR(T83,0)</f>
        <v/>
      </c>
      <c r="P83" s="492" t="s">
        <v>401</v>
      </c>
      <c r="Q83" s="493" t="e">
        <f ca="1">ABS(Q79*F76^3+Q80*F76^2+Q81*F76+Q82)</f>
        <v>#N/A</v>
      </c>
      <c r="R83" s="484" t="str">
        <f t="shared" si="38"/>
        <v/>
      </c>
      <c r="S83" s="465" t="str">
        <f t="shared" si="39"/>
        <v/>
      </c>
      <c r="T83" s="465" t="str">
        <f>IF(OR(E83="",B83=0),"",ABS(L83/S91))</f>
        <v/>
      </c>
      <c r="U83" s="485"/>
    </row>
    <row r="84" spans="1:21" s="440" customFormat="1" ht="27">
      <c r="A84" s="470">
        <v>6</v>
      </c>
      <c r="B84" s="471">
        <f>$B$9</f>
        <v>0</v>
      </c>
      <c r="C84" s="472" t="s">
        <v>402</v>
      </c>
      <c r="D84" s="471" t="s">
        <v>395</v>
      </c>
      <c r="E84" s="473">
        <v>2</v>
      </c>
      <c r="F84" s="474" t="s">
        <v>403</v>
      </c>
      <c r="G84" s="475" t="str">
        <f t="shared" si="33"/>
        <v/>
      </c>
      <c r="H84" s="476" t="str">
        <f t="shared" si="34"/>
        <v/>
      </c>
      <c r="I84" s="477">
        <f t="shared" si="35"/>
        <v>100</v>
      </c>
      <c r="J84" s="478" t="str">
        <f t="shared" si="36"/>
        <v/>
      </c>
      <c r="K84" s="479">
        <f ca="1">F76*-0.000022</f>
        <v>0</v>
      </c>
      <c r="L84" s="480" t="str">
        <f t="shared" si="37"/>
        <v/>
      </c>
      <c r="M84" s="480" t="str">
        <f t="shared" si="30"/>
        <v>0</v>
      </c>
      <c r="N84" s="481" t="str">
        <f t="shared" si="31"/>
        <v>0</v>
      </c>
      <c r="O84" s="482" t="str">
        <f t="shared" si="32"/>
        <v/>
      </c>
      <c r="P84" s="494" t="s">
        <v>404</v>
      </c>
      <c r="Q84" s="483" t="e">
        <f ca="1">VLOOKUP(VLOOKUP(I76,Worksheet!$A$18:$B$31,2),'1Test Data'!$O$30:$AD$49,14,0)</f>
        <v>#N/A</v>
      </c>
      <c r="R84" s="484" t="str">
        <f t="shared" si="38"/>
        <v/>
      </c>
      <c r="S84" s="465" t="str">
        <f t="shared" si="39"/>
        <v/>
      </c>
      <c r="T84" s="465" t="str">
        <f>IF(OR(E84="",B84=0),"",ABS(L84/S91))</f>
        <v/>
      </c>
      <c r="U84" s="485"/>
    </row>
    <row r="85" spans="1:21" s="440" customFormat="1" ht="27">
      <c r="A85" s="470">
        <v>7</v>
      </c>
      <c r="B85" s="471">
        <f>$B$10</f>
        <v>0</v>
      </c>
      <c r="C85" s="472" t="s">
        <v>405</v>
      </c>
      <c r="D85" s="471" t="s">
        <v>395</v>
      </c>
      <c r="E85" s="473">
        <v>0.5</v>
      </c>
      <c r="F85" s="474" t="s">
        <v>406</v>
      </c>
      <c r="G85" s="475" t="str">
        <f t="shared" si="33"/>
        <v/>
      </c>
      <c r="H85" s="476" t="str">
        <f t="shared" si="34"/>
        <v/>
      </c>
      <c r="I85" s="477">
        <f t="shared" si="35"/>
        <v>100</v>
      </c>
      <c r="J85" s="478" t="str">
        <f t="shared" si="36"/>
        <v/>
      </c>
      <c r="K85" s="479">
        <f ca="1">(0.098*F76)/1000</f>
        <v>0</v>
      </c>
      <c r="L85" s="480" t="str">
        <f t="shared" si="37"/>
        <v/>
      </c>
      <c r="M85" s="480" t="str">
        <f t="shared" si="30"/>
        <v>0</v>
      </c>
      <c r="N85" s="481" t="str">
        <f t="shared" si="31"/>
        <v>0</v>
      </c>
      <c r="O85" s="482" t="str">
        <f t="shared" si="32"/>
        <v/>
      </c>
      <c r="P85" s="464" t="s">
        <v>407</v>
      </c>
      <c r="Q85" s="452" t="e">
        <f ca="1">VLOOKUP(VLOOKUP(I76,Worksheet!$A$18:$B$31,2),'1Test Data'!$O$30:$X$49,10,0)</f>
        <v>#N/A</v>
      </c>
      <c r="R85" s="484" t="str">
        <f t="shared" si="38"/>
        <v/>
      </c>
      <c r="S85" s="465" t="str">
        <f t="shared" si="39"/>
        <v/>
      </c>
      <c r="T85" s="465" t="str">
        <f>IF(OR(E85="",B85=0),"",ABS(L85/S91))</f>
        <v/>
      </c>
      <c r="U85" s="485"/>
    </row>
    <row r="86" spans="1:21" s="440" customFormat="1" ht="27">
      <c r="A86" s="470">
        <v>8</v>
      </c>
      <c r="B86" s="471">
        <f>$B$11</f>
        <v>0</v>
      </c>
      <c r="C86" s="472" t="s">
        <v>408</v>
      </c>
      <c r="D86" s="471" t="s">
        <v>395</v>
      </c>
      <c r="E86" s="473">
        <v>0.05</v>
      </c>
      <c r="F86" s="474" t="s">
        <v>406</v>
      </c>
      <c r="G86" s="475" t="str">
        <f t="shared" si="33"/>
        <v/>
      </c>
      <c r="H86" s="476" t="str">
        <f t="shared" si="34"/>
        <v/>
      </c>
      <c r="I86" s="477">
        <f t="shared" si="35"/>
        <v>100</v>
      </c>
      <c r="J86" s="478" t="str">
        <f t="shared" si="36"/>
        <v/>
      </c>
      <c r="K86" s="479">
        <f ca="1">F76/8000</f>
        <v>0</v>
      </c>
      <c r="L86" s="480" t="str">
        <f t="shared" si="37"/>
        <v/>
      </c>
      <c r="M86" s="480" t="str">
        <f t="shared" si="30"/>
        <v>0</v>
      </c>
      <c r="N86" s="481" t="str">
        <f t="shared" si="31"/>
        <v>0</v>
      </c>
      <c r="O86" s="482" t="str">
        <f t="shared" si="32"/>
        <v/>
      </c>
      <c r="P86" s="464" t="s">
        <v>394</v>
      </c>
      <c r="Q86" s="483" t="e">
        <f ca="1">VLOOKUP(VLOOKUP(I76,Worksheet!$A$18:$B$31,2),'1Test Data'!$O$30:$AE$49,17,0)</f>
        <v>#N/A</v>
      </c>
      <c r="R86" s="484" t="str">
        <f t="shared" si="38"/>
        <v/>
      </c>
      <c r="S86" s="465" t="str">
        <f t="shared" si="39"/>
        <v/>
      </c>
      <c r="T86" s="465" t="str">
        <f>IF(OR(E86="",B86=0),"",ABS(L86/S91))</f>
        <v/>
      </c>
      <c r="U86" s="485"/>
    </row>
    <row r="87" spans="1:21" s="440" customFormat="1" ht="25.5" customHeight="1">
      <c r="A87" s="470">
        <v>9</v>
      </c>
      <c r="B87" s="471" t="e">
        <f>$B$12</f>
        <v>#NAME?</v>
      </c>
      <c r="C87" s="472" t="str">
        <f>"Electrical reference devise" &amp; '1Test Data'!$O$3 &amp;  CHAR(10) &amp; "SN: " &amp; '1Test Data'!$P$3 &amp; ", Cert No: " &amp; '1Test Data'!$Q$3</f>
        <v>Electrical reference devisea
SN: b, Cert No: c</v>
      </c>
      <c r="D87" s="471" t="s">
        <v>395</v>
      </c>
      <c r="E87" s="473">
        <f>ElectUncert</f>
        <v>2E-3</v>
      </c>
      <c r="F87" s="474" t="e">
        <f>IF(OR(E87="",B87=0),"",ReadoutType)</f>
        <v>#NAME?</v>
      </c>
      <c r="G87" s="475" t="e">
        <f t="shared" si="33"/>
        <v>#NAME?</v>
      </c>
      <c r="H87" s="476" t="e">
        <f t="shared" si="34"/>
        <v>#NAME?</v>
      </c>
      <c r="I87" s="477">
        <f t="shared" si="35"/>
        <v>100</v>
      </c>
      <c r="J87" s="478" t="e">
        <f t="shared" si="36"/>
        <v>#NAME?</v>
      </c>
      <c r="K87" s="479" t="e">
        <f>Capacity/(Upper-Lower)</f>
        <v>#NAME?</v>
      </c>
      <c r="L87" s="480" t="e">
        <f t="shared" si="37"/>
        <v>#NAME?</v>
      </c>
      <c r="M87" s="480" t="e">
        <f t="shared" si="30"/>
        <v>#NAME?</v>
      </c>
      <c r="N87" s="481" t="e">
        <f t="shared" si="31"/>
        <v>#NAME?</v>
      </c>
      <c r="O87" s="482" t="e">
        <f t="shared" si="32"/>
        <v>#NAME?</v>
      </c>
      <c r="P87" s="464" t="s">
        <v>396</v>
      </c>
      <c r="Q87" s="483" t="e">
        <f ca="1">VLOOKUP(VLOOKUP(I76,Worksheet!$A$18:$B$31,2),'1Test Data'!$O$30:$AF$49,18,0)</f>
        <v>#N/A</v>
      </c>
      <c r="R87" s="484" t="e">
        <f t="shared" si="38"/>
        <v>#NAME?</v>
      </c>
      <c r="S87" s="465" t="e">
        <f t="shared" si="39"/>
        <v>#NAME?</v>
      </c>
      <c r="T87" s="465" t="e">
        <f>IF(OR(E87="",B87=0),"",ABS(L87/S91))</f>
        <v>#NAME?</v>
      </c>
      <c r="U87" s="485"/>
    </row>
    <row r="88" spans="1:21" s="440" customFormat="1">
      <c r="A88" s="470">
        <v>10</v>
      </c>
      <c r="B88" s="471">
        <f>$B$13</f>
        <v>1</v>
      </c>
      <c r="C88" s="472" t="s">
        <v>409</v>
      </c>
      <c r="D88" s="471" t="s">
        <v>395</v>
      </c>
      <c r="E88" s="473">
        <f>Worksheet!D21*UnitConvert</f>
        <v>0</v>
      </c>
      <c r="F88" s="474" t="str">
        <f>IF(OR(E88="",B88=0),"",$F$4)</f>
        <v>ABS kPa</v>
      </c>
      <c r="G88" s="475" t="str">
        <f t="shared" si="33"/>
        <v>B</v>
      </c>
      <c r="H88" s="476">
        <f t="shared" si="34"/>
        <v>1.7320508075688772</v>
      </c>
      <c r="I88" s="477">
        <f t="shared" si="35"/>
        <v>100</v>
      </c>
      <c r="J88" s="478">
        <f t="shared" si="36"/>
        <v>0</v>
      </c>
      <c r="K88" s="479">
        <v>1</v>
      </c>
      <c r="L88" s="480">
        <f t="shared" si="37"/>
        <v>0</v>
      </c>
      <c r="M88" s="480">
        <f t="shared" si="30"/>
        <v>0</v>
      </c>
      <c r="N88" s="481">
        <f t="shared" si="31"/>
        <v>0</v>
      </c>
      <c r="O88" s="482" t="e">
        <f t="shared" ca="1" si="32"/>
        <v>#N/A</v>
      </c>
      <c r="P88" s="464" t="s">
        <v>201</v>
      </c>
      <c r="Q88" s="483" t="e">
        <f ca="1">VLOOKUP(VLOOKUP(I76,Worksheet!$A$18:$B$31,2),'1Test Data'!$O$30:$AG$49,19,0)</f>
        <v>#N/A</v>
      </c>
      <c r="R88" s="484">
        <f t="shared" si="38"/>
        <v>0</v>
      </c>
      <c r="S88" s="465">
        <f t="shared" si="39"/>
        <v>0</v>
      </c>
      <c r="T88" s="465" t="e">
        <f ca="1">IF(OR(E88="",B88=0),"",ABS(L88/S91))</f>
        <v>#N/A</v>
      </c>
      <c r="U88" s="485"/>
    </row>
    <row r="89" spans="1:21" s="440" customFormat="1" ht="13.5" customHeight="1">
      <c r="A89" s="470">
        <v>11</v>
      </c>
      <c r="B89" s="471" t="e">
        <f>$B$14</f>
        <v>#NAME?</v>
      </c>
      <c r="C89" s="496" t="e">
        <f>"DUT Type " &amp;ReadoutType&amp; " Resolution "&amp;Readability &amp; "kPa
Digital - Type B - Rect - 1/2 of  least count with D of F = 100 &amp; (k=1.73)
Analogue - Type B - N95 - Best scale readability with D of F = 60 &amp; k=2.00"</f>
        <v>#NAME?</v>
      </c>
      <c r="D89" s="471" t="e">
        <f>IF(ReadoutType="Digital","Rect","N95")</f>
        <v>#NAME?</v>
      </c>
      <c r="E89" s="473" t="e">
        <f>IF(Elect=1,($K87)/1000,IF(ReadoutType="Digital",Readability/2,Readability)*UnitConvert)</f>
        <v>#NAME?</v>
      </c>
      <c r="F89" s="474" t="e">
        <f>IF(OR(E89="",B89=0),"",$F$4)</f>
        <v>#NAME?</v>
      </c>
      <c r="G89" s="475" t="e">
        <f t="shared" si="33"/>
        <v>#NAME?</v>
      </c>
      <c r="H89" s="476" t="e">
        <f t="shared" si="34"/>
        <v>#NAME?</v>
      </c>
      <c r="I89" s="477" t="e">
        <f t="shared" si="35"/>
        <v>#NAME?</v>
      </c>
      <c r="J89" s="478" t="e">
        <f t="shared" si="36"/>
        <v>#NAME?</v>
      </c>
      <c r="K89" s="479">
        <v>1</v>
      </c>
      <c r="L89" s="480" t="e">
        <f t="shared" si="37"/>
        <v>#NAME?</v>
      </c>
      <c r="M89" s="480" t="e">
        <f t="shared" si="30"/>
        <v>#NAME?</v>
      </c>
      <c r="N89" s="481" t="e">
        <f t="shared" si="31"/>
        <v>#NAME?</v>
      </c>
      <c r="O89" s="482" t="e">
        <f t="shared" si="32"/>
        <v>#NAME?</v>
      </c>
      <c r="P89" s="464" t="s">
        <v>88</v>
      </c>
      <c r="Q89" s="483" t="e">
        <f ca="1">VLOOKUP(VLOOKUP(I76,Worksheet!$A$18:$B$31,2),'1Test Data'!$O$30:$AH$49,20,0)</f>
        <v>#N/A</v>
      </c>
      <c r="R89" s="484" t="e">
        <f t="shared" si="38"/>
        <v>#NAME?</v>
      </c>
      <c r="S89" s="465" t="e">
        <f t="shared" si="39"/>
        <v>#NAME?</v>
      </c>
      <c r="T89" s="465" t="e">
        <f>IF(OR(E89="",B89=0),"",ABS(L89/S91))</f>
        <v>#NAME?</v>
      </c>
      <c r="U89" s="485"/>
    </row>
    <row r="90" spans="1:21" s="440" customFormat="1" ht="27">
      <c r="A90" s="470">
        <v>12</v>
      </c>
      <c r="B90" s="471" t="e">
        <f>$B$15</f>
        <v>#NAME?</v>
      </c>
      <c r="C90" s="496" t="s">
        <v>410</v>
      </c>
      <c r="D90" s="471" t="s">
        <v>395</v>
      </c>
      <c r="E90" s="473" t="e">
        <f>E89</f>
        <v>#NAME?</v>
      </c>
      <c r="F90" s="474" t="e">
        <f>IF(OR(E90="",B90=0),"",$F$4)</f>
        <v>#NAME?</v>
      </c>
      <c r="G90" s="475" t="e">
        <f t="shared" si="33"/>
        <v>#NAME?</v>
      </c>
      <c r="H90" s="476" t="e">
        <f t="shared" si="34"/>
        <v>#NAME?</v>
      </c>
      <c r="I90" s="477">
        <f t="shared" si="35"/>
        <v>100</v>
      </c>
      <c r="J90" s="478" t="e">
        <f t="shared" si="36"/>
        <v>#NAME?</v>
      </c>
      <c r="K90" s="479">
        <v>1</v>
      </c>
      <c r="L90" s="480" t="e">
        <f t="shared" si="37"/>
        <v>#NAME?</v>
      </c>
      <c r="M90" s="480" t="e">
        <f t="shared" si="30"/>
        <v>#NAME?</v>
      </c>
      <c r="N90" s="481" t="e">
        <f t="shared" si="31"/>
        <v>#NAME?</v>
      </c>
      <c r="O90" s="482" t="e">
        <f t="shared" si="32"/>
        <v>#NAME?</v>
      </c>
      <c r="P90" s="464" t="s">
        <v>411</v>
      </c>
      <c r="Q90" s="483" t="e">
        <f ca="1">ABS(Q86*F76^3+Q87*F76^2+Q88*F76+Q89)</f>
        <v>#N/A</v>
      </c>
      <c r="R90" s="484" t="e">
        <f t="shared" si="38"/>
        <v>#NAME?</v>
      </c>
      <c r="S90" s="465" t="e">
        <f t="shared" si="39"/>
        <v>#NAME?</v>
      </c>
      <c r="T90" s="465" t="e">
        <f>IF(OR(E90="",B90=0),"",ABS(L90/S91))</f>
        <v>#NAME?</v>
      </c>
      <c r="U90" s="485"/>
    </row>
    <row r="91" spans="1:21" s="440" customFormat="1" ht="25.5">
      <c r="A91" s="497"/>
      <c r="B91" s="498"/>
      <c r="C91" s="448"/>
      <c r="D91" s="448"/>
      <c r="E91" s="448"/>
      <c r="F91" s="448"/>
      <c r="G91" s="448"/>
      <c r="H91" s="448"/>
      <c r="I91" s="484"/>
      <c r="J91" s="448"/>
      <c r="K91" s="448"/>
      <c r="L91" s="499" t="s">
        <v>412</v>
      </c>
      <c r="M91" s="499" t="e">
        <f ca="1">SUM(M79:M90)</f>
        <v>#N/A</v>
      </c>
      <c r="N91" s="500" t="e">
        <f ca="1">SUM(N79:N90)</f>
        <v>#N/A</v>
      </c>
      <c r="O91" s="501" t="e">
        <f ca="1">SUM(O79:O90)</f>
        <v>#N/A</v>
      </c>
      <c r="P91" s="464" t="s">
        <v>413</v>
      </c>
      <c r="Q91" s="483" t="e">
        <f ca="1">VLOOKUP(VLOOKUP(I76,Worksheet!$A$18:$B$31,2),'1Test Data'!$O$30:$AJ$49,22,0)</f>
        <v>#N/A</v>
      </c>
      <c r="R91" s="453"/>
      <c r="S91" s="465" t="e">
        <f ca="1">SUM(S79:S90)</f>
        <v>#N/A</v>
      </c>
      <c r="T91" s="465" t="e">
        <f ca="1">SUM(T79:T90)</f>
        <v>#N/A</v>
      </c>
      <c r="U91" s="455"/>
    </row>
    <row r="92" spans="1:21" s="440" customFormat="1">
      <c r="A92" s="504"/>
      <c r="B92" s="448"/>
      <c r="C92" s="498" t="s">
        <v>414</v>
      </c>
      <c r="D92" s="448"/>
      <c r="E92" s="448"/>
      <c r="F92" s="448"/>
      <c r="G92" s="448"/>
      <c r="H92" s="448"/>
      <c r="I92" s="448"/>
      <c r="J92" s="448"/>
      <c r="K92" s="448"/>
      <c r="L92" s="505"/>
      <c r="M92" s="505"/>
      <c r="N92" s="505"/>
      <c r="O92" s="505"/>
      <c r="P92" s="464" t="s">
        <v>394</v>
      </c>
      <c r="Q92" s="483" t="e">
        <f ca="1">VLOOKUP(VLOOKUP(I76,Worksheet!$A$18:$B$31,2),'1Test Data'!$O$30:$AK$49,23,0)</f>
        <v>#N/A</v>
      </c>
      <c r="R92" s="453"/>
      <c r="S92" s="453"/>
      <c r="T92" s="453"/>
      <c r="U92" s="455"/>
    </row>
    <row r="93" spans="1:21" s="440" customFormat="1" ht="13.5" customHeight="1">
      <c r="A93" s="504"/>
      <c r="B93" s="448"/>
      <c r="C93" s="1090" t="s">
        <v>415</v>
      </c>
      <c r="D93" s="1091"/>
      <c r="E93" s="1091"/>
      <c r="F93" s="1091"/>
      <c r="G93" s="1092"/>
      <c r="H93" s="448"/>
      <c r="I93" s="448"/>
      <c r="J93" s="448"/>
      <c r="K93" s="448"/>
      <c r="L93" s="506" t="s">
        <v>416</v>
      </c>
      <c r="M93" s="507" t="e">
        <f ca="1">M91^0.5</f>
        <v>#N/A</v>
      </c>
      <c r="N93" s="508" t="str">
        <f>Uncert!$F$4</f>
        <v>ABS kPa</v>
      </c>
      <c r="O93" s="505" t="e">
        <f ca="1">(M91-M82-M87-M89-M90)^0.5</f>
        <v>#N/A</v>
      </c>
      <c r="P93" s="464" t="s">
        <v>396</v>
      </c>
      <c r="Q93" s="483" t="e">
        <f ca="1">VLOOKUP(VLOOKUP(I76,Worksheet!$A$18:$B$31,2),'1Test Data'!$O$30:$AL$49,24,0)</f>
        <v>#N/A</v>
      </c>
      <c r="R93" s="453"/>
      <c r="S93" s="453"/>
      <c r="T93" s="453"/>
      <c r="U93" s="455"/>
    </row>
    <row r="94" spans="1:21" s="440" customFormat="1">
      <c r="A94" s="504"/>
      <c r="B94" s="448"/>
      <c r="C94" s="1093"/>
      <c r="D94" s="1094"/>
      <c r="E94" s="1094"/>
      <c r="F94" s="1094"/>
      <c r="G94" s="1095"/>
      <c r="H94" s="448"/>
      <c r="I94" s="448"/>
      <c r="J94" s="448"/>
      <c r="K94" s="448"/>
      <c r="L94" s="506" t="s">
        <v>417</v>
      </c>
      <c r="M94" s="507" t="e">
        <f ca="1">M93^4/N91</f>
        <v>#N/A</v>
      </c>
      <c r="N94" s="509"/>
      <c r="O94" s="510" t="e">
        <f ca="1">O93^4/(N91-N82-N87-N89-N90)</f>
        <v>#N/A</v>
      </c>
      <c r="P94" s="464" t="s">
        <v>201</v>
      </c>
      <c r="Q94" s="483" t="e">
        <f ca="1">VLOOKUP(VLOOKUP(I76,Worksheet!$A$18:$B$31,2),'1Test Data'!$O$30:$AM$49,25,0)</f>
        <v>#N/A</v>
      </c>
      <c r="R94" s="453"/>
      <c r="S94" s="453"/>
      <c r="T94" s="453"/>
      <c r="U94" s="455"/>
    </row>
    <row r="95" spans="1:21" s="440" customFormat="1">
      <c r="A95" s="504"/>
      <c r="B95" s="448"/>
      <c r="C95" s="1093"/>
      <c r="D95" s="1094"/>
      <c r="E95" s="1094"/>
      <c r="F95" s="1094"/>
      <c r="G95" s="1095"/>
      <c r="H95" s="448"/>
      <c r="I95" s="448"/>
      <c r="J95" s="448"/>
      <c r="K95" s="448"/>
      <c r="L95" s="506" t="s">
        <v>418</v>
      </c>
      <c r="M95" s="507" t="e">
        <f ca="1">TINV(0.05,M94)</f>
        <v>#N/A</v>
      </c>
      <c r="N95" s="508"/>
      <c r="O95" s="507" t="e">
        <f ca="1">TINV(0.05,O94)</f>
        <v>#N/A</v>
      </c>
      <c r="P95" s="464" t="s">
        <v>88</v>
      </c>
      <c r="Q95" s="483" t="e">
        <f ca="1">VLOOKUP(VLOOKUP(I76,Worksheet!$A$18:$B$31,2),'1Test Data'!$O$30:$AN$49,26,0)</f>
        <v>#N/A</v>
      </c>
      <c r="R95" s="453"/>
      <c r="S95" s="453"/>
      <c r="T95" s="453"/>
      <c r="U95" s="455"/>
    </row>
    <row r="96" spans="1:21" s="440" customFormat="1">
      <c r="A96" s="504"/>
      <c r="B96" s="448"/>
      <c r="C96" s="1093"/>
      <c r="D96" s="1094"/>
      <c r="E96" s="1094"/>
      <c r="F96" s="1094"/>
      <c r="G96" s="1095"/>
      <c r="H96" s="448"/>
      <c r="I96" s="448"/>
      <c r="J96" s="448"/>
      <c r="K96" s="448"/>
      <c r="L96" s="506" t="s">
        <v>419</v>
      </c>
      <c r="M96" s="507" t="e">
        <f ca="1">M93*M95</f>
        <v>#N/A</v>
      </c>
      <c r="N96" s="508" t="str">
        <f>Uncert!$F$4</f>
        <v>ABS kPa</v>
      </c>
      <c r="O96" s="507" t="e">
        <f ca="1">O93*O95</f>
        <v>#N/A</v>
      </c>
      <c r="P96" s="464" t="s">
        <v>420</v>
      </c>
      <c r="Q96" s="483" t="e">
        <f ca="1">ABS(Q92*F76^3+Q93*F76^2+Q94*F76+Q95)</f>
        <v>#N/A</v>
      </c>
      <c r="R96" s="453"/>
      <c r="S96" s="453"/>
      <c r="T96" s="453"/>
      <c r="U96" s="455"/>
    </row>
    <row r="97" spans="1:21" s="440" customFormat="1">
      <c r="A97" s="497"/>
      <c r="B97" s="498"/>
      <c r="C97" s="1096"/>
      <c r="D97" s="1097"/>
      <c r="E97" s="1097"/>
      <c r="F97" s="1097"/>
      <c r="G97" s="1098"/>
      <c r="H97" s="448"/>
      <c r="I97" s="448"/>
      <c r="J97" s="511"/>
      <c r="K97" s="511"/>
      <c r="L97" s="512" t="s">
        <v>421</v>
      </c>
      <c r="M97" s="513" t="e">
        <f ca="1">M96</f>
        <v>#N/A</v>
      </c>
      <c r="N97" s="514" t="str">
        <f>Uncert!$F$4</f>
        <v>ABS kPa</v>
      </c>
      <c r="O97" s="513" t="e">
        <f ca="1">O96</f>
        <v>#N/A</v>
      </c>
      <c r="P97" s="464" t="s">
        <v>422</v>
      </c>
      <c r="Q97" s="483" t="e">
        <f ca="1">VLOOKUP(VLOOKUP(I76,Worksheet!$A$18:$B$31,2),'1Test Data'!$O$30:$AP$49,28,0)</f>
        <v>#N/A</v>
      </c>
      <c r="R97" s="453"/>
      <c r="S97" s="453"/>
      <c r="T97" s="453"/>
      <c r="U97" s="455"/>
    </row>
    <row r="98" spans="1:21" s="440" customFormat="1">
      <c r="A98" s="497"/>
      <c r="B98" s="498"/>
      <c r="C98" s="498" t="s">
        <v>423</v>
      </c>
      <c r="D98" s="448"/>
      <c r="E98" s="448"/>
      <c r="F98" s="448"/>
      <c r="G98" s="448"/>
      <c r="H98" s="515" t="e">
        <f>"N " &amp; ReadoutType</f>
        <v>#NAME?</v>
      </c>
      <c r="I98" s="516" t="e">
        <f ca="1">($O99/$K87)</f>
        <v>#N/A</v>
      </c>
      <c r="J98" s="448"/>
      <c r="K98" s="448"/>
      <c r="L98" s="505"/>
      <c r="M98" s="517" t="e">
        <f ca="1">(M97/F76)*100</f>
        <v>#N/A</v>
      </c>
      <c r="N98" s="518" t="s">
        <v>78</v>
      </c>
      <c r="O98" s="517"/>
      <c r="P98" s="519"/>
      <c r="Q98" s="519"/>
      <c r="R98" s="453"/>
      <c r="S98" s="453"/>
      <c r="T98" s="453"/>
      <c r="U98" s="455"/>
    </row>
    <row r="99" spans="1:21" s="440" customFormat="1">
      <c r="A99" s="497"/>
      <c r="B99" s="498"/>
      <c r="C99" s="520" t="s">
        <v>33</v>
      </c>
      <c r="D99" s="521" t="str">
        <f ca="1">Gravity</f>
        <v/>
      </c>
      <c r="E99" s="520" t="s">
        <v>36</v>
      </c>
      <c r="F99" s="522"/>
      <c r="G99" s="523"/>
      <c r="H99" s="524" t="e">
        <f>ReadoutType</f>
        <v>#NAME?</v>
      </c>
      <c r="I99" s="516" t="e">
        <f ca="1">($M99/$K87)</f>
        <v>#N/A</v>
      </c>
      <c r="J99" s="1103" t="s">
        <v>424</v>
      </c>
      <c r="K99" s="1104"/>
      <c r="L99" s="1104"/>
      <c r="M99" s="525" t="e">
        <f ca="1">IF(NATA="Y",IF(M97&lt;Scopekpa,IF(Scopekpa&lt;((F76/100)*ScopeReading),((F76/100)*ScopeReading),Scopekpa),IF(M97&lt;((F76/100)*ScopeReading),((F76/100)*ScopeReading),M97)),Uncert!M97)</f>
        <v>#N/A</v>
      </c>
      <c r="N99" s="522" t="s">
        <v>425</v>
      </c>
      <c r="O99" s="525" t="e">
        <f ca="1">IF(NATA="Y",IF(O97&lt;Scopekpa,IF(Scopekpa&lt;((F76/100)*ScopeReading),((F76/100)*ScopeReading),Scopekpa),IF(O97&lt;((F76/100)*ScopeReading),((F76/100)*ScopeReading),O97)),Uncert!O97)</f>
        <v>#N/A</v>
      </c>
      <c r="P99" s="522"/>
      <c r="Q99" s="522"/>
      <c r="R99" s="453"/>
      <c r="S99" s="453"/>
      <c r="T99" s="453"/>
      <c r="U99" s="455"/>
    </row>
    <row r="100" spans="1:21" s="440" customFormat="1" ht="14.25" thickBot="1">
      <c r="A100" s="526" t="str">
        <f>"Worksheet!A" &amp; 17+(ROW()/25)</f>
        <v>Worksheet!A21</v>
      </c>
      <c r="B100" s="527"/>
      <c r="C100" s="527"/>
      <c r="D100" s="528">
        <f>ROW()/25</f>
        <v>4</v>
      </c>
      <c r="E100" s="529"/>
      <c r="F100" s="529"/>
      <c r="G100" s="529"/>
      <c r="H100" s="529"/>
      <c r="I100" s="530"/>
      <c r="J100" s="1105" t="s">
        <v>424</v>
      </c>
      <c r="K100" s="1105"/>
      <c r="L100" s="1105"/>
      <c r="M100" s="531" t="e">
        <f ca="1">IF(NATA="Y",IF(M98&lt;ScopeReading,ScopeReading,M98),M98)</f>
        <v>#N/A</v>
      </c>
      <c r="N100" s="532" t="s">
        <v>78</v>
      </c>
      <c r="O100" s="531"/>
      <c r="P100" s="532"/>
      <c r="Q100" s="527"/>
      <c r="R100" s="527"/>
      <c r="S100" s="527"/>
      <c r="T100" s="527"/>
      <c r="U100" s="533"/>
    </row>
    <row r="101" spans="1:21" s="440" customFormat="1">
      <c r="A101" s="1099" t="e">
        <f ca="1">"Uncertainty Budget: Digital Pressure Gauge (" &amp; Q101&amp; ", "&amp; Q102 &amp; H101 &amp;" x " &amp; Division   &amp;H101 &amp; " )" &amp; " Test Point "&amp;D125</f>
        <v>#N/A</v>
      </c>
      <c r="B101" s="1100"/>
      <c r="C101" s="1100"/>
      <c r="D101" s="1100"/>
      <c r="E101" s="1100"/>
      <c r="F101" s="1101">
        <f ca="1">ABS(I101*UnitConvert)</f>
        <v>0</v>
      </c>
      <c r="G101" s="1102"/>
      <c r="H101" s="428" t="s">
        <v>371</v>
      </c>
      <c r="I101" s="429">
        <f ca="1">INDIRECT(A125)</f>
        <v>0</v>
      </c>
      <c r="J101" s="430" t="str">
        <f>_xlfn.SINGLE(Units)</f>
        <v>mm</v>
      </c>
      <c r="K101" s="431" t="e">
        <f ca="1">IF(C104="","","Uncertainty (U) = ±"&amp;TEXT(M122,"0.0")&amp;$F$4&amp;",  &amp;  (k="&amp;TEXT(M120,"0.00")&amp;", confidence level=95%)")</f>
        <v>#N/A</v>
      </c>
      <c r="L101" s="432"/>
      <c r="M101" s="432"/>
      <c r="N101" s="432"/>
      <c r="O101" s="433"/>
      <c r="P101" s="434" t="s">
        <v>372</v>
      </c>
      <c r="Q101" s="435" t="e">
        <f ca="1">VLOOKUP(VLOOKUP(I101,Worksheet!$A$18:$B$31,2),'1Test Data'!$M$6:$O$10,2,0)</f>
        <v>#N/A</v>
      </c>
      <c r="R101" s="436"/>
      <c r="S101" s="436"/>
      <c r="T101" s="437" t="str">
        <f ca="1">"TEX Ver "&amp;Mods!$A$1</f>
        <v>TEX Ver TAS-SST001v1</v>
      </c>
      <c r="U101" s="438"/>
    </row>
    <row r="102" spans="1:21" s="440" customFormat="1">
      <c r="A102" s="442" t="s">
        <v>373</v>
      </c>
      <c r="B102" s="443"/>
      <c r="C102" s="444"/>
      <c r="D102" s="445" t="s">
        <v>374</v>
      </c>
      <c r="E102" s="446" t="e">
        <f ca="1">Q102</f>
        <v>#N/A</v>
      </c>
      <c r="F102" s="447"/>
      <c r="G102" s="447" t="e">
        <f ca="1">ROUND(M122/(F101/100),2)&amp;"% of Full Scale"</f>
        <v>#N/A</v>
      </c>
      <c r="H102" s="448"/>
      <c r="I102" s="448"/>
      <c r="J102" s="449" t="e">
        <f ca="1">M123</f>
        <v>#N/A</v>
      </c>
      <c r="K102" s="448"/>
      <c r="L102" s="450"/>
      <c r="M102" s="450"/>
      <c r="N102" s="450"/>
      <c r="O102" s="433"/>
      <c r="P102" s="451" t="s">
        <v>375</v>
      </c>
      <c r="Q102" s="452" t="e">
        <f ca="1">VLOOKUP(VLOOKUP(I101,Worksheet!$A$18:$B$31,2),'1Test Data'!$O$30:$T$49,6,0)</f>
        <v>#N/A</v>
      </c>
      <c r="R102" s="453">
        <v>0</v>
      </c>
      <c r="S102" s="453"/>
      <c r="T102" s="454">
        <f ca="1">Mods!$A$4</f>
        <v>45809.486168981479</v>
      </c>
      <c r="U102" s="455"/>
    </row>
    <row r="103" spans="1:21" s="440" customFormat="1" ht="38.25">
      <c r="A103" s="458" t="s">
        <v>376</v>
      </c>
      <c r="B103" s="459" t="s">
        <v>377</v>
      </c>
      <c r="C103" s="460" t="s">
        <v>378</v>
      </c>
      <c r="D103" s="460" t="s">
        <v>379</v>
      </c>
      <c r="E103" s="460" t="s">
        <v>380</v>
      </c>
      <c r="F103" s="460" t="s">
        <v>381</v>
      </c>
      <c r="G103" s="460" t="s">
        <v>178</v>
      </c>
      <c r="H103" s="461" t="s">
        <v>382</v>
      </c>
      <c r="I103" s="461" t="s">
        <v>383</v>
      </c>
      <c r="J103" s="462" t="s">
        <v>384</v>
      </c>
      <c r="K103" s="463" t="s">
        <v>385</v>
      </c>
      <c r="L103" s="461" t="s">
        <v>386</v>
      </c>
      <c r="M103" s="461" t="s">
        <v>387</v>
      </c>
      <c r="N103" s="461" t="s">
        <v>388</v>
      </c>
      <c r="O103" s="461" t="s">
        <v>389</v>
      </c>
      <c r="P103" s="464" t="s">
        <v>390</v>
      </c>
      <c r="Q103" s="452" t="e">
        <f ca="1">VLOOKUP(VLOOKUP(I101,Worksheet!$A$18:$B$31,2),'1Test Data'!$O$30:$V$49,8,0)</f>
        <v>#N/A</v>
      </c>
      <c r="R103" s="465" t="s">
        <v>391</v>
      </c>
      <c r="S103" s="465" t="s">
        <v>391</v>
      </c>
      <c r="T103" s="466" t="s">
        <v>392</v>
      </c>
      <c r="U103" s="467"/>
    </row>
    <row r="104" spans="1:21" s="440" customFormat="1" ht="18" customHeight="1">
      <c r="A104" s="470">
        <v>1</v>
      </c>
      <c r="B104" s="471">
        <f>$B$4</f>
        <v>1</v>
      </c>
      <c r="C104" s="472" t="e">
        <f ca="1">"Reference Device  ("&amp;Q102&amp;" Druck Transducer) + Sey
Uncertainty from Calibration Report - "&amp;Q101</f>
        <v>#N/A</v>
      </c>
      <c r="D104" s="471" t="s">
        <v>393</v>
      </c>
      <c r="E104" s="473" t="e">
        <f ca="1">Q108+Q109</f>
        <v>#N/A</v>
      </c>
      <c r="F104" s="474" t="str">
        <f>H101</f>
        <v>ABS kPa</v>
      </c>
      <c r="G104" s="475" t="str">
        <f>IF(OR(D104="",B104=0),"",IF(D104="ESDM","A","B"))</f>
        <v>B</v>
      </c>
      <c r="H104" s="476" t="e">
        <f ca="1">IF(OR(E104="",B104=0),"",IF(D104="ESDM",1,IF(D104="N95",2,IF(D104="Rect",(3^0.5)))))</f>
        <v>#N/A</v>
      </c>
      <c r="I104" s="477">
        <f>IF(D104="N95",60,100)</f>
        <v>60</v>
      </c>
      <c r="J104" s="478" t="e">
        <f ca="1">IF(OR(E104="",B104=0),"",(E104/H104))</f>
        <v>#N/A</v>
      </c>
      <c r="K104" s="479">
        <v>1</v>
      </c>
      <c r="L104" s="480" t="e">
        <f ca="1">IF(OR(E104="",B104=0),"",K104*J104)</f>
        <v>#N/A</v>
      </c>
      <c r="M104" s="480" t="e">
        <f t="shared" ref="M104:M115" ca="1" si="40">IF(OR(E104="",B104=0),"0",L104^2)</f>
        <v>#N/A</v>
      </c>
      <c r="N104" s="481" t="e">
        <f t="shared" ref="N104:N115" ca="1" si="41">IF(OR(D104="",B104=0),"0",(L104)^4/I104)</f>
        <v>#N/A</v>
      </c>
      <c r="O104" s="482" t="e">
        <f t="shared" ref="O104:O115" ca="1" si="42">T104</f>
        <v>#N/A</v>
      </c>
      <c r="P104" s="464" t="s">
        <v>394</v>
      </c>
      <c r="Q104" s="483" t="e">
        <f ca="1">VLOOKUP(VLOOKUP(I101,Worksheet!$A$18:$B$31,2),'1Test Data'!$O$30:$Y$49,11,0)</f>
        <v>#N/A</v>
      </c>
      <c r="R104" s="484" t="e">
        <f ca="1">IF(OR(E104="",B104=0),"",K104*J104)</f>
        <v>#N/A</v>
      </c>
      <c r="S104" s="465" t="e">
        <f ca="1">IF(OR(E104="",B104=0),"",ABS(R104))</f>
        <v>#N/A</v>
      </c>
      <c r="T104" s="465" t="e">
        <f ca="1">IF(OR(E104="",B104=0),"",ABS(L104/S116))</f>
        <v>#N/A</v>
      </c>
      <c r="U104" s="485"/>
    </row>
    <row r="105" spans="1:21" s="440" customFormat="1" ht="27" customHeight="1">
      <c r="A105" s="470">
        <v>2</v>
      </c>
      <c r="B105" s="471">
        <f>$B$5</f>
        <v>1</v>
      </c>
      <c r="C105" s="472" t="e">
        <f ca="1">"Reference Device  Specs +Sey
(" &amp; Q102 &amp; H101 &amp; " Druck Transducer)
"&amp;Q103 &amp; "% of F.S. from Calibration Report - " &amp; Q101</f>
        <v>#N/A</v>
      </c>
      <c r="D105" s="471" t="s">
        <v>395</v>
      </c>
      <c r="E105" s="473" t="e">
        <f ca="1">Q121+Q122</f>
        <v>#N/A</v>
      </c>
      <c r="F105" s="474" t="e">
        <f ca="1">IF(OR(E105="",B105=0),"",$F$4)</f>
        <v>#N/A</v>
      </c>
      <c r="G105" s="475" t="str">
        <f t="shared" ref="G105:G115" si="43">IF(OR(D105="",B105=0),"",IF(D105="ESDM","A","B"))</f>
        <v>B</v>
      </c>
      <c r="H105" s="476" t="e">
        <f t="shared" ref="H105:H115" ca="1" si="44">IF(OR(E105="",B105=0),"",IF(D105="ESDM",1,IF(D105="N95",2,IF(D105="Rect",(3^0.5)))))</f>
        <v>#N/A</v>
      </c>
      <c r="I105" s="477">
        <f t="shared" ref="I105:I115" si="45">IF(D105="N95",60,100)</f>
        <v>100</v>
      </c>
      <c r="J105" s="478" t="e">
        <f t="shared" ref="J105:J115" ca="1" si="46">IF(OR(E105="",B105=0),"",(E105/H105))</f>
        <v>#N/A</v>
      </c>
      <c r="K105" s="479">
        <v>1</v>
      </c>
      <c r="L105" s="480" t="e">
        <f t="shared" ref="L105:L115" ca="1" si="47">IF(OR(E105="",B105=0),"",K105*J105)</f>
        <v>#N/A</v>
      </c>
      <c r="M105" s="480" t="e">
        <f t="shared" ca="1" si="40"/>
        <v>#N/A</v>
      </c>
      <c r="N105" s="481" t="e">
        <f t="shared" ca="1" si="41"/>
        <v>#N/A</v>
      </c>
      <c r="O105" s="482" t="e">
        <f t="shared" ca="1" si="42"/>
        <v>#N/A</v>
      </c>
      <c r="P105" s="464" t="s">
        <v>396</v>
      </c>
      <c r="Q105" s="483" t="e">
        <f ca="1">VLOOKUP(VLOOKUP(I101,Worksheet!$A$18:$B$31,2),'1Test Data'!$O$30:$Z$49,12,0)</f>
        <v>#N/A</v>
      </c>
      <c r="R105" s="484" t="e">
        <f t="shared" ref="R105:R115" ca="1" si="48">IF(OR(E105="",B105=0),"",K105*J105)</f>
        <v>#N/A</v>
      </c>
      <c r="S105" s="465" t="e">
        <f t="shared" ref="S105:S115" ca="1" si="49">IF(OR(E105="",B105=0),"",ABS(R105))</f>
        <v>#N/A</v>
      </c>
      <c r="T105" s="465" t="e">
        <f ca="1">IF(OR(E105="",B105=0),"",ABS(L105/S116))</f>
        <v>#N/A</v>
      </c>
      <c r="U105" s="485"/>
    </row>
    <row r="106" spans="1:21" s="440" customFormat="1" ht="18">
      <c r="A106" s="470">
        <v>3</v>
      </c>
      <c r="B106" s="471">
        <f>$B$6</f>
        <v>1</v>
      </c>
      <c r="C106" s="472" t="s">
        <v>397</v>
      </c>
      <c r="D106" s="471" t="s">
        <v>395</v>
      </c>
      <c r="E106" s="473" t="e">
        <f ca="1">Q110*F101/100</f>
        <v>#N/A</v>
      </c>
      <c r="F106" s="474" t="e">
        <f ca="1">IF(OR(E106="",B106=0),"",$F$4)</f>
        <v>#N/A</v>
      </c>
      <c r="G106" s="475" t="str">
        <f t="shared" si="43"/>
        <v>B</v>
      </c>
      <c r="H106" s="476" t="e">
        <f t="shared" ca="1" si="44"/>
        <v>#N/A</v>
      </c>
      <c r="I106" s="477">
        <f t="shared" si="45"/>
        <v>100</v>
      </c>
      <c r="J106" s="478" t="e">
        <f t="shared" ca="1" si="46"/>
        <v>#N/A</v>
      </c>
      <c r="K106" s="479">
        <v>1</v>
      </c>
      <c r="L106" s="480" t="e">
        <f t="shared" ca="1" si="47"/>
        <v>#N/A</v>
      </c>
      <c r="M106" s="480" t="e">
        <f t="shared" ca="1" si="40"/>
        <v>#N/A</v>
      </c>
      <c r="N106" s="481" t="e">
        <f t="shared" ca="1" si="41"/>
        <v>#N/A</v>
      </c>
      <c r="O106" s="482" t="e">
        <f t="shared" ca="1" si="42"/>
        <v>#N/A</v>
      </c>
      <c r="P106" s="464" t="s">
        <v>201</v>
      </c>
      <c r="Q106" s="483" t="e">
        <f ca="1">VLOOKUP(VLOOKUP(I101,Worksheet!$A$18:$B$31,2),'1Test Data'!$O$30:$AA$49,13,0)</f>
        <v>#N/A</v>
      </c>
      <c r="R106" s="484" t="e">
        <f t="shared" ca="1" si="48"/>
        <v>#N/A</v>
      </c>
      <c r="S106" s="465" t="e">
        <f t="shared" ca="1" si="49"/>
        <v>#N/A</v>
      </c>
      <c r="T106" s="465" t="e">
        <f ca="1">IF(OR(E106="",B106=0),"",ABS(L106/S116))</f>
        <v>#N/A</v>
      </c>
      <c r="U106" s="485"/>
    </row>
    <row r="107" spans="1:21" s="440" customFormat="1" ht="18" customHeight="1">
      <c r="A107" s="470">
        <v>4</v>
      </c>
      <c r="B107" s="471" t="e">
        <f>$B$7</f>
        <v>#NAME?</v>
      </c>
      <c r="C107" s="472" t="s">
        <v>398</v>
      </c>
      <c r="D107" s="471" t="s">
        <v>395</v>
      </c>
      <c r="E107" s="473">
        <f>EDMS*UnitConvert</f>
        <v>0</v>
      </c>
      <c r="F107" s="474" t="e">
        <f>IF(OR(E107="",B107=0),"",$F$4)</f>
        <v>#NAME?</v>
      </c>
      <c r="G107" s="475" t="e">
        <f t="shared" si="43"/>
        <v>#NAME?</v>
      </c>
      <c r="H107" s="476" t="e">
        <f t="shared" si="44"/>
        <v>#NAME?</v>
      </c>
      <c r="I107" s="477">
        <f t="shared" si="45"/>
        <v>100</v>
      </c>
      <c r="J107" s="478" t="e">
        <f t="shared" si="46"/>
        <v>#NAME?</v>
      </c>
      <c r="K107" s="479">
        <v>1</v>
      </c>
      <c r="L107" s="480" t="e">
        <f t="shared" si="47"/>
        <v>#NAME?</v>
      </c>
      <c r="M107" s="480" t="e">
        <f t="shared" si="40"/>
        <v>#NAME?</v>
      </c>
      <c r="N107" s="481" t="e">
        <f t="shared" si="41"/>
        <v>#NAME?</v>
      </c>
      <c r="O107" s="482" t="e">
        <f t="shared" si="42"/>
        <v>#NAME?</v>
      </c>
      <c r="P107" s="464" t="s">
        <v>88</v>
      </c>
      <c r="Q107" s="483" t="e">
        <f ca="1">VLOOKUP(VLOOKUP(I101,Worksheet!$A$18:$B$31,2),'1Test Data'!$O$30:$AB$49,14,0)</f>
        <v>#N/A</v>
      </c>
      <c r="R107" s="484" t="e">
        <f t="shared" si="48"/>
        <v>#NAME?</v>
      </c>
      <c r="S107" s="465" t="e">
        <f t="shared" si="49"/>
        <v>#NAME?</v>
      </c>
      <c r="T107" s="465" t="e">
        <f>IF(OR(E107="",B107=0),"",ABS(L107/S116))</f>
        <v>#NAME?</v>
      </c>
      <c r="U107" s="485"/>
    </row>
    <row r="108" spans="1:21" s="440" customFormat="1" ht="27">
      <c r="A108" s="470">
        <v>5</v>
      </c>
      <c r="B108" s="471">
        <f>$B$8</f>
        <v>0</v>
      </c>
      <c r="C108" s="472" t="str">
        <f>C33</f>
        <v>Gravity -0.001 m/s2 Sensitivity = Test Pressure / Gravity</v>
      </c>
      <c r="D108" s="471" t="s">
        <v>395</v>
      </c>
      <c r="E108" s="473">
        <f>E8</f>
        <v>1E-3</v>
      </c>
      <c r="F108" s="474" t="s">
        <v>400</v>
      </c>
      <c r="G108" s="475" t="str">
        <f t="shared" si="43"/>
        <v/>
      </c>
      <c r="H108" s="476" t="str">
        <f t="shared" si="44"/>
        <v/>
      </c>
      <c r="I108" s="477">
        <f t="shared" si="45"/>
        <v>100</v>
      </c>
      <c r="J108" s="478" t="str">
        <f t="shared" si="46"/>
        <v/>
      </c>
      <c r="K108" s="479">
        <f ca="1">F101*E108</f>
        <v>0</v>
      </c>
      <c r="L108" s="480" t="str">
        <f t="shared" si="47"/>
        <v/>
      </c>
      <c r="M108" s="480" t="str">
        <f t="shared" si="40"/>
        <v>0</v>
      </c>
      <c r="N108" s="481" t="str">
        <f t="shared" si="41"/>
        <v>0</v>
      </c>
      <c r="O108" s="482" t="str">
        <f>IFERROR(T108,0)</f>
        <v/>
      </c>
      <c r="P108" s="492" t="s">
        <v>401</v>
      </c>
      <c r="Q108" s="493" t="e">
        <f ca="1">ABS(Q104*F101^3+Q105*F101^2+Q106*F101+Q107)</f>
        <v>#N/A</v>
      </c>
      <c r="R108" s="484" t="str">
        <f t="shared" si="48"/>
        <v/>
      </c>
      <c r="S108" s="465" t="str">
        <f t="shared" si="49"/>
        <v/>
      </c>
      <c r="T108" s="465" t="str">
        <f>IF(OR(E108="",B108=0),"",ABS(L108/S116))</f>
        <v/>
      </c>
      <c r="U108" s="485"/>
    </row>
    <row r="109" spans="1:21" s="440" customFormat="1" ht="27">
      <c r="A109" s="470">
        <v>6</v>
      </c>
      <c r="B109" s="471">
        <f>$B$9</f>
        <v>0</v>
      </c>
      <c r="C109" s="472" t="s">
        <v>402</v>
      </c>
      <c r="D109" s="471" t="s">
        <v>395</v>
      </c>
      <c r="E109" s="473">
        <v>2</v>
      </c>
      <c r="F109" s="474" t="s">
        <v>403</v>
      </c>
      <c r="G109" s="475" t="str">
        <f t="shared" si="43"/>
        <v/>
      </c>
      <c r="H109" s="476" t="str">
        <f t="shared" si="44"/>
        <v/>
      </c>
      <c r="I109" s="477">
        <f t="shared" si="45"/>
        <v>100</v>
      </c>
      <c r="J109" s="478" t="str">
        <f t="shared" si="46"/>
        <v/>
      </c>
      <c r="K109" s="479">
        <f ca="1">F101*-0.000022</f>
        <v>0</v>
      </c>
      <c r="L109" s="480" t="str">
        <f t="shared" si="47"/>
        <v/>
      </c>
      <c r="M109" s="480" t="str">
        <f t="shared" si="40"/>
        <v>0</v>
      </c>
      <c r="N109" s="481" t="str">
        <f t="shared" si="41"/>
        <v>0</v>
      </c>
      <c r="O109" s="482" t="str">
        <f t="shared" si="42"/>
        <v/>
      </c>
      <c r="P109" s="494" t="s">
        <v>404</v>
      </c>
      <c r="Q109" s="483" t="e">
        <f ca="1">VLOOKUP(VLOOKUP(I101,Worksheet!$A$18:$B$31,2),'1Test Data'!$O$30:$AD$49,14,0)</f>
        <v>#N/A</v>
      </c>
      <c r="R109" s="484" t="str">
        <f t="shared" si="48"/>
        <v/>
      </c>
      <c r="S109" s="465" t="str">
        <f t="shared" si="49"/>
        <v/>
      </c>
      <c r="T109" s="465" t="str">
        <f>IF(OR(E109="",B109=0),"",ABS(L109/S116))</f>
        <v/>
      </c>
      <c r="U109" s="485"/>
    </row>
    <row r="110" spans="1:21" s="440" customFormat="1" ht="27">
      <c r="A110" s="470">
        <v>7</v>
      </c>
      <c r="B110" s="471">
        <f>$B$10</f>
        <v>0</v>
      </c>
      <c r="C110" s="472" t="s">
        <v>405</v>
      </c>
      <c r="D110" s="471" t="s">
        <v>395</v>
      </c>
      <c r="E110" s="473">
        <v>0.5</v>
      </c>
      <c r="F110" s="474" t="s">
        <v>406</v>
      </c>
      <c r="G110" s="475" t="str">
        <f t="shared" si="43"/>
        <v/>
      </c>
      <c r="H110" s="476" t="str">
        <f t="shared" si="44"/>
        <v/>
      </c>
      <c r="I110" s="477">
        <f t="shared" si="45"/>
        <v>100</v>
      </c>
      <c r="J110" s="478" t="str">
        <f t="shared" si="46"/>
        <v/>
      </c>
      <c r="K110" s="479">
        <f ca="1">(0.098*F101)/1000</f>
        <v>0</v>
      </c>
      <c r="L110" s="480" t="str">
        <f t="shared" si="47"/>
        <v/>
      </c>
      <c r="M110" s="480" t="str">
        <f t="shared" si="40"/>
        <v>0</v>
      </c>
      <c r="N110" s="481" t="str">
        <f t="shared" si="41"/>
        <v>0</v>
      </c>
      <c r="O110" s="482" t="str">
        <f t="shared" si="42"/>
        <v/>
      </c>
      <c r="P110" s="464" t="s">
        <v>407</v>
      </c>
      <c r="Q110" s="452" t="e">
        <f ca="1">VLOOKUP(VLOOKUP(I101,Worksheet!$A$18:$B$31,2),'1Test Data'!$O$30:$X$49,10,0)</f>
        <v>#N/A</v>
      </c>
      <c r="R110" s="484" t="str">
        <f t="shared" si="48"/>
        <v/>
      </c>
      <c r="S110" s="465" t="str">
        <f t="shared" si="49"/>
        <v/>
      </c>
      <c r="T110" s="465" t="str">
        <f>IF(OR(E110="",B110=0),"",ABS(L110/S116))</f>
        <v/>
      </c>
      <c r="U110" s="485"/>
    </row>
    <row r="111" spans="1:21" s="440" customFormat="1" ht="27">
      <c r="A111" s="470">
        <v>8</v>
      </c>
      <c r="B111" s="471">
        <f>$B$11</f>
        <v>0</v>
      </c>
      <c r="C111" s="472" t="s">
        <v>408</v>
      </c>
      <c r="D111" s="471" t="s">
        <v>395</v>
      </c>
      <c r="E111" s="473">
        <v>0.05</v>
      </c>
      <c r="F111" s="474" t="s">
        <v>406</v>
      </c>
      <c r="G111" s="475" t="str">
        <f t="shared" si="43"/>
        <v/>
      </c>
      <c r="H111" s="476" t="str">
        <f t="shared" si="44"/>
        <v/>
      </c>
      <c r="I111" s="477">
        <f t="shared" si="45"/>
        <v>100</v>
      </c>
      <c r="J111" s="478" t="str">
        <f t="shared" si="46"/>
        <v/>
      </c>
      <c r="K111" s="479">
        <f ca="1">F101/8000</f>
        <v>0</v>
      </c>
      <c r="L111" s="480" t="str">
        <f t="shared" si="47"/>
        <v/>
      </c>
      <c r="M111" s="480" t="str">
        <f t="shared" si="40"/>
        <v>0</v>
      </c>
      <c r="N111" s="481" t="str">
        <f t="shared" si="41"/>
        <v>0</v>
      </c>
      <c r="O111" s="482" t="str">
        <f t="shared" si="42"/>
        <v/>
      </c>
      <c r="P111" s="464" t="s">
        <v>394</v>
      </c>
      <c r="Q111" s="483" t="e">
        <f ca="1">VLOOKUP(VLOOKUP(I101,Worksheet!$A$18:$B$31,2),'1Test Data'!$O$30:$AE$49,17,0)</f>
        <v>#N/A</v>
      </c>
      <c r="R111" s="484" t="str">
        <f t="shared" si="48"/>
        <v/>
      </c>
      <c r="S111" s="465" t="str">
        <f t="shared" si="49"/>
        <v/>
      </c>
      <c r="T111" s="465" t="str">
        <f>IF(OR(E111="",B111=0),"",ABS(L111/S116))</f>
        <v/>
      </c>
      <c r="U111" s="485"/>
    </row>
    <row r="112" spans="1:21" s="440" customFormat="1" ht="25.5" customHeight="1">
      <c r="A112" s="470">
        <v>9</v>
      </c>
      <c r="B112" s="471" t="e">
        <f>$B$12</f>
        <v>#NAME?</v>
      </c>
      <c r="C112" s="472" t="str">
        <f>"Electrical reference devise" &amp; '1Test Data'!$O$3 &amp;  CHAR(10) &amp; "SN: " &amp; '1Test Data'!$P$3 &amp; ", Cert No: " &amp; '1Test Data'!$Q$3</f>
        <v>Electrical reference devisea
SN: b, Cert No: c</v>
      </c>
      <c r="D112" s="471" t="s">
        <v>395</v>
      </c>
      <c r="E112" s="473">
        <f>ElectUncert</f>
        <v>2E-3</v>
      </c>
      <c r="F112" s="474" t="e">
        <f>IF(OR(E112="",B112=0),"",ReadoutType)</f>
        <v>#NAME?</v>
      </c>
      <c r="G112" s="475" t="e">
        <f t="shared" si="43"/>
        <v>#NAME?</v>
      </c>
      <c r="H112" s="476" t="e">
        <f t="shared" si="44"/>
        <v>#NAME?</v>
      </c>
      <c r="I112" s="477">
        <f t="shared" si="45"/>
        <v>100</v>
      </c>
      <c r="J112" s="478" t="e">
        <f t="shared" si="46"/>
        <v>#NAME?</v>
      </c>
      <c r="K112" s="479" t="e">
        <f>Capacity/(Upper-Lower)</f>
        <v>#NAME?</v>
      </c>
      <c r="L112" s="480" t="e">
        <f t="shared" si="47"/>
        <v>#NAME?</v>
      </c>
      <c r="M112" s="480" t="e">
        <f t="shared" si="40"/>
        <v>#NAME?</v>
      </c>
      <c r="N112" s="481" t="e">
        <f t="shared" si="41"/>
        <v>#NAME?</v>
      </c>
      <c r="O112" s="482" t="e">
        <f t="shared" si="42"/>
        <v>#NAME?</v>
      </c>
      <c r="P112" s="464" t="s">
        <v>396</v>
      </c>
      <c r="Q112" s="483" t="e">
        <f ca="1">VLOOKUP(VLOOKUP(I101,Worksheet!$A$18:$B$31,2),'1Test Data'!$O$30:$AF$49,18,0)</f>
        <v>#N/A</v>
      </c>
      <c r="R112" s="484" t="e">
        <f t="shared" si="48"/>
        <v>#NAME?</v>
      </c>
      <c r="S112" s="465" t="e">
        <f t="shared" si="49"/>
        <v>#NAME?</v>
      </c>
      <c r="T112" s="465" t="e">
        <f>IF(OR(E112="",B112=0),"",ABS(L112/S116))</f>
        <v>#NAME?</v>
      </c>
      <c r="U112" s="485"/>
    </row>
    <row r="113" spans="1:21" s="440" customFormat="1">
      <c r="A113" s="470">
        <v>10</v>
      </c>
      <c r="B113" s="471">
        <f>$B$13</f>
        <v>1</v>
      </c>
      <c r="C113" s="472" t="s">
        <v>409</v>
      </c>
      <c r="D113" s="471" t="s">
        <v>395</v>
      </c>
      <c r="E113" s="473">
        <f>Worksheet!D22*UnitConvert</f>
        <v>0</v>
      </c>
      <c r="F113" s="474" t="str">
        <f>IF(OR(E113="",B113=0),"",$F$4)</f>
        <v>ABS kPa</v>
      </c>
      <c r="G113" s="475" t="str">
        <f t="shared" si="43"/>
        <v>B</v>
      </c>
      <c r="H113" s="476">
        <f t="shared" si="44"/>
        <v>1.7320508075688772</v>
      </c>
      <c r="I113" s="477">
        <f t="shared" si="45"/>
        <v>100</v>
      </c>
      <c r="J113" s="478">
        <f t="shared" si="46"/>
        <v>0</v>
      </c>
      <c r="K113" s="479">
        <v>1</v>
      </c>
      <c r="L113" s="480">
        <f t="shared" si="47"/>
        <v>0</v>
      </c>
      <c r="M113" s="480">
        <f t="shared" si="40"/>
        <v>0</v>
      </c>
      <c r="N113" s="481">
        <f t="shared" si="41"/>
        <v>0</v>
      </c>
      <c r="O113" s="482" t="e">
        <f t="shared" ca="1" si="42"/>
        <v>#N/A</v>
      </c>
      <c r="P113" s="464" t="s">
        <v>201</v>
      </c>
      <c r="Q113" s="483" t="e">
        <f ca="1">VLOOKUP(VLOOKUP(I101,Worksheet!$A$18:$B$31,2),'1Test Data'!$O$30:$AG$49,19,0)</f>
        <v>#N/A</v>
      </c>
      <c r="R113" s="484">
        <f t="shared" si="48"/>
        <v>0</v>
      </c>
      <c r="S113" s="465">
        <f t="shared" si="49"/>
        <v>0</v>
      </c>
      <c r="T113" s="465" t="e">
        <f ca="1">IF(OR(E113="",B113=0),"",ABS(L113/S116))</f>
        <v>#N/A</v>
      </c>
      <c r="U113" s="485"/>
    </row>
    <row r="114" spans="1:21" s="440" customFormat="1" ht="13.5" customHeight="1">
      <c r="A114" s="470">
        <v>11</v>
      </c>
      <c r="B114" s="471" t="e">
        <f>$B$14</f>
        <v>#NAME?</v>
      </c>
      <c r="C114" s="496" t="e">
        <f>"DUT Type " &amp;ReadoutType&amp; " Resolution "&amp;Readability &amp; "kPa
Digital - Type B - Rect - 1/2 of  least count with D of F = 100 &amp; (k=1.73)
Analogue - Type B - N95 - Best scale readability with D of F = 60 &amp; k=2.00"</f>
        <v>#NAME?</v>
      </c>
      <c r="D114" s="471" t="e">
        <f>IF(ReadoutType="Digital","Rect","N95")</f>
        <v>#NAME?</v>
      </c>
      <c r="E114" s="473" t="e">
        <f>IF(Elect=1,($K112)/1000,IF(ReadoutType="Digital",Readability/2,Readability)*UnitConvert)</f>
        <v>#NAME?</v>
      </c>
      <c r="F114" s="474" t="e">
        <f>IF(OR(E114="",B114=0),"",$F$4)</f>
        <v>#NAME?</v>
      </c>
      <c r="G114" s="475" t="e">
        <f t="shared" si="43"/>
        <v>#NAME?</v>
      </c>
      <c r="H114" s="476" t="e">
        <f t="shared" si="44"/>
        <v>#NAME?</v>
      </c>
      <c r="I114" s="477" t="e">
        <f t="shared" si="45"/>
        <v>#NAME?</v>
      </c>
      <c r="J114" s="478" t="e">
        <f t="shared" si="46"/>
        <v>#NAME?</v>
      </c>
      <c r="K114" s="479">
        <v>1</v>
      </c>
      <c r="L114" s="480" t="e">
        <f t="shared" si="47"/>
        <v>#NAME?</v>
      </c>
      <c r="M114" s="480" t="e">
        <f t="shared" si="40"/>
        <v>#NAME?</v>
      </c>
      <c r="N114" s="481" t="e">
        <f t="shared" si="41"/>
        <v>#NAME?</v>
      </c>
      <c r="O114" s="482" t="e">
        <f t="shared" si="42"/>
        <v>#NAME?</v>
      </c>
      <c r="P114" s="464" t="s">
        <v>88</v>
      </c>
      <c r="Q114" s="483" t="e">
        <f ca="1">VLOOKUP(VLOOKUP(I101,Worksheet!$A$18:$B$31,2),'1Test Data'!$O$30:$AH$49,20,0)</f>
        <v>#N/A</v>
      </c>
      <c r="R114" s="484" t="e">
        <f t="shared" si="48"/>
        <v>#NAME?</v>
      </c>
      <c r="S114" s="465" t="e">
        <f t="shared" si="49"/>
        <v>#NAME?</v>
      </c>
      <c r="T114" s="465" t="e">
        <f>IF(OR(E114="",B114=0),"",ABS(L114/S116))</f>
        <v>#NAME?</v>
      </c>
      <c r="U114" s="485"/>
    </row>
    <row r="115" spans="1:21" s="440" customFormat="1" ht="27">
      <c r="A115" s="470">
        <v>12</v>
      </c>
      <c r="B115" s="471" t="e">
        <f>$B$15</f>
        <v>#NAME?</v>
      </c>
      <c r="C115" s="496" t="s">
        <v>410</v>
      </c>
      <c r="D115" s="471" t="s">
        <v>395</v>
      </c>
      <c r="E115" s="473" t="e">
        <f>E114</f>
        <v>#NAME?</v>
      </c>
      <c r="F115" s="474" t="e">
        <f>IF(OR(E115="",B115=0),"",$F$4)</f>
        <v>#NAME?</v>
      </c>
      <c r="G115" s="475" t="e">
        <f t="shared" si="43"/>
        <v>#NAME?</v>
      </c>
      <c r="H115" s="476" t="e">
        <f t="shared" si="44"/>
        <v>#NAME?</v>
      </c>
      <c r="I115" s="477">
        <f t="shared" si="45"/>
        <v>100</v>
      </c>
      <c r="J115" s="478" t="e">
        <f t="shared" si="46"/>
        <v>#NAME?</v>
      </c>
      <c r="K115" s="479">
        <v>1</v>
      </c>
      <c r="L115" s="480" t="e">
        <f t="shared" si="47"/>
        <v>#NAME?</v>
      </c>
      <c r="M115" s="480" t="e">
        <f t="shared" si="40"/>
        <v>#NAME?</v>
      </c>
      <c r="N115" s="481" t="e">
        <f t="shared" si="41"/>
        <v>#NAME?</v>
      </c>
      <c r="O115" s="482" t="e">
        <f t="shared" si="42"/>
        <v>#NAME?</v>
      </c>
      <c r="P115" s="464" t="s">
        <v>411</v>
      </c>
      <c r="Q115" s="483" t="e">
        <f ca="1">ABS(Q111*F101^3+Q112*F101^2+Q113*F101+Q114)</f>
        <v>#N/A</v>
      </c>
      <c r="R115" s="484" t="e">
        <f t="shared" si="48"/>
        <v>#NAME?</v>
      </c>
      <c r="S115" s="465" t="e">
        <f t="shared" si="49"/>
        <v>#NAME?</v>
      </c>
      <c r="T115" s="465" t="e">
        <f>IF(OR(E115="",B115=0),"",ABS(L115/S116))</f>
        <v>#NAME?</v>
      </c>
      <c r="U115" s="485"/>
    </row>
    <row r="116" spans="1:21" s="440" customFormat="1" ht="25.5">
      <c r="A116" s="497"/>
      <c r="B116" s="498"/>
      <c r="C116" s="448"/>
      <c r="D116" s="448"/>
      <c r="E116" s="448"/>
      <c r="F116" s="448"/>
      <c r="G116" s="448"/>
      <c r="H116" s="448"/>
      <c r="I116" s="484"/>
      <c r="J116" s="448"/>
      <c r="K116" s="448"/>
      <c r="L116" s="499" t="s">
        <v>412</v>
      </c>
      <c r="M116" s="499" t="e">
        <f ca="1">SUM(M104:M115)</f>
        <v>#N/A</v>
      </c>
      <c r="N116" s="500" t="e">
        <f ca="1">SUM(N104:N115)</f>
        <v>#N/A</v>
      </c>
      <c r="O116" s="501" t="e">
        <f ca="1">SUM(O104:O115)</f>
        <v>#N/A</v>
      </c>
      <c r="P116" s="464" t="s">
        <v>413</v>
      </c>
      <c r="Q116" s="483" t="e">
        <f ca="1">VLOOKUP(VLOOKUP(I101,Worksheet!$A$18:$B$31,2),'1Test Data'!$O$30:$AJ$49,22,0)</f>
        <v>#N/A</v>
      </c>
      <c r="R116" s="453"/>
      <c r="S116" s="465" t="e">
        <f ca="1">SUM(S104:S115)</f>
        <v>#N/A</v>
      </c>
      <c r="T116" s="465" t="e">
        <f ca="1">SUM(T104:T115)</f>
        <v>#N/A</v>
      </c>
      <c r="U116" s="455"/>
    </row>
    <row r="117" spans="1:21" s="440" customFormat="1">
      <c r="A117" s="504"/>
      <c r="B117" s="448"/>
      <c r="C117" s="498" t="s">
        <v>414</v>
      </c>
      <c r="D117" s="448"/>
      <c r="E117" s="448"/>
      <c r="F117" s="448"/>
      <c r="G117" s="448"/>
      <c r="H117" s="448"/>
      <c r="I117" s="448"/>
      <c r="J117" s="448"/>
      <c r="K117" s="448"/>
      <c r="L117" s="505"/>
      <c r="M117" s="505"/>
      <c r="N117" s="505"/>
      <c r="O117" s="505"/>
      <c r="P117" s="464" t="s">
        <v>394</v>
      </c>
      <c r="Q117" s="483" t="e">
        <f ca="1">VLOOKUP(VLOOKUP(I101,Worksheet!$A$18:$B$31,2),'1Test Data'!$O$30:$AK$49,23,0)</f>
        <v>#N/A</v>
      </c>
      <c r="R117" s="453"/>
      <c r="S117" s="453"/>
      <c r="T117" s="453"/>
      <c r="U117" s="455"/>
    </row>
    <row r="118" spans="1:21" s="440" customFormat="1" ht="13.5" customHeight="1">
      <c r="A118" s="504"/>
      <c r="B118" s="448"/>
      <c r="C118" s="1090" t="s">
        <v>415</v>
      </c>
      <c r="D118" s="1091"/>
      <c r="E118" s="1091"/>
      <c r="F118" s="1091"/>
      <c r="G118" s="1092"/>
      <c r="H118" s="448"/>
      <c r="I118" s="448"/>
      <c r="J118" s="448"/>
      <c r="K118" s="448"/>
      <c r="L118" s="506" t="s">
        <v>416</v>
      </c>
      <c r="M118" s="507" t="e">
        <f ca="1">M116^0.5</f>
        <v>#N/A</v>
      </c>
      <c r="N118" s="508" t="str">
        <f>Uncert!$F$4</f>
        <v>ABS kPa</v>
      </c>
      <c r="O118" s="505" t="e">
        <f ca="1">(M116-M107-M112-M114-M115)^0.5</f>
        <v>#N/A</v>
      </c>
      <c r="P118" s="464" t="s">
        <v>396</v>
      </c>
      <c r="Q118" s="483" t="e">
        <f ca="1">VLOOKUP(VLOOKUP(I101,Worksheet!$A$18:$B$31,2),'1Test Data'!$O$30:$AL$49,24,0)</f>
        <v>#N/A</v>
      </c>
      <c r="R118" s="453"/>
      <c r="S118" s="453"/>
      <c r="T118" s="453"/>
      <c r="U118" s="455"/>
    </row>
    <row r="119" spans="1:21" s="440" customFormat="1">
      <c r="A119" s="504"/>
      <c r="B119" s="448"/>
      <c r="C119" s="1093"/>
      <c r="D119" s="1094"/>
      <c r="E119" s="1094"/>
      <c r="F119" s="1094"/>
      <c r="G119" s="1095"/>
      <c r="H119" s="448"/>
      <c r="I119" s="448"/>
      <c r="J119" s="448"/>
      <c r="K119" s="448"/>
      <c r="L119" s="506" t="s">
        <v>417</v>
      </c>
      <c r="M119" s="507" t="e">
        <f ca="1">M118^4/N116</f>
        <v>#N/A</v>
      </c>
      <c r="N119" s="509"/>
      <c r="O119" s="510" t="e">
        <f ca="1">O118^4/(N116-N107-N112-N114-N115)</f>
        <v>#N/A</v>
      </c>
      <c r="P119" s="464" t="s">
        <v>201</v>
      </c>
      <c r="Q119" s="483" t="e">
        <f ca="1">VLOOKUP(VLOOKUP(I101,Worksheet!$A$18:$B$31,2),'1Test Data'!$O$30:$AM$49,25,0)</f>
        <v>#N/A</v>
      </c>
      <c r="R119" s="453"/>
      <c r="S119" s="453"/>
      <c r="T119" s="453"/>
      <c r="U119" s="455"/>
    </row>
    <row r="120" spans="1:21" s="440" customFormat="1">
      <c r="A120" s="504"/>
      <c r="B120" s="448"/>
      <c r="C120" s="1093"/>
      <c r="D120" s="1094"/>
      <c r="E120" s="1094"/>
      <c r="F120" s="1094"/>
      <c r="G120" s="1095"/>
      <c r="H120" s="448"/>
      <c r="I120" s="448"/>
      <c r="J120" s="448"/>
      <c r="K120" s="448"/>
      <c r="L120" s="506" t="s">
        <v>418</v>
      </c>
      <c r="M120" s="507" t="e">
        <f ca="1">TINV(0.05,M119)</f>
        <v>#N/A</v>
      </c>
      <c r="N120" s="508"/>
      <c r="O120" s="507" t="e">
        <f ca="1">TINV(0.05,O119)</f>
        <v>#N/A</v>
      </c>
      <c r="P120" s="464" t="s">
        <v>88</v>
      </c>
      <c r="Q120" s="483" t="e">
        <f ca="1">VLOOKUP(VLOOKUP(I101,Worksheet!$A$18:$B$31,2),'1Test Data'!$O$30:$AN$49,26,0)</f>
        <v>#N/A</v>
      </c>
      <c r="R120" s="453"/>
      <c r="S120" s="453"/>
      <c r="T120" s="453"/>
      <c r="U120" s="455"/>
    </row>
    <row r="121" spans="1:21" s="440" customFormat="1">
      <c r="A121" s="504"/>
      <c r="B121" s="448"/>
      <c r="C121" s="1093"/>
      <c r="D121" s="1094"/>
      <c r="E121" s="1094"/>
      <c r="F121" s="1094"/>
      <c r="G121" s="1095"/>
      <c r="H121" s="448"/>
      <c r="I121" s="448"/>
      <c r="J121" s="448"/>
      <c r="K121" s="448"/>
      <c r="L121" s="506" t="s">
        <v>419</v>
      </c>
      <c r="M121" s="507" t="e">
        <f ca="1">M118*M120</f>
        <v>#N/A</v>
      </c>
      <c r="N121" s="508" t="str">
        <f>Uncert!$F$4</f>
        <v>ABS kPa</v>
      </c>
      <c r="O121" s="507" t="e">
        <f ca="1">O118*O120</f>
        <v>#N/A</v>
      </c>
      <c r="P121" s="464" t="s">
        <v>420</v>
      </c>
      <c r="Q121" s="483" t="e">
        <f ca="1">ABS(Q117*F101^3+Q118*F101^2+Q119*F101+Q120)</f>
        <v>#N/A</v>
      </c>
      <c r="R121" s="453"/>
      <c r="S121" s="453"/>
      <c r="T121" s="453"/>
      <c r="U121" s="455"/>
    </row>
    <row r="122" spans="1:21" s="440" customFormat="1">
      <c r="A122" s="497"/>
      <c r="B122" s="498"/>
      <c r="C122" s="1096"/>
      <c r="D122" s="1097"/>
      <c r="E122" s="1097"/>
      <c r="F122" s="1097"/>
      <c r="G122" s="1098"/>
      <c r="H122" s="448"/>
      <c r="I122" s="448"/>
      <c r="J122" s="511"/>
      <c r="K122" s="511"/>
      <c r="L122" s="512" t="s">
        <v>421</v>
      </c>
      <c r="M122" s="513" t="e">
        <f ca="1">M121</f>
        <v>#N/A</v>
      </c>
      <c r="N122" s="514" t="str">
        <f>Uncert!$F$4</f>
        <v>ABS kPa</v>
      </c>
      <c r="O122" s="513" t="e">
        <f ca="1">O121</f>
        <v>#N/A</v>
      </c>
      <c r="P122" s="464" t="s">
        <v>422</v>
      </c>
      <c r="Q122" s="483" t="e">
        <f ca="1">VLOOKUP(VLOOKUP(I101,Worksheet!$A$18:$B$31,2),'1Test Data'!$O$30:$AP$49,28,0)</f>
        <v>#N/A</v>
      </c>
      <c r="R122" s="453"/>
      <c r="S122" s="453"/>
      <c r="T122" s="453"/>
      <c r="U122" s="455"/>
    </row>
    <row r="123" spans="1:21" s="440" customFormat="1">
      <c r="A123" s="497"/>
      <c r="B123" s="498"/>
      <c r="C123" s="498" t="s">
        <v>423</v>
      </c>
      <c r="D123" s="448"/>
      <c r="E123" s="448"/>
      <c r="F123" s="448"/>
      <c r="G123" s="448"/>
      <c r="H123" s="515" t="e">
        <f>"N " &amp; ReadoutType</f>
        <v>#NAME?</v>
      </c>
      <c r="I123" s="516" t="e">
        <f ca="1">($O124/$K112)</f>
        <v>#N/A</v>
      </c>
      <c r="J123" s="448"/>
      <c r="K123" s="448"/>
      <c r="L123" s="505"/>
      <c r="M123" s="517" t="e">
        <f ca="1">(M122/F101)*100</f>
        <v>#N/A</v>
      </c>
      <c r="N123" s="518" t="s">
        <v>78</v>
      </c>
      <c r="O123" s="517"/>
      <c r="P123" s="519"/>
      <c r="Q123" s="519"/>
      <c r="R123" s="453"/>
      <c r="S123" s="453"/>
      <c r="T123" s="453"/>
      <c r="U123" s="455"/>
    </row>
    <row r="124" spans="1:21" s="440" customFormat="1">
      <c r="A124" s="497"/>
      <c r="B124" s="498"/>
      <c r="C124" s="520" t="s">
        <v>33</v>
      </c>
      <c r="D124" s="521" t="str">
        <f ca="1">Gravity</f>
        <v/>
      </c>
      <c r="E124" s="520" t="s">
        <v>36</v>
      </c>
      <c r="F124" s="522"/>
      <c r="G124" s="523"/>
      <c r="H124" s="524" t="e">
        <f>ReadoutType</f>
        <v>#NAME?</v>
      </c>
      <c r="I124" s="516" t="e">
        <f ca="1">($M124/$K112)</f>
        <v>#N/A</v>
      </c>
      <c r="J124" s="1103" t="s">
        <v>424</v>
      </c>
      <c r="K124" s="1104"/>
      <c r="L124" s="1104"/>
      <c r="M124" s="525" t="e">
        <f ca="1">IF(NATA="Y",IF(M122&lt;Scopekpa,IF(Scopekpa&lt;((F101/100)*ScopeReading),((F101/100)*ScopeReading),Scopekpa),IF(M122&lt;((F101/100)*ScopeReading),((F101/100)*ScopeReading),M122)),Uncert!M122)</f>
        <v>#N/A</v>
      </c>
      <c r="N124" s="522" t="s">
        <v>425</v>
      </c>
      <c r="O124" s="525" t="e">
        <f ca="1">IF(NATA="Y",IF(O122&lt;Scopekpa,IF(Scopekpa&lt;((F101/100)*ScopeReading),((F101/100)*ScopeReading),Scopekpa),IF(O122&lt;((F101/100)*ScopeReading),((F101/100)*ScopeReading),O122)),Uncert!O122)</f>
        <v>#N/A</v>
      </c>
      <c r="P124" s="522"/>
      <c r="Q124" s="522"/>
      <c r="R124" s="453"/>
      <c r="S124" s="453"/>
      <c r="T124" s="453"/>
      <c r="U124" s="455"/>
    </row>
    <row r="125" spans="1:21" s="440" customFormat="1" ht="14.25" thickBot="1">
      <c r="A125" s="526" t="str">
        <f>"Worksheet!A" &amp; 17+(ROW()/25)</f>
        <v>Worksheet!A22</v>
      </c>
      <c r="B125" s="527"/>
      <c r="C125" s="527"/>
      <c r="D125" s="528">
        <f>ROW()/25</f>
        <v>5</v>
      </c>
      <c r="E125" s="529"/>
      <c r="F125" s="529"/>
      <c r="G125" s="529"/>
      <c r="H125" s="529"/>
      <c r="I125" s="530"/>
      <c r="J125" s="1105" t="s">
        <v>424</v>
      </c>
      <c r="K125" s="1105"/>
      <c r="L125" s="1105"/>
      <c r="M125" s="531" t="e">
        <f ca="1">IF(NATA="Y",IF(M123&lt;ScopeReading,ScopeReading,M123),M123)</f>
        <v>#N/A</v>
      </c>
      <c r="N125" s="532" t="s">
        <v>78</v>
      </c>
      <c r="O125" s="531"/>
      <c r="P125" s="532"/>
      <c r="Q125" s="527"/>
      <c r="R125" s="527"/>
      <c r="S125" s="527"/>
      <c r="T125" s="527"/>
      <c r="U125" s="533"/>
    </row>
    <row r="126" spans="1:21" s="440" customFormat="1">
      <c r="A126" s="1099" t="e">
        <f ca="1">"Uncertainty Budget: Digital Pressure Gauge (" &amp; Q126&amp; ", "&amp; Q127 &amp; H126 &amp;" x " &amp; Division   &amp;H126 &amp; " )" &amp; " Test Point "&amp;D150</f>
        <v>#N/A</v>
      </c>
      <c r="B126" s="1100"/>
      <c r="C126" s="1100"/>
      <c r="D126" s="1100"/>
      <c r="E126" s="1100"/>
      <c r="F126" s="1101">
        <f ca="1">ABS(I126*UnitConvert)</f>
        <v>0</v>
      </c>
      <c r="G126" s="1102"/>
      <c r="H126" s="428" t="s">
        <v>371</v>
      </c>
      <c r="I126" s="429">
        <f ca="1">INDIRECT(A150)</f>
        <v>0</v>
      </c>
      <c r="J126" s="430" t="str">
        <f>_xlfn.SINGLE(Units)</f>
        <v>mm</v>
      </c>
      <c r="K126" s="431" t="e">
        <f ca="1">IF(C129="","","Uncertainty (U) = ±"&amp;TEXT(M147,"0.0")&amp;$F$4&amp;",  &amp;  (k="&amp;TEXT(M145,"0.00")&amp;", confidence level=95%)")</f>
        <v>#N/A</v>
      </c>
      <c r="L126" s="432"/>
      <c r="M126" s="432"/>
      <c r="N126" s="432"/>
      <c r="O126" s="433"/>
      <c r="P126" s="434" t="s">
        <v>372</v>
      </c>
      <c r="Q126" s="435" t="e">
        <f ca="1">VLOOKUP(VLOOKUP(I126,Worksheet!$A$18:$B$31,2),'1Test Data'!$M$6:$O$10,2,0)</f>
        <v>#N/A</v>
      </c>
      <c r="R126" s="436"/>
      <c r="S126" s="436"/>
      <c r="T126" s="437" t="str">
        <f ca="1">"TEX Ver "&amp;Mods!$A$1</f>
        <v>TEX Ver TAS-SST001v1</v>
      </c>
      <c r="U126" s="438"/>
    </row>
    <row r="127" spans="1:21" s="440" customFormat="1">
      <c r="A127" s="442" t="s">
        <v>373</v>
      </c>
      <c r="B127" s="443"/>
      <c r="C127" s="444"/>
      <c r="D127" s="445" t="s">
        <v>374</v>
      </c>
      <c r="E127" s="446" t="e">
        <f ca="1">Q127</f>
        <v>#N/A</v>
      </c>
      <c r="F127" s="447"/>
      <c r="G127" s="447" t="e">
        <f ca="1">ROUND(M147/(F126/100),2)&amp;"% of Full Scale"</f>
        <v>#N/A</v>
      </c>
      <c r="H127" s="448"/>
      <c r="I127" s="448"/>
      <c r="J127" s="449" t="e">
        <f ca="1">M148</f>
        <v>#N/A</v>
      </c>
      <c r="K127" s="448"/>
      <c r="L127" s="450"/>
      <c r="M127" s="450"/>
      <c r="N127" s="450"/>
      <c r="O127" s="433"/>
      <c r="P127" s="451" t="s">
        <v>375</v>
      </c>
      <c r="Q127" s="452" t="e">
        <f ca="1">VLOOKUP(VLOOKUP(I126,Worksheet!$A$18:$B$31,2),'1Test Data'!$O$30:$T$49,6,0)</f>
        <v>#N/A</v>
      </c>
      <c r="R127" s="453">
        <v>0</v>
      </c>
      <c r="S127" s="453"/>
      <c r="T127" s="454">
        <f ca="1">Mods!$A$4</f>
        <v>45809.486168981479</v>
      </c>
      <c r="U127" s="455"/>
    </row>
    <row r="128" spans="1:21" s="440" customFormat="1" ht="38.25">
      <c r="A128" s="458" t="s">
        <v>376</v>
      </c>
      <c r="B128" s="459" t="s">
        <v>377</v>
      </c>
      <c r="C128" s="460" t="s">
        <v>378</v>
      </c>
      <c r="D128" s="460" t="s">
        <v>379</v>
      </c>
      <c r="E128" s="460" t="s">
        <v>380</v>
      </c>
      <c r="F128" s="460" t="s">
        <v>381</v>
      </c>
      <c r="G128" s="460" t="s">
        <v>178</v>
      </c>
      <c r="H128" s="461" t="s">
        <v>382</v>
      </c>
      <c r="I128" s="461" t="s">
        <v>383</v>
      </c>
      <c r="J128" s="462" t="s">
        <v>384</v>
      </c>
      <c r="K128" s="463" t="s">
        <v>385</v>
      </c>
      <c r="L128" s="461" t="s">
        <v>386</v>
      </c>
      <c r="M128" s="461" t="s">
        <v>387</v>
      </c>
      <c r="N128" s="461" t="s">
        <v>388</v>
      </c>
      <c r="O128" s="461" t="s">
        <v>389</v>
      </c>
      <c r="P128" s="464" t="s">
        <v>390</v>
      </c>
      <c r="Q128" s="452" t="e">
        <f ca="1">VLOOKUP(VLOOKUP(I126,Worksheet!$A$18:$B$31,2),'1Test Data'!$O$30:$V$49,8,0)</f>
        <v>#N/A</v>
      </c>
      <c r="R128" s="465" t="s">
        <v>391</v>
      </c>
      <c r="S128" s="465" t="s">
        <v>391</v>
      </c>
      <c r="T128" s="466" t="s">
        <v>392</v>
      </c>
      <c r="U128" s="467"/>
    </row>
    <row r="129" spans="1:21" s="440" customFormat="1">
      <c r="A129" s="470">
        <v>1</v>
      </c>
      <c r="B129" s="471">
        <f>$B$4</f>
        <v>1</v>
      </c>
      <c r="C129" s="472" t="e">
        <f ca="1">"Reference Device  ("&amp;Q127&amp;" Druck Transducer) + Sey
Uncertainty from Calibration Report - "&amp;Q126</f>
        <v>#N/A</v>
      </c>
      <c r="D129" s="471" t="s">
        <v>393</v>
      </c>
      <c r="E129" s="473" t="e">
        <f ca="1">Q133+Q134</f>
        <v>#N/A</v>
      </c>
      <c r="F129" s="474" t="str">
        <f>H126</f>
        <v>ABS kPa</v>
      </c>
      <c r="G129" s="475" t="str">
        <f>IF(OR(D129="",B129=0),"",IF(D129="ESDM","A","B"))</f>
        <v>B</v>
      </c>
      <c r="H129" s="476" t="e">
        <f ca="1">IF(OR(E129="",B129=0),"",IF(D129="ESDM",1,IF(D129="N95",2,IF(D129="Rect",(3^0.5)))))</f>
        <v>#N/A</v>
      </c>
      <c r="I129" s="477">
        <f>IF(D129="N95",60,100)</f>
        <v>60</v>
      </c>
      <c r="J129" s="478" t="e">
        <f ca="1">IF(OR(E129="",B129=0),"",(E129/H129))</f>
        <v>#N/A</v>
      </c>
      <c r="K129" s="479">
        <v>1</v>
      </c>
      <c r="L129" s="480" t="e">
        <f ca="1">IF(OR(E129="",B129=0),"",K129*J129)</f>
        <v>#N/A</v>
      </c>
      <c r="M129" s="480" t="e">
        <f t="shared" ref="M129:M140" ca="1" si="50">IF(OR(E129="",B129=0),"0",L129^2)</f>
        <v>#N/A</v>
      </c>
      <c r="N129" s="481" t="e">
        <f t="shared" ref="N129:N140" ca="1" si="51">IF(OR(D129="",B129=0),"0",(L129)^4/I129)</f>
        <v>#N/A</v>
      </c>
      <c r="O129" s="482" t="e">
        <f t="shared" ref="O129:O140" ca="1" si="52">T129</f>
        <v>#N/A</v>
      </c>
      <c r="P129" s="464" t="s">
        <v>394</v>
      </c>
      <c r="Q129" s="483" t="e">
        <f ca="1">VLOOKUP(VLOOKUP(I126,Worksheet!$A$18:$B$31,2),'1Test Data'!$O$30:$Y$49,11,0)</f>
        <v>#N/A</v>
      </c>
      <c r="R129" s="484" t="e">
        <f ca="1">IF(OR(E129="",B129=0),"",K129*J129)</f>
        <v>#N/A</v>
      </c>
      <c r="S129" s="465" t="e">
        <f ca="1">IF(OR(E129="",B129=0),"",ABS(R129))</f>
        <v>#N/A</v>
      </c>
      <c r="T129" s="465" t="e">
        <f ca="1">IF(OR(E129="",B129=0),"",ABS(L129/S141))</f>
        <v>#N/A</v>
      </c>
      <c r="U129" s="485"/>
    </row>
    <row r="130" spans="1:21" s="440" customFormat="1">
      <c r="A130" s="470">
        <v>2</v>
      </c>
      <c r="B130" s="471">
        <f>$B$5</f>
        <v>1</v>
      </c>
      <c r="C130" s="472" t="e">
        <f ca="1">"Reference Device  Specs +Sey
(" &amp; Q127 &amp; H126 &amp; " Druck Transducer)
"&amp;Q128 &amp; "% of F.S. from Calibration Report - " &amp; Q126</f>
        <v>#N/A</v>
      </c>
      <c r="D130" s="471" t="s">
        <v>395</v>
      </c>
      <c r="E130" s="473" t="e">
        <f ca="1">Q146+Q147</f>
        <v>#N/A</v>
      </c>
      <c r="F130" s="474" t="e">
        <f ca="1">IF(OR(E130="",B130=0),"",$F$4)</f>
        <v>#N/A</v>
      </c>
      <c r="G130" s="475" t="str">
        <f t="shared" ref="G130:G140" si="53">IF(OR(D130="",B130=0),"",IF(D130="ESDM","A","B"))</f>
        <v>B</v>
      </c>
      <c r="H130" s="476" t="e">
        <f t="shared" ref="H130:H140" ca="1" si="54">IF(OR(E130="",B130=0),"",IF(D130="ESDM",1,IF(D130="N95",2,IF(D130="Rect",(3^0.5)))))</f>
        <v>#N/A</v>
      </c>
      <c r="I130" s="477">
        <f t="shared" ref="I130:I140" si="55">IF(D130="N95",60,100)</f>
        <v>100</v>
      </c>
      <c r="J130" s="478" t="e">
        <f t="shared" ref="J130:J140" ca="1" si="56">IF(OR(E130="",B130=0),"",(E130/H130))</f>
        <v>#N/A</v>
      </c>
      <c r="K130" s="479">
        <v>1</v>
      </c>
      <c r="L130" s="480" t="e">
        <f t="shared" ref="L130:L140" ca="1" si="57">IF(OR(E130="",B130=0),"",K130*J130)</f>
        <v>#N/A</v>
      </c>
      <c r="M130" s="480" t="e">
        <f t="shared" ca="1" si="50"/>
        <v>#N/A</v>
      </c>
      <c r="N130" s="481" t="e">
        <f t="shared" ca="1" si="51"/>
        <v>#N/A</v>
      </c>
      <c r="O130" s="482" t="e">
        <f t="shared" ca="1" si="52"/>
        <v>#N/A</v>
      </c>
      <c r="P130" s="464" t="s">
        <v>396</v>
      </c>
      <c r="Q130" s="483" t="e">
        <f ca="1">VLOOKUP(VLOOKUP(I126,Worksheet!$A$18:$B$31,2),'1Test Data'!$O$30:$Z$49,12,0)</f>
        <v>#N/A</v>
      </c>
      <c r="R130" s="484" t="e">
        <f t="shared" ref="R130:R140" ca="1" si="58">IF(OR(E130="",B130=0),"",K130*J130)</f>
        <v>#N/A</v>
      </c>
      <c r="S130" s="465" t="e">
        <f t="shared" ref="S130:S140" ca="1" si="59">IF(OR(E130="",B130=0),"",ABS(R130))</f>
        <v>#N/A</v>
      </c>
      <c r="T130" s="465" t="e">
        <f ca="1">IF(OR(E130="",B130=0),"",ABS(L130/S141))</f>
        <v>#N/A</v>
      </c>
      <c r="U130" s="485"/>
    </row>
    <row r="131" spans="1:21" s="440" customFormat="1" ht="18" customHeight="1">
      <c r="A131" s="470">
        <v>3</v>
      </c>
      <c r="B131" s="471">
        <f>$B$6</f>
        <v>1</v>
      </c>
      <c r="C131" s="472" t="s">
        <v>397</v>
      </c>
      <c r="D131" s="471" t="s">
        <v>395</v>
      </c>
      <c r="E131" s="473" t="e">
        <f ca="1">Q135*F126/100</f>
        <v>#N/A</v>
      </c>
      <c r="F131" s="474" t="e">
        <f ca="1">IF(OR(E131="",B131=0),"",$F$4)</f>
        <v>#N/A</v>
      </c>
      <c r="G131" s="475" t="str">
        <f t="shared" si="53"/>
        <v>B</v>
      </c>
      <c r="H131" s="476" t="e">
        <f t="shared" ca="1" si="54"/>
        <v>#N/A</v>
      </c>
      <c r="I131" s="477">
        <f t="shared" si="55"/>
        <v>100</v>
      </c>
      <c r="J131" s="478" t="e">
        <f t="shared" ca="1" si="56"/>
        <v>#N/A</v>
      </c>
      <c r="K131" s="479">
        <v>1</v>
      </c>
      <c r="L131" s="480" t="e">
        <f t="shared" ca="1" si="57"/>
        <v>#N/A</v>
      </c>
      <c r="M131" s="480" t="e">
        <f t="shared" ca="1" si="50"/>
        <v>#N/A</v>
      </c>
      <c r="N131" s="481" t="e">
        <f t="shared" ca="1" si="51"/>
        <v>#N/A</v>
      </c>
      <c r="O131" s="482" t="e">
        <f t="shared" ca="1" si="52"/>
        <v>#N/A</v>
      </c>
      <c r="P131" s="464" t="s">
        <v>201</v>
      </c>
      <c r="Q131" s="483" t="e">
        <f ca="1">VLOOKUP(VLOOKUP(I126,Worksheet!$A$18:$B$31,2),'1Test Data'!$O$30:$AA$49,13,0)</f>
        <v>#N/A</v>
      </c>
      <c r="R131" s="484" t="e">
        <f t="shared" ca="1" si="58"/>
        <v>#N/A</v>
      </c>
      <c r="S131" s="465" t="e">
        <f t="shared" ca="1" si="59"/>
        <v>#N/A</v>
      </c>
      <c r="T131" s="465" t="e">
        <f ca="1">IF(OR(E131="",B131=0),"",ABS(L131/S141))</f>
        <v>#N/A</v>
      </c>
      <c r="U131" s="485"/>
    </row>
    <row r="132" spans="1:21" s="440" customFormat="1" ht="18" customHeight="1">
      <c r="A132" s="470">
        <v>4</v>
      </c>
      <c r="B132" s="471" t="e">
        <f>$B$7</f>
        <v>#NAME?</v>
      </c>
      <c r="C132" s="472" t="s">
        <v>398</v>
      </c>
      <c r="D132" s="471" t="s">
        <v>395</v>
      </c>
      <c r="E132" s="473">
        <f>EDMS*UnitConvert</f>
        <v>0</v>
      </c>
      <c r="F132" s="474" t="e">
        <f>IF(OR(E132="",B132=0),"",$F$4)</f>
        <v>#NAME?</v>
      </c>
      <c r="G132" s="475" t="e">
        <f t="shared" si="53"/>
        <v>#NAME?</v>
      </c>
      <c r="H132" s="476" t="e">
        <f t="shared" si="54"/>
        <v>#NAME?</v>
      </c>
      <c r="I132" s="477">
        <f t="shared" si="55"/>
        <v>100</v>
      </c>
      <c r="J132" s="478" t="e">
        <f t="shared" si="56"/>
        <v>#NAME?</v>
      </c>
      <c r="K132" s="479">
        <v>1</v>
      </c>
      <c r="L132" s="480" t="e">
        <f t="shared" si="57"/>
        <v>#NAME?</v>
      </c>
      <c r="M132" s="480" t="e">
        <f t="shared" si="50"/>
        <v>#NAME?</v>
      </c>
      <c r="N132" s="481" t="e">
        <f t="shared" si="51"/>
        <v>#NAME?</v>
      </c>
      <c r="O132" s="482" t="e">
        <f t="shared" si="52"/>
        <v>#NAME?</v>
      </c>
      <c r="P132" s="464" t="s">
        <v>88</v>
      </c>
      <c r="Q132" s="483" t="e">
        <f ca="1">VLOOKUP(VLOOKUP(I126,Worksheet!$A$18:$B$31,2),'1Test Data'!$O$30:$AB$49,14,0)</f>
        <v>#N/A</v>
      </c>
      <c r="R132" s="484" t="e">
        <f t="shared" si="58"/>
        <v>#NAME?</v>
      </c>
      <c r="S132" s="465" t="e">
        <f t="shared" si="59"/>
        <v>#NAME?</v>
      </c>
      <c r="T132" s="465" t="e">
        <f>IF(OR(E132="",B132=0),"",ABS(L132/S141))</f>
        <v>#NAME?</v>
      </c>
      <c r="U132" s="485"/>
    </row>
    <row r="133" spans="1:21" s="440" customFormat="1" ht="27">
      <c r="A133" s="470">
        <v>5</v>
      </c>
      <c r="B133" s="471">
        <f>$B$8</f>
        <v>0</v>
      </c>
      <c r="C133" s="472" t="str">
        <f>C33</f>
        <v>Gravity -0.001 m/s2 Sensitivity = Test Pressure / Gravity</v>
      </c>
      <c r="D133" s="471" t="s">
        <v>395</v>
      </c>
      <c r="E133" s="473">
        <f>E8</f>
        <v>1E-3</v>
      </c>
      <c r="F133" s="474" t="s">
        <v>400</v>
      </c>
      <c r="G133" s="475" t="str">
        <f t="shared" si="53"/>
        <v/>
      </c>
      <c r="H133" s="476" t="str">
        <f t="shared" si="54"/>
        <v/>
      </c>
      <c r="I133" s="477">
        <f t="shared" si="55"/>
        <v>100</v>
      </c>
      <c r="J133" s="478" t="str">
        <f t="shared" si="56"/>
        <v/>
      </c>
      <c r="K133" s="479">
        <f ca="1">F126*E133</f>
        <v>0</v>
      </c>
      <c r="L133" s="480" t="str">
        <f t="shared" si="57"/>
        <v/>
      </c>
      <c r="M133" s="480" t="str">
        <f t="shared" si="50"/>
        <v>0</v>
      </c>
      <c r="N133" s="481" t="str">
        <f t="shared" si="51"/>
        <v>0</v>
      </c>
      <c r="O133" s="482" t="str">
        <f>IFERROR(T133,0)</f>
        <v/>
      </c>
      <c r="P133" s="492" t="s">
        <v>401</v>
      </c>
      <c r="Q133" s="493" t="e">
        <f ca="1">ABS(Q129*F126^3+Q130*F126^2+Q131*F126+Q132)</f>
        <v>#N/A</v>
      </c>
      <c r="R133" s="484" t="str">
        <f t="shared" si="58"/>
        <v/>
      </c>
      <c r="S133" s="465" t="str">
        <f t="shared" si="59"/>
        <v/>
      </c>
      <c r="T133" s="465" t="str">
        <f>IF(OR(E133="",B133=0),"",ABS(L133/S141))</f>
        <v/>
      </c>
      <c r="U133" s="485"/>
    </row>
    <row r="134" spans="1:21" s="440" customFormat="1" ht="27">
      <c r="A134" s="470">
        <v>6</v>
      </c>
      <c r="B134" s="471">
        <f>$B$9</f>
        <v>0</v>
      </c>
      <c r="C134" s="472" t="s">
        <v>402</v>
      </c>
      <c r="D134" s="471" t="s">
        <v>395</v>
      </c>
      <c r="E134" s="473">
        <v>2</v>
      </c>
      <c r="F134" s="474" t="s">
        <v>403</v>
      </c>
      <c r="G134" s="475" t="str">
        <f t="shared" si="53"/>
        <v/>
      </c>
      <c r="H134" s="476" t="str">
        <f t="shared" si="54"/>
        <v/>
      </c>
      <c r="I134" s="477">
        <f t="shared" si="55"/>
        <v>100</v>
      </c>
      <c r="J134" s="478" t="str">
        <f t="shared" si="56"/>
        <v/>
      </c>
      <c r="K134" s="479">
        <f ca="1">F126*-0.000022</f>
        <v>0</v>
      </c>
      <c r="L134" s="480" t="str">
        <f t="shared" si="57"/>
        <v/>
      </c>
      <c r="M134" s="480" t="str">
        <f t="shared" si="50"/>
        <v>0</v>
      </c>
      <c r="N134" s="481" t="str">
        <f t="shared" si="51"/>
        <v>0</v>
      </c>
      <c r="O134" s="482" t="str">
        <f t="shared" si="52"/>
        <v/>
      </c>
      <c r="P134" s="494" t="s">
        <v>404</v>
      </c>
      <c r="Q134" s="483" t="e">
        <f ca="1">VLOOKUP(VLOOKUP(I126,Worksheet!$A$18:$B$31,2),'1Test Data'!$O$30:$AD$49,14,0)</f>
        <v>#N/A</v>
      </c>
      <c r="R134" s="484" t="str">
        <f t="shared" si="58"/>
        <v/>
      </c>
      <c r="S134" s="465" t="str">
        <f t="shared" si="59"/>
        <v/>
      </c>
      <c r="T134" s="465" t="str">
        <f>IF(OR(E134="",B134=0),"",ABS(L134/S141))</f>
        <v/>
      </c>
      <c r="U134" s="485"/>
    </row>
    <row r="135" spans="1:21" s="440" customFormat="1" ht="27">
      <c r="A135" s="470">
        <v>7</v>
      </c>
      <c r="B135" s="471">
        <f>$B$10</f>
        <v>0</v>
      </c>
      <c r="C135" s="472" t="s">
        <v>405</v>
      </c>
      <c r="D135" s="471" t="s">
        <v>395</v>
      </c>
      <c r="E135" s="473">
        <v>0.5</v>
      </c>
      <c r="F135" s="474" t="s">
        <v>406</v>
      </c>
      <c r="G135" s="475" t="str">
        <f t="shared" si="53"/>
        <v/>
      </c>
      <c r="H135" s="476" t="str">
        <f t="shared" si="54"/>
        <v/>
      </c>
      <c r="I135" s="477">
        <f t="shared" si="55"/>
        <v>100</v>
      </c>
      <c r="J135" s="478" t="str">
        <f t="shared" si="56"/>
        <v/>
      </c>
      <c r="K135" s="479">
        <f ca="1">(0.098*F126)/1000</f>
        <v>0</v>
      </c>
      <c r="L135" s="480" t="str">
        <f t="shared" si="57"/>
        <v/>
      </c>
      <c r="M135" s="480" t="str">
        <f t="shared" si="50"/>
        <v>0</v>
      </c>
      <c r="N135" s="481" t="str">
        <f t="shared" si="51"/>
        <v>0</v>
      </c>
      <c r="O135" s="482" t="str">
        <f t="shared" si="52"/>
        <v/>
      </c>
      <c r="P135" s="464" t="s">
        <v>407</v>
      </c>
      <c r="Q135" s="452" t="e">
        <f ca="1">VLOOKUP(VLOOKUP(I126,Worksheet!$A$18:$B$31,2),'1Test Data'!$O$30:$X$49,10,0)</f>
        <v>#N/A</v>
      </c>
      <c r="R135" s="484" t="str">
        <f t="shared" si="58"/>
        <v/>
      </c>
      <c r="S135" s="465" t="str">
        <f t="shared" si="59"/>
        <v/>
      </c>
      <c r="T135" s="465" t="str">
        <f>IF(OR(E135="",B135=0),"",ABS(L135/S141))</f>
        <v/>
      </c>
      <c r="U135" s="485"/>
    </row>
    <row r="136" spans="1:21" s="440" customFormat="1" ht="27">
      <c r="A136" s="470">
        <v>8</v>
      </c>
      <c r="B136" s="471">
        <f>$B$11</f>
        <v>0</v>
      </c>
      <c r="C136" s="472" t="s">
        <v>408</v>
      </c>
      <c r="D136" s="471" t="s">
        <v>395</v>
      </c>
      <c r="E136" s="473">
        <v>0.05</v>
      </c>
      <c r="F136" s="474" t="s">
        <v>406</v>
      </c>
      <c r="G136" s="475" t="str">
        <f t="shared" si="53"/>
        <v/>
      </c>
      <c r="H136" s="476" t="str">
        <f t="shared" si="54"/>
        <v/>
      </c>
      <c r="I136" s="477">
        <f t="shared" si="55"/>
        <v>100</v>
      </c>
      <c r="J136" s="478" t="str">
        <f t="shared" si="56"/>
        <v/>
      </c>
      <c r="K136" s="479">
        <f ca="1">F126/8000</f>
        <v>0</v>
      </c>
      <c r="L136" s="480" t="str">
        <f t="shared" si="57"/>
        <v/>
      </c>
      <c r="M136" s="480" t="str">
        <f t="shared" si="50"/>
        <v>0</v>
      </c>
      <c r="N136" s="481" t="str">
        <f t="shared" si="51"/>
        <v>0</v>
      </c>
      <c r="O136" s="482" t="str">
        <f t="shared" si="52"/>
        <v/>
      </c>
      <c r="P136" s="464" t="s">
        <v>394</v>
      </c>
      <c r="Q136" s="483" t="e">
        <f ca="1">VLOOKUP(VLOOKUP(I126,Worksheet!$A$18:$B$31,2),'1Test Data'!$O$30:$AE$49,17,0)</f>
        <v>#N/A</v>
      </c>
      <c r="R136" s="484" t="str">
        <f t="shared" si="58"/>
        <v/>
      </c>
      <c r="S136" s="465" t="str">
        <f t="shared" si="59"/>
        <v/>
      </c>
      <c r="T136" s="465" t="str">
        <f>IF(OR(E136="",B136=0),"",ABS(L136/S141))</f>
        <v/>
      </c>
      <c r="U136" s="485"/>
    </row>
    <row r="137" spans="1:21" s="440" customFormat="1" ht="13.5" customHeight="1">
      <c r="A137" s="470">
        <v>9</v>
      </c>
      <c r="B137" s="471" t="e">
        <f>$B$12</f>
        <v>#NAME?</v>
      </c>
      <c r="C137" s="472" t="str">
        <f>"Electrical reference devise" &amp; '1Test Data'!$O$3 &amp;  CHAR(10) &amp; "SN: " &amp; '1Test Data'!$P$3 &amp; ", Cert No: " &amp; '1Test Data'!$Q$3</f>
        <v>Electrical reference devisea
SN: b, Cert No: c</v>
      </c>
      <c r="D137" s="471" t="s">
        <v>395</v>
      </c>
      <c r="E137" s="473">
        <f>ElectUncert</f>
        <v>2E-3</v>
      </c>
      <c r="F137" s="474" t="e">
        <f>IF(OR(E137="",B137=0),"",ReadoutType)</f>
        <v>#NAME?</v>
      </c>
      <c r="G137" s="475" t="e">
        <f t="shared" si="53"/>
        <v>#NAME?</v>
      </c>
      <c r="H137" s="476" t="e">
        <f t="shared" si="54"/>
        <v>#NAME?</v>
      </c>
      <c r="I137" s="477">
        <f t="shared" si="55"/>
        <v>100</v>
      </c>
      <c r="J137" s="478" t="e">
        <f t="shared" si="56"/>
        <v>#NAME?</v>
      </c>
      <c r="K137" s="479" t="e">
        <f>Capacity/(Upper-Lower)</f>
        <v>#NAME?</v>
      </c>
      <c r="L137" s="480" t="e">
        <f t="shared" si="57"/>
        <v>#NAME?</v>
      </c>
      <c r="M137" s="480" t="e">
        <f t="shared" si="50"/>
        <v>#NAME?</v>
      </c>
      <c r="N137" s="481" t="e">
        <f t="shared" si="51"/>
        <v>#NAME?</v>
      </c>
      <c r="O137" s="482" t="e">
        <f t="shared" si="52"/>
        <v>#NAME?</v>
      </c>
      <c r="P137" s="464" t="s">
        <v>396</v>
      </c>
      <c r="Q137" s="483" t="e">
        <f ca="1">VLOOKUP(VLOOKUP(I126,Worksheet!$A$18:$B$31,2),'1Test Data'!$O$30:$AF$49,18,0)</f>
        <v>#N/A</v>
      </c>
      <c r="R137" s="484" t="e">
        <f t="shared" si="58"/>
        <v>#NAME?</v>
      </c>
      <c r="S137" s="465" t="e">
        <f t="shared" si="59"/>
        <v>#NAME?</v>
      </c>
      <c r="T137" s="465" t="e">
        <f>IF(OR(E137="",B137=0),"",ABS(L137/S141))</f>
        <v>#NAME?</v>
      </c>
      <c r="U137" s="485"/>
    </row>
    <row r="138" spans="1:21" s="440" customFormat="1" ht="18" customHeight="1">
      <c r="A138" s="470">
        <v>10</v>
      </c>
      <c r="B138" s="471">
        <f>$B$13</f>
        <v>1</v>
      </c>
      <c r="C138" s="472" t="s">
        <v>409</v>
      </c>
      <c r="D138" s="471" t="s">
        <v>395</v>
      </c>
      <c r="E138" s="473">
        <f>Worksheet!D23*UnitConvert</f>
        <v>0</v>
      </c>
      <c r="F138" s="474" t="str">
        <f>IF(OR(E138="",B138=0),"",$F$4)</f>
        <v>ABS kPa</v>
      </c>
      <c r="G138" s="475" t="str">
        <f t="shared" si="53"/>
        <v>B</v>
      </c>
      <c r="H138" s="476">
        <f t="shared" si="54"/>
        <v>1.7320508075688772</v>
      </c>
      <c r="I138" s="477">
        <f t="shared" si="55"/>
        <v>100</v>
      </c>
      <c r="J138" s="478">
        <f t="shared" si="56"/>
        <v>0</v>
      </c>
      <c r="K138" s="479">
        <v>1</v>
      </c>
      <c r="L138" s="480">
        <f t="shared" si="57"/>
        <v>0</v>
      </c>
      <c r="M138" s="480">
        <f t="shared" si="50"/>
        <v>0</v>
      </c>
      <c r="N138" s="481">
        <f t="shared" si="51"/>
        <v>0</v>
      </c>
      <c r="O138" s="482" t="e">
        <f t="shared" ca="1" si="52"/>
        <v>#N/A</v>
      </c>
      <c r="P138" s="464" t="s">
        <v>201</v>
      </c>
      <c r="Q138" s="483" t="e">
        <f ca="1">VLOOKUP(VLOOKUP(I126,Worksheet!$A$18:$B$31,2),'1Test Data'!$O$30:$AG$49,19,0)</f>
        <v>#N/A</v>
      </c>
      <c r="R138" s="484">
        <f t="shared" si="58"/>
        <v>0</v>
      </c>
      <c r="S138" s="465">
        <f t="shared" si="59"/>
        <v>0</v>
      </c>
      <c r="T138" s="465" t="e">
        <f ca="1">IF(OR(E138="",B138=0),"",ABS(L138/S141))</f>
        <v>#N/A</v>
      </c>
      <c r="U138" s="485"/>
    </row>
    <row r="139" spans="1:21" s="440" customFormat="1" ht="13.5" customHeight="1">
      <c r="A139" s="470">
        <v>11</v>
      </c>
      <c r="B139" s="471" t="e">
        <f>$B$14</f>
        <v>#NAME?</v>
      </c>
      <c r="C139" s="496" t="e">
        <f>"DUT Type " &amp;ReadoutType&amp; " Resolution "&amp;Readability &amp; "kPa
Digital - Type B - Rect - 1/2 of  least count with D of F = 100 &amp; (k=1.73)
Analogue - Type B - N95 - Best scale readability with D of F = 60 &amp; k=2.00"</f>
        <v>#NAME?</v>
      </c>
      <c r="D139" s="471" t="e">
        <f>IF(ReadoutType="Digital","Rect","N95")</f>
        <v>#NAME?</v>
      </c>
      <c r="E139" s="473" t="e">
        <f>IF(Elect=1,($K137)/1000,IF(ReadoutType="Digital",Readability/2,Readability)*UnitConvert)</f>
        <v>#NAME?</v>
      </c>
      <c r="F139" s="474" t="e">
        <f>IF(OR(E139="",B139=0),"",$F$4)</f>
        <v>#NAME?</v>
      </c>
      <c r="G139" s="475" t="e">
        <f t="shared" si="53"/>
        <v>#NAME?</v>
      </c>
      <c r="H139" s="476" t="e">
        <f t="shared" si="54"/>
        <v>#NAME?</v>
      </c>
      <c r="I139" s="477" t="e">
        <f t="shared" si="55"/>
        <v>#NAME?</v>
      </c>
      <c r="J139" s="478" t="e">
        <f t="shared" si="56"/>
        <v>#NAME?</v>
      </c>
      <c r="K139" s="479">
        <v>1</v>
      </c>
      <c r="L139" s="480" t="e">
        <f t="shared" si="57"/>
        <v>#NAME?</v>
      </c>
      <c r="M139" s="480" t="e">
        <f t="shared" si="50"/>
        <v>#NAME?</v>
      </c>
      <c r="N139" s="481" t="e">
        <f t="shared" si="51"/>
        <v>#NAME?</v>
      </c>
      <c r="O139" s="482" t="e">
        <f t="shared" si="52"/>
        <v>#NAME?</v>
      </c>
      <c r="P139" s="464" t="s">
        <v>88</v>
      </c>
      <c r="Q139" s="483" t="e">
        <f ca="1">VLOOKUP(VLOOKUP(I126,Worksheet!$A$18:$B$31,2),'1Test Data'!$O$30:$AH$49,20,0)</f>
        <v>#N/A</v>
      </c>
      <c r="R139" s="484" t="e">
        <f t="shared" si="58"/>
        <v>#NAME?</v>
      </c>
      <c r="S139" s="465" t="e">
        <f t="shared" si="59"/>
        <v>#NAME?</v>
      </c>
      <c r="T139" s="465" t="e">
        <f>IF(OR(E139="",B139=0),"",ABS(L139/S141))</f>
        <v>#NAME?</v>
      </c>
      <c r="U139" s="485"/>
    </row>
    <row r="140" spans="1:21" s="440" customFormat="1" ht="27">
      <c r="A140" s="470">
        <v>12</v>
      </c>
      <c r="B140" s="471" t="e">
        <f>$B$15</f>
        <v>#NAME?</v>
      </c>
      <c r="C140" s="496" t="s">
        <v>410</v>
      </c>
      <c r="D140" s="471" t="s">
        <v>395</v>
      </c>
      <c r="E140" s="473" t="e">
        <f>E139</f>
        <v>#NAME?</v>
      </c>
      <c r="F140" s="474" t="e">
        <f>IF(OR(E140="",B140=0),"",$F$4)</f>
        <v>#NAME?</v>
      </c>
      <c r="G140" s="475" t="e">
        <f t="shared" si="53"/>
        <v>#NAME?</v>
      </c>
      <c r="H140" s="476" t="e">
        <f t="shared" si="54"/>
        <v>#NAME?</v>
      </c>
      <c r="I140" s="477">
        <f t="shared" si="55"/>
        <v>100</v>
      </c>
      <c r="J140" s="478" t="e">
        <f t="shared" si="56"/>
        <v>#NAME?</v>
      </c>
      <c r="K140" s="479">
        <v>1</v>
      </c>
      <c r="L140" s="480" t="e">
        <f t="shared" si="57"/>
        <v>#NAME?</v>
      </c>
      <c r="M140" s="480" t="e">
        <f t="shared" si="50"/>
        <v>#NAME?</v>
      </c>
      <c r="N140" s="481" t="e">
        <f t="shared" si="51"/>
        <v>#NAME?</v>
      </c>
      <c r="O140" s="482" t="e">
        <f t="shared" si="52"/>
        <v>#NAME?</v>
      </c>
      <c r="P140" s="464" t="s">
        <v>411</v>
      </c>
      <c r="Q140" s="483" t="e">
        <f ca="1">ABS(Q136*F126^3+Q137*F126^2+Q138*F126+Q139)</f>
        <v>#N/A</v>
      </c>
      <c r="R140" s="484" t="e">
        <f t="shared" si="58"/>
        <v>#NAME?</v>
      </c>
      <c r="S140" s="465" t="e">
        <f t="shared" si="59"/>
        <v>#NAME?</v>
      </c>
      <c r="T140" s="465" t="e">
        <f>IF(OR(E140="",B140=0),"",ABS(L140/S141))</f>
        <v>#NAME?</v>
      </c>
      <c r="U140" s="485"/>
    </row>
    <row r="141" spans="1:21" s="440" customFormat="1" ht="25.5">
      <c r="A141" s="497"/>
      <c r="B141" s="498"/>
      <c r="C141" s="448"/>
      <c r="D141" s="448"/>
      <c r="E141" s="448"/>
      <c r="F141" s="448"/>
      <c r="G141" s="448"/>
      <c r="H141" s="448"/>
      <c r="I141" s="484"/>
      <c r="J141" s="448"/>
      <c r="K141" s="448"/>
      <c r="L141" s="499" t="s">
        <v>412</v>
      </c>
      <c r="M141" s="499" t="e">
        <f ca="1">SUM(M129:M140)</f>
        <v>#N/A</v>
      </c>
      <c r="N141" s="500" t="e">
        <f ca="1">SUM(N129:N140)</f>
        <v>#N/A</v>
      </c>
      <c r="O141" s="501" t="e">
        <f ca="1">SUM(O129:O140)</f>
        <v>#N/A</v>
      </c>
      <c r="P141" s="464" t="s">
        <v>413</v>
      </c>
      <c r="Q141" s="483" t="e">
        <f ca="1">VLOOKUP(VLOOKUP(I126,Worksheet!$A$18:$B$31,2),'1Test Data'!$O$30:$AJ$49,22,0)</f>
        <v>#N/A</v>
      </c>
      <c r="R141" s="453"/>
      <c r="S141" s="465" t="e">
        <f ca="1">SUM(S129:S140)</f>
        <v>#N/A</v>
      </c>
      <c r="T141" s="465" t="e">
        <f ca="1">SUM(T129:T140)</f>
        <v>#N/A</v>
      </c>
      <c r="U141" s="455"/>
    </row>
    <row r="142" spans="1:21" s="440" customFormat="1">
      <c r="A142" s="504"/>
      <c r="B142" s="448"/>
      <c r="C142" s="498" t="s">
        <v>414</v>
      </c>
      <c r="D142" s="448"/>
      <c r="E142" s="448"/>
      <c r="F142" s="448"/>
      <c r="G142" s="448"/>
      <c r="H142" s="448"/>
      <c r="I142" s="448"/>
      <c r="J142" s="448"/>
      <c r="K142" s="448"/>
      <c r="L142" s="505"/>
      <c r="M142" s="505"/>
      <c r="N142" s="505"/>
      <c r="O142" s="505"/>
      <c r="P142" s="464" t="s">
        <v>394</v>
      </c>
      <c r="Q142" s="483" t="e">
        <f ca="1">VLOOKUP(VLOOKUP(I126,Worksheet!$A$18:$B$31,2),'1Test Data'!$O$30:$AK$49,23,0)</f>
        <v>#N/A</v>
      </c>
      <c r="R142" s="453"/>
      <c r="S142" s="453"/>
      <c r="T142" s="453"/>
      <c r="U142" s="455"/>
    </row>
    <row r="143" spans="1:21" s="440" customFormat="1" ht="13.5" customHeight="1">
      <c r="A143" s="504"/>
      <c r="B143" s="448"/>
      <c r="C143" s="1090" t="s">
        <v>415</v>
      </c>
      <c r="D143" s="1091"/>
      <c r="E143" s="1091"/>
      <c r="F143" s="1091"/>
      <c r="G143" s="1092"/>
      <c r="H143" s="448"/>
      <c r="I143" s="448"/>
      <c r="J143" s="448"/>
      <c r="K143" s="448"/>
      <c r="L143" s="506" t="s">
        <v>416</v>
      </c>
      <c r="M143" s="507" t="e">
        <f ca="1">M141^0.5</f>
        <v>#N/A</v>
      </c>
      <c r="N143" s="508" t="str">
        <f>Uncert!$F$4</f>
        <v>ABS kPa</v>
      </c>
      <c r="O143" s="505" t="e">
        <f ca="1">(M141-M132-M137-M139-M140)^0.5</f>
        <v>#N/A</v>
      </c>
      <c r="P143" s="464" t="s">
        <v>396</v>
      </c>
      <c r="Q143" s="483" t="e">
        <f ca="1">VLOOKUP(VLOOKUP(I126,Worksheet!$A$18:$B$31,2),'1Test Data'!$O$30:$AL$49,24,0)</f>
        <v>#N/A</v>
      </c>
      <c r="R143" s="453"/>
      <c r="S143" s="453"/>
      <c r="T143" s="453"/>
      <c r="U143" s="455"/>
    </row>
    <row r="144" spans="1:21" s="440" customFormat="1">
      <c r="A144" s="504"/>
      <c r="B144" s="448"/>
      <c r="C144" s="1093"/>
      <c r="D144" s="1094"/>
      <c r="E144" s="1094"/>
      <c r="F144" s="1094"/>
      <c r="G144" s="1095"/>
      <c r="H144" s="448"/>
      <c r="I144" s="448"/>
      <c r="J144" s="448"/>
      <c r="K144" s="448"/>
      <c r="L144" s="506" t="s">
        <v>417</v>
      </c>
      <c r="M144" s="507" t="e">
        <f ca="1">M143^4/N141</f>
        <v>#N/A</v>
      </c>
      <c r="N144" s="509"/>
      <c r="O144" s="510" t="e">
        <f ca="1">O143^4/(N141-N132-N137-N139-N140)</f>
        <v>#N/A</v>
      </c>
      <c r="P144" s="464" t="s">
        <v>201</v>
      </c>
      <c r="Q144" s="483" t="e">
        <f ca="1">VLOOKUP(VLOOKUP(I126,Worksheet!$A$18:$B$31,2),'1Test Data'!$O$30:$AM$49,25,0)</f>
        <v>#N/A</v>
      </c>
      <c r="R144" s="453"/>
      <c r="S144" s="453"/>
      <c r="T144" s="453"/>
      <c r="U144" s="455"/>
    </row>
    <row r="145" spans="1:21" s="440" customFormat="1">
      <c r="A145" s="504"/>
      <c r="B145" s="448"/>
      <c r="C145" s="1093"/>
      <c r="D145" s="1094"/>
      <c r="E145" s="1094"/>
      <c r="F145" s="1094"/>
      <c r="G145" s="1095"/>
      <c r="H145" s="448"/>
      <c r="I145" s="448"/>
      <c r="J145" s="448"/>
      <c r="K145" s="448"/>
      <c r="L145" s="506" t="s">
        <v>418</v>
      </c>
      <c r="M145" s="507" t="e">
        <f ca="1">TINV(0.05,M144)</f>
        <v>#N/A</v>
      </c>
      <c r="N145" s="508"/>
      <c r="O145" s="507" t="e">
        <f ca="1">TINV(0.05,O144)</f>
        <v>#N/A</v>
      </c>
      <c r="P145" s="464" t="s">
        <v>88</v>
      </c>
      <c r="Q145" s="483" t="e">
        <f ca="1">VLOOKUP(VLOOKUP(I126,Worksheet!$A$18:$B$31,2),'1Test Data'!$O$30:$AN$49,26,0)</f>
        <v>#N/A</v>
      </c>
      <c r="R145" s="453"/>
      <c r="S145" s="453"/>
      <c r="T145" s="453"/>
      <c r="U145" s="455"/>
    </row>
    <row r="146" spans="1:21" s="440" customFormat="1">
      <c r="A146" s="504"/>
      <c r="B146" s="448"/>
      <c r="C146" s="1093"/>
      <c r="D146" s="1094"/>
      <c r="E146" s="1094"/>
      <c r="F146" s="1094"/>
      <c r="G146" s="1095"/>
      <c r="H146" s="448"/>
      <c r="I146" s="448"/>
      <c r="J146" s="448"/>
      <c r="K146" s="448"/>
      <c r="L146" s="506" t="s">
        <v>419</v>
      </c>
      <c r="M146" s="507" t="e">
        <f ca="1">M143*M145</f>
        <v>#N/A</v>
      </c>
      <c r="N146" s="508" t="str">
        <f>Uncert!$F$4</f>
        <v>ABS kPa</v>
      </c>
      <c r="O146" s="507" t="e">
        <f ca="1">O143*O145</f>
        <v>#N/A</v>
      </c>
      <c r="P146" s="464" t="s">
        <v>420</v>
      </c>
      <c r="Q146" s="483" t="e">
        <f ca="1">ABS(Q142*F126^3+Q143*F126^2+Q144*F126+Q145)</f>
        <v>#N/A</v>
      </c>
      <c r="R146" s="453"/>
      <c r="S146" s="453"/>
      <c r="T146" s="453"/>
      <c r="U146" s="455"/>
    </row>
    <row r="147" spans="1:21" s="440" customFormat="1">
      <c r="A147" s="497"/>
      <c r="B147" s="498"/>
      <c r="C147" s="1096"/>
      <c r="D147" s="1097"/>
      <c r="E147" s="1097"/>
      <c r="F147" s="1097"/>
      <c r="G147" s="1098"/>
      <c r="H147" s="448"/>
      <c r="I147" s="448"/>
      <c r="J147" s="511"/>
      <c r="K147" s="511"/>
      <c r="L147" s="512" t="s">
        <v>421</v>
      </c>
      <c r="M147" s="513" t="e">
        <f ca="1">M146</f>
        <v>#N/A</v>
      </c>
      <c r="N147" s="514" t="str">
        <f>Uncert!$F$4</f>
        <v>ABS kPa</v>
      </c>
      <c r="O147" s="513" t="e">
        <f ca="1">O146</f>
        <v>#N/A</v>
      </c>
      <c r="P147" s="464" t="s">
        <v>422</v>
      </c>
      <c r="Q147" s="483" t="e">
        <f ca="1">VLOOKUP(VLOOKUP(I126,Worksheet!$A$18:$B$31,2),'1Test Data'!$O$30:$AP$49,28,0)</f>
        <v>#N/A</v>
      </c>
      <c r="R147" s="453"/>
      <c r="S147" s="453"/>
      <c r="T147" s="453"/>
      <c r="U147" s="455"/>
    </row>
    <row r="148" spans="1:21" s="440" customFormat="1">
      <c r="A148" s="497"/>
      <c r="B148" s="498"/>
      <c r="C148" s="498" t="s">
        <v>423</v>
      </c>
      <c r="D148" s="448"/>
      <c r="E148" s="448"/>
      <c r="F148" s="448"/>
      <c r="G148" s="448"/>
      <c r="H148" s="515" t="e">
        <f>"N " &amp; ReadoutType</f>
        <v>#NAME?</v>
      </c>
      <c r="I148" s="516" t="e">
        <f ca="1">($O149/$K137)</f>
        <v>#N/A</v>
      </c>
      <c r="J148" s="448"/>
      <c r="K148" s="448"/>
      <c r="L148" s="505"/>
      <c r="M148" s="517" t="e">
        <f ca="1">(M147/F126)*100</f>
        <v>#N/A</v>
      </c>
      <c r="N148" s="518" t="s">
        <v>78</v>
      </c>
      <c r="O148" s="517"/>
      <c r="P148" s="519"/>
      <c r="Q148" s="519"/>
      <c r="R148" s="453"/>
      <c r="S148" s="453"/>
      <c r="T148" s="453"/>
      <c r="U148" s="455"/>
    </row>
    <row r="149" spans="1:21" s="440" customFormat="1">
      <c r="A149" s="497"/>
      <c r="B149" s="498"/>
      <c r="C149" s="520" t="s">
        <v>33</v>
      </c>
      <c r="D149" s="521" t="str">
        <f ca="1">Gravity</f>
        <v/>
      </c>
      <c r="E149" s="520" t="s">
        <v>36</v>
      </c>
      <c r="F149" s="522"/>
      <c r="G149" s="523"/>
      <c r="H149" s="524" t="e">
        <f>ReadoutType</f>
        <v>#NAME?</v>
      </c>
      <c r="I149" s="516" t="e">
        <f ca="1">($M149/$K137)</f>
        <v>#N/A</v>
      </c>
      <c r="J149" s="1103" t="s">
        <v>424</v>
      </c>
      <c r="K149" s="1104"/>
      <c r="L149" s="1104"/>
      <c r="M149" s="525" t="e">
        <f ca="1">IF(NATA="Y",IF(M147&lt;Scopekpa,IF(Scopekpa&lt;((F126/100)*ScopeReading),((F126/100)*ScopeReading),Scopekpa),IF(M147&lt;((F126/100)*ScopeReading),((F126/100)*ScopeReading),M147)),Uncert!M147)</f>
        <v>#N/A</v>
      </c>
      <c r="N149" s="522" t="s">
        <v>425</v>
      </c>
      <c r="O149" s="525" t="e">
        <f ca="1">IF(NATA="Y",IF(O147&lt;Scopekpa,IF(Scopekpa&lt;((F126/100)*ScopeReading),((F126/100)*ScopeReading),Scopekpa),IF(O147&lt;((F126/100)*ScopeReading),((F126/100)*ScopeReading),O147)),Uncert!O147)</f>
        <v>#N/A</v>
      </c>
      <c r="P149" s="522"/>
      <c r="Q149" s="522"/>
      <c r="R149" s="453"/>
      <c r="S149" s="453"/>
      <c r="T149" s="453"/>
      <c r="U149" s="455"/>
    </row>
    <row r="150" spans="1:21" s="440" customFormat="1" ht="14.25" thickBot="1">
      <c r="A150" s="526" t="str">
        <f>"Worksheet!A" &amp; 17+(ROW()/25)</f>
        <v>Worksheet!A23</v>
      </c>
      <c r="B150" s="527"/>
      <c r="C150" s="527"/>
      <c r="D150" s="528">
        <f>ROW()/25</f>
        <v>6</v>
      </c>
      <c r="E150" s="529"/>
      <c r="F150" s="529"/>
      <c r="G150" s="529"/>
      <c r="H150" s="529"/>
      <c r="I150" s="530"/>
      <c r="J150" s="1105" t="s">
        <v>424</v>
      </c>
      <c r="K150" s="1105"/>
      <c r="L150" s="1105"/>
      <c r="M150" s="531" t="e">
        <f ca="1">IF(NATA="Y",IF(M148&lt;ScopeReading,ScopeReading,M148),M148)</f>
        <v>#N/A</v>
      </c>
      <c r="N150" s="532" t="s">
        <v>78</v>
      </c>
      <c r="O150" s="531"/>
      <c r="P150" s="532"/>
      <c r="Q150" s="527"/>
      <c r="R150" s="527"/>
      <c r="S150" s="527"/>
      <c r="T150" s="527"/>
      <c r="U150" s="533"/>
    </row>
    <row r="151" spans="1:21" s="440" customFormat="1">
      <c r="A151" s="1099" t="e">
        <f ca="1">"Uncertainty Budget: Digital Pressure Gauge (" &amp; Q151&amp; ", "&amp; Q152 &amp; H151 &amp;" x " &amp; Division   &amp;H151 &amp; " )" &amp; " Test Point "&amp;D175</f>
        <v>#N/A</v>
      </c>
      <c r="B151" s="1100"/>
      <c r="C151" s="1100"/>
      <c r="D151" s="1100"/>
      <c r="E151" s="1100"/>
      <c r="F151" s="1101">
        <f ca="1">ABS(I151*UnitConvert)</f>
        <v>0</v>
      </c>
      <c r="G151" s="1102"/>
      <c r="H151" s="428" t="s">
        <v>371</v>
      </c>
      <c r="I151" s="429">
        <f ca="1">INDIRECT(A175)</f>
        <v>0</v>
      </c>
      <c r="J151" s="430" t="str">
        <f>_xlfn.SINGLE(Units)</f>
        <v>mm</v>
      </c>
      <c r="K151" s="431" t="e">
        <f ca="1">IF(C154="","","Uncertainty (U) = ±"&amp;TEXT(M172,"0.0")&amp;$F$4&amp;",  &amp;  (k="&amp;TEXT(M170,"0.00")&amp;", confidence level=95%)")</f>
        <v>#N/A</v>
      </c>
      <c r="L151" s="432"/>
      <c r="M151" s="432"/>
      <c r="N151" s="432"/>
      <c r="O151" s="433"/>
      <c r="P151" s="434" t="s">
        <v>372</v>
      </c>
      <c r="Q151" s="435" t="e">
        <f ca="1">VLOOKUP(VLOOKUP(I151,Worksheet!$A$18:$B$31,2),'1Test Data'!$M$6:$O$10,2,0)</f>
        <v>#N/A</v>
      </c>
      <c r="R151" s="436"/>
      <c r="S151" s="436"/>
      <c r="T151" s="437" t="str">
        <f ca="1">"TEX Ver "&amp;Mods!$A$1</f>
        <v>TEX Ver TAS-SST001v1</v>
      </c>
      <c r="U151" s="438"/>
    </row>
    <row r="152" spans="1:21" s="440" customFormat="1">
      <c r="A152" s="442" t="s">
        <v>373</v>
      </c>
      <c r="B152" s="443"/>
      <c r="C152" s="444"/>
      <c r="D152" s="445" t="s">
        <v>374</v>
      </c>
      <c r="E152" s="446" t="e">
        <f ca="1">Q152</f>
        <v>#N/A</v>
      </c>
      <c r="F152" s="447"/>
      <c r="G152" s="447" t="e">
        <f ca="1">ROUND(M172/(F151/100),2)&amp;"% of Full Scale"</f>
        <v>#N/A</v>
      </c>
      <c r="H152" s="448"/>
      <c r="I152" s="448"/>
      <c r="J152" s="449" t="e">
        <f ca="1">M173</f>
        <v>#N/A</v>
      </c>
      <c r="K152" s="448"/>
      <c r="L152" s="450"/>
      <c r="M152" s="450"/>
      <c r="N152" s="450"/>
      <c r="O152" s="433"/>
      <c r="P152" s="451" t="s">
        <v>375</v>
      </c>
      <c r="Q152" s="452" t="e">
        <f ca="1">VLOOKUP(VLOOKUP(I151,Worksheet!$A$18:$B$31,2),'1Test Data'!$O$30:$T$49,6,0)</f>
        <v>#N/A</v>
      </c>
      <c r="R152" s="453">
        <v>0</v>
      </c>
      <c r="S152" s="453"/>
      <c r="T152" s="454">
        <f ca="1">Mods!$A$4</f>
        <v>45809.486168981479</v>
      </c>
      <c r="U152" s="455"/>
    </row>
    <row r="153" spans="1:21" s="440" customFormat="1" ht="38.25">
      <c r="A153" s="458" t="s">
        <v>376</v>
      </c>
      <c r="B153" s="459" t="s">
        <v>377</v>
      </c>
      <c r="C153" s="460" t="s">
        <v>378</v>
      </c>
      <c r="D153" s="460" t="s">
        <v>379</v>
      </c>
      <c r="E153" s="460" t="s">
        <v>380</v>
      </c>
      <c r="F153" s="460" t="s">
        <v>381</v>
      </c>
      <c r="G153" s="460" t="s">
        <v>178</v>
      </c>
      <c r="H153" s="461" t="s">
        <v>382</v>
      </c>
      <c r="I153" s="461" t="s">
        <v>383</v>
      </c>
      <c r="J153" s="462" t="s">
        <v>384</v>
      </c>
      <c r="K153" s="463" t="s">
        <v>385</v>
      </c>
      <c r="L153" s="461" t="s">
        <v>386</v>
      </c>
      <c r="M153" s="461" t="s">
        <v>387</v>
      </c>
      <c r="N153" s="461" t="s">
        <v>388</v>
      </c>
      <c r="O153" s="461" t="s">
        <v>389</v>
      </c>
      <c r="P153" s="464" t="s">
        <v>390</v>
      </c>
      <c r="Q153" s="452" t="e">
        <f ca="1">VLOOKUP(VLOOKUP(I151,Worksheet!$A$18:$B$31,2),'1Test Data'!$O$30:$V$49,8,0)</f>
        <v>#N/A</v>
      </c>
      <c r="R153" s="465" t="s">
        <v>391</v>
      </c>
      <c r="S153" s="465" t="s">
        <v>391</v>
      </c>
      <c r="T153" s="466" t="s">
        <v>392</v>
      </c>
      <c r="U153" s="467"/>
    </row>
    <row r="154" spans="1:21" s="440" customFormat="1">
      <c r="A154" s="470">
        <v>1</v>
      </c>
      <c r="B154" s="471">
        <f>$B$4</f>
        <v>1</v>
      </c>
      <c r="C154" s="472" t="e">
        <f ca="1">"Reference Device  ("&amp;Q152&amp;" Druck Transducer) + Sey
Uncertainty from Calibration Report - "&amp;Q151</f>
        <v>#N/A</v>
      </c>
      <c r="D154" s="471" t="s">
        <v>393</v>
      </c>
      <c r="E154" s="473" t="e">
        <f ca="1">Q158+Q159</f>
        <v>#N/A</v>
      </c>
      <c r="F154" s="474" t="str">
        <f>H151</f>
        <v>ABS kPa</v>
      </c>
      <c r="G154" s="475" t="str">
        <f>IF(OR(D154="",B154=0),"",IF(D154="ESDM","A","B"))</f>
        <v>B</v>
      </c>
      <c r="H154" s="476" t="e">
        <f ca="1">IF(OR(E154="",B154=0),"",IF(D154="ESDM",1,IF(D154="N95",2,IF(D154="Rect",(3^0.5)))))</f>
        <v>#N/A</v>
      </c>
      <c r="I154" s="477">
        <f>IF(D154="N95",60,100)</f>
        <v>60</v>
      </c>
      <c r="J154" s="478" t="e">
        <f ca="1">IF(OR(E154="",B154=0),"",(E154/H154))</f>
        <v>#N/A</v>
      </c>
      <c r="K154" s="479">
        <v>1</v>
      </c>
      <c r="L154" s="480" t="e">
        <f ca="1">IF(OR(E154="",B154=0),"",K154*J154)</f>
        <v>#N/A</v>
      </c>
      <c r="M154" s="480" t="e">
        <f t="shared" ref="M154:M165" ca="1" si="60">IF(OR(E154="",B154=0),"0",L154^2)</f>
        <v>#N/A</v>
      </c>
      <c r="N154" s="481" t="e">
        <f t="shared" ref="N154:N165" ca="1" si="61">IF(OR(D154="",B154=0),"0",(L154)^4/I154)</f>
        <v>#N/A</v>
      </c>
      <c r="O154" s="482" t="e">
        <f t="shared" ref="O154:O165" ca="1" si="62">T154</f>
        <v>#N/A</v>
      </c>
      <c r="P154" s="464" t="s">
        <v>394</v>
      </c>
      <c r="Q154" s="483" t="e">
        <f ca="1">VLOOKUP(VLOOKUP(I151,Worksheet!$A$18:$B$31,2),'1Test Data'!$O$30:$Y$49,11,0)</f>
        <v>#N/A</v>
      </c>
      <c r="R154" s="484" t="e">
        <f ca="1">IF(OR(E154="",B154=0),"",K154*J154)</f>
        <v>#N/A</v>
      </c>
      <c r="S154" s="465" t="e">
        <f ca="1">IF(OR(E154="",B154=0),"",ABS(R154))</f>
        <v>#N/A</v>
      </c>
      <c r="T154" s="465" t="e">
        <f ca="1">IF(OR(E154="",B154=0),"",ABS(L154/S166))</f>
        <v>#N/A</v>
      </c>
      <c r="U154" s="485"/>
    </row>
    <row r="155" spans="1:21" s="440" customFormat="1">
      <c r="A155" s="470">
        <v>2</v>
      </c>
      <c r="B155" s="471">
        <f>$B$5</f>
        <v>1</v>
      </c>
      <c r="C155" s="472" t="e">
        <f ca="1">"Reference Device  Specs +Sey
(" &amp; Q152 &amp; H151 &amp; " Druck Transducer)
"&amp;Q153 &amp; "% of F.S. from Calibration Report - " &amp; Q151</f>
        <v>#N/A</v>
      </c>
      <c r="D155" s="471" t="s">
        <v>395</v>
      </c>
      <c r="E155" s="473" t="e">
        <f ca="1">Q171+Q172</f>
        <v>#N/A</v>
      </c>
      <c r="F155" s="474" t="e">
        <f ca="1">IF(OR(E155="",B155=0),"",$F$4)</f>
        <v>#N/A</v>
      </c>
      <c r="G155" s="475" t="str">
        <f t="shared" ref="G155:G165" si="63">IF(OR(D155="",B155=0),"",IF(D155="ESDM","A","B"))</f>
        <v>B</v>
      </c>
      <c r="H155" s="476" t="e">
        <f t="shared" ref="H155:H165" ca="1" si="64">IF(OR(E155="",B155=0),"",IF(D155="ESDM",1,IF(D155="N95",2,IF(D155="Rect",(3^0.5)))))</f>
        <v>#N/A</v>
      </c>
      <c r="I155" s="477">
        <f t="shared" ref="I155:I165" si="65">IF(D155="N95",60,100)</f>
        <v>100</v>
      </c>
      <c r="J155" s="478" t="e">
        <f t="shared" ref="J155:J165" ca="1" si="66">IF(OR(E155="",B155=0),"",(E155/H155))</f>
        <v>#N/A</v>
      </c>
      <c r="K155" s="479">
        <v>1</v>
      </c>
      <c r="L155" s="480" t="e">
        <f t="shared" ref="L155:L165" ca="1" si="67">IF(OR(E155="",B155=0),"",K155*J155)</f>
        <v>#N/A</v>
      </c>
      <c r="M155" s="480" t="e">
        <f t="shared" ca="1" si="60"/>
        <v>#N/A</v>
      </c>
      <c r="N155" s="481" t="e">
        <f t="shared" ca="1" si="61"/>
        <v>#N/A</v>
      </c>
      <c r="O155" s="482" t="e">
        <f t="shared" ca="1" si="62"/>
        <v>#N/A</v>
      </c>
      <c r="P155" s="464" t="s">
        <v>396</v>
      </c>
      <c r="Q155" s="483" t="e">
        <f ca="1">VLOOKUP(VLOOKUP(I151,Worksheet!$A$18:$B$31,2),'1Test Data'!$O$30:$Z$49,12,0)</f>
        <v>#N/A</v>
      </c>
      <c r="R155" s="484" t="e">
        <f t="shared" ref="R155:R165" ca="1" si="68">IF(OR(E155="",B155=0),"",K155*J155)</f>
        <v>#N/A</v>
      </c>
      <c r="S155" s="465" t="e">
        <f t="shared" ref="S155:S165" ca="1" si="69">IF(OR(E155="",B155=0),"",ABS(R155))</f>
        <v>#N/A</v>
      </c>
      <c r="T155" s="465" t="e">
        <f ca="1">IF(OR(E155="",B155=0),"",ABS(L155/S166))</f>
        <v>#N/A</v>
      </c>
      <c r="U155" s="485"/>
    </row>
    <row r="156" spans="1:21" s="440" customFormat="1" ht="18" customHeight="1">
      <c r="A156" s="470">
        <v>3</v>
      </c>
      <c r="B156" s="471">
        <f>$B$6</f>
        <v>1</v>
      </c>
      <c r="C156" s="472" t="s">
        <v>397</v>
      </c>
      <c r="D156" s="471" t="s">
        <v>395</v>
      </c>
      <c r="E156" s="473" t="e">
        <f ca="1">Q160*F151/100</f>
        <v>#N/A</v>
      </c>
      <c r="F156" s="474" t="e">
        <f ca="1">IF(OR(E156="",B156=0),"",$F$4)</f>
        <v>#N/A</v>
      </c>
      <c r="G156" s="475" t="str">
        <f t="shared" si="63"/>
        <v>B</v>
      </c>
      <c r="H156" s="476" t="e">
        <f t="shared" ca="1" si="64"/>
        <v>#N/A</v>
      </c>
      <c r="I156" s="477">
        <f t="shared" si="65"/>
        <v>100</v>
      </c>
      <c r="J156" s="478" t="e">
        <f t="shared" ca="1" si="66"/>
        <v>#N/A</v>
      </c>
      <c r="K156" s="479">
        <v>1</v>
      </c>
      <c r="L156" s="480" t="e">
        <f t="shared" ca="1" si="67"/>
        <v>#N/A</v>
      </c>
      <c r="M156" s="480" t="e">
        <f t="shared" ca="1" si="60"/>
        <v>#N/A</v>
      </c>
      <c r="N156" s="481" t="e">
        <f t="shared" ca="1" si="61"/>
        <v>#N/A</v>
      </c>
      <c r="O156" s="482" t="e">
        <f t="shared" ca="1" si="62"/>
        <v>#N/A</v>
      </c>
      <c r="P156" s="464" t="s">
        <v>201</v>
      </c>
      <c r="Q156" s="483" t="e">
        <f ca="1">VLOOKUP(VLOOKUP(I151,Worksheet!$A$18:$B$31,2),'1Test Data'!$O$30:$AA$49,13,0)</f>
        <v>#N/A</v>
      </c>
      <c r="R156" s="484" t="e">
        <f t="shared" ca="1" si="68"/>
        <v>#N/A</v>
      </c>
      <c r="S156" s="465" t="e">
        <f t="shared" ca="1" si="69"/>
        <v>#N/A</v>
      </c>
      <c r="T156" s="465" t="e">
        <f ca="1">IF(OR(E156="",B156=0),"",ABS(L156/S166))</f>
        <v>#N/A</v>
      </c>
      <c r="U156" s="485"/>
    </row>
    <row r="157" spans="1:21" s="440" customFormat="1" ht="18" customHeight="1">
      <c r="A157" s="470">
        <v>4</v>
      </c>
      <c r="B157" s="471" t="e">
        <f>$B$7</f>
        <v>#NAME?</v>
      </c>
      <c r="C157" s="472" t="s">
        <v>398</v>
      </c>
      <c r="D157" s="471" t="s">
        <v>395</v>
      </c>
      <c r="E157" s="473">
        <f>EDMS*UnitConvert</f>
        <v>0</v>
      </c>
      <c r="F157" s="474" t="e">
        <f>IF(OR(E157="",B157=0),"",$F$4)</f>
        <v>#NAME?</v>
      </c>
      <c r="G157" s="475" t="e">
        <f t="shared" si="63"/>
        <v>#NAME?</v>
      </c>
      <c r="H157" s="476" t="e">
        <f t="shared" si="64"/>
        <v>#NAME?</v>
      </c>
      <c r="I157" s="477">
        <f t="shared" si="65"/>
        <v>100</v>
      </c>
      <c r="J157" s="478" t="e">
        <f t="shared" si="66"/>
        <v>#NAME?</v>
      </c>
      <c r="K157" s="479">
        <v>1</v>
      </c>
      <c r="L157" s="480" t="e">
        <f t="shared" si="67"/>
        <v>#NAME?</v>
      </c>
      <c r="M157" s="480" t="e">
        <f t="shared" si="60"/>
        <v>#NAME?</v>
      </c>
      <c r="N157" s="481" t="e">
        <f t="shared" si="61"/>
        <v>#NAME?</v>
      </c>
      <c r="O157" s="482" t="e">
        <f t="shared" si="62"/>
        <v>#NAME?</v>
      </c>
      <c r="P157" s="464" t="s">
        <v>88</v>
      </c>
      <c r="Q157" s="483" t="e">
        <f ca="1">VLOOKUP(VLOOKUP(I151,Worksheet!$A$18:$B$31,2),'1Test Data'!$O$30:$AB$49,14,0)</f>
        <v>#N/A</v>
      </c>
      <c r="R157" s="484" t="e">
        <f t="shared" si="68"/>
        <v>#NAME?</v>
      </c>
      <c r="S157" s="465" t="e">
        <f t="shared" si="69"/>
        <v>#NAME?</v>
      </c>
      <c r="T157" s="465" t="e">
        <f>IF(OR(E157="",B157=0),"",ABS(L157/S166))</f>
        <v>#NAME?</v>
      </c>
      <c r="U157" s="485"/>
    </row>
    <row r="158" spans="1:21" s="440" customFormat="1" ht="27">
      <c r="A158" s="470">
        <v>5</v>
      </c>
      <c r="B158" s="471">
        <f>$B$8</f>
        <v>0</v>
      </c>
      <c r="C158" s="472" t="str">
        <f>C33</f>
        <v>Gravity -0.001 m/s2 Sensitivity = Test Pressure / Gravity</v>
      </c>
      <c r="D158" s="471" t="s">
        <v>395</v>
      </c>
      <c r="E158" s="473">
        <f>E8</f>
        <v>1E-3</v>
      </c>
      <c r="F158" s="474" t="s">
        <v>400</v>
      </c>
      <c r="G158" s="475" t="str">
        <f t="shared" si="63"/>
        <v/>
      </c>
      <c r="H158" s="476" t="str">
        <f t="shared" si="64"/>
        <v/>
      </c>
      <c r="I158" s="477">
        <f t="shared" si="65"/>
        <v>100</v>
      </c>
      <c r="J158" s="478" t="str">
        <f t="shared" si="66"/>
        <v/>
      </c>
      <c r="K158" s="479">
        <f ca="1">F151*E158</f>
        <v>0</v>
      </c>
      <c r="L158" s="480" t="str">
        <f t="shared" si="67"/>
        <v/>
      </c>
      <c r="M158" s="480" t="str">
        <f t="shared" si="60"/>
        <v>0</v>
      </c>
      <c r="N158" s="481" t="str">
        <f t="shared" si="61"/>
        <v>0</v>
      </c>
      <c r="O158" s="482" t="str">
        <f>IFERROR(T158,0)</f>
        <v/>
      </c>
      <c r="P158" s="492" t="s">
        <v>401</v>
      </c>
      <c r="Q158" s="493" t="e">
        <f ca="1">ABS(Q154*F151^3+Q155*F151^2+Q156*F151+Q157)</f>
        <v>#N/A</v>
      </c>
      <c r="R158" s="484" t="str">
        <f t="shared" si="68"/>
        <v/>
      </c>
      <c r="S158" s="465" t="str">
        <f t="shared" si="69"/>
        <v/>
      </c>
      <c r="T158" s="465" t="str">
        <f>IF(OR(E158="",B158=0),"",ABS(L158/S166))</f>
        <v/>
      </c>
      <c r="U158" s="485"/>
    </row>
    <row r="159" spans="1:21" s="440" customFormat="1" ht="27">
      <c r="A159" s="470">
        <v>6</v>
      </c>
      <c r="B159" s="471">
        <f>$B$9</f>
        <v>0</v>
      </c>
      <c r="C159" s="472" t="s">
        <v>402</v>
      </c>
      <c r="D159" s="471" t="s">
        <v>395</v>
      </c>
      <c r="E159" s="473">
        <v>2</v>
      </c>
      <c r="F159" s="474" t="s">
        <v>403</v>
      </c>
      <c r="G159" s="475" t="str">
        <f t="shared" si="63"/>
        <v/>
      </c>
      <c r="H159" s="476" t="str">
        <f t="shared" si="64"/>
        <v/>
      </c>
      <c r="I159" s="477">
        <f t="shared" si="65"/>
        <v>100</v>
      </c>
      <c r="J159" s="478" t="str">
        <f t="shared" si="66"/>
        <v/>
      </c>
      <c r="K159" s="479">
        <f ca="1">F151*-0.000022</f>
        <v>0</v>
      </c>
      <c r="L159" s="480" t="str">
        <f t="shared" si="67"/>
        <v/>
      </c>
      <c r="M159" s="480" t="str">
        <f t="shared" si="60"/>
        <v>0</v>
      </c>
      <c r="N159" s="481" t="str">
        <f t="shared" si="61"/>
        <v>0</v>
      </c>
      <c r="O159" s="482" t="str">
        <f t="shared" si="62"/>
        <v/>
      </c>
      <c r="P159" s="494" t="s">
        <v>404</v>
      </c>
      <c r="Q159" s="483" t="e">
        <f ca="1">VLOOKUP(VLOOKUP(I151,Worksheet!$A$18:$B$31,2),'1Test Data'!$O$30:$AD$49,14,0)</f>
        <v>#N/A</v>
      </c>
      <c r="R159" s="484" t="str">
        <f t="shared" si="68"/>
        <v/>
      </c>
      <c r="S159" s="465" t="str">
        <f t="shared" si="69"/>
        <v/>
      </c>
      <c r="T159" s="465" t="str">
        <f>IF(OR(E159="",B159=0),"",ABS(L159/S166))</f>
        <v/>
      </c>
      <c r="U159" s="485"/>
    </row>
    <row r="160" spans="1:21" s="440" customFormat="1" ht="27">
      <c r="A160" s="470">
        <v>7</v>
      </c>
      <c r="B160" s="471">
        <f>$B$10</f>
        <v>0</v>
      </c>
      <c r="C160" s="472" t="s">
        <v>405</v>
      </c>
      <c r="D160" s="471" t="s">
        <v>395</v>
      </c>
      <c r="E160" s="473">
        <v>0.5</v>
      </c>
      <c r="F160" s="474" t="s">
        <v>406</v>
      </c>
      <c r="G160" s="475" t="str">
        <f t="shared" si="63"/>
        <v/>
      </c>
      <c r="H160" s="476" t="str">
        <f t="shared" si="64"/>
        <v/>
      </c>
      <c r="I160" s="477">
        <f t="shared" si="65"/>
        <v>100</v>
      </c>
      <c r="J160" s="478" t="str">
        <f t="shared" si="66"/>
        <v/>
      </c>
      <c r="K160" s="479">
        <f ca="1">(0.098*F151)/1000</f>
        <v>0</v>
      </c>
      <c r="L160" s="480" t="str">
        <f t="shared" si="67"/>
        <v/>
      </c>
      <c r="M160" s="480" t="str">
        <f t="shared" si="60"/>
        <v>0</v>
      </c>
      <c r="N160" s="481" t="str">
        <f t="shared" si="61"/>
        <v>0</v>
      </c>
      <c r="O160" s="482" t="str">
        <f t="shared" si="62"/>
        <v/>
      </c>
      <c r="P160" s="464" t="s">
        <v>407</v>
      </c>
      <c r="Q160" s="452" t="e">
        <f ca="1">VLOOKUP(VLOOKUP(I151,Worksheet!$A$18:$B$31,2),'1Test Data'!$O$30:$X$49,10,0)</f>
        <v>#N/A</v>
      </c>
      <c r="R160" s="484" t="str">
        <f t="shared" si="68"/>
        <v/>
      </c>
      <c r="S160" s="465" t="str">
        <f t="shared" si="69"/>
        <v/>
      </c>
      <c r="T160" s="465" t="str">
        <f>IF(OR(E160="",B160=0),"",ABS(L160/S166))</f>
        <v/>
      </c>
      <c r="U160" s="485"/>
    </row>
    <row r="161" spans="1:21" s="440" customFormat="1" ht="27">
      <c r="A161" s="470">
        <v>8</v>
      </c>
      <c r="B161" s="471">
        <f>$B$11</f>
        <v>0</v>
      </c>
      <c r="C161" s="472" t="s">
        <v>408</v>
      </c>
      <c r="D161" s="471" t="s">
        <v>395</v>
      </c>
      <c r="E161" s="473">
        <v>0.05</v>
      </c>
      <c r="F161" s="474" t="s">
        <v>406</v>
      </c>
      <c r="G161" s="475" t="str">
        <f t="shared" si="63"/>
        <v/>
      </c>
      <c r="H161" s="476" t="str">
        <f t="shared" si="64"/>
        <v/>
      </c>
      <c r="I161" s="477">
        <f t="shared" si="65"/>
        <v>100</v>
      </c>
      <c r="J161" s="478" t="str">
        <f t="shared" si="66"/>
        <v/>
      </c>
      <c r="K161" s="479">
        <f ca="1">F151/8000</f>
        <v>0</v>
      </c>
      <c r="L161" s="480" t="str">
        <f t="shared" si="67"/>
        <v/>
      </c>
      <c r="M161" s="480" t="str">
        <f t="shared" si="60"/>
        <v>0</v>
      </c>
      <c r="N161" s="481" t="str">
        <f t="shared" si="61"/>
        <v>0</v>
      </c>
      <c r="O161" s="482" t="str">
        <f t="shared" si="62"/>
        <v/>
      </c>
      <c r="P161" s="464" t="s">
        <v>394</v>
      </c>
      <c r="Q161" s="483" t="e">
        <f ca="1">VLOOKUP(VLOOKUP(I151,Worksheet!$A$18:$B$31,2),'1Test Data'!$O$30:$AE$49,17,0)</f>
        <v>#N/A</v>
      </c>
      <c r="R161" s="484" t="str">
        <f t="shared" si="68"/>
        <v/>
      </c>
      <c r="S161" s="465" t="str">
        <f t="shared" si="69"/>
        <v/>
      </c>
      <c r="T161" s="465" t="str">
        <f>IF(OR(E161="",B161=0),"",ABS(L161/S166))</f>
        <v/>
      </c>
      <c r="U161" s="485"/>
    </row>
    <row r="162" spans="1:21" s="440" customFormat="1" ht="13.5" customHeight="1">
      <c r="A162" s="470">
        <v>9</v>
      </c>
      <c r="B162" s="471" t="e">
        <f>$B$12</f>
        <v>#NAME?</v>
      </c>
      <c r="C162" s="472" t="str">
        <f>"Electrical reference devise" &amp; '1Test Data'!$O$3 &amp;  CHAR(10) &amp; "SN: " &amp; '1Test Data'!$P$3 &amp; ", Cert No: " &amp; '1Test Data'!$Q$3</f>
        <v>Electrical reference devisea
SN: b, Cert No: c</v>
      </c>
      <c r="D162" s="471" t="s">
        <v>395</v>
      </c>
      <c r="E162" s="473">
        <f>ElectUncert</f>
        <v>2E-3</v>
      </c>
      <c r="F162" s="474" t="e">
        <f>IF(OR(E162="",B162=0),"",ReadoutType)</f>
        <v>#NAME?</v>
      </c>
      <c r="G162" s="475" t="e">
        <f t="shared" si="63"/>
        <v>#NAME?</v>
      </c>
      <c r="H162" s="476" t="e">
        <f t="shared" si="64"/>
        <v>#NAME?</v>
      </c>
      <c r="I162" s="477">
        <f t="shared" si="65"/>
        <v>100</v>
      </c>
      <c r="J162" s="478" t="e">
        <f t="shared" si="66"/>
        <v>#NAME?</v>
      </c>
      <c r="K162" s="479" t="e">
        <f>Capacity/(Upper-Lower)</f>
        <v>#NAME?</v>
      </c>
      <c r="L162" s="480" t="e">
        <f t="shared" si="67"/>
        <v>#NAME?</v>
      </c>
      <c r="M162" s="480" t="e">
        <f t="shared" si="60"/>
        <v>#NAME?</v>
      </c>
      <c r="N162" s="481" t="e">
        <f t="shared" si="61"/>
        <v>#NAME?</v>
      </c>
      <c r="O162" s="482" t="e">
        <f t="shared" si="62"/>
        <v>#NAME?</v>
      </c>
      <c r="P162" s="464" t="s">
        <v>396</v>
      </c>
      <c r="Q162" s="483" t="e">
        <f ca="1">VLOOKUP(VLOOKUP(I151,Worksheet!$A$18:$B$31,2),'1Test Data'!$O$30:$AF$49,18,0)</f>
        <v>#N/A</v>
      </c>
      <c r="R162" s="484" t="e">
        <f t="shared" si="68"/>
        <v>#NAME?</v>
      </c>
      <c r="S162" s="465" t="e">
        <f t="shared" si="69"/>
        <v>#NAME?</v>
      </c>
      <c r="T162" s="465" t="e">
        <f>IF(OR(E162="",B162=0),"",ABS(L162/S166))</f>
        <v>#NAME?</v>
      </c>
      <c r="U162" s="485"/>
    </row>
    <row r="163" spans="1:21" s="440" customFormat="1" ht="18" customHeight="1">
      <c r="A163" s="470">
        <v>10</v>
      </c>
      <c r="B163" s="471">
        <f>$B$13</f>
        <v>1</v>
      </c>
      <c r="C163" s="472" t="s">
        <v>409</v>
      </c>
      <c r="D163" s="471" t="s">
        <v>395</v>
      </c>
      <c r="E163" s="473">
        <f>Worksheet!D24*UnitConvert</f>
        <v>0</v>
      </c>
      <c r="F163" s="474" t="str">
        <f>IF(OR(E163="",B163=0),"",$F$4)</f>
        <v>ABS kPa</v>
      </c>
      <c r="G163" s="475" t="str">
        <f t="shared" si="63"/>
        <v>B</v>
      </c>
      <c r="H163" s="476">
        <f t="shared" si="64"/>
        <v>1.7320508075688772</v>
      </c>
      <c r="I163" s="477">
        <f t="shared" si="65"/>
        <v>100</v>
      </c>
      <c r="J163" s="478">
        <f t="shared" si="66"/>
        <v>0</v>
      </c>
      <c r="K163" s="479">
        <v>1</v>
      </c>
      <c r="L163" s="480">
        <f t="shared" si="67"/>
        <v>0</v>
      </c>
      <c r="M163" s="480">
        <f t="shared" si="60"/>
        <v>0</v>
      </c>
      <c r="N163" s="481">
        <f t="shared" si="61"/>
        <v>0</v>
      </c>
      <c r="O163" s="482" t="e">
        <f t="shared" ca="1" si="62"/>
        <v>#N/A</v>
      </c>
      <c r="P163" s="464" t="s">
        <v>201</v>
      </c>
      <c r="Q163" s="483" t="e">
        <f ca="1">VLOOKUP(VLOOKUP(I151,Worksheet!$A$18:$B$31,2),'1Test Data'!$O$30:$AG$49,19,0)</f>
        <v>#N/A</v>
      </c>
      <c r="R163" s="484">
        <f t="shared" si="68"/>
        <v>0</v>
      </c>
      <c r="S163" s="465">
        <f t="shared" si="69"/>
        <v>0</v>
      </c>
      <c r="T163" s="465" t="e">
        <f ca="1">IF(OR(E163="",B163=0),"",ABS(L163/S166))</f>
        <v>#N/A</v>
      </c>
      <c r="U163" s="485"/>
    </row>
    <row r="164" spans="1:21" s="440" customFormat="1" ht="13.5" customHeight="1">
      <c r="A164" s="470">
        <v>11</v>
      </c>
      <c r="B164" s="471" t="e">
        <f>$B$14</f>
        <v>#NAME?</v>
      </c>
      <c r="C164" s="496" t="e">
        <f>"DUT Type " &amp;ReadoutType&amp; " Resolution "&amp;Readability &amp; "kPa
Digital - Type B - Rect - 1/2 of  least count with D of F = 100 &amp; (k=1.73)
Analogue - Type B - N95 - Best scale readability with D of F = 60 &amp; k=2.00"</f>
        <v>#NAME?</v>
      </c>
      <c r="D164" s="471" t="e">
        <f>IF(ReadoutType="Digital","Rect","N95")</f>
        <v>#NAME?</v>
      </c>
      <c r="E164" s="473" t="e">
        <f>IF(Elect=1,($K162)/1000,IF(ReadoutType="Digital",Readability/2,Readability)*UnitConvert)</f>
        <v>#NAME?</v>
      </c>
      <c r="F164" s="474" t="e">
        <f>IF(OR(E164="",B164=0),"",$F$4)</f>
        <v>#NAME?</v>
      </c>
      <c r="G164" s="475" t="e">
        <f t="shared" si="63"/>
        <v>#NAME?</v>
      </c>
      <c r="H164" s="476" t="e">
        <f t="shared" si="64"/>
        <v>#NAME?</v>
      </c>
      <c r="I164" s="477" t="e">
        <f t="shared" si="65"/>
        <v>#NAME?</v>
      </c>
      <c r="J164" s="478" t="e">
        <f t="shared" si="66"/>
        <v>#NAME?</v>
      </c>
      <c r="K164" s="479">
        <v>1</v>
      </c>
      <c r="L164" s="480" t="e">
        <f t="shared" si="67"/>
        <v>#NAME?</v>
      </c>
      <c r="M164" s="480" t="e">
        <f t="shared" si="60"/>
        <v>#NAME?</v>
      </c>
      <c r="N164" s="481" t="e">
        <f t="shared" si="61"/>
        <v>#NAME?</v>
      </c>
      <c r="O164" s="482" t="e">
        <f t="shared" si="62"/>
        <v>#NAME?</v>
      </c>
      <c r="P164" s="464" t="s">
        <v>88</v>
      </c>
      <c r="Q164" s="483" t="e">
        <f ca="1">VLOOKUP(VLOOKUP(I151,Worksheet!$A$18:$B$31,2),'1Test Data'!$O$30:$AH$49,20,0)</f>
        <v>#N/A</v>
      </c>
      <c r="R164" s="484" t="e">
        <f t="shared" si="68"/>
        <v>#NAME?</v>
      </c>
      <c r="S164" s="465" t="e">
        <f t="shared" si="69"/>
        <v>#NAME?</v>
      </c>
      <c r="T164" s="465" t="e">
        <f>IF(OR(E164="",B164=0),"",ABS(L164/S166))</f>
        <v>#NAME?</v>
      </c>
      <c r="U164" s="485"/>
    </row>
    <row r="165" spans="1:21" s="440" customFormat="1" ht="27">
      <c r="A165" s="470">
        <v>12</v>
      </c>
      <c r="B165" s="471" t="e">
        <f>$B$15</f>
        <v>#NAME?</v>
      </c>
      <c r="C165" s="496" t="s">
        <v>410</v>
      </c>
      <c r="D165" s="471" t="s">
        <v>395</v>
      </c>
      <c r="E165" s="473" t="e">
        <f>E164</f>
        <v>#NAME?</v>
      </c>
      <c r="F165" s="474" t="e">
        <f>IF(OR(E165="",B165=0),"",$F$4)</f>
        <v>#NAME?</v>
      </c>
      <c r="G165" s="475" t="e">
        <f t="shared" si="63"/>
        <v>#NAME?</v>
      </c>
      <c r="H165" s="476" t="e">
        <f t="shared" si="64"/>
        <v>#NAME?</v>
      </c>
      <c r="I165" s="477">
        <f t="shared" si="65"/>
        <v>100</v>
      </c>
      <c r="J165" s="478" t="e">
        <f t="shared" si="66"/>
        <v>#NAME?</v>
      </c>
      <c r="K165" s="479">
        <v>1</v>
      </c>
      <c r="L165" s="480" t="e">
        <f t="shared" si="67"/>
        <v>#NAME?</v>
      </c>
      <c r="M165" s="480" t="e">
        <f t="shared" si="60"/>
        <v>#NAME?</v>
      </c>
      <c r="N165" s="481" t="e">
        <f t="shared" si="61"/>
        <v>#NAME?</v>
      </c>
      <c r="O165" s="482" t="e">
        <f t="shared" si="62"/>
        <v>#NAME?</v>
      </c>
      <c r="P165" s="464" t="s">
        <v>411</v>
      </c>
      <c r="Q165" s="483" t="e">
        <f ca="1">ABS(Q161*F151^3+Q162*F151^2+Q163*F151+Q164)</f>
        <v>#N/A</v>
      </c>
      <c r="R165" s="484" t="e">
        <f t="shared" si="68"/>
        <v>#NAME?</v>
      </c>
      <c r="S165" s="465" t="e">
        <f t="shared" si="69"/>
        <v>#NAME?</v>
      </c>
      <c r="T165" s="465" t="e">
        <f>IF(OR(E165="",B165=0),"",ABS(L165/S166))</f>
        <v>#NAME?</v>
      </c>
      <c r="U165" s="485"/>
    </row>
    <row r="166" spans="1:21" s="440" customFormat="1" ht="25.5">
      <c r="A166" s="497"/>
      <c r="B166" s="498"/>
      <c r="C166" s="448"/>
      <c r="D166" s="448"/>
      <c r="E166" s="448"/>
      <c r="F166" s="448"/>
      <c r="G166" s="448"/>
      <c r="H166" s="448"/>
      <c r="I166" s="484"/>
      <c r="J166" s="448"/>
      <c r="K166" s="448"/>
      <c r="L166" s="499" t="s">
        <v>412</v>
      </c>
      <c r="M166" s="499" t="e">
        <f ca="1">SUM(M154:M165)</f>
        <v>#N/A</v>
      </c>
      <c r="N166" s="500" t="e">
        <f ca="1">SUM(N154:N165)</f>
        <v>#N/A</v>
      </c>
      <c r="O166" s="501" t="e">
        <f ca="1">SUM(O154:O165)</f>
        <v>#N/A</v>
      </c>
      <c r="P166" s="464" t="s">
        <v>413</v>
      </c>
      <c r="Q166" s="483" t="e">
        <f ca="1">VLOOKUP(VLOOKUP(I151,Worksheet!$A$18:$B$31,2),'1Test Data'!$O$30:$AJ$49,22,0)</f>
        <v>#N/A</v>
      </c>
      <c r="R166" s="453"/>
      <c r="S166" s="465" t="e">
        <f ca="1">SUM(S154:S165)</f>
        <v>#N/A</v>
      </c>
      <c r="T166" s="465" t="e">
        <f ca="1">SUM(T154:T165)</f>
        <v>#N/A</v>
      </c>
      <c r="U166" s="455"/>
    </row>
    <row r="167" spans="1:21" s="440" customFormat="1">
      <c r="A167" s="504"/>
      <c r="B167" s="448"/>
      <c r="C167" s="498" t="s">
        <v>414</v>
      </c>
      <c r="D167" s="448"/>
      <c r="E167" s="448"/>
      <c r="F167" s="448"/>
      <c r="G167" s="448"/>
      <c r="H167" s="448"/>
      <c r="I167" s="448"/>
      <c r="J167" s="448"/>
      <c r="K167" s="448"/>
      <c r="L167" s="505"/>
      <c r="M167" s="505"/>
      <c r="N167" s="505"/>
      <c r="O167" s="505"/>
      <c r="P167" s="464" t="s">
        <v>394</v>
      </c>
      <c r="Q167" s="483" t="e">
        <f ca="1">VLOOKUP(VLOOKUP(I151,Worksheet!$A$18:$B$31,2),'1Test Data'!$O$30:$AK$49,23,0)</f>
        <v>#N/A</v>
      </c>
      <c r="R167" s="453"/>
      <c r="S167" s="453"/>
      <c r="T167" s="453"/>
      <c r="U167" s="455"/>
    </row>
    <row r="168" spans="1:21" s="440" customFormat="1" ht="13.5" customHeight="1">
      <c r="A168" s="504"/>
      <c r="B168" s="448"/>
      <c r="C168" s="1090" t="s">
        <v>415</v>
      </c>
      <c r="D168" s="1091"/>
      <c r="E168" s="1091"/>
      <c r="F168" s="1091"/>
      <c r="G168" s="1092"/>
      <c r="H168" s="448"/>
      <c r="I168" s="448"/>
      <c r="J168" s="448"/>
      <c r="K168" s="448"/>
      <c r="L168" s="506" t="s">
        <v>416</v>
      </c>
      <c r="M168" s="507" t="e">
        <f ca="1">M166^0.5</f>
        <v>#N/A</v>
      </c>
      <c r="N168" s="508" t="str">
        <f>Uncert!$F$4</f>
        <v>ABS kPa</v>
      </c>
      <c r="O168" s="505" t="e">
        <f ca="1">(M166-M157-M162-M164-M165)^0.5</f>
        <v>#N/A</v>
      </c>
      <c r="P168" s="464" t="s">
        <v>396</v>
      </c>
      <c r="Q168" s="483" t="e">
        <f ca="1">VLOOKUP(VLOOKUP(I151,Worksheet!$A$18:$B$31,2),'1Test Data'!$O$30:$AL$49,24,0)</f>
        <v>#N/A</v>
      </c>
      <c r="R168" s="453"/>
      <c r="S168" s="453"/>
      <c r="T168" s="453"/>
      <c r="U168" s="455"/>
    </row>
    <row r="169" spans="1:21" s="440" customFormat="1">
      <c r="A169" s="504"/>
      <c r="B169" s="448"/>
      <c r="C169" s="1093"/>
      <c r="D169" s="1094"/>
      <c r="E169" s="1094"/>
      <c r="F169" s="1094"/>
      <c r="G169" s="1095"/>
      <c r="H169" s="448"/>
      <c r="I169" s="448"/>
      <c r="J169" s="448"/>
      <c r="K169" s="448"/>
      <c r="L169" s="506" t="s">
        <v>417</v>
      </c>
      <c r="M169" s="507" t="e">
        <f ca="1">M168^4/N166</f>
        <v>#N/A</v>
      </c>
      <c r="N169" s="509"/>
      <c r="O169" s="510" t="e">
        <f ca="1">O168^4/(N166-N157-N162-N164-N165)</f>
        <v>#N/A</v>
      </c>
      <c r="P169" s="464" t="s">
        <v>201</v>
      </c>
      <c r="Q169" s="483" t="e">
        <f ca="1">VLOOKUP(VLOOKUP(I151,Worksheet!$A$18:$B$31,2),'1Test Data'!$O$30:$AM$49,25,0)</f>
        <v>#N/A</v>
      </c>
      <c r="R169" s="453"/>
      <c r="S169" s="453"/>
      <c r="T169" s="453"/>
      <c r="U169" s="455"/>
    </row>
    <row r="170" spans="1:21" s="440" customFormat="1">
      <c r="A170" s="504"/>
      <c r="B170" s="448"/>
      <c r="C170" s="1093"/>
      <c r="D170" s="1094"/>
      <c r="E170" s="1094"/>
      <c r="F170" s="1094"/>
      <c r="G170" s="1095"/>
      <c r="H170" s="448"/>
      <c r="I170" s="448"/>
      <c r="J170" s="448"/>
      <c r="K170" s="448"/>
      <c r="L170" s="506" t="s">
        <v>418</v>
      </c>
      <c r="M170" s="507" t="e">
        <f ca="1">TINV(0.05,M169)</f>
        <v>#N/A</v>
      </c>
      <c r="N170" s="508"/>
      <c r="O170" s="507" t="e">
        <f ca="1">TINV(0.05,O169)</f>
        <v>#N/A</v>
      </c>
      <c r="P170" s="464" t="s">
        <v>88</v>
      </c>
      <c r="Q170" s="483" t="e">
        <f ca="1">VLOOKUP(VLOOKUP(I151,Worksheet!$A$18:$B$31,2),'1Test Data'!$O$30:$AN$49,26,0)</f>
        <v>#N/A</v>
      </c>
      <c r="R170" s="453"/>
      <c r="S170" s="453"/>
      <c r="T170" s="453"/>
      <c r="U170" s="455"/>
    </row>
    <row r="171" spans="1:21" s="440" customFormat="1">
      <c r="A171" s="504"/>
      <c r="B171" s="448"/>
      <c r="C171" s="1093"/>
      <c r="D171" s="1094"/>
      <c r="E171" s="1094"/>
      <c r="F171" s="1094"/>
      <c r="G171" s="1095"/>
      <c r="H171" s="448"/>
      <c r="I171" s="448"/>
      <c r="J171" s="448"/>
      <c r="K171" s="448"/>
      <c r="L171" s="506" t="s">
        <v>419</v>
      </c>
      <c r="M171" s="507" t="e">
        <f ca="1">M168*M170</f>
        <v>#N/A</v>
      </c>
      <c r="N171" s="508" t="str">
        <f>Uncert!$F$4</f>
        <v>ABS kPa</v>
      </c>
      <c r="O171" s="507" t="e">
        <f ca="1">O168*O170</f>
        <v>#N/A</v>
      </c>
      <c r="P171" s="464" t="s">
        <v>420</v>
      </c>
      <c r="Q171" s="483" t="e">
        <f ca="1">ABS(Q167*F151^3+Q168*F151^2+Q169*F151+Q170)</f>
        <v>#N/A</v>
      </c>
      <c r="R171" s="453"/>
      <c r="S171" s="453"/>
      <c r="T171" s="453"/>
      <c r="U171" s="455"/>
    </row>
    <row r="172" spans="1:21" s="440" customFormat="1">
      <c r="A172" s="497"/>
      <c r="B172" s="498"/>
      <c r="C172" s="1096"/>
      <c r="D172" s="1097"/>
      <c r="E172" s="1097"/>
      <c r="F172" s="1097"/>
      <c r="G172" s="1098"/>
      <c r="H172" s="448"/>
      <c r="I172" s="448"/>
      <c r="J172" s="511"/>
      <c r="K172" s="511"/>
      <c r="L172" s="512" t="s">
        <v>421</v>
      </c>
      <c r="M172" s="513" t="e">
        <f ca="1">M171</f>
        <v>#N/A</v>
      </c>
      <c r="N172" s="514" t="str">
        <f>Uncert!$F$4</f>
        <v>ABS kPa</v>
      </c>
      <c r="O172" s="513" t="e">
        <f ca="1">O171</f>
        <v>#N/A</v>
      </c>
      <c r="P172" s="464" t="s">
        <v>422</v>
      </c>
      <c r="Q172" s="483" t="e">
        <f ca="1">VLOOKUP(VLOOKUP(I151,Worksheet!$A$18:$B$31,2),'1Test Data'!$O$30:$AP$49,28,0)</f>
        <v>#N/A</v>
      </c>
      <c r="R172" s="453"/>
      <c r="S172" s="453"/>
      <c r="T172" s="453"/>
      <c r="U172" s="455"/>
    </row>
    <row r="173" spans="1:21" s="440" customFormat="1">
      <c r="A173" s="497"/>
      <c r="B173" s="498"/>
      <c r="C173" s="498" t="s">
        <v>423</v>
      </c>
      <c r="D173" s="448"/>
      <c r="E173" s="448"/>
      <c r="F173" s="448"/>
      <c r="G173" s="448"/>
      <c r="H173" s="515" t="e">
        <f>"N " &amp; ReadoutType</f>
        <v>#NAME?</v>
      </c>
      <c r="I173" s="516" t="e">
        <f ca="1">($O174/$K162)</f>
        <v>#N/A</v>
      </c>
      <c r="J173" s="448"/>
      <c r="K173" s="448"/>
      <c r="L173" s="505"/>
      <c r="M173" s="517" t="e">
        <f ca="1">(M172/F151)*100</f>
        <v>#N/A</v>
      </c>
      <c r="N173" s="518" t="s">
        <v>78</v>
      </c>
      <c r="O173" s="517"/>
      <c r="P173" s="519"/>
      <c r="Q173" s="519"/>
      <c r="R173" s="453"/>
      <c r="S173" s="453"/>
      <c r="T173" s="453"/>
      <c r="U173" s="455"/>
    </row>
    <row r="174" spans="1:21" s="440" customFormat="1">
      <c r="A174" s="497"/>
      <c r="B174" s="498"/>
      <c r="C174" s="520" t="s">
        <v>33</v>
      </c>
      <c r="D174" s="521" t="str">
        <f ca="1">Gravity</f>
        <v/>
      </c>
      <c r="E174" s="520" t="s">
        <v>36</v>
      </c>
      <c r="F174" s="522"/>
      <c r="G174" s="523"/>
      <c r="H174" s="524" t="e">
        <f>ReadoutType</f>
        <v>#NAME?</v>
      </c>
      <c r="I174" s="516" t="e">
        <f ca="1">($M174/$K162)</f>
        <v>#N/A</v>
      </c>
      <c r="J174" s="1103" t="s">
        <v>424</v>
      </c>
      <c r="K174" s="1104"/>
      <c r="L174" s="1104"/>
      <c r="M174" s="525" t="e">
        <f ca="1">IF(NATA="Y",IF(M172&lt;Scopekpa,IF(Scopekpa&lt;((F151/100)*ScopeReading),((F151/100)*ScopeReading),Scopekpa),IF(M172&lt;((F151/100)*ScopeReading),((F151/100)*ScopeReading),M172)),Uncert!M172)</f>
        <v>#N/A</v>
      </c>
      <c r="N174" s="522" t="s">
        <v>425</v>
      </c>
      <c r="O174" s="525" t="e">
        <f ca="1">IF(NATA="Y",IF(O172&lt;Scopekpa,IF(Scopekpa&lt;((F151/100)*ScopeReading),((F151/100)*ScopeReading),Scopekpa),IF(O172&lt;((F151/100)*ScopeReading),((F151/100)*ScopeReading),O172)),Uncert!O172)</f>
        <v>#N/A</v>
      </c>
      <c r="P174" s="522"/>
      <c r="Q174" s="522"/>
      <c r="R174" s="453"/>
      <c r="S174" s="453"/>
      <c r="T174" s="453"/>
      <c r="U174" s="455"/>
    </row>
    <row r="175" spans="1:21" s="440" customFormat="1" ht="14.25" thickBot="1">
      <c r="A175" s="526" t="str">
        <f>"Worksheet!A" &amp; 17+(ROW()/25)</f>
        <v>Worksheet!A24</v>
      </c>
      <c r="B175" s="527"/>
      <c r="C175" s="527"/>
      <c r="D175" s="528">
        <f>ROW()/25</f>
        <v>7</v>
      </c>
      <c r="E175" s="529"/>
      <c r="F175" s="529"/>
      <c r="G175" s="529"/>
      <c r="H175" s="529"/>
      <c r="I175" s="530"/>
      <c r="J175" s="1105" t="s">
        <v>424</v>
      </c>
      <c r="K175" s="1105"/>
      <c r="L175" s="1105"/>
      <c r="M175" s="531" t="e">
        <f ca="1">IF(NATA="Y",IF(M173&lt;ScopeReading,ScopeReading,M173),M173)</f>
        <v>#N/A</v>
      </c>
      <c r="N175" s="532" t="s">
        <v>78</v>
      </c>
      <c r="O175" s="531"/>
      <c r="P175" s="532"/>
      <c r="Q175" s="527"/>
      <c r="R175" s="527"/>
      <c r="S175" s="527"/>
      <c r="T175" s="527"/>
      <c r="U175" s="533"/>
    </row>
    <row r="176" spans="1:21" s="440" customFormat="1">
      <c r="A176" s="1099" t="e">
        <f ca="1">"Uncertainty Budget: Digital Pressure Gauge (" &amp; Q176&amp; ", "&amp; Q177 &amp; H176 &amp;" x " &amp; Division   &amp;H176 &amp; " )" &amp; " Test Point "&amp;D200</f>
        <v>#N/A</v>
      </c>
      <c r="B176" s="1100"/>
      <c r="C176" s="1100"/>
      <c r="D176" s="1100"/>
      <c r="E176" s="1100"/>
      <c r="F176" s="1101">
        <f ca="1">ABS(I176*UnitConvert)</f>
        <v>0</v>
      </c>
      <c r="G176" s="1102"/>
      <c r="H176" s="428" t="s">
        <v>371</v>
      </c>
      <c r="I176" s="429">
        <f ca="1">INDIRECT(A200)</f>
        <v>0</v>
      </c>
      <c r="J176" s="430" t="str">
        <f>_xlfn.SINGLE(Units)</f>
        <v>mm</v>
      </c>
      <c r="K176" s="431" t="e">
        <f ca="1">IF(C179="","","Uncertainty (U) = ±"&amp;TEXT(M197,"0.0")&amp;$F$4&amp;",  &amp;  (k="&amp;TEXT(M195,"0.00")&amp;", confidence level=95%)")</f>
        <v>#N/A</v>
      </c>
      <c r="L176" s="432"/>
      <c r="M176" s="432"/>
      <c r="N176" s="432"/>
      <c r="O176" s="433"/>
      <c r="P176" s="434" t="s">
        <v>372</v>
      </c>
      <c r="Q176" s="435" t="e">
        <f ca="1">VLOOKUP(VLOOKUP(I176,Worksheet!$A$18:$B$31,2),'1Test Data'!$M$6:$O$10,2,0)</f>
        <v>#N/A</v>
      </c>
      <c r="R176" s="436"/>
      <c r="S176" s="436"/>
      <c r="T176" s="437" t="str">
        <f ca="1">"TEX Ver "&amp;Mods!$A$1</f>
        <v>TEX Ver TAS-SST001v1</v>
      </c>
      <c r="U176" s="438"/>
    </row>
    <row r="177" spans="1:21" s="440" customFormat="1">
      <c r="A177" s="442" t="s">
        <v>373</v>
      </c>
      <c r="B177" s="443"/>
      <c r="C177" s="444"/>
      <c r="D177" s="445" t="s">
        <v>374</v>
      </c>
      <c r="E177" s="446" t="e">
        <f ca="1">Q177</f>
        <v>#N/A</v>
      </c>
      <c r="F177" s="447"/>
      <c r="G177" s="447" t="e">
        <f ca="1">ROUND(M197/(F176/100),2)&amp;"% of Full Scale"</f>
        <v>#N/A</v>
      </c>
      <c r="H177" s="448"/>
      <c r="I177" s="448"/>
      <c r="J177" s="449" t="e">
        <f ca="1">M198</f>
        <v>#N/A</v>
      </c>
      <c r="K177" s="448"/>
      <c r="L177" s="450"/>
      <c r="M177" s="450"/>
      <c r="N177" s="450"/>
      <c r="O177" s="433"/>
      <c r="P177" s="451" t="s">
        <v>375</v>
      </c>
      <c r="Q177" s="452" t="e">
        <f ca="1">VLOOKUP(VLOOKUP(I176,Worksheet!$A$18:$B$31,2),'1Test Data'!$O$30:$T$49,6,0)</f>
        <v>#N/A</v>
      </c>
      <c r="R177" s="453">
        <v>0</v>
      </c>
      <c r="S177" s="453"/>
      <c r="T177" s="454">
        <f ca="1">Mods!$A$4</f>
        <v>45809.486168981479</v>
      </c>
      <c r="U177" s="455"/>
    </row>
    <row r="178" spans="1:21" s="440" customFormat="1" ht="38.25">
      <c r="A178" s="458" t="s">
        <v>376</v>
      </c>
      <c r="B178" s="459" t="s">
        <v>377</v>
      </c>
      <c r="C178" s="460" t="s">
        <v>378</v>
      </c>
      <c r="D178" s="460" t="s">
        <v>379</v>
      </c>
      <c r="E178" s="460" t="s">
        <v>380</v>
      </c>
      <c r="F178" s="460" t="s">
        <v>381</v>
      </c>
      <c r="G178" s="460" t="s">
        <v>178</v>
      </c>
      <c r="H178" s="461" t="s">
        <v>382</v>
      </c>
      <c r="I178" s="461" t="s">
        <v>383</v>
      </c>
      <c r="J178" s="462" t="s">
        <v>384</v>
      </c>
      <c r="K178" s="463" t="s">
        <v>385</v>
      </c>
      <c r="L178" s="461" t="s">
        <v>386</v>
      </c>
      <c r="M178" s="461" t="s">
        <v>387</v>
      </c>
      <c r="N178" s="461" t="s">
        <v>388</v>
      </c>
      <c r="O178" s="461" t="s">
        <v>389</v>
      </c>
      <c r="P178" s="464" t="s">
        <v>390</v>
      </c>
      <c r="Q178" s="452" t="e">
        <f ca="1">VLOOKUP(VLOOKUP(I176,Worksheet!$A$18:$B$31,2),'1Test Data'!$O$30:$V$49,8,0)</f>
        <v>#N/A</v>
      </c>
      <c r="R178" s="465" t="s">
        <v>391</v>
      </c>
      <c r="S178" s="465" t="s">
        <v>391</v>
      </c>
      <c r="T178" s="466" t="s">
        <v>392</v>
      </c>
      <c r="U178" s="467"/>
    </row>
    <row r="179" spans="1:21" s="440" customFormat="1">
      <c r="A179" s="470">
        <v>1</v>
      </c>
      <c r="B179" s="471">
        <f>$B$4</f>
        <v>1</v>
      </c>
      <c r="C179" s="472" t="e">
        <f ca="1">"Reference Device  ("&amp;Q177&amp;" Druck Transducer) + Sey
Uncertainty from Calibration Report - "&amp;Q176</f>
        <v>#N/A</v>
      </c>
      <c r="D179" s="471" t="s">
        <v>393</v>
      </c>
      <c r="E179" s="473" t="e">
        <f ca="1">Q183+Q184</f>
        <v>#N/A</v>
      </c>
      <c r="F179" s="474" t="str">
        <f>H176</f>
        <v>ABS kPa</v>
      </c>
      <c r="G179" s="475" t="str">
        <f>IF(OR(D179="",B179=0),"",IF(D179="ESDM","A","B"))</f>
        <v>B</v>
      </c>
      <c r="H179" s="476" t="e">
        <f ca="1">IF(OR(E179="",B179=0),"",IF(D179="ESDM",1,IF(D179="N95",2,IF(D179="Rect",(3^0.5)))))</f>
        <v>#N/A</v>
      </c>
      <c r="I179" s="477">
        <f>IF(D179="N95",60,100)</f>
        <v>60</v>
      </c>
      <c r="J179" s="478" t="e">
        <f ca="1">IF(OR(E179="",B179=0),"",(E179/H179))</f>
        <v>#N/A</v>
      </c>
      <c r="K179" s="479">
        <v>1</v>
      </c>
      <c r="L179" s="480" t="e">
        <f ca="1">IF(OR(E179="",B179=0),"",K179*J179)</f>
        <v>#N/A</v>
      </c>
      <c r="M179" s="480" t="e">
        <f t="shared" ref="M179:M190" ca="1" si="70">IF(OR(E179="",B179=0),"0",L179^2)</f>
        <v>#N/A</v>
      </c>
      <c r="N179" s="481" t="e">
        <f t="shared" ref="N179:N190" ca="1" si="71">IF(OR(D179="",B179=0),"0",(L179)^4/I179)</f>
        <v>#N/A</v>
      </c>
      <c r="O179" s="482" t="e">
        <f t="shared" ref="O179:O190" ca="1" si="72">T179</f>
        <v>#N/A</v>
      </c>
      <c r="P179" s="464" t="s">
        <v>394</v>
      </c>
      <c r="Q179" s="483" t="e">
        <f ca="1">VLOOKUP(VLOOKUP(I176,Worksheet!$A$18:$B$31,2),'1Test Data'!$O$30:$Y$49,11,0)</f>
        <v>#N/A</v>
      </c>
      <c r="R179" s="484" t="e">
        <f ca="1">IF(OR(E179="",B179=0),"",K179*J179)</f>
        <v>#N/A</v>
      </c>
      <c r="S179" s="465" t="e">
        <f ca="1">IF(OR(E179="",B179=0),"",ABS(R179))</f>
        <v>#N/A</v>
      </c>
      <c r="T179" s="465" t="e">
        <f ca="1">IF(OR(E179="",B179=0),"",ABS(L179/S191))</f>
        <v>#N/A</v>
      </c>
      <c r="U179" s="485"/>
    </row>
    <row r="180" spans="1:21" s="440" customFormat="1">
      <c r="A180" s="470">
        <v>2</v>
      </c>
      <c r="B180" s="471">
        <f>$B$5</f>
        <v>1</v>
      </c>
      <c r="C180" s="472" t="e">
        <f ca="1">"Reference Device  Specs +Sey
(" &amp; Q177 &amp; H176 &amp; " Druck Transducer)
"&amp;Q178 &amp; "% of F.S. from Calibration Report - " &amp; Q176</f>
        <v>#N/A</v>
      </c>
      <c r="D180" s="471" t="s">
        <v>395</v>
      </c>
      <c r="E180" s="473" t="e">
        <f ca="1">Q196+Q197</f>
        <v>#N/A</v>
      </c>
      <c r="F180" s="474" t="e">
        <f ca="1">IF(OR(E180="",B180=0),"",$F$4)</f>
        <v>#N/A</v>
      </c>
      <c r="G180" s="475" t="str">
        <f t="shared" ref="G180:G190" si="73">IF(OR(D180="",B180=0),"",IF(D180="ESDM","A","B"))</f>
        <v>B</v>
      </c>
      <c r="H180" s="476" t="e">
        <f t="shared" ref="H180:H190" ca="1" si="74">IF(OR(E180="",B180=0),"",IF(D180="ESDM",1,IF(D180="N95",2,IF(D180="Rect",(3^0.5)))))</f>
        <v>#N/A</v>
      </c>
      <c r="I180" s="477">
        <f t="shared" ref="I180:I190" si="75">IF(D180="N95",60,100)</f>
        <v>100</v>
      </c>
      <c r="J180" s="478" t="e">
        <f t="shared" ref="J180:J190" ca="1" si="76">IF(OR(E180="",B180=0),"",(E180/H180))</f>
        <v>#N/A</v>
      </c>
      <c r="K180" s="479">
        <v>1</v>
      </c>
      <c r="L180" s="480" t="e">
        <f t="shared" ref="L180:L190" ca="1" si="77">IF(OR(E180="",B180=0),"",K180*J180)</f>
        <v>#N/A</v>
      </c>
      <c r="M180" s="480" t="e">
        <f t="shared" ca="1" si="70"/>
        <v>#N/A</v>
      </c>
      <c r="N180" s="481" t="e">
        <f t="shared" ca="1" si="71"/>
        <v>#N/A</v>
      </c>
      <c r="O180" s="482" t="e">
        <f t="shared" ca="1" si="72"/>
        <v>#N/A</v>
      </c>
      <c r="P180" s="464" t="s">
        <v>396</v>
      </c>
      <c r="Q180" s="483" t="e">
        <f ca="1">VLOOKUP(VLOOKUP(I176,Worksheet!$A$18:$B$31,2),'1Test Data'!$O$30:$Z$49,12,0)</f>
        <v>#N/A</v>
      </c>
      <c r="R180" s="484" t="e">
        <f t="shared" ref="R180:R190" ca="1" si="78">IF(OR(E180="",B180=0),"",K180*J180)</f>
        <v>#N/A</v>
      </c>
      <c r="S180" s="465" t="e">
        <f t="shared" ref="S180:S190" ca="1" si="79">IF(OR(E180="",B180=0),"",ABS(R180))</f>
        <v>#N/A</v>
      </c>
      <c r="T180" s="465" t="e">
        <f ca="1">IF(OR(E180="",B180=0),"",ABS(L180/S191))</f>
        <v>#N/A</v>
      </c>
      <c r="U180" s="485"/>
    </row>
    <row r="181" spans="1:21" s="440" customFormat="1" ht="18" customHeight="1">
      <c r="A181" s="470">
        <v>3</v>
      </c>
      <c r="B181" s="471">
        <f>$B$6</f>
        <v>1</v>
      </c>
      <c r="C181" s="472" t="s">
        <v>397</v>
      </c>
      <c r="D181" s="471" t="s">
        <v>395</v>
      </c>
      <c r="E181" s="473" t="e">
        <f ca="1">Q185*F176/100</f>
        <v>#N/A</v>
      </c>
      <c r="F181" s="474" t="e">
        <f ca="1">IF(OR(E181="",B181=0),"",$F$4)</f>
        <v>#N/A</v>
      </c>
      <c r="G181" s="475" t="str">
        <f t="shared" si="73"/>
        <v>B</v>
      </c>
      <c r="H181" s="476" t="e">
        <f t="shared" ca="1" si="74"/>
        <v>#N/A</v>
      </c>
      <c r="I181" s="477">
        <f t="shared" si="75"/>
        <v>100</v>
      </c>
      <c r="J181" s="478" t="e">
        <f t="shared" ca="1" si="76"/>
        <v>#N/A</v>
      </c>
      <c r="K181" s="479">
        <v>1</v>
      </c>
      <c r="L181" s="480" t="e">
        <f t="shared" ca="1" si="77"/>
        <v>#N/A</v>
      </c>
      <c r="M181" s="480" t="e">
        <f t="shared" ca="1" si="70"/>
        <v>#N/A</v>
      </c>
      <c r="N181" s="481" t="e">
        <f t="shared" ca="1" si="71"/>
        <v>#N/A</v>
      </c>
      <c r="O181" s="482" t="e">
        <f t="shared" ca="1" si="72"/>
        <v>#N/A</v>
      </c>
      <c r="P181" s="464" t="s">
        <v>201</v>
      </c>
      <c r="Q181" s="483" t="e">
        <f ca="1">VLOOKUP(VLOOKUP(I176,Worksheet!$A$18:$B$31,2),'1Test Data'!$O$30:$AA$49,13,0)</f>
        <v>#N/A</v>
      </c>
      <c r="R181" s="484" t="e">
        <f t="shared" ca="1" si="78"/>
        <v>#N/A</v>
      </c>
      <c r="S181" s="465" t="e">
        <f t="shared" ca="1" si="79"/>
        <v>#N/A</v>
      </c>
      <c r="T181" s="465" t="e">
        <f ca="1">IF(OR(E181="",B181=0),"",ABS(L181/S191))</f>
        <v>#N/A</v>
      </c>
      <c r="U181" s="485"/>
    </row>
    <row r="182" spans="1:21" s="440" customFormat="1" ht="18" customHeight="1">
      <c r="A182" s="470">
        <v>4</v>
      </c>
      <c r="B182" s="471" t="e">
        <f>$B$7</f>
        <v>#NAME?</v>
      </c>
      <c r="C182" s="472" t="s">
        <v>398</v>
      </c>
      <c r="D182" s="471" t="s">
        <v>395</v>
      </c>
      <c r="E182" s="473">
        <f>EDMS*UnitConvert</f>
        <v>0</v>
      </c>
      <c r="F182" s="474" t="e">
        <f>IF(OR(E182="",B182=0),"",$F$4)</f>
        <v>#NAME?</v>
      </c>
      <c r="G182" s="475" t="e">
        <f t="shared" si="73"/>
        <v>#NAME?</v>
      </c>
      <c r="H182" s="476" t="e">
        <f t="shared" si="74"/>
        <v>#NAME?</v>
      </c>
      <c r="I182" s="477">
        <f t="shared" si="75"/>
        <v>100</v>
      </c>
      <c r="J182" s="478" t="e">
        <f t="shared" si="76"/>
        <v>#NAME?</v>
      </c>
      <c r="K182" s="479">
        <v>1</v>
      </c>
      <c r="L182" s="480" t="e">
        <f t="shared" si="77"/>
        <v>#NAME?</v>
      </c>
      <c r="M182" s="480" t="e">
        <f t="shared" si="70"/>
        <v>#NAME?</v>
      </c>
      <c r="N182" s="481" t="e">
        <f t="shared" si="71"/>
        <v>#NAME?</v>
      </c>
      <c r="O182" s="482" t="e">
        <f t="shared" si="72"/>
        <v>#NAME?</v>
      </c>
      <c r="P182" s="464" t="s">
        <v>88</v>
      </c>
      <c r="Q182" s="483" t="e">
        <f ca="1">VLOOKUP(VLOOKUP(I176,Worksheet!$A$18:$B$31,2),'1Test Data'!$O$30:$AB$49,14,0)</f>
        <v>#N/A</v>
      </c>
      <c r="R182" s="484" t="e">
        <f t="shared" si="78"/>
        <v>#NAME?</v>
      </c>
      <c r="S182" s="465" t="e">
        <f t="shared" si="79"/>
        <v>#NAME?</v>
      </c>
      <c r="T182" s="465" t="e">
        <f>IF(OR(E182="",B182=0),"",ABS(L182/S191))</f>
        <v>#NAME?</v>
      </c>
      <c r="U182" s="485"/>
    </row>
    <row r="183" spans="1:21" s="440" customFormat="1" ht="27">
      <c r="A183" s="470">
        <v>5</v>
      </c>
      <c r="B183" s="471">
        <f>$B$8</f>
        <v>0</v>
      </c>
      <c r="C183" s="472" t="str">
        <f>C33</f>
        <v>Gravity -0.001 m/s2 Sensitivity = Test Pressure / Gravity</v>
      </c>
      <c r="D183" s="471" t="s">
        <v>395</v>
      </c>
      <c r="E183" s="473">
        <f>E8</f>
        <v>1E-3</v>
      </c>
      <c r="F183" s="474" t="s">
        <v>400</v>
      </c>
      <c r="G183" s="475" t="str">
        <f t="shared" si="73"/>
        <v/>
      </c>
      <c r="H183" s="476" t="str">
        <f t="shared" si="74"/>
        <v/>
      </c>
      <c r="I183" s="477">
        <f t="shared" si="75"/>
        <v>100</v>
      </c>
      <c r="J183" s="478" t="str">
        <f t="shared" si="76"/>
        <v/>
      </c>
      <c r="K183" s="479">
        <f ca="1">F176*E183</f>
        <v>0</v>
      </c>
      <c r="L183" s="480" t="str">
        <f t="shared" si="77"/>
        <v/>
      </c>
      <c r="M183" s="480" t="str">
        <f t="shared" si="70"/>
        <v>0</v>
      </c>
      <c r="N183" s="481" t="str">
        <f t="shared" si="71"/>
        <v>0</v>
      </c>
      <c r="O183" s="482" t="str">
        <f>IFERROR(T183,0)</f>
        <v/>
      </c>
      <c r="P183" s="492" t="s">
        <v>401</v>
      </c>
      <c r="Q183" s="493" t="e">
        <f ca="1">ABS(Q179*F176^3+Q180*F176^2+Q181*F176+Q182)</f>
        <v>#N/A</v>
      </c>
      <c r="R183" s="484" t="str">
        <f t="shared" si="78"/>
        <v/>
      </c>
      <c r="S183" s="465" t="str">
        <f t="shared" si="79"/>
        <v/>
      </c>
      <c r="T183" s="465" t="str">
        <f>IF(OR(E183="",B183=0),"",ABS(L183/S191))</f>
        <v/>
      </c>
      <c r="U183" s="485"/>
    </row>
    <row r="184" spans="1:21" s="440" customFormat="1" ht="27">
      <c r="A184" s="470">
        <v>6</v>
      </c>
      <c r="B184" s="471">
        <f>$B$9</f>
        <v>0</v>
      </c>
      <c r="C184" s="472" t="s">
        <v>402</v>
      </c>
      <c r="D184" s="471" t="s">
        <v>395</v>
      </c>
      <c r="E184" s="473">
        <v>2</v>
      </c>
      <c r="F184" s="474" t="s">
        <v>403</v>
      </c>
      <c r="G184" s="475" t="str">
        <f t="shared" si="73"/>
        <v/>
      </c>
      <c r="H184" s="476" t="str">
        <f t="shared" si="74"/>
        <v/>
      </c>
      <c r="I184" s="477">
        <f t="shared" si="75"/>
        <v>100</v>
      </c>
      <c r="J184" s="478" t="str">
        <f t="shared" si="76"/>
        <v/>
      </c>
      <c r="K184" s="479">
        <f ca="1">F176*-0.000022</f>
        <v>0</v>
      </c>
      <c r="L184" s="480" t="str">
        <f t="shared" si="77"/>
        <v/>
      </c>
      <c r="M184" s="480" t="str">
        <f t="shared" si="70"/>
        <v>0</v>
      </c>
      <c r="N184" s="481" t="str">
        <f t="shared" si="71"/>
        <v>0</v>
      </c>
      <c r="O184" s="482" t="str">
        <f t="shared" si="72"/>
        <v/>
      </c>
      <c r="P184" s="494" t="s">
        <v>404</v>
      </c>
      <c r="Q184" s="483" t="e">
        <f ca="1">VLOOKUP(VLOOKUP(I176,Worksheet!$A$18:$B$31,2),'1Test Data'!$O$30:$AD$49,14,0)</f>
        <v>#N/A</v>
      </c>
      <c r="R184" s="484" t="str">
        <f t="shared" si="78"/>
        <v/>
      </c>
      <c r="S184" s="465" t="str">
        <f t="shared" si="79"/>
        <v/>
      </c>
      <c r="T184" s="465" t="str">
        <f>IF(OR(E184="",B184=0),"",ABS(L184/S191))</f>
        <v/>
      </c>
      <c r="U184" s="485"/>
    </row>
    <row r="185" spans="1:21" s="440" customFormat="1" ht="27">
      <c r="A185" s="470">
        <v>7</v>
      </c>
      <c r="B185" s="471">
        <f>$B$10</f>
        <v>0</v>
      </c>
      <c r="C185" s="472" t="s">
        <v>405</v>
      </c>
      <c r="D185" s="471" t="s">
        <v>395</v>
      </c>
      <c r="E185" s="473">
        <v>0.5</v>
      </c>
      <c r="F185" s="474" t="s">
        <v>406</v>
      </c>
      <c r="G185" s="475" t="str">
        <f t="shared" si="73"/>
        <v/>
      </c>
      <c r="H185" s="476" t="str">
        <f t="shared" si="74"/>
        <v/>
      </c>
      <c r="I185" s="477">
        <f t="shared" si="75"/>
        <v>100</v>
      </c>
      <c r="J185" s="478" t="str">
        <f t="shared" si="76"/>
        <v/>
      </c>
      <c r="K185" s="479">
        <f ca="1">(0.098*F176)/1000</f>
        <v>0</v>
      </c>
      <c r="L185" s="480" t="str">
        <f t="shared" si="77"/>
        <v/>
      </c>
      <c r="M185" s="480" t="str">
        <f t="shared" si="70"/>
        <v>0</v>
      </c>
      <c r="N185" s="481" t="str">
        <f t="shared" si="71"/>
        <v>0</v>
      </c>
      <c r="O185" s="482" t="str">
        <f t="shared" si="72"/>
        <v/>
      </c>
      <c r="P185" s="464" t="s">
        <v>407</v>
      </c>
      <c r="Q185" s="452" t="e">
        <f ca="1">VLOOKUP(VLOOKUP(I176,Worksheet!$A$18:$B$31,2),'1Test Data'!$O$30:$X$49,10,0)</f>
        <v>#N/A</v>
      </c>
      <c r="R185" s="484" t="str">
        <f t="shared" si="78"/>
        <v/>
      </c>
      <c r="S185" s="465" t="str">
        <f t="shared" si="79"/>
        <v/>
      </c>
      <c r="T185" s="465" t="str">
        <f>IF(OR(E185="",B185=0),"",ABS(L185/S191))</f>
        <v/>
      </c>
      <c r="U185" s="485"/>
    </row>
    <row r="186" spans="1:21" s="440" customFormat="1" ht="27">
      <c r="A186" s="470">
        <v>8</v>
      </c>
      <c r="B186" s="471">
        <f>$B$11</f>
        <v>0</v>
      </c>
      <c r="C186" s="472" t="s">
        <v>408</v>
      </c>
      <c r="D186" s="471" t="s">
        <v>395</v>
      </c>
      <c r="E186" s="473">
        <v>0.05</v>
      </c>
      <c r="F186" s="474" t="s">
        <v>406</v>
      </c>
      <c r="G186" s="475" t="str">
        <f t="shared" si="73"/>
        <v/>
      </c>
      <c r="H186" s="476" t="str">
        <f t="shared" si="74"/>
        <v/>
      </c>
      <c r="I186" s="477">
        <f t="shared" si="75"/>
        <v>100</v>
      </c>
      <c r="J186" s="478" t="str">
        <f t="shared" si="76"/>
        <v/>
      </c>
      <c r="K186" s="479">
        <f ca="1">F176/8000</f>
        <v>0</v>
      </c>
      <c r="L186" s="480" t="str">
        <f t="shared" si="77"/>
        <v/>
      </c>
      <c r="M186" s="480" t="str">
        <f t="shared" si="70"/>
        <v>0</v>
      </c>
      <c r="N186" s="481" t="str">
        <f t="shared" si="71"/>
        <v>0</v>
      </c>
      <c r="O186" s="482" t="str">
        <f t="shared" si="72"/>
        <v/>
      </c>
      <c r="P186" s="464" t="s">
        <v>394</v>
      </c>
      <c r="Q186" s="483" t="e">
        <f ca="1">VLOOKUP(VLOOKUP(I176,Worksheet!$A$18:$B$31,2),'1Test Data'!$O$30:$AE$49,17,0)</f>
        <v>#N/A</v>
      </c>
      <c r="R186" s="484" t="str">
        <f t="shared" si="78"/>
        <v/>
      </c>
      <c r="S186" s="465" t="str">
        <f t="shared" si="79"/>
        <v/>
      </c>
      <c r="T186" s="465" t="str">
        <f>IF(OR(E186="",B186=0),"",ABS(L186/S191))</f>
        <v/>
      </c>
      <c r="U186" s="485"/>
    </row>
    <row r="187" spans="1:21" s="440" customFormat="1" ht="13.5" customHeight="1">
      <c r="A187" s="470">
        <v>9</v>
      </c>
      <c r="B187" s="471" t="e">
        <f>$B$12</f>
        <v>#NAME?</v>
      </c>
      <c r="C187" s="472" t="str">
        <f>"Electrical reference devise" &amp; '1Test Data'!$O$3 &amp;  CHAR(10) &amp; "SN: " &amp; '1Test Data'!$P$3 &amp; ", Cert No: " &amp; '1Test Data'!$Q$3</f>
        <v>Electrical reference devisea
SN: b, Cert No: c</v>
      </c>
      <c r="D187" s="471" t="s">
        <v>395</v>
      </c>
      <c r="E187" s="473">
        <f>ElectUncert</f>
        <v>2E-3</v>
      </c>
      <c r="F187" s="474" t="e">
        <f>IF(OR(E187="",B187=0),"",ReadoutType)</f>
        <v>#NAME?</v>
      </c>
      <c r="G187" s="475" t="e">
        <f t="shared" si="73"/>
        <v>#NAME?</v>
      </c>
      <c r="H187" s="476" t="e">
        <f t="shared" si="74"/>
        <v>#NAME?</v>
      </c>
      <c r="I187" s="477">
        <f t="shared" si="75"/>
        <v>100</v>
      </c>
      <c r="J187" s="478" t="e">
        <f t="shared" si="76"/>
        <v>#NAME?</v>
      </c>
      <c r="K187" s="479" t="e">
        <f>Capacity/(Upper-Lower)</f>
        <v>#NAME?</v>
      </c>
      <c r="L187" s="480" t="e">
        <f t="shared" si="77"/>
        <v>#NAME?</v>
      </c>
      <c r="M187" s="480" t="e">
        <f t="shared" si="70"/>
        <v>#NAME?</v>
      </c>
      <c r="N187" s="481" t="e">
        <f t="shared" si="71"/>
        <v>#NAME?</v>
      </c>
      <c r="O187" s="482" t="e">
        <f t="shared" si="72"/>
        <v>#NAME?</v>
      </c>
      <c r="P187" s="464" t="s">
        <v>396</v>
      </c>
      <c r="Q187" s="483" t="e">
        <f ca="1">VLOOKUP(VLOOKUP(I176,Worksheet!$A$18:$B$31,2),'1Test Data'!$O$30:$AF$49,18,0)</f>
        <v>#N/A</v>
      </c>
      <c r="R187" s="484" t="e">
        <f t="shared" si="78"/>
        <v>#NAME?</v>
      </c>
      <c r="S187" s="465" t="e">
        <f t="shared" si="79"/>
        <v>#NAME?</v>
      </c>
      <c r="T187" s="465" t="e">
        <f>IF(OR(E187="",B187=0),"",ABS(L187/S191))</f>
        <v>#NAME?</v>
      </c>
      <c r="U187" s="485"/>
    </row>
    <row r="188" spans="1:21" s="440" customFormat="1" ht="18" customHeight="1">
      <c r="A188" s="470">
        <v>10</v>
      </c>
      <c r="B188" s="471">
        <f>$B$13</f>
        <v>1</v>
      </c>
      <c r="C188" s="472" t="s">
        <v>409</v>
      </c>
      <c r="D188" s="471" t="s">
        <v>395</v>
      </c>
      <c r="E188" s="473">
        <f>Worksheet!D25*UnitConvert</f>
        <v>0</v>
      </c>
      <c r="F188" s="474" t="str">
        <f>IF(OR(E188="",B188=0),"",$F$4)</f>
        <v>ABS kPa</v>
      </c>
      <c r="G188" s="475" t="str">
        <f t="shared" si="73"/>
        <v>B</v>
      </c>
      <c r="H188" s="476">
        <f t="shared" si="74"/>
        <v>1.7320508075688772</v>
      </c>
      <c r="I188" s="477">
        <f t="shared" si="75"/>
        <v>100</v>
      </c>
      <c r="J188" s="478">
        <f t="shared" si="76"/>
        <v>0</v>
      </c>
      <c r="K188" s="479">
        <v>1</v>
      </c>
      <c r="L188" s="480">
        <f t="shared" si="77"/>
        <v>0</v>
      </c>
      <c r="M188" s="480">
        <f t="shared" si="70"/>
        <v>0</v>
      </c>
      <c r="N188" s="481">
        <f t="shared" si="71"/>
        <v>0</v>
      </c>
      <c r="O188" s="482" t="e">
        <f t="shared" ca="1" si="72"/>
        <v>#N/A</v>
      </c>
      <c r="P188" s="464" t="s">
        <v>201</v>
      </c>
      <c r="Q188" s="483" t="e">
        <f ca="1">VLOOKUP(VLOOKUP(I176,Worksheet!$A$18:$B$31,2),'1Test Data'!$O$30:$AG$49,19,0)</f>
        <v>#N/A</v>
      </c>
      <c r="R188" s="484">
        <f t="shared" si="78"/>
        <v>0</v>
      </c>
      <c r="S188" s="465">
        <f t="shared" si="79"/>
        <v>0</v>
      </c>
      <c r="T188" s="465" t="e">
        <f ca="1">IF(OR(E188="",B188=0),"",ABS(L188/S191))</f>
        <v>#N/A</v>
      </c>
      <c r="U188" s="485"/>
    </row>
    <row r="189" spans="1:21" s="440" customFormat="1" ht="13.5" customHeight="1">
      <c r="A189" s="470">
        <v>11</v>
      </c>
      <c r="B189" s="471" t="e">
        <f>$B$14</f>
        <v>#NAME?</v>
      </c>
      <c r="C189" s="496" t="e">
        <f>"DUT Type " &amp;ReadoutType&amp; " Resolution "&amp;Readability &amp; "kPa
Digital - Type B - Rect - 1/2 of  least count with D of F = 100 &amp; (k=1.73)
Analogue - Type B - N95 - Best scale readability with D of F = 60 &amp; k=2.00"</f>
        <v>#NAME?</v>
      </c>
      <c r="D189" s="471" t="e">
        <f>IF(ReadoutType="Digital","Rect","N95")</f>
        <v>#NAME?</v>
      </c>
      <c r="E189" s="473" t="e">
        <f>IF(Elect=1,($K187)/1000,IF(ReadoutType="Digital",Readability/2,Readability)*UnitConvert)</f>
        <v>#NAME?</v>
      </c>
      <c r="F189" s="474" t="e">
        <f>IF(OR(E189="",B189=0),"",$F$4)</f>
        <v>#NAME?</v>
      </c>
      <c r="G189" s="475" t="e">
        <f t="shared" si="73"/>
        <v>#NAME?</v>
      </c>
      <c r="H189" s="476" t="e">
        <f t="shared" si="74"/>
        <v>#NAME?</v>
      </c>
      <c r="I189" s="477" t="e">
        <f t="shared" si="75"/>
        <v>#NAME?</v>
      </c>
      <c r="J189" s="478" t="e">
        <f t="shared" si="76"/>
        <v>#NAME?</v>
      </c>
      <c r="K189" s="479">
        <v>1</v>
      </c>
      <c r="L189" s="480" t="e">
        <f t="shared" si="77"/>
        <v>#NAME?</v>
      </c>
      <c r="M189" s="480" t="e">
        <f t="shared" si="70"/>
        <v>#NAME?</v>
      </c>
      <c r="N189" s="481" t="e">
        <f t="shared" si="71"/>
        <v>#NAME?</v>
      </c>
      <c r="O189" s="482" t="e">
        <f t="shared" si="72"/>
        <v>#NAME?</v>
      </c>
      <c r="P189" s="464" t="s">
        <v>88</v>
      </c>
      <c r="Q189" s="483" t="e">
        <f ca="1">VLOOKUP(VLOOKUP(I176,Worksheet!$A$18:$B$31,2),'1Test Data'!$O$30:$AH$49,20,0)</f>
        <v>#N/A</v>
      </c>
      <c r="R189" s="484" t="e">
        <f t="shared" si="78"/>
        <v>#NAME?</v>
      </c>
      <c r="S189" s="465" t="e">
        <f t="shared" si="79"/>
        <v>#NAME?</v>
      </c>
      <c r="T189" s="465" t="e">
        <f>IF(OR(E189="",B189=0),"",ABS(L189/S191))</f>
        <v>#NAME?</v>
      </c>
      <c r="U189" s="485"/>
    </row>
    <row r="190" spans="1:21" s="440" customFormat="1" ht="27">
      <c r="A190" s="470">
        <v>12</v>
      </c>
      <c r="B190" s="471" t="e">
        <f>$B$15</f>
        <v>#NAME?</v>
      </c>
      <c r="C190" s="496" t="s">
        <v>410</v>
      </c>
      <c r="D190" s="471" t="s">
        <v>395</v>
      </c>
      <c r="E190" s="473" t="e">
        <f>E189</f>
        <v>#NAME?</v>
      </c>
      <c r="F190" s="474" t="e">
        <f>IF(OR(E190="",B190=0),"",$F$4)</f>
        <v>#NAME?</v>
      </c>
      <c r="G190" s="475" t="e">
        <f t="shared" si="73"/>
        <v>#NAME?</v>
      </c>
      <c r="H190" s="476" t="e">
        <f t="shared" si="74"/>
        <v>#NAME?</v>
      </c>
      <c r="I190" s="477">
        <f t="shared" si="75"/>
        <v>100</v>
      </c>
      <c r="J190" s="478" t="e">
        <f t="shared" si="76"/>
        <v>#NAME?</v>
      </c>
      <c r="K190" s="479">
        <v>1</v>
      </c>
      <c r="L190" s="480" t="e">
        <f t="shared" si="77"/>
        <v>#NAME?</v>
      </c>
      <c r="M190" s="480" t="e">
        <f t="shared" si="70"/>
        <v>#NAME?</v>
      </c>
      <c r="N190" s="481" t="e">
        <f t="shared" si="71"/>
        <v>#NAME?</v>
      </c>
      <c r="O190" s="482" t="e">
        <f t="shared" si="72"/>
        <v>#NAME?</v>
      </c>
      <c r="P190" s="464" t="s">
        <v>411</v>
      </c>
      <c r="Q190" s="483" t="e">
        <f ca="1">ABS(Q186*F176^3+Q187*F176^2+Q188*F176+Q189)</f>
        <v>#N/A</v>
      </c>
      <c r="R190" s="484" t="e">
        <f t="shared" si="78"/>
        <v>#NAME?</v>
      </c>
      <c r="S190" s="465" t="e">
        <f t="shared" si="79"/>
        <v>#NAME?</v>
      </c>
      <c r="T190" s="465" t="e">
        <f>IF(OR(E190="",B190=0),"",ABS(L190/S191))</f>
        <v>#NAME?</v>
      </c>
      <c r="U190" s="485"/>
    </row>
    <row r="191" spans="1:21" s="440" customFormat="1" ht="25.5">
      <c r="A191" s="497"/>
      <c r="B191" s="498"/>
      <c r="C191" s="448"/>
      <c r="D191" s="448"/>
      <c r="E191" s="448"/>
      <c r="F191" s="448"/>
      <c r="G191" s="448"/>
      <c r="H191" s="448"/>
      <c r="I191" s="484"/>
      <c r="J191" s="448"/>
      <c r="K191" s="448"/>
      <c r="L191" s="499" t="s">
        <v>412</v>
      </c>
      <c r="M191" s="499" t="e">
        <f ca="1">SUM(M179:M190)</f>
        <v>#N/A</v>
      </c>
      <c r="N191" s="500" t="e">
        <f ca="1">SUM(N179:N190)</f>
        <v>#N/A</v>
      </c>
      <c r="O191" s="501" t="e">
        <f ca="1">SUM(O179:O190)</f>
        <v>#N/A</v>
      </c>
      <c r="P191" s="464" t="s">
        <v>413</v>
      </c>
      <c r="Q191" s="483" t="e">
        <f ca="1">VLOOKUP(VLOOKUP(I176,Worksheet!$A$18:$B$31,2),'1Test Data'!$O$30:$AJ$49,22,0)</f>
        <v>#N/A</v>
      </c>
      <c r="R191" s="453"/>
      <c r="S191" s="465" t="e">
        <f ca="1">SUM(S179:S190)</f>
        <v>#N/A</v>
      </c>
      <c r="T191" s="465" t="e">
        <f ca="1">SUM(T179:T190)</f>
        <v>#N/A</v>
      </c>
      <c r="U191" s="455"/>
    </row>
    <row r="192" spans="1:21" s="440" customFormat="1">
      <c r="A192" s="504"/>
      <c r="B192" s="448"/>
      <c r="C192" s="498" t="s">
        <v>414</v>
      </c>
      <c r="D192" s="448"/>
      <c r="E192" s="448"/>
      <c r="F192" s="448"/>
      <c r="G192" s="448"/>
      <c r="H192" s="448"/>
      <c r="I192" s="448"/>
      <c r="J192" s="448"/>
      <c r="K192" s="448"/>
      <c r="L192" s="505"/>
      <c r="M192" s="505"/>
      <c r="N192" s="505"/>
      <c r="O192" s="505"/>
      <c r="P192" s="464" t="s">
        <v>394</v>
      </c>
      <c r="Q192" s="483" t="e">
        <f ca="1">VLOOKUP(VLOOKUP(I176,Worksheet!$A$18:$B$31,2),'1Test Data'!$O$30:$AK$49,23,0)</f>
        <v>#N/A</v>
      </c>
      <c r="R192" s="453"/>
      <c r="S192" s="453"/>
      <c r="T192" s="453"/>
      <c r="U192" s="455"/>
    </row>
    <row r="193" spans="1:21" s="440" customFormat="1" ht="13.5" customHeight="1">
      <c r="A193" s="504"/>
      <c r="B193" s="448"/>
      <c r="C193" s="1090" t="s">
        <v>415</v>
      </c>
      <c r="D193" s="1091"/>
      <c r="E193" s="1091"/>
      <c r="F193" s="1091"/>
      <c r="G193" s="1092"/>
      <c r="H193" s="448"/>
      <c r="I193" s="448"/>
      <c r="J193" s="448"/>
      <c r="K193" s="448"/>
      <c r="L193" s="506" t="s">
        <v>416</v>
      </c>
      <c r="M193" s="507" t="e">
        <f ca="1">M191^0.5</f>
        <v>#N/A</v>
      </c>
      <c r="N193" s="508" t="str">
        <f>Uncert!$F$4</f>
        <v>ABS kPa</v>
      </c>
      <c r="O193" s="505" t="e">
        <f ca="1">(M191-M182-M187-M189-M190)^0.5</f>
        <v>#N/A</v>
      </c>
      <c r="P193" s="464" t="s">
        <v>396</v>
      </c>
      <c r="Q193" s="483" t="e">
        <f ca="1">VLOOKUP(VLOOKUP(I176,Worksheet!$A$18:$B$31,2),'1Test Data'!$O$30:$AL$49,24,0)</f>
        <v>#N/A</v>
      </c>
      <c r="R193" s="453"/>
      <c r="S193" s="453"/>
      <c r="T193" s="453"/>
      <c r="U193" s="455"/>
    </row>
    <row r="194" spans="1:21" s="440" customFormat="1">
      <c r="A194" s="504"/>
      <c r="B194" s="448"/>
      <c r="C194" s="1093"/>
      <c r="D194" s="1094"/>
      <c r="E194" s="1094"/>
      <c r="F194" s="1094"/>
      <c r="G194" s="1095"/>
      <c r="H194" s="448"/>
      <c r="I194" s="448"/>
      <c r="J194" s="448"/>
      <c r="K194" s="448"/>
      <c r="L194" s="506" t="s">
        <v>417</v>
      </c>
      <c r="M194" s="507" t="e">
        <f ca="1">M193^4/N191</f>
        <v>#N/A</v>
      </c>
      <c r="N194" s="509"/>
      <c r="O194" s="510" t="e">
        <f ca="1">O193^4/(N191-N182-N187-N189-N190)</f>
        <v>#N/A</v>
      </c>
      <c r="P194" s="464" t="s">
        <v>201</v>
      </c>
      <c r="Q194" s="483" t="e">
        <f ca="1">VLOOKUP(VLOOKUP(I176,Worksheet!$A$18:$B$31,2),'1Test Data'!$O$30:$AM$49,25,0)</f>
        <v>#N/A</v>
      </c>
      <c r="R194" s="453"/>
      <c r="S194" s="453"/>
      <c r="T194" s="453"/>
      <c r="U194" s="455"/>
    </row>
    <row r="195" spans="1:21" s="440" customFormat="1">
      <c r="A195" s="504"/>
      <c r="B195" s="448"/>
      <c r="C195" s="1093"/>
      <c r="D195" s="1094"/>
      <c r="E195" s="1094"/>
      <c r="F195" s="1094"/>
      <c r="G195" s="1095"/>
      <c r="H195" s="448"/>
      <c r="I195" s="448"/>
      <c r="J195" s="448"/>
      <c r="K195" s="448"/>
      <c r="L195" s="506" t="s">
        <v>418</v>
      </c>
      <c r="M195" s="507" t="e">
        <f ca="1">TINV(0.05,M194)</f>
        <v>#N/A</v>
      </c>
      <c r="N195" s="508"/>
      <c r="O195" s="507" t="e">
        <f ca="1">TINV(0.05,O194)</f>
        <v>#N/A</v>
      </c>
      <c r="P195" s="464" t="s">
        <v>88</v>
      </c>
      <c r="Q195" s="483" t="e">
        <f ca="1">VLOOKUP(VLOOKUP(I176,Worksheet!$A$18:$B$31,2),'1Test Data'!$O$30:$AN$49,26,0)</f>
        <v>#N/A</v>
      </c>
      <c r="R195" s="453"/>
      <c r="S195" s="453"/>
      <c r="T195" s="453"/>
      <c r="U195" s="455"/>
    </row>
    <row r="196" spans="1:21" s="440" customFormat="1">
      <c r="A196" s="504"/>
      <c r="B196" s="448"/>
      <c r="C196" s="1093"/>
      <c r="D196" s="1094"/>
      <c r="E196" s="1094"/>
      <c r="F196" s="1094"/>
      <c r="G196" s="1095"/>
      <c r="H196" s="448"/>
      <c r="I196" s="448"/>
      <c r="J196" s="448"/>
      <c r="K196" s="448"/>
      <c r="L196" s="506" t="s">
        <v>419</v>
      </c>
      <c r="M196" s="507" t="e">
        <f ca="1">M193*M195</f>
        <v>#N/A</v>
      </c>
      <c r="N196" s="508" t="str">
        <f>Uncert!$F$4</f>
        <v>ABS kPa</v>
      </c>
      <c r="O196" s="507" t="e">
        <f ca="1">O193*O195</f>
        <v>#N/A</v>
      </c>
      <c r="P196" s="464" t="s">
        <v>420</v>
      </c>
      <c r="Q196" s="483" t="e">
        <f ca="1">ABS(Q192*F176^3+Q193*F176^2+Q194*F176+Q195)</f>
        <v>#N/A</v>
      </c>
      <c r="R196" s="453"/>
      <c r="S196" s="453"/>
      <c r="T196" s="453"/>
      <c r="U196" s="455"/>
    </row>
    <row r="197" spans="1:21" s="440" customFormat="1">
      <c r="A197" s="497"/>
      <c r="B197" s="498"/>
      <c r="C197" s="1096"/>
      <c r="D197" s="1097"/>
      <c r="E197" s="1097"/>
      <c r="F197" s="1097"/>
      <c r="G197" s="1098"/>
      <c r="H197" s="448"/>
      <c r="I197" s="448"/>
      <c r="J197" s="511"/>
      <c r="K197" s="511"/>
      <c r="L197" s="512" t="s">
        <v>421</v>
      </c>
      <c r="M197" s="513" t="e">
        <f ca="1">M196</f>
        <v>#N/A</v>
      </c>
      <c r="N197" s="514" t="str">
        <f>Uncert!$F$4</f>
        <v>ABS kPa</v>
      </c>
      <c r="O197" s="513" t="e">
        <f ca="1">O196</f>
        <v>#N/A</v>
      </c>
      <c r="P197" s="464" t="s">
        <v>422</v>
      </c>
      <c r="Q197" s="483" t="e">
        <f ca="1">VLOOKUP(VLOOKUP(I176,Worksheet!$A$18:$B$31,2),'1Test Data'!$O$30:$AP$49,28,0)</f>
        <v>#N/A</v>
      </c>
      <c r="R197" s="453"/>
      <c r="S197" s="453"/>
      <c r="T197" s="453"/>
      <c r="U197" s="455"/>
    </row>
    <row r="198" spans="1:21" s="440" customFormat="1">
      <c r="A198" s="497"/>
      <c r="B198" s="498"/>
      <c r="C198" s="498" t="s">
        <v>423</v>
      </c>
      <c r="D198" s="448"/>
      <c r="E198" s="448"/>
      <c r="F198" s="448"/>
      <c r="G198" s="448"/>
      <c r="H198" s="515" t="e">
        <f>"N " &amp; ReadoutType</f>
        <v>#NAME?</v>
      </c>
      <c r="I198" s="516" t="e">
        <f ca="1">($O199/$K187)</f>
        <v>#N/A</v>
      </c>
      <c r="J198" s="448"/>
      <c r="K198" s="448"/>
      <c r="L198" s="505"/>
      <c r="M198" s="517" t="e">
        <f ca="1">(M197/F176)*100</f>
        <v>#N/A</v>
      </c>
      <c r="N198" s="518" t="s">
        <v>78</v>
      </c>
      <c r="O198" s="517"/>
      <c r="P198" s="519"/>
      <c r="Q198" s="519"/>
      <c r="R198" s="453"/>
      <c r="S198" s="453"/>
      <c r="T198" s="453"/>
      <c r="U198" s="455"/>
    </row>
    <row r="199" spans="1:21" s="440" customFormat="1">
      <c r="A199" s="497"/>
      <c r="B199" s="498"/>
      <c r="C199" s="520" t="s">
        <v>33</v>
      </c>
      <c r="D199" s="521" t="str">
        <f ca="1">Gravity</f>
        <v/>
      </c>
      <c r="E199" s="520" t="s">
        <v>36</v>
      </c>
      <c r="F199" s="522"/>
      <c r="G199" s="523"/>
      <c r="H199" s="524" t="e">
        <f>ReadoutType</f>
        <v>#NAME?</v>
      </c>
      <c r="I199" s="516" t="e">
        <f ca="1">($M199/$K187)</f>
        <v>#N/A</v>
      </c>
      <c r="J199" s="1103" t="s">
        <v>424</v>
      </c>
      <c r="K199" s="1104"/>
      <c r="L199" s="1104"/>
      <c r="M199" s="525" t="e">
        <f ca="1">IF(NATA="Y",IF(M197&lt;Scopekpa,IF(Scopekpa&lt;((F176/100)*ScopeReading),((F176/100)*ScopeReading),Scopekpa),IF(M197&lt;((F176/100)*ScopeReading),((F176/100)*ScopeReading),M197)),Uncert!M197)</f>
        <v>#N/A</v>
      </c>
      <c r="N199" s="522" t="s">
        <v>425</v>
      </c>
      <c r="O199" s="525" t="e">
        <f ca="1">IF(NATA="Y",IF(O197&lt;Scopekpa,IF(Scopekpa&lt;((F176/100)*ScopeReading),((F176/100)*ScopeReading),Scopekpa),IF(O197&lt;((F176/100)*ScopeReading),((F176/100)*ScopeReading),O197)),Uncert!O197)</f>
        <v>#N/A</v>
      </c>
      <c r="P199" s="522"/>
      <c r="Q199" s="522"/>
      <c r="R199" s="453"/>
      <c r="S199" s="453"/>
      <c r="T199" s="453"/>
      <c r="U199" s="455"/>
    </row>
    <row r="200" spans="1:21" s="440" customFormat="1" ht="14.25" thickBot="1">
      <c r="A200" s="526" t="str">
        <f>"Worksheet!A" &amp; 17+(ROW()/25)</f>
        <v>Worksheet!A25</v>
      </c>
      <c r="B200" s="527"/>
      <c r="C200" s="527"/>
      <c r="D200" s="528">
        <f>ROW()/25</f>
        <v>8</v>
      </c>
      <c r="E200" s="529"/>
      <c r="F200" s="529"/>
      <c r="G200" s="529"/>
      <c r="H200" s="529"/>
      <c r="I200" s="530"/>
      <c r="J200" s="1105" t="s">
        <v>424</v>
      </c>
      <c r="K200" s="1105"/>
      <c r="L200" s="1105"/>
      <c r="M200" s="531" t="e">
        <f ca="1">IF(NATA="Y",IF(M198&lt;ScopeReading,ScopeReading,M198),M198)</f>
        <v>#N/A</v>
      </c>
      <c r="N200" s="532" t="s">
        <v>78</v>
      </c>
      <c r="O200" s="531"/>
      <c r="P200" s="532"/>
      <c r="Q200" s="527"/>
      <c r="R200" s="527"/>
      <c r="S200" s="527"/>
      <c r="T200" s="527"/>
      <c r="U200" s="533"/>
    </row>
    <row r="201" spans="1:21" s="440" customFormat="1">
      <c r="A201" s="1099" t="e">
        <f ca="1">"Uncertainty Budget: Digital Pressure Gauge (" &amp; Q201&amp; ", "&amp; Q202 &amp; H201 &amp;" x " &amp; Division   &amp;H201 &amp; " )" &amp; " Test Point "&amp;D225</f>
        <v>#N/A</v>
      </c>
      <c r="B201" s="1100"/>
      <c r="C201" s="1100"/>
      <c r="D201" s="1100"/>
      <c r="E201" s="1100"/>
      <c r="F201" s="1101">
        <f ca="1">ABS(I201*UnitConvert)</f>
        <v>0</v>
      </c>
      <c r="G201" s="1102"/>
      <c r="H201" s="428" t="s">
        <v>371</v>
      </c>
      <c r="I201" s="429">
        <f ca="1">INDIRECT(A225)</f>
        <v>0</v>
      </c>
      <c r="J201" s="430" t="str">
        <f>_xlfn.SINGLE(Units)</f>
        <v>mm</v>
      </c>
      <c r="K201" s="431" t="e">
        <f ca="1">IF(C204="","","Uncertainty (U) = ±"&amp;TEXT(M222,"0.0")&amp;$F$4&amp;",  &amp;  (k="&amp;TEXT(M220,"0.00")&amp;", confidence level=95%)")</f>
        <v>#N/A</v>
      </c>
      <c r="L201" s="432"/>
      <c r="M201" s="432"/>
      <c r="N201" s="432"/>
      <c r="O201" s="433"/>
      <c r="P201" s="434" t="s">
        <v>372</v>
      </c>
      <c r="Q201" s="435" t="e">
        <f ca="1">VLOOKUP(VLOOKUP(I201,Worksheet!$A$18:$B$31,2),'1Test Data'!$M$6:$O$10,2,0)</f>
        <v>#N/A</v>
      </c>
      <c r="R201" s="436"/>
      <c r="S201" s="436"/>
      <c r="T201" s="437" t="str">
        <f ca="1">"TEX Ver "&amp;Mods!$A$1</f>
        <v>TEX Ver TAS-SST001v1</v>
      </c>
      <c r="U201" s="438"/>
    </row>
    <row r="202" spans="1:21" s="440" customFormat="1">
      <c r="A202" s="442" t="s">
        <v>373</v>
      </c>
      <c r="B202" s="443"/>
      <c r="C202" s="444"/>
      <c r="D202" s="445" t="s">
        <v>374</v>
      </c>
      <c r="E202" s="446" t="e">
        <f ca="1">Q202</f>
        <v>#N/A</v>
      </c>
      <c r="F202" s="447"/>
      <c r="G202" s="447" t="e">
        <f ca="1">ROUND(M222/(F201/100),2)&amp;"% of Full Scale"</f>
        <v>#N/A</v>
      </c>
      <c r="H202" s="448"/>
      <c r="I202" s="448"/>
      <c r="J202" s="449" t="e">
        <f ca="1">M223</f>
        <v>#N/A</v>
      </c>
      <c r="K202" s="448"/>
      <c r="L202" s="450"/>
      <c r="M202" s="450"/>
      <c r="N202" s="450"/>
      <c r="O202" s="433"/>
      <c r="P202" s="451" t="s">
        <v>375</v>
      </c>
      <c r="Q202" s="452" t="e">
        <f ca="1">VLOOKUP(VLOOKUP(I201,Worksheet!$A$18:$B$31,2),'1Test Data'!$O$30:$T$49,6,0)</f>
        <v>#N/A</v>
      </c>
      <c r="R202" s="453">
        <v>0</v>
      </c>
      <c r="S202" s="453"/>
      <c r="T202" s="454">
        <f ca="1">Mods!$A$4</f>
        <v>45809.486168981479</v>
      </c>
      <c r="U202" s="455"/>
    </row>
    <row r="203" spans="1:21" s="440" customFormat="1" ht="38.25">
      <c r="A203" s="458" t="s">
        <v>376</v>
      </c>
      <c r="B203" s="459" t="s">
        <v>377</v>
      </c>
      <c r="C203" s="460" t="s">
        <v>378</v>
      </c>
      <c r="D203" s="460" t="s">
        <v>379</v>
      </c>
      <c r="E203" s="460" t="s">
        <v>380</v>
      </c>
      <c r="F203" s="460" t="s">
        <v>381</v>
      </c>
      <c r="G203" s="460" t="s">
        <v>178</v>
      </c>
      <c r="H203" s="461" t="s">
        <v>382</v>
      </c>
      <c r="I203" s="461" t="s">
        <v>383</v>
      </c>
      <c r="J203" s="462" t="s">
        <v>384</v>
      </c>
      <c r="K203" s="463" t="s">
        <v>385</v>
      </c>
      <c r="L203" s="461" t="s">
        <v>386</v>
      </c>
      <c r="M203" s="461" t="s">
        <v>387</v>
      </c>
      <c r="N203" s="461" t="s">
        <v>388</v>
      </c>
      <c r="O203" s="461" t="s">
        <v>389</v>
      </c>
      <c r="P203" s="464" t="s">
        <v>390</v>
      </c>
      <c r="Q203" s="452" t="e">
        <f ca="1">VLOOKUP(VLOOKUP(I201,Worksheet!$A$18:$B$31,2),'1Test Data'!$O$30:$V$49,8,0)</f>
        <v>#N/A</v>
      </c>
      <c r="R203" s="465" t="s">
        <v>391</v>
      </c>
      <c r="S203" s="465" t="s">
        <v>391</v>
      </c>
      <c r="T203" s="466" t="s">
        <v>392</v>
      </c>
      <c r="U203" s="467"/>
    </row>
    <row r="204" spans="1:21" s="440" customFormat="1" ht="18" customHeight="1">
      <c r="A204" s="470">
        <v>1</v>
      </c>
      <c r="B204" s="471">
        <f>$B$4</f>
        <v>1</v>
      </c>
      <c r="C204" s="472" t="e">
        <f ca="1">"Reference Device  ("&amp;Q202&amp;" Druck Transducer) + Sey
Uncertainty from Calibration Report - "&amp;Q201</f>
        <v>#N/A</v>
      </c>
      <c r="D204" s="471" t="s">
        <v>393</v>
      </c>
      <c r="E204" s="473" t="e">
        <f ca="1">Q208+Q209</f>
        <v>#N/A</v>
      </c>
      <c r="F204" s="474" t="str">
        <f>H201</f>
        <v>ABS kPa</v>
      </c>
      <c r="G204" s="475" t="str">
        <f>IF(OR(D204="",B204=0),"",IF(D204="ESDM","A","B"))</f>
        <v>B</v>
      </c>
      <c r="H204" s="476" t="e">
        <f ca="1">IF(OR(E204="",B204=0),"",IF(D204="ESDM",1,IF(D204="N95",2,IF(D204="Rect",(3^0.5)))))</f>
        <v>#N/A</v>
      </c>
      <c r="I204" s="477">
        <f>IF(D204="N95",60,100)</f>
        <v>60</v>
      </c>
      <c r="J204" s="478" t="e">
        <f ca="1">IF(OR(E204="",B204=0),"",(E204/H204))</f>
        <v>#N/A</v>
      </c>
      <c r="K204" s="479">
        <v>1</v>
      </c>
      <c r="L204" s="480" t="e">
        <f ca="1">IF(OR(E204="",B204=0),"",K204*J204)</f>
        <v>#N/A</v>
      </c>
      <c r="M204" s="480" t="e">
        <f t="shared" ref="M204:M215" ca="1" si="80">IF(OR(E204="",B204=0),"0",L204^2)</f>
        <v>#N/A</v>
      </c>
      <c r="N204" s="481" t="e">
        <f t="shared" ref="N204:N215" ca="1" si="81">IF(OR(D204="",B204=0),"0",(L204)^4/I204)</f>
        <v>#N/A</v>
      </c>
      <c r="O204" s="482" t="e">
        <f t="shared" ref="O204:O215" ca="1" si="82">T204</f>
        <v>#N/A</v>
      </c>
      <c r="P204" s="464" t="s">
        <v>394</v>
      </c>
      <c r="Q204" s="483" t="e">
        <f ca="1">VLOOKUP(VLOOKUP(I201,Worksheet!$A$18:$B$31,2),'1Test Data'!$O$30:$Y$49,11,0)</f>
        <v>#N/A</v>
      </c>
      <c r="R204" s="484" t="e">
        <f ca="1">IF(OR(E204="",B204=0),"",K204*J204)</f>
        <v>#N/A</v>
      </c>
      <c r="S204" s="465" t="e">
        <f ca="1">IF(OR(E204="",B204=0),"",ABS(R204))</f>
        <v>#N/A</v>
      </c>
      <c r="T204" s="465" t="e">
        <f ca="1">IF(OR(E204="",B204=0),"",ABS(L204/S216))</f>
        <v>#N/A</v>
      </c>
      <c r="U204" s="485"/>
    </row>
    <row r="205" spans="1:21" s="440" customFormat="1" ht="27" customHeight="1">
      <c r="A205" s="470">
        <v>2</v>
      </c>
      <c r="B205" s="471">
        <f>$B$5</f>
        <v>1</v>
      </c>
      <c r="C205" s="472" t="e">
        <f ca="1">"Reference Device  Specs +Sey
(" &amp; Q202 &amp; H201 &amp; " Druck Transducer)
"&amp;Q203 &amp; "% of F.S. from Calibration Report - " &amp; Q201</f>
        <v>#N/A</v>
      </c>
      <c r="D205" s="471" t="s">
        <v>395</v>
      </c>
      <c r="E205" s="473" t="e">
        <f ca="1">Q221+Q222</f>
        <v>#N/A</v>
      </c>
      <c r="F205" s="474" t="e">
        <f ca="1">IF(OR(E205="",B205=0),"",$F$4)</f>
        <v>#N/A</v>
      </c>
      <c r="G205" s="475" t="str">
        <f t="shared" ref="G205:G215" si="83">IF(OR(D205="",B205=0),"",IF(D205="ESDM","A","B"))</f>
        <v>B</v>
      </c>
      <c r="H205" s="476" t="e">
        <f t="shared" ref="H205:H215" ca="1" si="84">IF(OR(E205="",B205=0),"",IF(D205="ESDM",1,IF(D205="N95",2,IF(D205="Rect",(3^0.5)))))</f>
        <v>#N/A</v>
      </c>
      <c r="I205" s="477">
        <f t="shared" ref="I205:I215" si="85">IF(D205="N95",60,100)</f>
        <v>100</v>
      </c>
      <c r="J205" s="478" t="e">
        <f t="shared" ref="J205:J215" ca="1" si="86">IF(OR(E205="",B205=0),"",(E205/H205))</f>
        <v>#N/A</v>
      </c>
      <c r="K205" s="479">
        <v>1</v>
      </c>
      <c r="L205" s="480" t="e">
        <f t="shared" ref="L205:L215" ca="1" si="87">IF(OR(E205="",B205=0),"",K205*J205)</f>
        <v>#N/A</v>
      </c>
      <c r="M205" s="480" t="e">
        <f t="shared" ca="1" si="80"/>
        <v>#N/A</v>
      </c>
      <c r="N205" s="481" t="e">
        <f t="shared" ca="1" si="81"/>
        <v>#N/A</v>
      </c>
      <c r="O205" s="482" t="e">
        <f t="shared" ca="1" si="82"/>
        <v>#N/A</v>
      </c>
      <c r="P205" s="464" t="s">
        <v>396</v>
      </c>
      <c r="Q205" s="483" t="e">
        <f ca="1">VLOOKUP(VLOOKUP(I201,Worksheet!$A$18:$B$31,2),'1Test Data'!$O$30:$Z$49,12,0)</f>
        <v>#N/A</v>
      </c>
      <c r="R205" s="484" t="e">
        <f t="shared" ref="R205:R215" ca="1" si="88">IF(OR(E205="",B205=0),"",K205*J205)</f>
        <v>#N/A</v>
      </c>
      <c r="S205" s="465" t="e">
        <f t="shared" ref="S205:S215" ca="1" si="89">IF(OR(E205="",B205=0),"",ABS(R205))</f>
        <v>#N/A</v>
      </c>
      <c r="T205" s="465" t="e">
        <f ca="1">IF(OR(E205="",B205=0),"",ABS(L205/S216))</f>
        <v>#N/A</v>
      </c>
      <c r="U205" s="485"/>
    </row>
    <row r="206" spans="1:21" s="440" customFormat="1" ht="18" customHeight="1">
      <c r="A206" s="470">
        <v>3</v>
      </c>
      <c r="B206" s="471">
        <f>$B$6</f>
        <v>1</v>
      </c>
      <c r="C206" s="472" t="s">
        <v>397</v>
      </c>
      <c r="D206" s="471" t="s">
        <v>395</v>
      </c>
      <c r="E206" s="473" t="e">
        <f ca="1">Q210*F201/100</f>
        <v>#N/A</v>
      </c>
      <c r="F206" s="474" t="e">
        <f ca="1">IF(OR(E206="",B206=0),"",$F$4)</f>
        <v>#N/A</v>
      </c>
      <c r="G206" s="475" t="str">
        <f t="shared" si="83"/>
        <v>B</v>
      </c>
      <c r="H206" s="476" t="e">
        <f t="shared" ca="1" si="84"/>
        <v>#N/A</v>
      </c>
      <c r="I206" s="477">
        <f t="shared" si="85"/>
        <v>100</v>
      </c>
      <c r="J206" s="478" t="e">
        <f t="shared" ca="1" si="86"/>
        <v>#N/A</v>
      </c>
      <c r="K206" s="479">
        <v>1</v>
      </c>
      <c r="L206" s="480" t="e">
        <f t="shared" ca="1" si="87"/>
        <v>#N/A</v>
      </c>
      <c r="M206" s="480" t="e">
        <f t="shared" ca="1" si="80"/>
        <v>#N/A</v>
      </c>
      <c r="N206" s="481" t="e">
        <f t="shared" ca="1" si="81"/>
        <v>#N/A</v>
      </c>
      <c r="O206" s="482" t="e">
        <f t="shared" ca="1" si="82"/>
        <v>#N/A</v>
      </c>
      <c r="P206" s="464" t="s">
        <v>201</v>
      </c>
      <c r="Q206" s="483" t="e">
        <f ca="1">VLOOKUP(VLOOKUP(I201,Worksheet!$A$18:$B$31,2),'1Test Data'!$O$30:$AA$49,13,0)</f>
        <v>#N/A</v>
      </c>
      <c r="R206" s="484" t="e">
        <f t="shared" ca="1" si="88"/>
        <v>#N/A</v>
      </c>
      <c r="S206" s="465" t="e">
        <f t="shared" ca="1" si="89"/>
        <v>#N/A</v>
      </c>
      <c r="T206" s="465" t="e">
        <f ca="1">IF(OR(E206="",B206=0),"",ABS(L206/S216))</f>
        <v>#N/A</v>
      </c>
      <c r="U206" s="485"/>
    </row>
    <row r="207" spans="1:21" s="440" customFormat="1" ht="18" customHeight="1">
      <c r="A207" s="470">
        <v>4</v>
      </c>
      <c r="B207" s="471" t="e">
        <f>$B$7</f>
        <v>#NAME?</v>
      </c>
      <c r="C207" s="472" t="s">
        <v>398</v>
      </c>
      <c r="D207" s="471" t="s">
        <v>395</v>
      </c>
      <c r="E207" s="473">
        <f>EDMS*UnitConvert</f>
        <v>0</v>
      </c>
      <c r="F207" s="474" t="e">
        <f>IF(OR(E207="",B207=0),"",$F$4)</f>
        <v>#NAME?</v>
      </c>
      <c r="G207" s="475" t="e">
        <f t="shared" si="83"/>
        <v>#NAME?</v>
      </c>
      <c r="H207" s="476" t="e">
        <f t="shared" si="84"/>
        <v>#NAME?</v>
      </c>
      <c r="I207" s="477">
        <f t="shared" si="85"/>
        <v>100</v>
      </c>
      <c r="J207" s="478" t="e">
        <f t="shared" si="86"/>
        <v>#NAME?</v>
      </c>
      <c r="K207" s="479">
        <v>1</v>
      </c>
      <c r="L207" s="480" t="e">
        <f t="shared" si="87"/>
        <v>#NAME?</v>
      </c>
      <c r="M207" s="480" t="e">
        <f t="shared" si="80"/>
        <v>#NAME?</v>
      </c>
      <c r="N207" s="481" t="e">
        <f t="shared" si="81"/>
        <v>#NAME?</v>
      </c>
      <c r="O207" s="482" t="e">
        <f t="shared" si="82"/>
        <v>#NAME?</v>
      </c>
      <c r="P207" s="464" t="s">
        <v>88</v>
      </c>
      <c r="Q207" s="483" t="e">
        <f ca="1">VLOOKUP(VLOOKUP(I201,Worksheet!$A$18:$B$31,2),'1Test Data'!$O$30:$AB$49,14,0)</f>
        <v>#N/A</v>
      </c>
      <c r="R207" s="484" t="e">
        <f t="shared" si="88"/>
        <v>#NAME?</v>
      </c>
      <c r="S207" s="465" t="e">
        <f t="shared" si="89"/>
        <v>#NAME?</v>
      </c>
      <c r="T207" s="465" t="e">
        <f>IF(OR(E207="",B207=0),"",ABS(L207/S216))</f>
        <v>#NAME?</v>
      </c>
      <c r="U207" s="485"/>
    </row>
    <row r="208" spans="1:21" s="440" customFormat="1" ht="27">
      <c r="A208" s="470">
        <v>5</v>
      </c>
      <c r="B208" s="471">
        <f>$B$8</f>
        <v>0</v>
      </c>
      <c r="C208" s="472" t="str">
        <f>C33</f>
        <v>Gravity -0.001 m/s2 Sensitivity = Test Pressure / Gravity</v>
      </c>
      <c r="D208" s="471" t="s">
        <v>395</v>
      </c>
      <c r="E208" s="473">
        <f>E8</f>
        <v>1E-3</v>
      </c>
      <c r="F208" s="474" t="s">
        <v>400</v>
      </c>
      <c r="G208" s="475" t="str">
        <f t="shared" si="83"/>
        <v/>
      </c>
      <c r="H208" s="476" t="str">
        <f t="shared" si="84"/>
        <v/>
      </c>
      <c r="I208" s="477">
        <f t="shared" si="85"/>
        <v>100</v>
      </c>
      <c r="J208" s="478" t="str">
        <f t="shared" si="86"/>
        <v/>
      </c>
      <c r="K208" s="479">
        <f ca="1">F201*E208</f>
        <v>0</v>
      </c>
      <c r="L208" s="480" t="str">
        <f t="shared" si="87"/>
        <v/>
      </c>
      <c r="M208" s="480" t="str">
        <f t="shared" si="80"/>
        <v>0</v>
      </c>
      <c r="N208" s="481" t="str">
        <f t="shared" si="81"/>
        <v>0</v>
      </c>
      <c r="O208" s="482" t="str">
        <f>IFERROR(T208,0)</f>
        <v/>
      </c>
      <c r="P208" s="492" t="s">
        <v>401</v>
      </c>
      <c r="Q208" s="493" t="e">
        <f ca="1">ABS(Q204*F201^3+Q205*F201^2+Q206*F201+Q207)</f>
        <v>#N/A</v>
      </c>
      <c r="R208" s="484" t="str">
        <f t="shared" si="88"/>
        <v/>
      </c>
      <c r="S208" s="465" t="str">
        <f t="shared" si="89"/>
        <v/>
      </c>
      <c r="T208" s="465" t="str">
        <f>IF(OR(E208="",B208=0),"",ABS(L208/S216))</f>
        <v/>
      </c>
      <c r="U208" s="485"/>
    </row>
    <row r="209" spans="1:21" s="440" customFormat="1" ht="27">
      <c r="A209" s="470">
        <v>6</v>
      </c>
      <c r="B209" s="471">
        <f>$B$9</f>
        <v>0</v>
      </c>
      <c r="C209" s="472" t="s">
        <v>402</v>
      </c>
      <c r="D209" s="471" t="s">
        <v>395</v>
      </c>
      <c r="E209" s="473">
        <v>2</v>
      </c>
      <c r="F209" s="474" t="s">
        <v>403</v>
      </c>
      <c r="G209" s="475" t="str">
        <f t="shared" si="83"/>
        <v/>
      </c>
      <c r="H209" s="476" t="str">
        <f t="shared" si="84"/>
        <v/>
      </c>
      <c r="I209" s="477">
        <f t="shared" si="85"/>
        <v>100</v>
      </c>
      <c r="J209" s="478" t="str">
        <f t="shared" si="86"/>
        <v/>
      </c>
      <c r="K209" s="479">
        <f ca="1">F201*-0.000022</f>
        <v>0</v>
      </c>
      <c r="L209" s="480" t="str">
        <f t="shared" si="87"/>
        <v/>
      </c>
      <c r="M209" s="480" t="str">
        <f t="shared" si="80"/>
        <v>0</v>
      </c>
      <c r="N209" s="481" t="str">
        <f t="shared" si="81"/>
        <v>0</v>
      </c>
      <c r="O209" s="482" t="str">
        <f t="shared" si="82"/>
        <v/>
      </c>
      <c r="P209" s="494" t="s">
        <v>404</v>
      </c>
      <c r="Q209" s="483" t="e">
        <f ca="1">VLOOKUP(VLOOKUP(I201,Worksheet!$A$18:$B$31,2),'1Test Data'!$O$30:$AD$49,14,0)</f>
        <v>#N/A</v>
      </c>
      <c r="R209" s="484" t="str">
        <f t="shared" si="88"/>
        <v/>
      </c>
      <c r="S209" s="465" t="str">
        <f t="shared" si="89"/>
        <v/>
      </c>
      <c r="T209" s="465" t="str">
        <f>IF(OR(E209="",B209=0),"",ABS(L209/S216))</f>
        <v/>
      </c>
      <c r="U209" s="485"/>
    </row>
    <row r="210" spans="1:21" s="440" customFormat="1" ht="27">
      <c r="A210" s="470">
        <v>7</v>
      </c>
      <c r="B210" s="471">
        <f>$B$10</f>
        <v>0</v>
      </c>
      <c r="C210" s="472" t="s">
        <v>405</v>
      </c>
      <c r="D210" s="471" t="s">
        <v>395</v>
      </c>
      <c r="E210" s="473">
        <v>0.5</v>
      </c>
      <c r="F210" s="474" t="s">
        <v>406</v>
      </c>
      <c r="G210" s="475" t="str">
        <f t="shared" si="83"/>
        <v/>
      </c>
      <c r="H210" s="476" t="str">
        <f t="shared" si="84"/>
        <v/>
      </c>
      <c r="I210" s="477">
        <f t="shared" si="85"/>
        <v>100</v>
      </c>
      <c r="J210" s="478" t="str">
        <f t="shared" si="86"/>
        <v/>
      </c>
      <c r="K210" s="479">
        <f ca="1">(0.098*F201)/1000</f>
        <v>0</v>
      </c>
      <c r="L210" s="480" t="str">
        <f t="shared" si="87"/>
        <v/>
      </c>
      <c r="M210" s="480" t="str">
        <f t="shared" si="80"/>
        <v>0</v>
      </c>
      <c r="N210" s="481" t="str">
        <f t="shared" si="81"/>
        <v>0</v>
      </c>
      <c r="O210" s="482" t="str">
        <f t="shared" si="82"/>
        <v/>
      </c>
      <c r="P210" s="464" t="s">
        <v>407</v>
      </c>
      <c r="Q210" s="452" t="e">
        <f ca="1">VLOOKUP(VLOOKUP(I201,Worksheet!$A$18:$B$31,2),'1Test Data'!$O$30:$X$49,10,0)</f>
        <v>#N/A</v>
      </c>
      <c r="R210" s="484" t="str">
        <f t="shared" si="88"/>
        <v/>
      </c>
      <c r="S210" s="465" t="str">
        <f t="shared" si="89"/>
        <v/>
      </c>
      <c r="T210" s="465" t="str">
        <f>IF(OR(E210="",B210=0),"",ABS(L210/S216))</f>
        <v/>
      </c>
      <c r="U210" s="485"/>
    </row>
    <row r="211" spans="1:21" s="440" customFormat="1" ht="27">
      <c r="A211" s="470">
        <v>8</v>
      </c>
      <c r="B211" s="471">
        <f>$B$11</f>
        <v>0</v>
      </c>
      <c r="C211" s="472" t="s">
        <v>408</v>
      </c>
      <c r="D211" s="471" t="s">
        <v>395</v>
      </c>
      <c r="E211" s="473">
        <v>0.05</v>
      </c>
      <c r="F211" s="474" t="s">
        <v>406</v>
      </c>
      <c r="G211" s="475" t="str">
        <f t="shared" si="83"/>
        <v/>
      </c>
      <c r="H211" s="476" t="str">
        <f t="shared" si="84"/>
        <v/>
      </c>
      <c r="I211" s="477">
        <f t="shared" si="85"/>
        <v>100</v>
      </c>
      <c r="J211" s="478" t="str">
        <f t="shared" si="86"/>
        <v/>
      </c>
      <c r="K211" s="479">
        <f ca="1">F201/8000</f>
        <v>0</v>
      </c>
      <c r="L211" s="480" t="str">
        <f t="shared" si="87"/>
        <v/>
      </c>
      <c r="M211" s="480" t="str">
        <f t="shared" si="80"/>
        <v>0</v>
      </c>
      <c r="N211" s="481" t="str">
        <f t="shared" si="81"/>
        <v>0</v>
      </c>
      <c r="O211" s="482" t="str">
        <f t="shared" si="82"/>
        <v/>
      </c>
      <c r="P211" s="464" t="s">
        <v>394</v>
      </c>
      <c r="Q211" s="483" t="e">
        <f ca="1">VLOOKUP(VLOOKUP(I201,Worksheet!$A$18:$B$31,2),'1Test Data'!$O$30:$AE$49,17,0)</f>
        <v>#N/A</v>
      </c>
      <c r="R211" s="484" t="str">
        <f t="shared" si="88"/>
        <v/>
      </c>
      <c r="S211" s="465" t="str">
        <f t="shared" si="89"/>
        <v/>
      </c>
      <c r="T211" s="465" t="str">
        <f>IF(OR(E211="",B211=0),"",ABS(L211/S216))</f>
        <v/>
      </c>
      <c r="U211" s="485"/>
    </row>
    <row r="212" spans="1:21" s="440" customFormat="1" ht="13.5" customHeight="1">
      <c r="A212" s="470">
        <v>9</v>
      </c>
      <c r="B212" s="471" t="e">
        <f>$B$12</f>
        <v>#NAME?</v>
      </c>
      <c r="C212" s="472" t="str">
        <f>"Electrical reference devise" &amp; '1Test Data'!$O$3 &amp;  CHAR(10) &amp; "SN: " &amp; '1Test Data'!$P$3 &amp; ", Cert No: " &amp; '1Test Data'!$Q$3</f>
        <v>Electrical reference devisea
SN: b, Cert No: c</v>
      </c>
      <c r="D212" s="471" t="s">
        <v>395</v>
      </c>
      <c r="E212" s="473">
        <f>ElectUncert</f>
        <v>2E-3</v>
      </c>
      <c r="F212" s="474" t="e">
        <f>IF(OR(E212="",B212=0),"",ReadoutType)</f>
        <v>#NAME?</v>
      </c>
      <c r="G212" s="475" t="e">
        <f t="shared" si="83"/>
        <v>#NAME?</v>
      </c>
      <c r="H212" s="476" t="e">
        <f t="shared" si="84"/>
        <v>#NAME?</v>
      </c>
      <c r="I212" s="477">
        <f t="shared" si="85"/>
        <v>100</v>
      </c>
      <c r="J212" s="478" t="e">
        <f t="shared" si="86"/>
        <v>#NAME?</v>
      </c>
      <c r="K212" s="479" t="e">
        <f>Capacity/(Upper-Lower)</f>
        <v>#NAME?</v>
      </c>
      <c r="L212" s="480" t="e">
        <f t="shared" si="87"/>
        <v>#NAME?</v>
      </c>
      <c r="M212" s="480" t="e">
        <f t="shared" si="80"/>
        <v>#NAME?</v>
      </c>
      <c r="N212" s="481" t="e">
        <f t="shared" si="81"/>
        <v>#NAME?</v>
      </c>
      <c r="O212" s="482" t="e">
        <f t="shared" si="82"/>
        <v>#NAME?</v>
      </c>
      <c r="P212" s="464" t="s">
        <v>396</v>
      </c>
      <c r="Q212" s="483" t="e">
        <f ca="1">VLOOKUP(VLOOKUP(I201,Worksheet!$A$18:$B$31,2),'1Test Data'!$O$30:$AF$49,18,0)</f>
        <v>#N/A</v>
      </c>
      <c r="R212" s="484" t="e">
        <f t="shared" si="88"/>
        <v>#NAME?</v>
      </c>
      <c r="S212" s="465" t="e">
        <f t="shared" si="89"/>
        <v>#NAME?</v>
      </c>
      <c r="T212" s="465" t="e">
        <f>IF(OR(E212="",B212=0),"",ABS(L212/S216))</f>
        <v>#NAME?</v>
      </c>
      <c r="U212" s="485"/>
    </row>
    <row r="213" spans="1:21" s="440" customFormat="1" ht="18" customHeight="1">
      <c r="A213" s="470">
        <v>10</v>
      </c>
      <c r="B213" s="471">
        <f>$B$13</f>
        <v>1</v>
      </c>
      <c r="C213" s="472" t="s">
        <v>409</v>
      </c>
      <c r="D213" s="471" t="s">
        <v>395</v>
      </c>
      <c r="E213" s="473">
        <f>Worksheet!D26*UnitConvert</f>
        <v>0</v>
      </c>
      <c r="F213" s="474" t="str">
        <f>IF(OR(E213="",B213=0),"",$F$4)</f>
        <v>ABS kPa</v>
      </c>
      <c r="G213" s="475" t="str">
        <f t="shared" si="83"/>
        <v>B</v>
      </c>
      <c r="H213" s="476">
        <f t="shared" si="84"/>
        <v>1.7320508075688772</v>
      </c>
      <c r="I213" s="477">
        <f t="shared" si="85"/>
        <v>100</v>
      </c>
      <c r="J213" s="478">
        <f t="shared" si="86"/>
        <v>0</v>
      </c>
      <c r="K213" s="479">
        <v>1</v>
      </c>
      <c r="L213" s="480">
        <f t="shared" si="87"/>
        <v>0</v>
      </c>
      <c r="M213" s="480">
        <f t="shared" si="80"/>
        <v>0</v>
      </c>
      <c r="N213" s="481">
        <f t="shared" si="81"/>
        <v>0</v>
      </c>
      <c r="O213" s="482" t="e">
        <f t="shared" ca="1" si="82"/>
        <v>#N/A</v>
      </c>
      <c r="P213" s="464" t="s">
        <v>201</v>
      </c>
      <c r="Q213" s="483" t="e">
        <f ca="1">VLOOKUP(VLOOKUP(I201,Worksheet!$A$18:$B$31,2),'1Test Data'!$O$30:$AG$49,19,0)</f>
        <v>#N/A</v>
      </c>
      <c r="R213" s="484">
        <f t="shared" si="88"/>
        <v>0</v>
      </c>
      <c r="S213" s="465">
        <f t="shared" si="89"/>
        <v>0</v>
      </c>
      <c r="T213" s="465" t="e">
        <f ca="1">IF(OR(E213="",B213=0),"",ABS(L213/S216))</f>
        <v>#N/A</v>
      </c>
      <c r="U213" s="485"/>
    </row>
    <row r="214" spans="1:21" s="440" customFormat="1" ht="13.5" customHeight="1">
      <c r="A214" s="470">
        <v>11</v>
      </c>
      <c r="B214" s="471" t="e">
        <f>$B$14</f>
        <v>#NAME?</v>
      </c>
      <c r="C214" s="496" t="e">
        <f>"DUT Type " &amp;ReadoutType&amp; " Resolution "&amp;Readability &amp; "kPa
Digital - Type B - Rect - 1/2 of  least count with D of F = 100 &amp; (k=1.73)
Analogue - Type B - N95 - Best scale readability with D of F = 60 &amp; k=2.00"</f>
        <v>#NAME?</v>
      </c>
      <c r="D214" s="471" t="e">
        <f>IF(ReadoutType="Digital","Rect","N95")</f>
        <v>#NAME?</v>
      </c>
      <c r="E214" s="473" t="e">
        <f>IF(Elect=1,($K212)/1000,IF(ReadoutType="Digital",Readability/2,Readability)*UnitConvert)</f>
        <v>#NAME?</v>
      </c>
      <c r="F214" s="474" t="e">
        <f>IF(OR(E214="",B214=0),"",$F$4)</f>
        <v>#NAME?</v>
      </c>
      <c r="G214" s="475" t="e">
        <f t="shared" si="83"/>
        <v>#NAME?</v>
      </c>
      <c r="H214" s="476" t="e">
        <f t="shared" si="84"/>
        <v>#NAME?</v>
      </c>
      <c r="I214" s="477" t="e">
        <f t="shared" si="85"/>
        <v>#NAME?</v>
      </c>
      <c r="J214" s="478" t="e">
        <f t="shared" si="86"/>
        <v>#NAME?</v>
      </c>
      <c r="K214" s="479">
        <v>1</v>
      </c>
      <c r="L214" s="480" t="e">
        <f t="shared" si="87"/>
        <v>#NAME?</v>
      </c>
      <c r="M214" s="480" t="e">
        <f t="shared" si="80"/>
        <v>#NAME?</v>
      </c>
      <c r="N214" s="481" t="e">
        <f t="shared" si="81"/>
        <v>#NAME?</v>
      </c>
      <c r="O214" s="482" t="e">
        <f t="shared" si="82"/>
        <v>#NAME?</v>
      </c>
      <c r="P214" s="464" t="s">
        <v>88</v>
      </c>
      <c r="Q214" s="483" t="e">
        <f ca="1">VLOOKUP(VLOOKUP(I201,Worksheet!$A$18:$B$31,2),'1Test Data'!$O$30:$AH$49,20,0)</f>
        <v>#N/A</v>
      </c>
      <c r="R214" s="484" t="e">
        <f t="shared" si="88"/>
        <v>#NAME?</v>
      </c>
      <c r="S214" s="465" t="e">
        <f t="shared" si="89"/>
        <v>#NAME?</v>
      </c>
      <c r="T214" s="465" t="e">
        <f>IF(OR(E214="",B214=0),"",ABS(L214/S216))</f>
        <v>#NAME?</v>
      </c>
      <c r="U214" s="485"/>
    </row>
    <row r="215" spans="1:21" s="440" customFormat="1" ht="27">
      <c r="A215" s="470">
        <v>12</v>
      </c>
      <c r="B215" s="471" t="e">
        <f>$B$15</f>
        <v>#NAME?</v>
      </c>
      <c r="C215" s="496" t="s">
        <v>410</v>
      </c>
      <c r="D215" s="471" t="s">
        <v>395</v>
      </c>
      <c r="E215" s="473" t="e">
        <f>E214</f>
        <v>#NAME?</v>
      </c>
      <c r="F215" s="474" t="e">
        <f>IF(OR(E215="",B215=0),"",$F$4)</f>
        <v>#NAME?</v>
      </c>
      <c r="G215" s="475" t="e">
        <f t="shared" si="83"/>
        <v>#NAME?</v>
      </c>
      <c r="H215" s="476" t="e">
        <f t="shared" si="84"/>
        <v>#NAME?</v>
      </c>
      <c r="I215" s="477">
        <f t="shared" si="85"/>
        <v>100</v>
      </c>
      <c r="J215" s="478" t="e">
        <f t="shared" si="86"/>
        <v>#NAME?</v>
      </c>
      <c r="K215" s="479">
        <v>1</v>
      </c>
      <c r="L215" s="480" t="e">
        <f t="shared" si="87"/>
        <v>#NAME?</v>
      </c>
      <c r="M215" s="480" t="e">
        <f t="shared" si="80"/>
        <v>#NAME?</v>
      </c>
      <c r="N215" s="481" t="e">
        <f t="shared" si="81"/>
        <v>#NAME?</v>
      </c>
      <c r="O215" s="482" t="e">
        <f t="shared" si="82"/>
        <v>#NAME?</v>
      </c>
      <c r="P215" s="464" t="s">
        <v>411</v>
      </c>
      <c r="Q215" s="483" t="e">
        <f ca="1">ABS(Q211*F201^3+Q212*F201^2+Q213*F201+Q214)</f>
        <v>#N/A</v>
      </c>
      <c r="R215" s="484" t="e">
        <f t="shared" si="88"/>
        <v>#NAME?</v>
      </c>
      <c r="S215" s="465" t="e">
        <f t="shared" si="89"/>
        <v>#NAME?</v>
      </c>
      <c r="T215" s="465" t="e">
        <f>IF(OR(E215="",B215=0),"",ABS(L215/S216))</f>
        <v>#NAME?</v>
      </c>
      <c r="U215" s="485"/>
    </row>
    <row r="216" spans="1:21" s="440" customFormat="1" ht="25.5">
      <c r="A216" s="497"/>
      <c r="B216" s="498"/>
      <c r="C216" s="448"/>
      <c r="D216" s="448"/>
      <c r="E216" s="448"/>
      <c r="F216" s="448"/>
      <c r="G216" s="448"/>
      <c r="H216" s="448"/>
      <c r="I216" s="484"/>
      <c r="J216" s="448"/>
      <c r="K216" s="448"/>
      <c r="L216" s="499" t="s">
        <v>412</v>
      </c>
      <c r="M216" s="499" t="e">
        <f ca="1">SUM(M204:M215)</f>
        <v>#N/A</v>
      </c>
      <c r="N216" s="500" t="e">
        <f ca="1">SUM(N204:N215)</f>
        <v>#N/A</v>
      </c>
      <c r="O216" s="501" t="e">
        <f ca="1">SUM(O204:O215)</f>
        <v>#N/A</v>
      </c>
      <c r="P216" s="464" t="s">
        <v>413</v>
      </c>
      <c r="Q216" s="483" t="e">
        <f ca="1">VLOOKUP(VLOOKUP(I201,Worksheet!$A$18:$B$31,2),'1Test Data'!$O$30:$AJ$49,22,0)</f>
        <v>#N/A</v>
      </c>
      <c r="R216" s="453"/>
      <c r="S216" s="465" t="e">
        <f ca="1">SUM(S204:S215)</f>
        <v>#N/A</v>
      </c>
      <c r="T216" s="465" t="e">
        <f ca="1">SUM(T204:T215)</f>
        <v>#N/A</v>
      </c>
      <c r="U216" s="455"/>
    </row>
    <row r="217" spans="1:21" s="440" customFormat="1">
      <c r="A217" s="504"/>
      <c r="B217" s="448"/>
      <c r="C217" s="498" t="s">
        <v>414</v>
      </c>
      <c r="D217" s="448"/>
      <c r="E217" s="448"/>
      <c r="F217" s="448"/>
      <c r="G217" s="448"/>
      <c r="H217" s="448"/>
      <c r="I217" s="448"/>
      <c r="J217" s="448"/>
      <c r="K217" s="448"/>
      <c r="L217" s="505"/>
      <c r="M217" s="505"/>
      <c r="N217" s="505"/>
      <c r="O217" s="505"/>
      <c r="P217" s="464" t="s">
        <v>394</v>
      </c>
      <c r="Q217" s="483" t="e">
        <f ca="1">VLOOKUP(VLOOKUP(I201,Worksheet!$A$18:$B$31,2),'1Test Data'!$O$30:$AK$49,23,0)</f>
        <v>#N/A</v>
      </c>
      <c r="R217" s="453"/>
      <c r="S217" s="453"/>
      <c r="T217" s="453"/>
      <c r="U217" s="455"/>
    </row>
    <row r="218" spans="1:21" s="440" customFormat="1" ht="13.5" customHeight="1">
      <c r="A218" s="504"/>
      <c r="B218" s="448"/>
      <c r="C218" s="1090" t="s">
        <v>415</v>
      </c>
      <c r="D218" s="1091"/>
      <c r="E218" s="1091"/>
      <c r="F218" s="1091"/>
      <c r="G218" s="1092"/>
      <c r="H218" s="448"/>
      <c r="I218" s="448"/>
      <c r="J218" s="448"/>
      <c r="K218" s="448"/>
      <c r="L218" s="506" t="s">
        <v>416</v>
      </c>
      <c r="M218" s="507" t="e">
        <f ca="1">M216^0.5</f>
        <v>#N/A</v>
      </c>
      <c r="N218" s="508" t="str">
        <f>Uncert!$F$4</f>
        <v>ABS kPa</v>
      </c>
      <c r="O218" s="505" t="e">
        <f ca="1">(M216-M207-M212-M214-M215)^0.5</f>
        <v>#N/A</v>
      </c>
      <c r="P218" s="464" t="s">
        <v>396</v>
      </c>
      <c r="Q218" s="483" t="e">
        <f ca="1">VLOOKUP(VLOOKUP(I201,Worksheet!$A$18:$B$31,2),'1Test Data'!$O$30:$AL$49,24,0)</f>
        <v>#N/A</v>
      </c>
      <c r="R218" s="453"/>
      <c r="S218" s="453"/>
      <c r="T218" s="453"/>
      <c r="U218" s="455"/>
    </row>
    <row r="219" spans="1:21" s="440" customFormat="1">
      <c r="A219" s="504"/>
      <c r="B219" s="448"/>
      <c r="C219" s="1093"/>
      <c r="D219" s="1094"/>
      <c r="E219" s="1094"/>
      <c r="F219" s="1094"/>
      <c r="G219" s="1095"/>
      <c r="H219" s="448"/>
      <c r="I219" s="448"/>
      <c r="J219" s="448"/>
      <c r="K219" s="448"/>
      <c r="L219" s="506" t="s">
        <v>417</v>
      </c>
      <c r="M219" s="507" t="e">
        <f ca="1">M218^4/N216</f>
        <v>#N/A</v>
      </c>
      <c r="N219" s="509"/>
      <c r="O219" s="510" t="e">
        <f ca="1">O218^4/(N216-N207-N212-N214-N215)</f>
        <v>#N/A</v>
      </c>
      <c r="P219" s="464" t="s">
        <v>201</v>
      </c>
      <c r="Q219" s="483" t="e">
        <f ca="1">VLOOKUP(VLOOKUP(I201,Worksheet!$A$18:$B$31,2),'1Test Data'!$O$30:$AM$49,25,0)</f>
        <v>#N/A</v>
      </c>
      <c r="R219" s="453"/>
      <c r="S219" s="453"/>
      <c r="T219" s="453"/>
      <c r="U219" s="455"/>
    </row>
    <row r="220" spans="1:21" s="440" customFormat="1">
      <c r="A220" s="504"/>
      <c r="B220" s="448"/>
      <c r="C220" s="1093"/>
      <c r="D220" s="1094"/>
      <c r="E220" s="1094"/>
      <c r="F220" s="1094"/>
      <c r="G220" s="1095"/>
      <c r="H220" s="448"/>
      <c r="I220" s="448"/>
      <c r="J220" s="448"/>
      <c r="K220" s="448"/>
      <c r="L220" s="506" t="s">
        <v>418</v>
      </c>
      <c r="M220" s="507" t="e">
        <f ca="1">TINV(0.05,M219)</f>
        <v>#N/A</v>
      </c>
      <c r="N220" s="508"/>
      <c r="O220" s="507" t="e">
        <f ca="1">TINV(0.05,O219)</f>
        <v>#N/A</v>
      </c>
      <c r="P220" s="464" t="s">
        <v>88</v>
      </c>
      <c r="Q220" s="483" t="e">
        <f ca="1">VLOOKUP(VLOOKUP(I201,Worksheet!$A$18:$B$31,2),'1Test Data'!$O$30:$AN$49,26,0)</f>
        <v>#N/A</v>
      </c>
      <c r="R220" s="453"/>
      <c r="S220" s="453"/>
      <c r="T220" s="453"/>
      <c r="U220" s="455"/>
    </row>
    <row r="221" spans="1:21" s="440" customFormat="1">
      <c r="A221" s="504"/>
      <c r="B221" s="448"/>
      <c r="C221" s="1093"/>
      <c r="D221" s="1094"/>
      <c r="E221" s="1094"/>
      <c r="F221" s="1094"/>
      <c r="G221" s="1095"/>
      <c r="H221" s="448"/>
      <c r="I221" s="448"/>
      <c r="J221" s="448"/>
      <c r="K221" s="448"/>
      <c r="L221" s="506" t="s">
        <v>419</v>
      </c>
      <c r="M221" s="507" t="e">
        <f ca="1">M218*M220</f>
        <v>#N/A</v>
      </c>
      <c r="N221" s="508" t="str">
        <f>Uncert!$F$4</f>
        <v>ABS kPa</v>
      </c>
      <c r="O221" s="507" t="e">
        <f ca="1">O218*O220</f>
        <v>#N/A</v>
      </c>
      <c r="P221" s="464" t="s">
        <v>420</v>
      </c>
      <c r="Q221" s="483" t="e">
        <f ca="1">ABS(Q217*F201^3+Q218*F201^2+Q219*F201+Q220)</f>
        <v>#N/A</v>
      </c>
      <c r="R221" s="453"/>
      <c r="S221" s="453"/>
      <c r="T221" s="453"/>
      <c r="U221" s="455"/>
    </row>
    <row r="222" spans="1:21" s="440" customFormat="1">
      <c r="A222" s="497"/>
      <c r="B222" s="498"/>
      <c r="C222" s="1096"/>
      <c r="D222" s="1097"/>
      <c r="E222" s="1097"/>
      <c r="F222" s="1097"/>
      <c r="G222" s="1098"/>
      <c r="H222" s="448"/>
      <c r="I222" s="448"/>
      <c r="J222" s="511"/>
      <c r="K222" s="511"/>
      <c r="L222" s="512" t="s">
        <v>421</v>
      </c>
      <c r="M222" s="513" t="e">
        <f ca="1">M221</f>
        <v>#N/A</v>
      </c>
      <c r="N222" s="514" t="str">
        <f>Uncert!$F$4</f>
        <v>ABS kPa</v>
      </c>
      <c r="O222" s="513" t="e">
        <f ca="1">O221</f>
        <v>#N/A</v>
      </c>
      <c r="P222" s="464" t="s">
        <v>422</v>
      </c>
      <c r="Q222" s="483" t="e">
        <f ca="1">VLOOKUP(VLOOKUP(I201,Worksheet!$A$18:$B$31,2),'1Test Data'!$O$30:$AP$49,28,0)</f>
        <v>#N/A</v>
      </c>
      <c r="R222" s="453"/>
      <c r="S222" s="453"/>
      <c r="T222" s="453"/>
      <c r="U222" s="455"/>
    </row>
    <row r="223" spans="1:21" s="440" customFormat="1">
      <c r="A223" s="497"/>
      <c r="B223" s="498"/>
      <c r="C223" s="498" t="s">
        <v>423</v>
      </c>
      <c r="D223" s="448"/>
      <c r="E223" s="448"/>
      <c r="F223" s="448"/>
      <c r="G223" s="448"/>
      <c r="H223" s="515" t="e">
        <f>"N " &amp; ReadoutType</f>
        <v>#NAME?</v>
      </c>
      <c r="I223" s="516" t="e">
        <f ca="1">($O224/$K212)</f>
        <v>#N/A</v>
      </c>
      <c r="J223" s="448"/>
      <c r="K223" s="448"/>
      <c r="L223" s="505"/>
      <c r="M223" s="517" t="e">
        <f ca="1">(M222/F201)*100</f>
        <v>#N/A</v>
      </c>
      <c r="N223" s="518" t="s">
        <v>78</v>
      </c>
      <c r="O223" s="517"/>
      <c r="P223" s="519"/>
      <c r="Q223" s="519"/>
      <c r="R223" s="453"/>
      <c r="S223" s="453"/>
      <c r="T223" s="453"/>
      <c r="U223" s="455"/>
    </row>
    <row r="224" spans="1:21" s="440" customFormat="1">
      <c r="A224" s="497"/>
      <c r="B224" s="498"/>
      <c r="C224" s="520" t="s">
        <v>33</v>
      </c>
      <c r="D224" s="521" t="str">
        <f ca="1">Gravity</f>
        <v/>
      </c>
      <c r="E224" s="520" t="s">
        <v>36</v>
      </c>
      <c r="F224" s="522"/>
      <c r="G224" s="523"/>
      <c r="H224" s="524" t="e">
        <f>ReadoutType</f>
        <v>#NAME?</v>
      </c>
      <c r="I224" s="516" t="e">
        <f ca="1">($M224/$K212)</f>
        <v>#N/A</v>
      </c>
      <c r="J224" s="1103" t="s">
        <v>424</v>
      </c>
      <c r="K224" s="1104"/>
      <c r="L224" s="1104"/>
      <c r="M224" s="525" t="e">
        <f ca="1">IF(NATA="Y",IF(M222&lt;Scopekpa,IF(Scopekpa&lt;((F201/100)*ScopeReading),((F201/100)*ScopeReading),Scopekpa),IF(M222&lt;((F201/100)*ScopeReading),((F201/100)*ScopeReading),M222)),Uncert!M222)</f>
        <v>#N/A</v>
      </c>
      <c r="N224" s="522" t="s">
        <v>425</v>
      </c>
      <c r="O224" s="525" t="e">
        <f ca="1">IF(NATA="Y",IF(O222&lt;Scopekpa,IF(Scopekpa&lt;((F201/100)*ScopeReading),((F201/100)*ScopeReading),Scopekpa),IF(O222&lt;((F201/100)*ScopeReading),((F201/100)*ScopeReading),O222)),Uncert!O222)</f>
        <v>#N/A</v>
      </c>
      <c r="P224" s="522"/>
      <c r="Q224" s="522"/>
      <c r="R224" s="453"/>
      <c r="S224" s="453"/>
      <c r="T224" s="453"/>
      <c r="U224" s="455"/>
    </row>
    <row r="225" spans="1:21" s="440" customFormat="1" ht="14.25" thickBot="1">
      <c r="A225" s="526" t="str">
        <f>"Worksheet!A" &amp; 17+(ROW()/25)</f>
        <v>Worksheet!A26</v>
      </c>
      <c r="B225" s="527"/>
      <c r="C225" s="527"/>
      <c r="D225" s="528">
        <f>ROW()/25</f>
        <v>9</v>
      </c>
      <c r="E225" s="529"/>
      <c r="F225" s="529"/>
      <c r="G225" s="529"/>
      <c r="H225" s="529"/>
      <c r="I225" s="530"/>
      <c r="J225" s="1105" t="s">
        <v>424</v>
      </c>
      <c r="K225" s="1105"/>
      <c r="L225" s="1105"/>
      <c r="M225" s="531" t="e">
        <f ca="1">IF(NATA="Y",IF(M223&lt;ScopeReading,ScopeReading,M223),M223)</f>
        <v>#N/A</v>
      </c>
      <c r="N225" s="532" t="s">
        <v>78</v>
      </c>
      <c r="O225" s="531"/>
      <c r="P225" s="532"/>
      <c r="Q225" s="527"/>
      <c r="R225" s="527"/>
      <c r="S225" s="527"/>
      <c r="T225" s="527"/>
      <c r="U225" s="533"/>
    </row>
    <row r="226" spans="1:21" s="440" customFormat="1">
      <c r="A226" s="1099" t="e">
        <f ca="1">"Uncertainty Budget: Digital Pressure Gauge (" &amp; Q226&amp; ", "&amp; Q227 &amp; H226 &amp;" x " &amp; Division   &amp;H226 &amp; " )" &amp; " Test Point "&amp;D250</f>
        <v>#N/A</v>
      </c>
      <c r="B226" s="1100"/>
      <c r="C226" s="1100"/>
      <c r="D226" s="1100"/>
      <c r="E226" s="1100"/>
      <c r="F226" s="1101">
        <f ca="1">ABS(I226*UnitConvert)</f>
        <v>0</v>
      </c>
      <c r="G226" s="1102"/>
      <c r="H226" s="428" t="s">
        <v>371</v>
      </c>
      <c r="I226" s="429">
        <f ca="1">INDIRECT(A250)</f>
        <v>0</v>
      </c>
      <c r="J226" s="430" t="str">
        <f>_xlfn.SINGLE(Units)</f>
        <v>mm</v>
      </c>
      <c r="K226" s="431" t="e">
        <f ca="1">IF(C229="","","Uncertainty (U) = ±"&amp;TEXT(M247,"0.0")&amp;$F$4&amp;",  &amp;  (k="&amp;TEXT(M245,"0.00")&amp;", confidence level=95%)")</f>
        <v>#N/A</v>
      </c>
      <c r="L226" s="432"/>
      <c r="M226" s="432"/>
      <c r="N226" s="432"/>
      <c r="O226" s="433"/>
      <c r="P226" s="434" t="s">
        <v>372</v>
      </c>
      <c r="Q226" s="435" t="e">
        <f ca="1">VLOOKUP(VLOOKUP(I226,Worksheet!$A$18:$B$31,2),'1Test Data'!$M$6:$O$10,2,0)</f>
        <v>#N/A</v>
      </c>
      <c r="R226" s="436"/>
      <c r="S226" s="436"/>
      <c r="T226" s="437" t="str">
        <f ca="1">"TEX Ver "&amp;Mods!$A$1</f>
        <v>TEX Ver TAS-SST001v1</v>
      </c>
      <c r="U226" s="438"/>
    </row>
    <row r="227" spans="1:21" s="440" customFormat="1">
      <c r="A227" s="442" t="s">
        <v>373</v>
      </c>
      <c r="B227" s="443"/>
      <c r="C227" s="444"/>
      <c r="D227" s="445" t="s">
        <v>374</v>
      </c>
      <c r="E227" s="446" t="e">
        <f ca="1">Q227</f>
        <v>#N/A</v>
      </c>
      <c r="F227" s="447"/>
      <c r="G227" s="447" t="e">
        <f ca="1">ROUND(M247/(F226/100),2)&amp;"% of Full Scale"</f>
        <v>#N/A</v>
      </c>
      <c r="H227" s="448"/>
      <c r="I227" s="448"/>
      <c r="J227" s="449" t="e">
        <f ca="1">M248</f>
        <v>#N/A</v>
      </c>
      <c r="K227" s="448"/>
      <c r="L227" s="450"/>
      <c r="M227" s="450"/>
      <c r="N227" s="450"/>
      <c r="O227" s="433"/>
      <c r="P227" s="451" t="s">
        <v>375</v>
      </c>
      <c r="Q227" s="452" t="e">
        <f ca="1">VLOOKUP(VLOOKUP(I226,Worksheet!$A$18:$B$31,2),'1Test Data'!$O$30:$T$49,6,0)</f>
        <v>#N/A</v>
      </c>
      <c r="R227" s="453">
        <v>0</v>
      </c>
      <c r="S227" s="453"/>
      <c r="T227" s="454">
        <f ca="1">Mods!$A$4</f>
        <v>45809.486168981479</v>
      </c>
      <c r="U227" s="455"/>
    </row>
    <row r="228" spans="1:21" s="440" customFormat="1" ht="38.25">
      <c r="A228" s="458" t="s">
        <v>376</v>
      </c>
      <c r="B228" s="459" t="s">
        <v>377</v>
      </c>
      <c r="C228" s="460" t="s">
        <v>378</v>
      </c>
      <c r="D228" s="460" t="s">
        <v>379</v>
      </c>
      <c r="E228" s="460" t="s">
        <v>380</v>
      </c>
      <c r="F228" s="460" t="s">
        <v>381</v>
      </c>
      <c r="G228" s="460" t="s">
        <v>178</v>
      </c>
      <c r="H228" s="461" t="s">
        <v>382</v>
      </c>
      <c r="I228" s="461" t="s">
        <v>383</v>
      </c>
      <c r="J228" s="462" t="s">
        <v>384</v>
      </c>
      <c r="K228" s="463" t="s">
        <v>385</v>
      </c>
      <c r="L228" s="461" t="s">
        <v>386</v>
      </c>
      <c r="M228" s="461" t="s">
        <v>387</v>
      </c>
      <c r="N228" s="461" t="s">
        <v>388</v>
      </c>
      <c r="O228" s="461" t="s">
        <v>389</v>
      </c>
      <c r="P228" s="464" t="s">
        <v>390</v>
      </c>
      <c r="Q228" s="452" t="e">
        <f ca="1">VLOOKUP(VLOOKUP(I226,Worksheet!$A$18:$B$31,2),'1Test Data'!$O$30:$V$49,8,0)</f>
        <v>#N/A</v>
      </c>
      <c r="R228" s="465" t="s">
        <v>391</v>
      </c>
      <c r="S228" s="465" t="s">
        <v>391</v>
      </c>
      <c r="T228" s="466" t="s">
        <v>392</v>
      </c>
      <c r="U228" s="467"/>
    </row>
    <row r="229" spans="1:21" s="440" customFormat="1" ht="18" customHeight="1">
      <c r="A229" s="470">
        <v>1</v>
      </c>
      <c r="B229" s="471">
        <f>$B$4</f>
        <v>1</v>
      </c>
      <c r="C229" s="472" t="e">
        <f ca="1">"Reference Device  ("&amp;Q227&amp;" Druck Transducer) + Sey
Uncertainty from Calibration Report - "&amp;Q226</f>
        <v>#N/A</v>
      </c>
      <c r="D229" s="471" t="s">
        <v>393</v>
      </c>
      <c r="E229" s="473" t="e">
        <f ca="1">Q233+Q234</f>
        <v>#N/A</v>
      </c>
      <c r="F229" s="474" t="str">
        <f>H226</f>
        <v>ABS kPa</v>
      </c>
      <c r="G229" s="475" t="str">
        <f>IF(OR(D229="",B229=0),"",IF(D229="ESDM","A","B"))</f>
        <v>B</v>
      </c>
      <c r="H229" s="476" t="e">
        <f ca="1">IF(OR(E229="",B229=0),"",IF(D229="ESDM",1,IF(D229="N95",2,IF(D229="Rect",(3^0.5)))))</f>
        <v>#N/A</v>
      </c>
      <c r="I229" s="477">
        <f>IF(D229="N95",60,100)</f>
        <v>60</v>
      </c>
      <c r="J229" s="478" t="e">
        <f ca="1">IF(OR(E229="",B229=0),"",(E229/H229))</f>
        <v>#N/A</v>
      </c>
      <c r="K229" s="479">
        <v>1</v>
      </c>
      <c r="L229" s="480" t="e">
        <f ca="1">IF(OR(E229="",B229=0),"",K229*J229)</f>
        <v>#N/A</v>
      </c>
      <c r="M229" s="480" t="e">
        <f t="shared" ref="M229:M240" ca="1" si="90">IF(OR(E229="",B229=0),"0",L229^2)</f>
        <v>#N/A</v>
      </c>
      <c r="N229" s="481" t="e">
        <f t="shared" ref="N229:N240" ca="1" si="91">IF(OR(D229="",B229=0),"0",(L229)^4/I229)</f>
        <v>#N/A</v>
      </c>
      <c r="O229" s="482" t="e">
        <f t="shared" ref="O229:O240" ca="1" si="92">T229</f>
        <v>#N/A</v>
      </c>
      <c r="P229" s="464" t="s">
        <v>394</v>
      </c>
      <c r="Q229" s="483" t="e">
        <f ca="1">VLOOKUP(VLOOKUP(I226,Worksheet!$A$18:$B$31,2),'1Test Data'!$O$30:$Y$49,11,0)</f>
        <v>#N/A</v>
      </c>
      <c r="R229" s="484" t="e">
        <f ca="1">IF(OR(E229="",B229=0),"",K229*J229)</f>
        <v>#N/A</v>
      </c>
      <c r="S229" s="465" t="e">
        <f ca="1">IF(OR(E229="",B229=0),"",ABS(R229))</f>
        <v>#N/A</v>
      </c>
      <c r="T229" s="465" t="e">
        <f ca="1">IF(OR(E229="",B229=0),"",ABS(L229/S241))</f>
        <v>#N/A</v>
      </c>
      <c r="U229" s="485"/>
    </row>
    <row r="230" spans="1:21" s="440" customFormat="1" ht="27" customHeight="1">
      <c r="A230" s="470">
        <v>2</v>
      </c>
      <c r="B230" s="471">
        <f>$B$5</f>
        <v>1</v>
      </c>
      <c r="C230" s="472" t="e">
        <f ca="1">"Reference Device  Specs +Sey
(" &amp; Q227 &amp; H226 &amp; " Druck Transducer)
"&amp;Q228 &amp; "% of F.S. from Calibration Report - " &amp; Q226</f>
        <v>#N/A</v>
      </c>
      <c r="D230" s="471" t="s">
        <v>395</v>
      </c>
      <c r="E230" s="473" t="e">
        <f ca="1">Q246+Q247</f>
        <v>#N/A</v>
      </c>
      <c r="F230" s="474" t="e">
        <f ca="1">IF(OR(E230="",B230=0),"",$F$4)</f>
        <v>#N/A</v>
      </c>
      <c r="G230" s="475" t="str">
        <f t="shared" ref="G230:G240" si="93">IF(OR(D230="",B230=0),"",IF(D230="ESDM","A","B"))</f>
        <v>B</v>
      </c>
      <c r="H230" s="476" t="e">
        <f t="shared" ref="H230:H240" ca="1" si="94">IF(OR(E230="",B230=0),"",IF(D230="ESDM",1,IF(D230="N95",2,IF(D230="Rect",(3^0.5)))))</f>
        <v>#N/A</v>
      </c>
      <c r="I230" s="477">
        <f t="shared" ref="I230:I240" si="95">IF(D230="N95",60,100)</f>
        <v>100</v>
      </c>
      <c r="J230" s="478" t="e">
        <f t="shared" ref="J230:J240" ca="1" si="96">IF(OR(E230="",B230=0),"",(E230/H230))</f>
        <v>#N/A</v>
      </c>
      <c r="K230" s="479">
        <v>1</v>
      </c>
      <c r="L230" s="480" t="e">
        <f t="shared" ref="L230:L240" ca="1" si="97">IF(OR(E230="",B230=0),"",K230*J230)</f>
        <v>#N/A</v>
      </c>
      <c r="M230" s="480" t="e">
        <f t="shared" ca="1" si="90"/>
        <v>#N/A</v>
      </c>
      <c r="N230" s="481" t="e">
        <f t="shared" ca="1" si="91"/>
        <v>#N/A</v>
      </c>
      <c r="O230" s="482" t="e">
        <f t="shared" ca="1" si="92"/>
        <v>#N/A</v>
      </c>
      <c r="P230" s="464" t="s">
        <v>396</v>
      </c>
      <c r="Q230" s="483" t="e">
        <f ca="1">VLOOKUP(VLOOKUP(I226,Worksheet!$A$18:$B$31,2),'1Test Data'!$O$30:$Z$49,12,0)</f>
        <v>#N/A</v>
      </c>
      <c r="R230" s="484" t="e">
        <f t="shared" ref="R230:R240" ca="1" si="98">IF(OR(E230="",B230=0),"",K230*J230)</f>
        <v>#N/A</v>
      </c>
      <c r="S230" s="465" t="e">
        <f t="shared" ref="S230:S240" ca="1" si="99">IF(OR(E230="",B230=0),"",ABS(R230))</f>
        <v>#N/A</v>
      </c>
      <c r="T230" s="465" t="e">
        <f ca="1">IF(OR(E230="",B230=0),"",ABS(L230/S241))</f>
        <v>#N/A</v>
      </c>
      <c r="U230" s="485"/>
    </row>
    <row r="231" spans="1:21" s="440" customFormat="1" ht="18" customHeight="1">
      <c r="A231" s="470">
        <v>3</v>
      </c>
      <c r="B231" s="471">
        <f>$B$6</f>
        <v>1</v>
      </c>
      <c r="C231" s="472" t="s">
        <v>397</v>
      </c>
      <c r="D231" s="471" t="s">
        <v>395</v>
      </c>
      <c r="E231" s="473" t="e">
        <f ca="1">Q235*F226/100</f>
        <v>#N/A</v>
      </c>
      <c r="F231" s="474" t="e">
        <f ca="1">IF(OR(E231="",B231=0),"",$F$4)</f>
        <v>#N/A</v>
      </c>
      <c r="G231" s="475" t="str">
        <f t="shared" si="93"/>
        <v>B</v>
      </c>
      <c r="H231" s="476" t="e">
        <f t="shared" ca="1" si="94"/>
        <v>#N/A</v>
      </c>
      <c r="I231" s="477">
        <f t="shared" si="95"/>
        <v>100</v>
      </c>
      <c r="J231" s="478" t="e">
        <f t="shared" ca="1" si="96"/>
        <v>#N/A</v>
      </c>
      <c r="K231" s="479">
        <v>1</v>
      </c>
      <c r="L231" s="480" t="e">
        <f t="shared" ca="1" si="97"/>
        <v>#N/A</v>
      </c>
      <c r="M231" s="480" t="e">
        <f t="shared" ca="1" si="90"/>
        <v>#N/A</v>
      </c>
      <c r="N231" s="481" t="e">
        <f t="shared" ca="1" si="91"/>
        <v>#N/A</v>
      </c>
      <c r="O231" s="482" t="e">
        <f t="shared" ca="1" si="92"/>
        <v>#N/A</v>
      </c>
      <c r="P231" s="464" t="s">
        <v>201</v>
      </c>
      <c r="Q231" s="483" t="e">
        <f ca="1">VLOOKUP(VLOOKUP(I226,Worksheet!$A$18:$B$31,2),'1Test Data'!$O$30:$AA$49,13,0)</f>
        <v>#N/A</v>
      </c>
      <c r="R231" s="484" t="e">
        <f t="shared" ca="1" si="98"/>
        <v>#N/A</v>
      </c>
      <c r="S231" s="465" t="e">
        <f t="shared" ca="1" si="99"/>
        <v>#N/A</v>
      </c>
      <c r="T231" s="465" t="e">
        <f ca="1">IF(OR(E231="",B231=0),"",ABS(L231/S241))</f>
        <v>#N/A</v>
      </c>
      <c r="U231" s="485"/>
    </row>
    <row r="232" spans="1:21" s="440" customFormat="1" ht="18" customHeight="1">
      <c r="A232" s="470">
        <v>4</v>
      </c>
      <c r="B232" s="471" t="e">
        <f>$B$7</f>
        <v>#NAME?</v>
      </c>
      <c r="C232" s="472" t="s">
        <v>398</v>
      </c>
      <c r="D232" s="471" t="s">
        <v>395</v>
      </c>
      <c r="E232" s="473">
        <f>EDMS*UnitConvert</f>
        <v>0</v>
      </c>
      <c r="F232" s="474" t="e">
        <f>IF(OR(E232="",B232=0),"",$F$4)</f>
        <v>#NAME?</v>
      </c>
      <c r="G232" s="475" t="e">
        <f t="shared" si="93"/>
        <v>#NAME?</v>
      </c>
      <c r="H232" s="476" t="e">
        <f t="shared" si="94"/>
        <v>#NAME?</v>
      </c>
      <c r="I232" s="477">
        <f t="shared" si="95"/>
        <v>100</v>
      </c>
      <c r="J232" s="478" t="e">
        <f t="shared" si="96"/>
        <v>#NAME?</v>
      </c>
      <c r="K232" s="479">
        <v>1</v>
      </c>
      <c r="L232" s="480" t="e">
        <f t="shared" si="97"/>
        <v>#NAME?</v>
      </c>
      <c r="M232" s="480" t="e">
        <f t="shared" si="90"/>
        <v>#NAME?</v>
      </c>
      <c r="N232" s="481" t="e">
        <f t="shared" si="91"/>
        <v>#NAME?</v>
      </c>
      <c r="O232" s="482" t="e">
        <f t="shared" si="92"/>
        <v>#NAME?</v>
      </c>
      <c r="P232" s="464" t="s">
        <v>88</v>
      </c>
      <c r="Q232" s="483" t="e">
        <f ca="1">VLOOKUP(VLOOKUP(I226,Worksheet!$A$18:$B$31,2),'1Test Data'!$O$30:$AB$49,14,0)</f>
        <v>#N/A</v>
      </c>
      <c r="R232" s="484" t="e">
        <f t="shared" si="98"/>
        <v>#NAME?</v>
      </c>
      <c r="S232" s="465" t="e">
        <f t="shared" si="99"/>
        <v>#NAME?</v>
      </c>
      <c r="T232" s="465" t="e">
        <f>IF(OR(E232="",B232=0),"",ABS(L232/S241))</f>
        <v>#NAME?</v>
      </c>
      <c r="U232" s="485"/>
    </row>
    <row r="233" spans="1:21" s="440" customFormat="1" ht="27">
      <c r="A233" s="470">
        <v>5</v>
      </c>
      <c r="B233" s="471">
        <f>$B$8</f>
        <v>0</v>
      </c>
      <c r="C233" s="472" t="str">
        <f>C33</f>
        <v>Gravity -0.001 m/s2 Sensitivity = Test Pressure / Gravity</v>
      </c>
      <c r="D233" s="471" t="s">
        <v>395</v>
      </c>
      <c r="E233" s="473">
        <f>E8</f>
        <v>1E-3</v>
      </c>
      <c r="F233" s="474" t="s">
        <v>400</v>
      </c>
      <c r="G233" s="475" t="str">
        <f t="shared" si="93"/>
        <v/>
      </c>
      <c r="H233" s="476" t="str">
        <f t="shared" si="94"/>
        <v/>
      </c>
      <c r="I233" s="477">
        <f t="shared" si="95"/>
        <v>100</v>
      </c>
      <c r="J233" s="478" t="str">
        <f t="shared" si="96"/>
        <v/>
      </c>
      <c r="K233" s="479">
        <f ca="1">F226*E233</f>
        <v>0</v>
      </c>
      <c r="L233" s="480" t="str">
        <f t="shared" si="97"/>
        <v/>
      </c>
      <c r="M233" s="480" t="str">
        <f t="shared" si="90"/>
        <v>0</v>
      </c>
      <c r="N233" s="481" t="str">
        <f t="shared" si="91"/>
        <v>0</v>
      </c>
      <c r="O233" s="482" t="str">
        <f>IFERROR(T233,0)</f>
        <v/>
      </c>
      <c r="P233" s="492" t="s">
        <v>401</v>
      </c>
      <c r="Q233" s="493" t="e">
        <f ca="1">ABS(Q229*F226^3+Q230*F226^2+Q231*F226+Q232)</f>
        <v>#N/A</v>
      </c>
      <c r="R233" s="484" t="str">
        <f t="shared" si="98"/>
        <v/>
      </c>
      <c r="S233" s="465" t="str">
        <f t="shared" si="99"/>
        <v/>
      </c>
      <c r="T233" s="465" t="str">
        <f>IF(OR(E233="",B233=0),"",ABS(L233/S241))</f>
        <v/>
      </c>
      <c r="U233" s="485"/>
    </row>
    <row r="234" spans="1:21" s="440" customFormat="1" ht="27">
      <c r="A234" s="470">
        <v>6</v>
      </c>
      <c r="B234" s="471">
        <f>$B$9</f>
        <v>0</v>
      </c>
      <c r="C234" s="472" t="s">
        <v>402</v>
      </c>
      <c r="D234" s="471" t="s">
        <v>395</v>
      </c>
      <c r="E234" s="473">
        <v>2</v>
      </c>
      <c r="F234" s="474" t="s">
        <v>403</v>
      </c>
      <c r="G234" s="475" t="str">
        <f t="shared" si="93"/>
        <v/>
      </c>
      <c r="H234" s="476" t="str">
        <f t="shared" si="94"/>
        <v/>
      </c>
      <c r="I234" s="477">
        <f t="shared" si="95"/>
        <v>100</v>
      </c>
      <c r="J234" s="478" t="str">
        <f t="shared" si="96"/>
        <v/>
      </c>
      <c r="K234" s="479">
        <f ca="1">F226*-0.000022</f>
        <v>0</v>
      </c>
      <c r="L234" s="480" t="str">
        <f t="shared" si="97"/>
        <v/>
      </c>
      <c r="M234" s="480" t="str">
        <f t="shared" si="90"/>
        <v>0</v>
      </c>
      <c r="N234" s="481" t="str">
        <f t="shared" si="91"/>
        <v>0</v>
      </c>
      <c r="O234" s="482" t="str">
        <f t="shared" si="92"/>
        <v/>
      </c>
      <c r="P234" s="494" t="s">
        <v>404</v>
      </c>
      <c r="Q234" s="483" t="e">
        <f ca="1">VLOOKUP(VLOOKUP(I226,Worksheet!$A$18:$B$31,2),'1Test Data'!$O$30:$AD$49,14,0)</f>
        <v>#N/A</v>
      </c>
      <c r="R234" s="484" t="str">
        <f t="shared" si="98"/>
        <v/>
      </c>
      <c r="S234" s="465" t="str">
        <f t="shared" si="99"/>
        <v/>
      </c>
      <c r="T234" s="465" t="str">
        <f>IF(OR(E234="",B234=0),"",ABS(L234/S241))</f>
        <v/>
      </c>
      <c r="U234" s="485"/>
    </row>
    <row r="235" spans="1:21" s="440" customFormat="1" ht="27">
      <c r="A235" s="470">
        <v>7</v>
      </c>
      <c r="B235" s="471">
        <f>$B$10</f>
        <v>0</v>
      </c>
      <c r="C235" s="472" t="s">
        <v>405</v>
      </c>
      <c r="D235" s="471" t="s">
        <v>395</v>
      </c>
      <c r="E235" s="473">
        <v>0.5</v>
      </c>
      <c r="F235" s="474" t="s">
        <v>406</v>
      </c>
      <c r="G235" s="475" t="str">
        <f t="shared" si="93"/>
        <v/>
      </c>
      <c r="H235" s="476" t="str">
        <f t="shared" si="94"/>
        <v/>
      </c>
      <c r="I235" s="477">
        <f t="shared" si="95"/>
        <v>100</v>
      </c>
      <c r="J235" s="478" t="str">
        <f t="shared" si="96"/>
        <v/>
      </c>
      <c r="K235" s="479">
        <f ca="1">(0.098*F226)/1000</f>
        <v>0</v>
      </c>
      <c r="L235" s="480" t="str">
        <f t="shared" si="97"/>
        <v/>
      </c>
      <c r="M235" s="480" t="str">
        <f t="shared" si="90"/>
        <v>0</v>
      </c>
      <c r="N235" s="481" t="str">
        <f t="shared" si="91"/>
        <v>0</v>
      </c>
      <c r="O235" s="482" t="str">
        <f t="shared" si="92"/>
        <v/>
      </c>
      <c r="P235" s="464" t="s">
        <v>407</v>
      </c>
      <c r="Q235" s="452" t="e">
        <f ca="1">VLOOKUP(VLOOKUP(I226,Worksheet!$A$18:$B$31,2),'1Test Data'!$O$30:$X$49,10,0)</f>
        <v>#N/A</v>
      </c>
      <c r="R235" s="484" t="str">
        <f t="shared" si="98"/>
        <v/>
      </c>
      <c r="S235" s="465" t="str">
        <f t="shared" si="99"/>
        <v/>
      </c>
      <c r="T235" s="465" t="str">
        <f>IF(OR(E235="",B235=0),"",ABS(L235/S241))</f>
        <v/>
      </c>
      <c r="U235" s="485"/>
    </row>
    <row r="236" spans="1:21" s="440" customFormat="1" ht="27">
      <c r="A236" s="470">
        <v>8</v>
      </c>
      <c r="B236" s="471">
        <f>$B$11</f>
        <v>0</v>
      </c>
      <c r="C236" s="472" t="s">
        <v>408</v>
      </c>
      <c r="D236" s="471" t="s">
        <v>395</v>
      </c>
      <c r="E236" s="473">
        <v>0.05</v>
      </c>
      <c r="F236" s="474" t="s">
        <v>406</v>
      </c>
      <c r="G236" s="475" t="str">
        <f t="shared" si="93"/>
        <v/>
      </c>
      <c r="H236" s="476" t="str">
        <f t="shared" si="94"/>
        <v/>
      </c>
      <c r="I236" s="477">
        <f t="shared" si="95"/>
        <v>100</v>
      </c>
      <c r="J236" s="478" t="str">
        <f t="shared" si="96"/>
        <v/>
      </c>
      <c r="K236" s="479">
        <f ca="1">F226/8000</f>
        <v>0</v>
      </c>
      <c r="L236" s="480" t="str">
        <f t="shared" si="97"/>
        <v/>
      </c>
      <c r="M236" s="480" t="str">
        <f t="shared" si="90"/>
        <v>0</v>
      </c>
      <c r="N236" s="481" t="str">
        <f t="shared" si="91"/>
        <v>0</v>
      </c>
      <c r="O236" s="482" t="str">
        <f t="shared" si="92"/>
        <v/>
      </c>
      <c r="P236" s="464" t="s">
        <v>394</v>
      </c>
      <c r="Q236" s="483" t="e">
        <f ca="1">VLOOKUP(VLOOKUP(I226,Worksheet!$A$18:$B$31,2),'1Test Data'!$O$30:$AE$49,17,0)</f>
        <v>#N/A</v>
      </c>
      <c r="R236" s="484" t="str">
        <f t="shared" si="98"/>
        <v/>
      </c>
      <c r="S236" s="465" t="str">
        <f t="shared" si="99"/>
        <v/>
      </c>
      <c r="T236" s="465" t="str">
        <f>IF(OR(E236="",B236=0),"",ABS(L236/S241))</f>
        <v/>
      </c>
      <c r="U236" s="485"/>
    </row>
    <row r="237" spans="1:21" s="440" customFormat="1" ht="13.5" customHeight="1">
      <c r="A237" s="470">
        <v>9</v>
      </c>
      <c r="B237" s="471" t="e">
        <f>$B$12</f>
        <v>#NAME?</v>
      </c>
      <c r="C237" s="472" t="str">
        <f>"Electrical reference devise" &amp; '1Test Data'!$O$3 &amp;  CHAR(10) &amp; "SN: " &amp; '1Test Data'!$P$3 &amp; ", Cert No: " &amp; '1Test Data'!$Q$3</f>
        <v>Electrical reference devisea
SN: b, Cert No: c</v>
      </c>
      <c r="D237" s="471" t="s">
        <v>395</v>
      </c>
      <c r="E237" s="473">
        <f>ElectUncert</f>
        <v>2E-3</v>
      </c>
      <c r="F237" s="474" t="e">
        <f>IF(OR(E237="",B237=0),"",ReadoutType)</f>
        <v>#NAME?</v>
      </c>
      <c r="G237" s="475" t="e">
        <f t="shared" si="93"/>
        <v>#NAME?</v>
      </c>
      <c r="H237" s="476" t="e">
        <f t="shared" si="94"/>
        <v>#NAME?</v>
      </c>
      <c r="I237" s="477">
        <f t="shared" si="95"/>
        <v>100</v>
      </c>
      <c r="J237" s="478" t="e">
        <f t="shared" si="96"/>
        <v>#NAME?</v>
      </c>
      <c r="K237" s="479" t="e">
        <f>Capacity/(Upper-Lower)</f>
        <v>#NAME?</v>
      </c>
      <c r="L237" s="480" t="e">
        <f t="shared" si="97"/>
        <v>#NAME?</v>
      </c>
      <c r="M237" s="480" t="e">
        <f t="shared" si="90"/>
        <v>#NAME?</v>
      </c>
      <c r="N237" s="481" t="e">
        <f t="shared" si="91"/>
        <v>#NAME?</v>
      </c>
      <c r="O237" s="482" t="e">
        <f t="shared" si="92"/>
        <v>#NAME?</v>
      </c>
      <c r="P237" s="464" t="s">
        <v>396</v>
      </c>
      <c r="Q237" s="483" t="e">
        <f ca="1">VLOOKUP(VLOOKUP(I226,Worksheet!$A$18:$B$31,2),'1Test Data'!$O$30:$AF$49,18,0)</f>
        <v>#N/A</v>
      </c>
      <c r="R237" s="484" t="e">
        <f t="shared" si="98"/>
        <v>#NAME?</v>
      </c>
      <c r="S237" s="465" t="e">
        <f t="shared" si="99"/>
        <v>#NAME?</v>
      </c>
      <c r="T237" s="465" t="e">
        <f>IF(OR(E237="",B237=0),"",ABS(L237/S241))</f>
        <v>#NAME?</v>
      </c>
      <c r="U237" s="485"/>
    </row>
    <row r="238" spans="1:21" s="440" customFormat="1" ht="18" customHeight="1">
      <c r="A238" s="470">
        <v>10</v>
      </c>
      <c r="B238" s="471">
        <f>$B$13</f>
        <v>1</v>
      </c>
      <c r="C238" s="472" t="s">
        <v>409</v>
      </c>
      <c r="D238" s="471" t="s">
        <v>395</v>
      </c>
      <c r="E238" s="473">
        <f>Worksheet!D27*UnitConvert</f>
        <v>0</v>
      </c>
      <c r="F238" s="474" t="str">
        <f>IF(OR(E238="",B238=0),"",$F$4)</f>
        <v>ABS kPa</v>
      </c>
      <c r="G238" s="475" t="str">
        <f t="shared" si="93"/>
        <v>B</v>
      </c>
      <c r="H238" s="476">
        <f t="shared" si="94"/>
        <v>1.7320508075688772</v>
      </c>
      <c r="I238" s="477">
        <f t="shared" si="95"/>
        <v>100</v>
      </c>
      <c r="J238" s="478">
        <f t="shared" si="96"/>
        <v>0</v>
      </c>
      <c r="K238" s="479">
        <v>1</v>
      </c>
      <c r="L238" s="480">
        <f t="shared" si="97"/>
        <v>0</v>
      </c>
      <c r="M238" s="480">
        <f t="shared" si="90"/>
        <v>0</v>
      </c>
      <c r="N238" s="481">
        <f t="shared" si="91"/>
        <v>0</v>
      </c>
      <c r="O238" s="482" t="e">
        <f t="shared" ca="1" si="92"/>
        <v>#N/A</v>
      </c>
      <c r="P238" s="464" t="s">
        <v>201</v>
      </c>
      <c r="Q238" s="483" t="e">
        <f ca="1">VLOOKUP(VLOOKUP(I226,Worksheet!$A$18:$B$31,2),'1Test Data'!$O$30:$AG$49,19,0)</f>
        <v>#N/A</v>
      </c>
      <c r="R238" s="484">
        <f t="shared" si="98"/>
        <v>0</v>
      </c>
      <c r="S238" s="465">
        <f t="shared" si="99"/>
        <v>0</v>
      </c>
      <c r="T238" s="465" t="e">
        <f ca="1">IF(OR(E238="",B238=0),"",ABS(L238/S241))</f>
        <v>#N/A</v>
      </c>
      <c r="U238" s="485"/>
    </row>
    <row r="239" spans="1:21" s="440" customFormat="1" ht="13.5" customHeight="1">
      <c r="A239" s="470">
        <v>11</v>
      </c>
      <c r="B239" s="471" t="e">
        <f>$B$14</f>
        <v>#NAME?</v>
      </c>
      <c r="C239" s="496" t="e">
        <f>"DUT Type " &amp;ReadoutType&amp; " Resolution "&amp;Readability &amp; "kPa
Digital - Type B - Rect - 1/2 of  least count with D of F = 100 &amp; (k=1.73)
Analogue - Type B - N95 - Best scale readability with D of F = 60 &amp; k=2.00"</f>
        <v>#NAME?</v>
      </c>
      <c r="D239" s="471" t="e">
        <f>IF(ReadoutType="Digital","Rect","N95")</f>
        <v>#NAME?</v>
      </c>
      <c r="E239" s="473" t="e">
        <f>IF(Elect=1,($K237)/1000,IF(ReadoutType="Digital",Readability/2,Readability)*UnitConvert)</f>
        <v>#NAME?</v>
      </c>
      <c r="F239" s="474" t="e">
        <f>IF(OR(E239="",B239=0),"",$F$4)</f>
        <v>#NAME?</v>
      </c>
      <c r="G239" s="475" t="e">
        <f t="shared" si="93"/>
        <v>#NAME?</v>
      </c>
      <c r="H239" s="476" t="e">
        <f t="shared" si="94"/>
        <v>#NAME?</v>
      </c>
      <c r="I239" s="477" t="e">
        <f t="shared" si="95"/>
        <v>#NAME?</v>
      </c>
      <c r="J239" s="478" t="e">
        <f t="shared" si="96"/>
        <v>#NAME?</v>
      </c>
      <c r="K239" s="479">
        <v>1</v>
      </c>
      <c r="L239" s="480" t="e">
        <f t="shared" si="97"/>
        <v>#NAME?</v>
      </c>
      <c r="M239" s="480" t="e">
        <f t="shared" si="90"/>
        <v>#NAME?</v>
      </c>
      <c r="N239" s="481" t="e">
        <f t="shared" si="91"/>
        <v>#NAME?</v>
      </c>
      <c r="O239" s="482" t="e">
        <f t="shared" si="92"/>
        <v>#NAME?</v>
      </c>
      <c r="P239" s="464" t="s">
        <v>88</v>
      </c>
      <c r="Q239" s="483" t="e">
        <f ca="1">VLOOKUP(VLOOKUP(I226,Worksheet!$A$18:$B$31,2),'1Test Data'!$O$30:$AH$49,20,0)</f>
        <v>#N/A</v>
      </c>
      <c r="R239" s="484" t="e">
        <f t="shared" si="98"/>
        <v>#NAME?</v>
      </c>
      <c r="S239" s="465" t="e">
        <f t="shared" si="99"/>
        <v>#NAME?</v>
      </c>
      <c r="T239" s="465" t="e">
        <f>IF(OR(E239="",B239=0),"",ABS(L239/S241))</f>
        <v>#NAME?</v>
      </c>
      <c r="U239" s="485"/>
    </row>
    <row r="240" spans="1:21" s="440" customFormat="1" ht="27">
      <c r="A240" s="470">
        <v>12</v>
      </c>
      <c r="B240" s="471" t="e">
        <f>$B$15</f>
        <v>#NAME?</v>
      </c>
      <c r="C240" s="496" t="s">
        <v>410</v>
      </c>
      <c r="D240" s="471" t="s">
        <v>395</v>
      </c>
      <c r="E240" s="473" t="e">
        <f>E239</f>
        <v>#NAME?</v>
      </c>
      <c r="F240" s="474" t="e">
        <f>IF(OR(E240="",B240=0),"",$F$4)</f>
        <v>#NAME?</v>
      </c>
      <c r="G240" s="475" t="e">
        <f t="shared" si="93"/>
        <v>#NAME?</v>
      </c>
      <c r="H240" s="476" t="e">
        <f t="shared" si="94"/>
        <v>#NAME?</v>
      </c>
      <c r="I240" s="477">
        <f t="shared" si="95"/>
        <v>100</v>
      </c>
      <c r="J240" s="478" t="e">
        <f t="shared" si="96"/>
        <v>#NAME?</v>
      </c>
      <c r="K240" s="479">
        <v>1</v>
      </c>
      <c r="L240" s="480" t="e">
        <f t="shared" si="97"/>
        <v>#NAME?</v>
      </c>
      <c r="M240" s="480" t="e">
        <f t="shared" si="90"/>
        <v>#NAME?</v>
      </c>
      <c r="N240" s="481" t="e">
        <f t="shared" si="91"/>
        <v>#NAME?</v>
      </c>
      <c r="O240" s="482" t="e">
        <f t="shared" si="92"/>
        <v>#NAME?</v>
      </c>
      <c r="P240" s="464" t="s">
        <v>411</v>
      </c>
      <c r="Q240" s="483" t="e">
        <f ca="1">ABS(Q236*F226^3+Q237*F226^2+Q238*F226+Q239)</f>
        <v>#N/A</v>
      </c>
      <c r="R240" s="484" t="e">
        <f t="shared" si="98"/>
        <v>#NAME?</v>
      </c>
      <c r="S240" s="465" t="e">
        <f t="shared" si="99"/>
        <v>#NAME?</v>
      </c>
      <c r="T240" s="465" t="e">
        <f>IF(OR(E240="",B240=0),"",ABS(L240/S241))</f>
        <v>#NAME?</v>
      </c>
      <c r="U240" s="485"/>
    </row>
    <row r="241" spans="1:21" s="440" customFormat="1" ht="25.5">
      <c r="A241" s="497"/>
      <c r="B241" s="498"/>
      <c r="C241" s="448"/>
      <c r="D241" s="448"/>
      <c r="E241" s="448"/>
      <c r="F241" s="448"/>
      <c r="G241" s="448"/>
      <c r="H241" s="448"/>
      <c r="I241" s="484"/>
      <c r="J241" s="448"/>
      <c r="K241" s="448"/>
      <c r="L241" s="499" t="s">
        <v>412</v>
      </c>
      <c r="M241" s="499" t="e">
        <f ca="1">SUM(M229:M240)</f>
        <v>#N/A</v>
      </c>
      <c r="N241" s="500" t="e">
        <f ca="1">SUM(N229:N240)</f>
        <v>#N/A</v>
      </c>
      <c r="O241" s="501" t="e">
        <f ca="1">SUM(O229:O240)</f>
        <v>#N/A</v>
      </c>
      <c r="P241" s="464" t="s">
        <v>413</v>
      </c>
      <c r="Q241" s="483" t="e">
        <f ca="1">VLOOKUP(VLOOKUP(I226,Worksheet!$A$18:$B$31,2),'1Test Data'!$O$30:$AJ$49,22,0)</f>
        <v>#N/A</v>
      </c>
      <c r="R241" s="453"/>
      <c r="S241" s="465" t="e">
        <f ca="1">SUM(S229:S240)</f>
        <v>#N/A</v>
      </c>
      <c r="T241" s="465" t="e">
        <f ca="1">SUM(T229:T240)</f>
        <v>#N/A</v>
      </c>
      <c r="U241" s="455"/>
    </row>
    <row r="242" spans="1:21" s="440" customFormat="1">
      <c r="A242" s="504"/>
      <c r="B242" s="448"/>
      <c r="C242" s="498" t="s">
        <v>414</v>
      </c>
      <c r="D242" s="448"/>
      <c r="E242" s="448"/>
      <c r="F242" s="448"/>
      <c r="G242" s="448"/>
      <c r="H242" s="448"/>
      <c r="I242" s="448"/>
      <c r="J242" s="448"/>
      <c r="K242" s="448"/>
      <c r="L242" s="505"/>
      <c r="M242" s="505"/>
      <c r="N242" s="505"/>
      <c r="O242" s="505"/>
      <c r="P242" s="464" t="s">
        <v>394</v>
      </c>
      <c r="Q242" s="483" t="e">
        <f ca="1">VLOOKUP(VLOOKUP(I226,Worksheet!$A$18:$B$31,2),'1Test Data'!$O$30:$AK$49,23,0)</f>
        <v>#N/A</v>
      </c>
      <c r="R242" s="453"/>
      <c r="S242" s="453"/>
      <c r="T242" s="453"/>
      <c r="U242" s="455"/>
    </row>
    <row r="243" spans="1:21" s="440" customFormat="1" ht="13.5" customHeight="1">
      <c r="A243" s="504"/>
      <c r="B243" s="448"/>
      <c r="C243" s="1090" t="s">
        <v>415</v>
      </c>
      <c r="D243" s="1091"/>
      <c r="E243" s="1091"/>
      <c r="F243" s="1091"/>
      <c r="G243" s="1092"/>
      <c r="H243" s="448"/>
      <c r="I243" s="448"/>
      <c r="J243" s="448"/>
      <c r="K243" s="448"/>
      <c r="L243" s="506" t="s">
        <v>416</v>
      </c>
      <c r="M243" s="507" t="e">
        <f ca="1">M241^0.5</f>
        <v>#N/A</v>
      </c>
      <c r="N243" s="508" t="str">
        <f>Uncert!$F$4</f>
        <v>ABS kPa</v>
      </c>
      <c r="O243" s="505" t="e">
        <f ca="1">(M241-M232-M237-M239-M240)^0.5</f>
        <v>#N/A</v>
      </c>
      <c r="P243" s="464" t="s">
        <v>396</v>
      </c>
      <c r="Q243" s="483" t="e">
        <f ca="1">VLOOKUP(VLOOKUP(I226,Worksheet!$A$18:$B$31,2),'1Test Data'!$O$30:$AL$49,24,0)</f>
        <v>#N/A</v>
      </c>
      <c r="R243" s="453"/>
      <c r="S243" s="453"/>
      <c r="T243" s="453"/>
      <c r="U243" s="455"/>
    </row>
    <row r="244" spans="1:21" s="440" customFormat="1">
      <c r="A244" s="504"/>
      <c r="B244" s="448"/>
      <c r="C244" s="1093"/>
      <c r="D244" s="1094"/>
      <c r="E244" s="1094"/>
      <c r="F244" s="1094"/>
      <c r="G244" s="1095"/>
      <c r="H244" s="448"/>
      <c r="I244" s="448"/>
      <c r="J244" s="448"/>
      <c r="K244" s="448"/>
      <c r="L244" s="506" t="s">
        <v>417</v>
      </c>
      <c r="M244" s="507" t="e">
        <f ca="1">M243^4/N241</f>
        <v>#N/A</v>
      </c>
      <c r="N244" s="509"/>
      <c r="O244" s="510" t="e">
        <f ca="1">O243^4/(N241-N232-N237-N239-N240)</f>
        <v>#N/A</v>
      </c>
      <c r="P244" s="464" t="s">
        <v>201</v>
      </c>
      <c r="Q244" s="483" t="e">
        <f ca="1">VLOOKUP(VLOOKUP(I226,Worksheet!$A$18:$B$31,2),'1Test Data'!$O$30:$AM$49,25,0)</f>
        <v>#N/A</v>
      </c>
      <c r="R244" s="453"/>
      <c r="S244" s="453"/>
      <c r="T244" s="453"/>
      <c r="U244" s="455"/>
    </row>
    <row r="245" spans="1:21" s="440" customFormat="1">
      <c r="A245" s="504"/>
      <c r="B245" s="448"/>
      <c r="C245" s="1093"/>
      <c r="D245" s="1094"/>
      <c r="E245" s="1094"/>
      <c r="F245" s="1094"/>
      <c r="G245" s="1095"/>
      <c r="H245" s="448"/>
      <c r="I245" s="448"/>
      <c r="J245" s="448"/>
      <c r="K245" s="448"/>
      <c r="L245" s="506" t="s">
        <v>418</v>
      </c>
      <c r="M245" s="507" t="e">
        <f ca="1">TINV(0.05,M244)</f>
        <v>#N/A</v>
      </c>
      <c r="N245" s="508"/>
      <c r="O245" s="507" t="e">
        <f ca="1">TINV(0.05,O244)</f>
        <v>#N/A</v>
      </c>
      <c r="P245" s="464" t="s">
        <v>88</v>
      </c>
      <c r="Q245" s="483" t="e">
        <f ca="1">VLOOKUP(VLOOKUP(I226,Worksheet!$A$18:$B$31,2),'1Test Data'!$O$30:$AN$49,26,0)</f>
        <v>#N/A</v>
      </c>
      <c r="R245" s="453"/>
      <c r="S245" s="453"/>
      <c r="T245" s="453"/>
      <c r="U245" s="455"/>
    </row>
    <row r="246" spans="1:21" s="440" customFormat="1">
      <c r="A246" s="504"/>
      <c r="B246" s="448"/>
      <c r="C246" s="1093"/>
      <c r="D246" s="1094"/>
      <c r="E246" s="1094"/>
      <c r="F246" s="1094"/>
      <c r="G246" s="1095"/>
      <c r="H246" s="448"/>
      <c r="I246" s="448"/>
      <c r="J246" s="448"/>
      <c r="K246" s="448"/>
      <c r="L246" s="506" t="s">
        <v>419</v>
      </c>
      <c r="M246" s="507" t="e">
        <f ca="1">M243*M245</f>
        <v>#N/A</v>
      </c>
      <c r="N246" s="508" t="str">
        <f>Uncert!$F$4</f>
        <v>ABS kPa</v>
      </c>
      <c r="O246" s="507" t="e">
        <f ca="1">O243*O245</f>
        <v>#N/A</v>
      </c>
      <c r="P246" s="464" t="s">
        <v>420</v>
      </c>
      <c r="Q246" s="483" t="e">
        <f ca="1">ABS(Q242*F226^3+Q243*F226^2+Q244*F226+Q245)</f>
        <v>#N/A</v>
      </c>
      <c r="R246" s="453"/>
      <c r="S246" s="453"/>
      <c r="T246" s="453"/>
      <c r="U246" s="455"/>
    </row>
    <row r="247" spans="1:21" s="440" customFormat="1">
      <c r="A247" s="497"/>
      <c r="B247" s="498"/>
      <c r="C247" s="1096"/>
      <c r="D247" s="1097"/>
      <c r="E247" s="1097"/>
      <c r="F247" s="1097"/>
      <c r="G247" s="1098"/>
      <c r="H247" s="448"/>
      <c r="I247" s="448"/>
      <c r="J247" s="511"/>
      <c r="K247" s="511"/>
      <c r="L247" s="512" t="s">
        <v>421</v>
      </c>
      <c r="M247" s="513" t="e">
        <f ca="1">M246</f>
        <v>#N/A</v>
      </c>
      <c r="N247" s="514" t="str">
        <f>Uncert!$F$4</f>
        <v>ABS kPa</v>
      </c>
      <c r="O247" s="513" t="e">
        <f ca="1">O246</f>
        <v>#N/A</v>
      </c>
      <c r="P247" s="464" t="s">
        <v>422</v>
      </c>
      <c r="Q247" s="483" t="e">
        <f ca="1">VLOOKUP(VLOOKUP(I226,Worksheet!$A$18:$B$31,2),'1Test Data'!$O$30:$AP$49,28,0)</f>
        <v>#N/A</v>
      </c>
      <c r="R247" s="453"/>
      <c r="S247" s="453"/>
      <c r="T247" s="453"/>
      <c r="U247" s="455"/>
    </row>
    <row r="248" spans="1:21" s="440" customFormat="1">
      <c r="A248" s="497"/>
      <c r="B248" s="498"/>
      <c r="C248" s="498" t="s">
        <v>423</v>
      </c>
      <c r="D248" s="448"/>
      <c r="E248" s="448"/>
      <c r="F248" s="448"/>
      <c r="G248" s="448"/>
      <c r="H248" s="515" t="e">
        <f>"N " &amp; ReadoutType</f>
        <v>#NAME?</v>
      </c>
      <c r="I248" s="516" t="e">
        <f ca="1">($O249/$K237)</f>
        <v>#N/A</v>
      </c>
      <c r="J248" s="448"/>
      <c r="K248" s="448"/>
      <c r="L248" s="505"/>
      <c r="M248" s="517" t="e">
        <f ca="1">(M247/F226)*100</f>
        <v>#N/A</v>
      </c>
      <c r="N248" s="518" t="s">
        <v>78</v>
      </c>
      <c r="O248" s="517"/>
      <c r="P248" s="519"/>
      <c r="Q248" s="519"/>
      <c r="R248" s="453"/>
      <c r="S248" s="453"/>
      <c r="T248" s="453"/>
      <c r="U248" s="455"/>
    </row>
    <row r="249" spans="1:21" s="440" customFormat="1">
      <c r="A249" s="497"/>
      <c r="B249" s="498"/>
      <c r="C249" s="520" t="s">
        <v>33</v>
      </c>
      <c r="D249" s="521" t="str">
        <f ca="1">Gravity</f>
        <v/>
      </c>
      <c r="E249" s="520" t="s">
        <v>36</v>
      </c>
      <c r="F249" s="522"/>
      <c r="G249" s="523"/>
      <c r="H249" s="524" t="e">
        <f>ReadoutType</f>
        <v>#NAME?</v>
      </c>
      <c r="I249" s="516" t="e">
        <f ca="1">($M249/$K237)</f>
        <v>#N/A</v>
      </c>
      <c r="J249" s="1103" t="s">
        <v>424</v>
      </c>
      <c r="K249" s="1104"/>
      <c r="L249" s="1104"/>
      <c r="M249" s="525" t="e">
        <f ca="1">IF(NATA="Y",IF(M247&lt;Scopekpa,IF(Scopekpa&lt;((F226/100)*ScopeReading),((F226/100)*ScopeReading),Scopekpa),IF(M247&lt;((F226/100)*ScopeReading),((F226/100)*ScopeReading),M247)),Uncert!M247)</f>
        <v>#N/A</v>
      </c>
      <c r="N249" s="522" t="s">
        <v>425</v>
      </c>
      <c r="O249" s="525" t="e">
        <f ca="1">IF(NATA="Y",IF(O247&lt;Scopekpa,IF(Scopekpa&lt;((F226/100)*ScopeReading),((F226/100)*ScopeReading),Scopekpa),IF(O247&lt;((F226/100)*ScopeReading),((F226/100)*ScopeReading),O247)),Uncert!O247)</f>
        <v>#N/A</v>
      </c>
      <c r="P249" s="522"/>
      <c r="Q249" s="522"/>
      <c r="R249" s="453"/>
      <c r="S249" s="453"/>
      <c r="T249" s="453"/>
      <c r="U249" s="455"/>
    </row>
    <row r="250" spans="1:21" s="440" customFormat="1" ht="14.25" thickBot="1">
      <c r="A250" s="526" t="str">
        <f>"Worksheet!A" &amp; 17+(ROW()/25)</f>
        <v>Worksheet!A27</v>
      </c>
      <c r="B250" s="527"/>
      <c r="C250" s="527"/>
      <c r="D250" s="528">
        <f>ROW()/25</f>
        <v>10</v>
      </c>
      <c r="E250" s="529"/>
      <c r="F250" s="529"/>
      <c r="G250" s="529"/>
      <c r="H250" s="529"/>
      <c r="I250" s="530"/>
      <c r="J250" s="1105" t="s">
        <v>424</v>
      </c>
      <c r="K250" s="1105"/>
      <c r="L250" s="1105"/>
      <c r="M250" s="531" t="e">
        <f ca="1">IF(NATA="Y",IF(M248&lt;ScopeReading,ScopeReading,M248),M248)</f>
        <v>#N/A</v>
      </c>
      <c r="N250" s="532" t="s">
        <v>78</v>
      </c>
      <c r="O250" s="531"/>
      <c r="P250" s="532"/>
      <c r="Q250" s="527"/>
      <c r="R250" s="527"/>
      <c r="S250" s="527"/>
      <c r="T250" s="527"/>
      <c r="U250" s="533"/>
    </row>
    <row r="251" spans="1:21" s="440" customFormat="1">
      <c r="A251" s="1099" t="e">
        <f ca="1">"Uncertainty Budget: Digital Pressure Gauge (" &amp; Q251&amp; ", "&amp; Q252 &amp; H251 &amp;" x " &amp; Division   &amp;H251 &amp; " )" &amp; " Test Point "&amp;D275</f>
        <v>#N/A</v>
      </c>
      <c r="B251" s="1100"/>
      <c r="C251" s="1100"/>
      <c r="D251" s="1100"/>
      <c r="E251" s="1100"/>
      <c r="F251" s="1101">
        <f ca="1">ABS(I251*UnitConvert)</f>
        <v>0</v>
      </c>
      <c r="G251" s="1102"/>
      <c r="H251" s="428" t="s">
        <v>371</v>
      </c>
      <c r="I251" s="429">
        <f ca="1">INDIRECT(A275)</f>
        <v>0</v>
      </c>
      <c r="J251" s="430" t="str">
        <f>_xlfn.SINGLE(Units)</f>
        <v>mm</v>
      </c>
      <c r="K251" s="431" t="e">
        <f ca="1">IF(C254="","","Uncertainty (U) = ±"&amp;TEXT(M272,"0.0")&amp;$F$4&amp;",  &amp;  (k="&amp;TEXT(M270,"0.00")&amp;", confidence level=95%)")</f>
        <v>#N/A</v>
      </c>
      <c r="L251" s="432"/>
      <c r="M251" s="432"/>
      <c r="N251" s="432"/>
      <c r="O251" s="433"/>
      <c r="P251" s="434" t="s">
        <v>372</v>
      </c>
      <c r="Q251" s="435" t="e">
        <f ca="1">VLOOKUP(VLOOKUP(I251,Worksheet!$A$18:$B$31,2),'1Test Data'!$M$6:$O$10,2,0)</f>
        <v>#N/A</v>
      </c>
      <c r="R251" s="436"/>
      <c r="S251" s="436"/>
      <c r="T251" s="437" t="str">
        <f ca="1">"TEX Ver "&amp;Mods!$A$1</f>
        <v>TEX Ver TAS-SST001v1</v>
      </c>
      <c r="U251" s="438"/>
    </row>
    <row r="252" spans="1:21" s="440" customFormat="1">
      <c r="A252" s="442" t="s">
        <v>373</v>
      </c>
      <c r="B252" s="443"/>
      <c r="C252" s="444"/>
      <c r="D252" s="445" t="s">
        <v>374</v>
      </c>
      <c r="E252" s="446" t="e">
        <f ca="1">Q252</f>
        <v>#N/A</v>
      </c>
      <c r="F252" s="447"/>
      <c r="G252" s="447" t="e">
        <f ca="1">ROUND(M272/(F251/100),2)&amp;"% of Full Scale"</f>
        <v>#N/A</v>
      </c>
      <c r="H252" s="448"/>
      <c r="I252" s="448"/>
      <c r="J252" s="449" t="e">
        <f ca="1">M273</f>
        <v>#N/A</v>
      </c>
      <c r="K252" s="448"/>
      <c r="L252" s="450"/>
      <c r="M252" s="450"/>
      <c r="N252" s="450"/>
      <c r="O252" s="433"/>
      <c r="P252" s="451" t="s">
        <v>375</v>
      </c>
      <c r="Q252" s="452" t="e">
        <f ca="1">VLOOKUP(VLOOKUP(I251,Worksheet!$A$18:$B$31,2),'1Test Data'!$O$30:$T$49,6,0)</f>
        <v>#N/A</v>
      </c>
      <c r="R252" s="453">
        <v>0</v>
      </c>
      <c r="S252" s="453"/>
      <c r="T252" s="454">
        <f ca="1">Mods!$A$4</f>
        <v>45809.486168981479</v>
      </c>
      <c r="U252" s="455"/>
    </row>
    <row r="253" spans="1:21" s="440" customFormat="1" ht="38.25">
      <c r="A253" s="458" t="s">
        <v>376</v>
      </c>
      <c r="B253" s="459" t="s">
        <v>377</v>
      </c>
      <c r="C253" s="460" t="s">
        <v>378</v>
      </c>
      <c r="D253" s="460" t="s">
        <v>379</v>
      </c>
      <c r="E253" s="460" t="s">
        <v>380</v>
      </c>
      <c r="F253" s="460" t="s">
        <v>381</v>
      </c>
      <c r="G253" s="460" t="s">
        <v>178</v>
      </c>
      <c r="H253" s="461" t="s">
        <v>382</v>
      </c>
      <c r="I253" s="461" t="s">
        <v>383</v>
      </c>
      <c r="J253" s="462" t="s">
        <v>384</v>
      </c>
      <c r="K253" s="463" t="s">
        <v>385</v>
      </c>
      <c r="L253" s="461" t="s">
        <v>386</v>
      </c>
      <c r="M253" s="461" t="s">
        <v>387</v>
      </c>
      <c r="N253" s="461" t="s">
        <v>388</v>
      </c>
      <c r="O253" s="461" t="s">
        <v>389</v>
      </c>
      <c r="P253" s="464" t="s">
        <v>390</v>
      </c>
      <c r="Q253" s="452" t="e">
        <f ca="1">VLOOKUP(VLOOKUP(I251,Worksheet!$A$18:$B$31,2),'1Test Data'!$O$30:$V$49,8,0)</f>
        <v>#N/A</v>
      </c>
      <c r="R253" s="465" t="s">
        <v>391</v>
      </c>
      <c r="S253" s="465" t="s">
        <v>391</v>
      </c>
      <c r="T253" s="466" t="s">
        <v>392</v>
      </c>
      <c r="U253" s="467"/>
    </row>
    <row r="254" spans="1:21" s="440" customFormat="1" ht="18" customHeight="1">
      <c r="A254" s="470">
        <v>1</v>
      </c>
      <c r="B254" s="471">
        <f>$B$4</f>
        <v>1</v>
      </c>
      <c r="C254" s="472" t="e">
        <f ca="1">"Reference Device  ("&amp;Q252&amp;" Druck Transducer) + Sey
Uncertainty from Calibration Report - "&amp;Q251</f>
        <v>#N/A</v>
      </c>
      <c r="D254" s="471" t="s">
        <v>393</v>
      </c>
      <c r="E254" s="473" t="e">
        <f ca="1">Q258+Q259</f>
        <v>#N/A</v>
      </c>
      <c r="F254" s="474" t="str">
        <f>H251</f>
        <v>ABS kPa</v>
      </c>
      <c r="G254" s="475" t="str">
        <f>IF(OR(D254="",B254=0),"",IF(D254="ESDM","A","B"))</f>
        <v>B</v>
      </c>
      <c r="H254" s="476" t="e">
        <f ca="1">IF(OR(E254="",B254=0),"",IF(D254="ESDM",1,IF(D254="N95",2,IF(D254="Rect",(3^0.5)))))</f>
        <v>#N/A</v>
      </c>
      <c r="I254" s="477">
        <f>IF(D254="N95",60,100)</f>
        <v>60</v>
      </c>
      <c r="J254" s="478" t="e">
        <f ca="1">IF(OR(E254="",B254=0),"",(E254/H254))</f>
        <v>#N/A</v>
      </c>
      <c r="K254" s="479">
        <v>1</v>
      </c>
      <c r="L254" s="480" t="e">
        <f ca="1">IF(OR(E254="",B254=0),"",K254*J254)</f>
        <v>#N/A</v>
      </c>
      <c r="M254" s="480" t="e">
        <f t="shared" ref="M254:M265" ca="1" si="100">IF(OR(E254="",B254=0),"0",L254^2)</f>
        <v>#N/A</v>
      </c>
      <c r="N254" s="481" t="e">
        <f t="shared" ref="N254:N265" ca="1" si="101">IF(OR(D254="",B254=0),"0",(L254)^4/I254)</f>
        <v>#N/A</v>
      </c>
      <c r="O254" s="482" t="e">
        <f t="shared" ref="O254:O265" ca="1" si="102">T254</f>
        <v>#N/A</v>
      </c>
      <c r="P254" s="464" t="s">
        <v>394</v>
      </c>
      <c r="Q254" s="483" t="e">
        <f ca="1">VLOOKUP(VLOOKUP(I251,Worksheet!$A$18:$B$31,2),'1Test Data'!$O$30:$Y$49,11,0)</f>
        <v>#N/A</v>
      </c>
      <c r="R254" s="484" t="e">
        <f ca="1">IF(OR(E254="",B254=0),"",K254*J254)</f>
        <v>#N/A</v>
      </c>
      <c r="S254" s="465" t="e">
        <f ca="1">IF(OR(E254="",B254=0),"",ABS(R254))</f>
        <v>#N/A</v>
      </c>
      <c r="T254" s="465" t="e">
        <f ca="1">IF(OR(E254="",B254=0),"",ABS(L254/S266))</f>
        <v>#N/A</v>
      </c>
      <c r="U254" s="485"/>
    </row>
    <row r="255" spans="1:21" s="440" customFormat="1" ht="27" customHeight="1">
      <c r="A255" s="470">
        <v>2</v>
      </c>
      <c r="B255" s="471">
        <f>$B$5</f>
        <v>1</v>
      </c>
      <c r="C255" s="472" t="e">
        <f ca="1">"Reference Device  Specs +Sey
(" &amp; Q252 &amp; H251 &amp; " Druck Transducer)
"&amp;Q253 &amp; "% of F.S. from Calibration Report - " &amp; Q251</f>
        <v>#N/A</v>
      </c>
      <c r="D255" s="471" t="s">
        <v>395</v>
      </c>
      <c r="E255" s="473" t="e">
        <f ca="1">Q271+Q272</f>
        <v>#N/A</v>
      </c>
      <c r="F255" s="474" t="e">
        <f ca="1">IF(OR(E255="",B255=0),"",$F$4)</f>
        <v>#N/A</v>
      </c>
      <c r="G255" s="475" t="str">
        <f t="shared" ref="G255:G265" si="103">IF(OR(D255="",B255=0),"",IF(D255="ESDM","A","B"))</f>
        <v>B</v>
      </c>
      <c r="H255" s="476" t="e">
        <f t="shared" ref="H255:H265" ca="1" si="104">IF(OR(E255="",B255=0),"",IF(D255="ESDM",1,IF(D255="N95",2,IF(D255="Rect",(3^0.5)))))</f>
        <v>#N/A</v>
      </c>
      <c r="I255" s="477">
        <f t="shared" ref="I255:I265" si="105">IF(D255="N95",60,100)</f>
        <v>100</v>
      </c>
      <c r="J255" s="478" t="e">
        <f t="shared" ref="J255:J265" ca="1" si="106">IF(OR(E255="",B255=0),"",(E255/H255))</f>
        <v>#N/A</v>
      </c>
      <c r="K255" s="479">
        <v>1</v>
      </c>
      <c r="L255" s="480" t="e">
        <f t="shared" ref="L255:L265" ca="1" si="107">IF(OR(E255="",B255=0),"",K255*J255)</f>
        <v>#N/A</v>
      </c>
      <c r="M255" s="480" t="e">
        <f t="shared" ca="1" si="100"/>
        <v>#N/A</v>
      </c>
      <c r="N255" s="481" t="e">
        <f t="shared" ca="1" si="101"/>
        <v>#N/A</v>
      </c>
      <c r="O255" s="482" t="e">
        <f t="shared" ca="1" si="102"/>
        <v>#N/A</v>
      </c>
      <c r="P255" s="464" t="s">
        <v>396</v>
      </c>
      <c r="Q255" s="483" t="e">
        <f ca="1">VLOOKUP(VLOOKUP(I251,Worksheet!$A$18:$B$31,2),'1Test Data'!$O$30:$Z$49,12,0)</f>
        <v>#N/A</v>
      </c>
      <c r="R255" s="484" t="e">
        <f t="shared" ref="R255:R265" ca="1" si="108">IF(OR(E255="",B255=0),"",K255*J255)</f>
        <v>#N/A</v>
      </c>
      <c r="S255" s="465" t="e">
        <f t="shared" ref="S255:S265" ca="1" si="109">IF(OR(E255="",B255=0),"",ABS(R255))</f>
        <v>#N/A</v>
      </c>
      <c r="T255" s="465" t="e">
        <f ca="1">IF(OR(E255="",B255=0),"",ABS(L255/S266))</f>
        <v>#N/A</v>
      </c>
      <c r="U255" s="485"/>
    </row>
    <row r="256" spans="1:21" s="440" customFormat="1" ht="18" customHeight="1">
      <c r="A256" s="470">
        <v>3</v>
      </c>
      <c r="B256" s="471">
        <f>$B$6</f>
        <v>1</v>
      </c>
      <c r="C256" s="472" t="s">
        <v>397</v>
      </c>
      <c r="D256" s="471" t="s">
        <v>395</v>
      </c>
      <c r="E256" s="473" t="e">
        <f ca="1">Q260*F251/100</f>
        <v>#N/A</v>
      </c>
      <c r="F256" s="474" t="e">
        <f ca="1">IF(OR(E256="",B256=0),"",$F$4)</f>
        <v>#N/A</v>
      </c>
      <c r="G256" s="475" t="str">
        <f t="shared" si="103"/>
        <v>B</v>
      </c>
      <c r="H256" s="476" t="e">
        <f t="shared" ca="1" si="104"/>
        <v>#N/A</v>
      </c>
      <c r="I256" s="477">
        <f t="shared" si="105"/>
        <v>100</v>
      </c>
      <c r="J256" s="478" t="e">
        <f t="shared" ca="1" si="106"/>
        <v>#N/A</v>
      </c>
      <c r="K256" s="479">
        <v>1</v>
      </c>
      <c r="L256" s="480" t="e">
        <f t="shared" ca="1" si="107"/>
        <v>#N/A</v>
      </c>
      <c r="M256" s="480" t="e">
        <f t="shared" ca="1" si="100"/>
        <v>#N/A</v>
      </c>
      <c r="N256" s="481" t="e">
        <f t="shared" ca="1" si="101"/>
        <v>#N/A</v>
      </c>
      <c r="O256" s="482" t="e">
        <f t="shared" ca="1" si="102"/>
        <v>#N/A</v>
      </c>
      <c r="P256" s="464" t="s">
        <v>201</v>
      </c>
      <c r="Q256" s="483" t="e">
        <f ca="1">VLOOKUP(VLOOKUP(I251,Worksheet!$A$18:$B$31,2),'1Test Data'!$O$30:$AA$49,13,0)</f>
        <v>#N/A</v>
      </c>
      <c r="R256" s="484" t="e">
        <f t="shared" ca="1" si="108"/>
        <v>#N/A</v>
      </c>
      <c r="S256" s="465" t="e">
        <f t="shared" ca="1" si="109"/>
        <v>#N/A</v>
      </c>
      <c r="T256" s="465" t="e">
        <f ca="1">IF(OR(E256="",B256=0),"",ABS(L256/S266))</f>
        <v>#N/A</v>
      </c>
      <c r="U256" s="485"/>
    </row>
    <row r="257" spans="1:21" s="440" customFormat="1" ht="18" customHeight="1">
      <c r="A257" s="470">
        <v>4</v>
      </c>
      <c r="B257" s="471" t="e">
        <f>$B$7</f>
        <v>#NAME?</v>
      </c>
      <c r="C257" s="472" t="s">
        <v>398</v>
      </c>
      <c r="D257" s="471" t="s">
        <v>395</v>
      </c>
      <c r="E257" s="473">
        <f>EDMS*UnitConvert</f>
        <v>0</v>
      </c>
      <c r="F257" s="474" t="e">
        <f>IF(OR(E257="",B257=0),"",$F$4)</f>
        <v>#NAME?</v>
      </c>
      <c r="G257" s="475" t="e">
        <f t="shared" si="103"/>
        <v>#NAME?</v>
      </c>
      <c r="H257" s="476" t="e">
        <f t="shared" si="104"/>
        <v>#NAME?</v>
      </c>
      <c r="I257" s="477">
        <f t="shared" si="105"/>
        <v>100</v>
      </c>
      <c r="J257" s="478" t="e">
        <f t="shared" si="106"/>
        <v>#NAME?</v>
      </c>
      <c r="K257" s="479">
        <v>1</v>
      </c>
      <c r="L257" s="480" t="e">
        <f t="shared" si="107"/>
        <v>#NAME?</v>
      </c>
      <c r="M257" s="480" t="e">
        <f t="shared" si="100"/>
        <v>#NAME?</v>
      </c>
      <c r="N257" s="481" t="e">
        <f t="shared" si="101"/>
        <v>#NAME?</v>
      </c>
      <c r="O257" s="482" t="e">
        <f t="shared" si="102"/>
        <v>#NAME?</v>
      </c>
      <c r="P257" s="464" t="s">
        <v>88</v>
      </c>
      <c r="Q257" s="483" t="e">
        <f ca="1">VLOOKUP(VLOOKUP(I251,Worksheet!$A$18:$B$31,2),'1Test Data'!$O$30:$AB$49,14,0)</f>
        <v>#N/A</v>
      </c>
      <c r="R257" s="484" t="e">
        <f t="shared" si="108"/>
        <v>#NAME?</v>
      </c>
      <c r="S257" s="465" t="e">
        <f t="shared" si="109"/>
        <v>#NAME?</v>
      </c>
      <c r="T257" s="465" t="e">
        <f>IF(OR(E257="",B257=0),"",ABS(L257/S266))</f>
        <v>#NAME?</v>
      </c>
      <c r="U257" s="485"/>
    </row>
    <row r="258" spans="1:21" s="440" customFormat="1" ht="27">
      <c r="A258" s="470">
        <v>5</v>
      </c>
      <c r="B258" s="471">
        <f>$B$8</f>
        <v>0</v>
      </c>
      <c r="C258" s="472" t="str">
        <f>C33</f>
        <v>Gravity -0.001 m/s2 Sensitivity = Test Pressure / Gravity</v>
      </c>
      <c r="D258" s="471" t="s">
        <v>395</v>
      </c>
      <c r="E258" s="473">
        <f>E8</f>
        <v>1E-3</v>
      </c>
      <c r="F258" s="474" t="s">
        <v>400</v>
      </c>
      <c r="G258" s="475" t="str">
        <f t="shared" si="103"/>
        <v/>
      </c>
      <c r="H258" s="476" t="str">
        <f t="shared" si="104"/>
        <v/>
      </c>
      <c r="I258" s="477">
        <f t="shared" si="105"/>
        <v>100</v>
      </c>
      <c r="J258" s="478" t="str">
        <f t="shared" si="106"/>
        <v/>
      </c>
      <c r="K258" s="479">
        <f ca="1">F251*E258</f>
        <v>0</v>
      </c>
      <c r="L258" s="480" t="str">
        <f t="shared" si="107"/>
        <v/>
      </c>
      <c r="M258" s="480" t="str">
        <f t="shared" si="100"/>
        <v>0</v>
      </c>
      <c r="N258" s="481" t="str">
        <f t="shared" si="101"/>
        <v>0</v>
      </c>
      <c r="O258" s="482" t="str">
        <f>IFERROR(T258,0)</f>
        <v/>
      </c>
      <c r="P258" s="492" t="s">
        <v>401</v>
      </c>
      <c r="Q258" s="493" t="e">
        <f ca="1">ABS(Q254*F251^3+Q255*F251^2+Q256*F251+Q257)</f>
        <v>#N/A</v>
      </c>
      <c r="R258" s="484" t="str">
        <f t="shared" si="108"/>
        <v/>
      </c>
      <c r="S258" s="465" t="str">
        <f t="shared" si="109"/>
        <v/>
      </c>
      <c r="T258" s="465" t="str">
        <f>IF(OR(E258="",B258=0),"",ABS(L258/S266))</f>
        <v/>
      </c>
      <c r="U258" s="485"/>
    </row>
    <row r="259" spans="1:21" s="440" customFormat="1" ht="27">
      <c r="A259" s="470">
        <v>6</v>
      </c>
      <c r="B259" s="471">
        <f>$B$9</f>
        <v>0</v>
      </c>
      <c r="C259" s="472" t="s">
        <v>402</v>
      </c>
      <c r="D259" s="471" t="s">
        <v>395</v>
      </c>
      <c r="E259" s="473">
        <v>2</v>
      </c>
      <c r="F259" s="474" t="s">
        <v>403</v>
      </c>
      <c r="G259" s="475" t="str">
        <f t="shared" si="103"/>
        <v/>
      </c>
      <c r="H259" s="476" t="str">
        <f t="shared" si="104"/>
        <v/>
      </c>
      <c r="I259" s="477">
        <f t="shared" si="105"/>
        <v>100</v>
      </c>
      <c r="J259" s="478" t="str">
        <f t="shared" si="106"/>
        <v/>
      </c>
      <c r="K259" s="479">
        <f ca="1">F251*-0.000022</f>
        <v>0</v>
      </c>
      <c r="L259" s="480" t="str">
        <f t="shared" si="107"/>
        <v/>
      </c>
      <c r="M259" s="480" t="str">
        <f t="shared" si="100"/>
        <v>0</v>
      </c>
      <c r="N259" s="481" t="str">
        <f t="shared" si="101"/>
        <v>0</v>
      </c>
      <c r="O259" s="482" t="str">
        <f t="shared" si="102"/>
        <v/>
      </c>
      <c r="P259" s="494" t="s">
        <v>404</v>
      </c>
      <c r="Q259" s="483" t="e">
        <f ca="1">VLOOKUP(VLOOKUP(I251,Worksheet!$A$18:$B$31,2),'1Test Data'!$O$30:$AD$49,14,0)</f>
        <v>#N/A</v>
      </c>
      <c r="R259" s="484" t="str">
        <f t="shared" si="108"/>
        <v/>
      </c>
      <c r="S259" s="465" t="str">
        <f t="shared" si="109"/>
        <v/>
      </c>
      <c r="T259" s="465" t="str">
        <f>IF(OR(E259="",B259=0),"",ABS(L259/S266))</f>
        <v/>
      </c>
      <c r="U259" s="485"/>
    </row>
    <row r="260" spans="1:21" s="440" customFormat="1" ht="27">
      <c r="A260" s="470">
        <v>7</v>
      </c>
      <c r="B260" s="471">
        <f>$B$10</f>
        <v>0</v>
      </c>
      <c r="C260" s="472" t="s">
        <v>405</v>
      </c>
      <c r="D260" s="471" t="s">
        <v>395</v>
      </c>
      <c r="E260" s="473">
        <v>0.5</v>
      </c>
      <c r="F260" s="474" t="s">
        <v>406</v>
      </c>
      <c r="G260" s="475" t="str">
        <f t="shared" si="103"/>
        <v/>
      </c>
      <c r="H260" s="476" t="str">
        <f t="shared" si="104"/>
        <v/>
      </c>
      <c r="I260" s="477">
        <f t="shared" si="105"/>
        <v>100</v>
      </c>
      <c r="J260" s="478" t="str">
        <f t="shared" si="106"/>
        <v/>
      </c>
      <c r="K260" s="479">
        <f ca="1">(0.098*F251)/1000</f>
        <v>0</v>
      </c>
      <c r="L260" s="480" t="str">
        <f t="shared" si="107"/>
        <v/>
      </c>
      <c r="M260" s="480" t="str">
        <f t="shared" si="100"/>
        <v>0</v>
      </c>
      <c r="N260" s="481" t="str">
        <f t="shared" si="101"/>
        <v>0</v>
      </c>
      <c r="O260" s="482" t="str">
        <f t="shared" si="102"/>
        <v/>
      </c>
      <c r="P260" s="464" t="s">
        <v>407</v>
      </c>
      <c r="Q260" s="452" t="e">
        <f ca="1">VLOOKUP(VLOOKUP(I251,Worksheet!$A$18:$B$31,2),'1Test Data'!$O$30:$X$49,10,0)</f>
        <v>#N/A</v>
      </c>
      <c r="R260" s="484" t="str">
        <f t="shared" si="108"/>
        <v/>
      </c>
      <c r="S260" s="465" t="str">
        <f t="shared" si="109"/>
        <v/>
      </c>
      <c r="T260" s="465" t="str">
        <f>IF(OR(E260="",B260=0),"",ABS(L260/S266))</f>
        <v/>
      </c>
      <c r="U260" s="485"/>
    </row>
    <row r="261" spans="1:21" s="440" customFormat="1" ht="27">
      <c r="A261" s="470">
        <v>8</v>
      </c>
      <c r="B261" s="471">
        <f>$B$11</f>
        <v>0</v>
      </c>
      <c r="C261" s="472" t="s">
        <v>408</v>
      </c>
      <c r="D261" s="471" t="s">
        <v>395</v>
      </c>
      <c r="E261" s="473">
        <v>0.05</v>
      </c>
      <c r="F261" s="474" t="s">
        <v>406</v>
      </c>
      <c r="G261" s="475" t="str">
        <f t="shared" si="103"/>
        <v/>
      </c>
      <c r="H261" s="476" t="str">
        <f t="shared" si="104"/>
        <v/>
      </c>
      <c r="I261" s="477">
        <f t="shared" si="105"/>
        <v>100</v>
      </c>
      <c r="J261" s="478" t="str">
        <f t="shared" si="106"/>
        <v/>
      </c>
      <c r="K261" s="479">
        <f ca="1">F251/8000</f>
        <v>0</v>
      </c>
      <c r="L261" s="480" t="str">
        <f t="shared" si="107"/>
        <v/>
      </c>
      <c r="M261" s="480" t="str">
        <f t="shared" si="100"/>
        <v>0</v>
      </c>
      <c r="N261" s="481" t="str">
        <f t="shared" si="101"/>
        <v>0</v>
      </c>
      <c r="O261" s="482" t="str">
        <f t="shared" si="102"/>
        <v/>
      </c>
      <c r="P261" s="464" t="s">
        <v>394</v>
      </c>
      <c r="Q261" s="483" t="e">
        <f ca="1">VLOOKUP(VLOOKUP(I251,Worksheet!$A$18:$B$31,2),'1Test Data'!$O$30:$AE$49,17,0)</f>
        <v>#N/A</v>
      </c>
      <c r="R261" s="484" t="str">
        <f t="shared" si="108"/>
        <v/>
      </c>
      <c r="S261" s="465" t="str">
        <f t="shared" si="109"/>
        <v/>
      </c>
      <c r="T261" s="465" t="str">
        <f>IF(OR(E261="",B261=0),"",ABS(L261/S266))</f>
        <v/>
      </c>
      <c r="U261" s="485"/>
    </row>
    <row r="262" spans="1:21" s="440" customFormat="1" ht="13.5" customHeight="1">
      <c r="A262" s="470">
        <v>9</v>
      </c>
      <c r="B262" s="471" t="e">
        <f>$B$12</f>
        <v>#NAME?</v>
      </c>
      <c r="C262" s="472" t="str">
        <f>"Electrical reference devise" &amp; '1Test Data'!$O$3 &amp;  CHAR(10) &amp; "SN: " &amp; '1Test Data'!$P$3 &amp; ", Cert No: " &amp; '1Test Data'!$Q$3</f>
        <v>Electrical reference devisea
SN: b, Cert No: c</v>
      </c>
      <c r="D262" s="471" t="s">
        <v>395</v>
      </c>
      <c r="E262" s="473">
        <f>ElectUncert</f>
        <v>2E-3</v>
      </c>
      <c r="F262" s="474" t="e">
        <f>IF(OR(E262="",B262=0),"",ReadoutType)</f>
        <v>#NAME?</v>
      </c>
      <c r="G262" s="475" t="e">
        <f t="shared" si="103"/>
        <v>#NAME?</v>
      </c>
      <c r="H262" s="476" t="e">
        <f t="shared" si="104"/>
        <v>#NAME?</v>
      </c>
      <c r="I262" s="477">
        <f t="shared" si="105"/>
        <v>100</v>
      </c>
      <c r="J262" s="478" t="e">
        <f t="shared" si="106"/>
        <v>#NAME?</v>
      </c>
      <c r="K262" s="479" t="e">
        <f>Capacity/(Upper-Lower)</f>
        <v>#NAME?</v>
      </c>
      <c r="L262" s="480" t="e">
        <f t="shared" si="107"/>
        <v>#NAME?</v>
      </c>
      <c r="M262" s="480" t="e">
        <f t="shared" si="100"/>
        <v>#NAME?</v>
      </c>
      <c r="N262" s="481" t="e">
        <f t="shared" si="101"/>
        <v>#NAME?</v>
      </c>
      <c r="O262" s="482" t="e">
        <f t="shared" si="102"/>
        <v>#NAME?</v>
      </c>
      <c r="P262" s="464" t="s">
        <v>396</v>
      </c>
      <c r="Q262" s="483" t="e">
        <f ca="1">VLOOKUP(VLOOKUP(I251,Worksheet!$A$18:$B$31,2),'1Test Data'!$O$30:$AF$49,18,0)</f>
        <v>#N/A</v>
      </c>
      <c r="R262" s="484" t="e">
        <f t="shared" si="108"/>
        <v>#NAME?</v>
      </c>
      <c r="S262" s="465" t="e">
        <f t="shared" si="109"/>
        <v>#NAME?</v>
      </c>
      <c r="T262" s="465" t="e">
        <f>IF(OR(E262="",B262=0),"",ABS(L262/S266))</f>
        <v>#NAME?</v>
      </c>
      <c r="U262" s="485"/>
    </row>
    <row r="263" spans="1:21" s="440" customFormat="1" ht="18" customHeight="1">
      <c r="A263" s="470">
        <v>10</v>
      </c>
      <c r="B263" s="471">
        <f>$B$13</f>
        <v>1</v>
      </c>
      <c r="C263" s="472" t="s">
        <v>409</v>
      </c>
      <c r="D263" s="471" t="s">
        <v>395</v>
      </c>
      <c r="E263" s="473">
        <f>Worksheet!D28*UnitConvert</f>
        <v>0</v>
      </c>
      <c r="F263" s="474" t="str">
        <f>IF(OR(E263="",B263=0),"",$F$4)</f>
        <v>ABS kPa</v>
      </c>
      <c r="G263" s="475" t="str">
        <f t="shared" si="103"/>
        <v>B</v>
      </c>
      <c r="H263" s="476">
        <f t="shared" si="104"/>
        <v>1.7320508075688772</v>
      </c>
      <c r="I263" s="477">
        <f t="shared" si="105"/>
        <v>100</v>
      </c>
      <c r="J263" s="478">
        <f t="shared" si="106"/>
        <v>0</v>
      </c>
      <c r="K263" s="479">
        <v>1</v>
      </c>
      <c r="L263" s="480">
        <f t="shared" si="107"/>
        <v>0</v>
      </c>
      <c r="M263" s="480">
        <f t="shared" si="100"/>
        <v>0</v>
      </c>
      <c r="N263" s="481">
        <f t="shared" si="101"/>
        <v>0</v>
      </c>
      <c r="O263" s="482" t="e">
        <f t="shared" ca="1" si="102"/>
        <v>#N/A</v>
      </c>
      <c r="P263" s="464" t="s">
        <v>201</v>
      </c>
      <c r="Q263" s="483" t="e">
        <f ca="1">VLOOKUP(VLOOKUP(I251,Worksheet!$A$18:$B$31,2),'1Test Data'!$O$30:$AG$49,19,0)</f>
        <v>#N/A</v>
      </c>
      <c r="R263" s="484">
        <f t="shared" si="108"/>
        <v>0</v>
      </c>
      <c r="S263" s="465">
        <f t="shared" si="109"/>
        <v>0</v>
      </c>
      <c r="T263" s="465" t="e">
        <f ca="1">IF(OR(E263="",B263=0),"",ABS(L263/S266))</f>
        <v>#N/A</v>
      </c>
      <c r="U263" s="485"/>
    </row>
    <row r="264" spans="1:21" s="440" customFormat="1" ht="13.5" customHeight="1">
      <c r="A264" s="470">
        <v>11</v>
      </c>
      <c r="B264" s="471" t="e">
        <f>$B$14</f>
        <v>#NAME?</v>
      </c>
      <c r="C264" s="496" t="e">
        <f>"DUT Type " &amp;ReadoutType&amp; " Resolution "&amp;Readability &amp; "kPa
Digital - Type B - Rect - 1/2 of  least count with D of F = 100 &amp; (k=1.73)
Analogue - Type B - N95 - Best scale readability with D of F = 60 &amp; k=2.00"</f>
        <v>#NAME?</v>
      </c>
      <c r="D264" s="471" t="e">
        <f>IF(ReadoutType="Digital","Rect","N95")</f>
        <v>#NAME?</v>
      </c>
      <c r="E264" s="473" t="e">
        <f>IF(Elect=1,($K262)/1000,IF(ReadoutType="Digital",Readability/2,Readability)*UnitConvert)</f>
        <v>#NAME?</v>
      </c>
      <c r="F264" s="474" t="e">
        <f>IF(OR(E264="",B264=0),"",$F$4)</f>
        <v>#NAME?</v>
      </c>
      <c r="G264" s="475" t="e">
        <f t="shared" si="103"/>
        <v>#NAME?</v>
      </c>
      <c r="H264" s="476" t="e">
        <f t="shared" si="104"/>
        <v>#NAME?</v>
      </c>
      <c r="I264" s="477" t="e">
        <f t="shared" si="105"/>
        <v>#NAME?</v>
      </c>
      <c r="J264" s="478" t="e">
        <f t="shared" si="106"/>
        <v>#NAME?</v>
      </c>
      <c r="K264" s="479">
        <v>1</v>
      </c>
      <c r="L264" s="480" t="e">
        <f t="shared" si="107"/>
        <v>#NAME?</v>
      </c>
      <c r="M264" s="480" t="e">
        <f t="shared" si="100"/>
        <v>#NAME?</v>
      </c>
      <c r="N264" s="481" t="e">
        <f t="shared" si="101"/>
        <v>#NAME?</v>
      </c>
      <c r="O264" s="482" t="e">
        <f t="shared" si="102"/>
        <v>#NAME?</v>
      </c>
      <c r="P264" s="464" t="s">
        <v>88</v>
      </c>
      <c r="Q264" s="483" t="e">
        <f ca="1">VLOOKUP(VLOOKUP(I251,Worksheet!$A$18:$B$31,2),'1Test Data'!$O$30:$AH$49,20,0)</f>
        <v>#N/A</v>
      </c>
      <c r="R264" s="484" t="e">
        <f t="shared" si="108"/>
        <v>#NAME?</v>
      </c>
      <c r="S264" s="465" t="e">
        <f t="shared" si="109"/>
        <v>#NAME?</v>
      </c>
      <c r="T264" s="465" t="e">
        <f>IF(OR(E264="",B264=0),"",ABS(L264/S266))</f>
        <v>#NAME?</v>
      </c>
      <c r="U264" s="485"/>
    </row>
    <row r="265" spans="1:21" s="440" customFormat="1" ht="27">
      <c r="A265" s="470">
        <v>12</v>
      </c>
      <c r="B265" s="471" t="e">
        <f>$B$15</f>
        <v>#NAME?</v>
      </c>
      <c r="C265" s="496" t="s">
        <v>410</v>
      </c>
      <c r="D265" s="471" t="s">
        <v>395</v>
      </c>
      <c r="E265" s="473" t="e">
        <f>E264</f>
        <v>#NAME?</v>
      </c>
      <c r="F265" s="474" t="e">
        <f>IF(OR(E265="",B265=0),"",$F$4)</f>
        <v>#NAME?</v>
      </c>
      <c r="G265" s="475" t="e">
        <f t="shared" si="103"/>
        <v>#NAME?</v>
      </c>
      <c r="H265" s="476" t="e">
        <f t="shared" si="104"/>
        <v>#NAME?</v>
      </c>
      <c r="I265" s="477">
        <f t="shared" si="105"/>
        <v>100</v>
      </c>
      <c r="J265" s="478" t="e">
        <f t="shared" si="106"/>
        <v>#NAME?</v>
      </c>
      <c r="K265" s="479">
        <v>1</v>
      </c>
      <c r="L265" s="480" t="e">
        <f t="shared" si="107"/>
        <v>#NAME?</v>
      </c>
      <c r="M265" s="480" t="e">
        <f t="shared" si="100"/>
        <v>#NAME?</v>
      </c>
      <c r="N265" s="481" t="e">
        <f t="shared" si="101"/>
        <v>#NAME?</v>
      </c>
      <c r="O265" s="482" t="e">
        <f t="shared" si="102"/>
        <v>#NAME?</v>
      </c>
      <c r="P265" s="464" t="s">
        <v>411</v>
      </c>
      <c r="Q265" s="483" t="e">
        <f ca="1">ABS(Q261*F251^3+Q262*F251^2+Q263*F251+Q264)</f>
        <v>#N/A</v>
      </c>
      <c r="R265" s="484" t="e">
        <f t="shared" si="108"/>
        <v>#NAME?</v>
      </c>
      <c r="S265" s="465" t="e">
        <f t="shared" si="109"/>
        <v>#NAME?</v>
      </c>
      <c r="T265" s="465" t="e">
        <f>IF(OR(E265="",B265=0),"",ABS(L265/S266))</f>
        <v>#NAME?</v>
      </c>
      <c r="U265" s="485"/>
    </row>
    <row r="266" spans="1:21" s="440" customFormat="1" ht="25.5">
      <c r="A266" s="497"/>
      <c r="B266" s="498"/>
      <c r="C266" s="448"/>
      <c r="D266" s="448"/>
      <c r="E266" s="448"/>
      <c r="F266" s="448"/>
      <c r="G266" s="448"/>
      <c r="H266" s="448"/>
      <c r="I266" s="484"/>
      <c r="J266" s="448"/>
      <c r="K266" s="448"/>
      <c r="L266" s="499" t="s">
        <v>412</v>
      </c>
      <c r="M266" s="499" t="e">
        <f ca="1">SUM(M254:M265)</f>
        <v>#N/A</v>
      </c>
      <c r="N266" s="500" t="e">
        <f ca="1">SUM(N254:N265)</f>
        <v>#N/A</v>
      </c>
      <c r="O266" s="501" t="e">
        <f ca="1">SUM(O254:O265)</f>
        <v>#N/A</v>
      </c>
      <c r="P266" s="464" t="s">
        <v>413</v>
      </c>
      <c r="Q266" s="483" t="e">
        <f ca="1">VLOOKUP(VLOOKUP(I251,Worksheet!$A$18:$B$31,2),'1Test Data'!$O$30:$AJ$49,22,0)</f>
        <v>#N/A</v>
      </c>
      <c r="R266" s="453"/>
      <c r="S266" s="465" t="e">
        <f ca="1">SUM(S254:S265)</f>
        <v>#N/A</v>
      </c>
      <c r="T266" s="465" t="e">
        <f ca="1">SUM(T254:T265)</f>
        <v>#N/A</v>
      </c>
      <c r="U266" s="455"/>
    </row>
    <row r="267" spans="1:21" s="440" customFormat="1">
      <c r="A267" s="504"/>
      <c r="B267" s="448"/>
      <c r="C267" s="498" t="s">
        <v>414</v>
      </c>
      <c r="D267" s="448"/>
      <c r="E267" s="448"/>
      <c r="F267" s="448"/>
      <c r="G267" s="448"/>
      <c r="H267" s="448"/>
      <c r="I267" s="448"/>
      <c r="J267" s="448"/>
      <c r="K267" s="448"/>
      <c r="L267" s="505"/>
      <c r="M267" s="505"/>
      <c r="N267" s="505"/>
      <c r="O267" s="505"/>
      <c r="P267" s="464" t="s">
        <v>394</v>
      </c>
      <c r="Q267" s="483" t="e">
        <f ca="1">VLOOKUP(VLOOKUP(I251,Worksheet!$A$18:$B$31,2),'1Test Data'!$O$30:$AK$49,23,0)</f>
        <v>#N/A</v>
      </c>
      <c r="R267" s="453"/>
      <c r="S267" s="453"/>
      <c r="T267" s="453"/>
      <c r="U267" s="455"/>
    </row>
    <row r="268" spans="1:21" s="440" customFormat="1" ht="13.5" customHeight="1">
      <c r="A268" s="504"/>
      <c r="B268" s="448"/>
      <c r="C268" s="1090" t="s">
        <v>415</v>
      </c>
      <c r="D268" s="1091"/>
      <c r="E268" s="1091"/>
      <c r="F268" s="1091"/>
      <c r="G268" s="1092"/>
      <c r="H268" s="448"/>
      <c r="I268" s="448"/>
      <c r="J268" s="448"/>
      <c r="K268" s="448"/>
      <c r="L268" s="506" t="s">
        <v>416</v>
      </c>
      <c r="M268" s="507" t="e">
        <f ca="1">M266^0.5</f>
        <v>#N/A</v>
      </c>
      <c r="N268" s="508" t="str">
        <f>Uncert!$F$4</f>
        <v>ABS kPa</v>
      </c>
      <c r="O268" s="505" t="e">
        <f ca="1">(M266-M257-M262-M264-M265)^0.5</f>
        <v>#N/A</v>
      </c>
      <c r="P268" s="464" t="s">
        <v>396</v>
      </c>
      <c r="Q268" s="483" t="e">
        <f ca="1">VLOOKUP(VLOOKUP(I251,Worksheet!$A$18:$B$31,2),'1Test Data'!$O$30:$AL$49,24,0)</f>
        <v>#N/A</v>
      </c>
      <c r="R268" s="453"/>
      <c r="S268" s="453"/>
      <c r="T268" s="453"/>
      <c r="U268" s="455"/>
    </row>
    <row r="269" spans="1:21" s="440" customFormat="1">
      <c r="A269" s="504"/>
      <c r="B269" s="448"/>
      <c r="C269" s="1093"/>
      <c r="D269" s="1094"/>
      <c r="E269" s="1094"/>
      <c r="F269" s="1094"/>
      <c r="G269" s="1095"/>
      <c r="H269" s="448"/>
      <c r="I269" s="448"/>
      <c r="J269" s="448"/>
      <c r="K269" s="448"/>
      <c r="L269" s="506" t="s">
        <v>417</v>
      </c>
      <c r="M269" s="507" t="e">
        <f ca="1">M268^4/N266</f>
        <v>#N/A</v>
      </c>
      <c r="N269" s="509"/>
      <c r="O269" s="510" t="e">
        <f ca="1">O268^4/(N266-N257-N262-N264-N265)</f>
        <v>#N/A</v>
      </c>
      <c r="P269" s="464" t="s">
        <v>201</v>
      </c>
      <c r="Q269" s="483" t="e">
        <f ca="1">VLOOKUP(VLOOKUP(I251,Worksheet!$A$18:$B$31,2),'1Test Data'!$O$30:$AM$49,25,0)</f>
        <v>#N/A</v>
      </c>
      <c r="R269" s="453"/>
      <c r="S269" s="453"/>
      <c r="T269" s="453"/>
      <c r="U269" s="455"/>
    </row>
    <row r="270" spans="1:21" s="440" customFormat="1">
      <c r="A270" s="504"/>
      <c r="B270" s="448"/>
      <c r="C270" s="1093"/>
      <c r="D270" s="1094"/>
      <c r="E270" s="1094"/>
      <c r="F270" s="1094"/>
      <c r="G270" s="1095"/>
      <c r="H270" s="448"/>
      <c r="I270" s="448"/>
      <c r="J270" s="448"/>
      <c r="K270" s="448"/>
      <c r="L270" s="506" t="s">
        <v>418</v>
      </c>
      <c r="M270" s="507" t="e">
        <f ca="1">TINV(0.05,M269)</f>
        <v>#N/A</v>
      </c>
      <c r="N270" s="508"/>
      <c r="O270" s="507" t="e">
        <f ca="1">TINV(0.05,O269)</f>
        <v>#N/A</v>
      </c>
      <c r="P270" s="464" t="s">
        <v>88</v>
      </c>
      <c r="Q270" s="483" t="e">
        <f ca="1">VLOOKUP(VLOOKUP(I251,Worksheet!$A$18:$B$31,2),'1Test Data'!$O$30:$AN$49,26,0)</f>
        <v>#N/A</v>
      </c>
      <c r="R270" s="453"/>
      <c r="S270" s="453"/>
      <c r="T270" s="453"/>
      <c r="U270" s="455"/>
    </row>
    <row r="271" spans="1:21" s="440" customFormat="1">
      <c r="A271" s="504"/>
      <c r="B271" s="448"/>
      <c r="C271" s="1093"/>
      <c r="D271" s="1094"/>
      <c r="E271" s="1094"/>
      <c r="F271" s="1094"/>
      <c r="G271" s="1095"/>
      <c r="H271" s="448"/>
      <c r="I271" s="448"/>
      <c r="J271" s="448"/>
      <c r="K271" s="448"/>
      <c r="L271" s="506" t="s">
        <v>419</v>
      </c>
      <c r="M271" s="507" t="e">
        <f ca="1">M268*M270</f>
        <v>#N/A</v>
      </c>
      <c r="N271" s="508" t="str">
        <f>Uncert!$F$4</f>
        <v>ABS kPa</v>
      </c>
      <c r="O271" s="507" t="e">
        <f ca="1">O268*O270</f>
        <v>#N/A</v>
      </c>
      <c r="P271" s="464" t="s">
        <v>420</v>
      </c>
      <c r="Q271" s="483" t="e">
        <f ca="1">ABS(Q267*F251^3+Q268*F251^2+Q269*F251+Q270)</f>
        <v>#N/A</v>
      </c>
      <c r="R271" s="453"/>
      <c r="S271" s="453"/>
      <c r="T271" s="453"/>
      <c r="U271" s="455"/>
    </row>
    <row r="272" spans="1:21" s="440" customFormat="1">
      <c r="A272" s="497"/>
      <c r="B272" s="498"/>
      <c r="C272" s="1096"/>
      <c r="D272" s="1097"/>
      <c r="E272" s="1097"/>
      <c r="F272" s="1097"/>
      <c r="G272" s="1098"/>
      <c r="H272" s="448"/>
      <c r="I272" s="448"/>
      <c r="J272" s="511"/>
      <c r="K272" s="511"/>
      <c r="L272" s="512" t="s">
        <v>421</v>
      </c>
      <c r="M272" s="513" t="e">
        <f ca="1">M271</f>
        <v>#N/A</v>
      </c>
      <c r="N272" s="514" t="str">
        <f>Uncert!$F$4</f>
        <v>ABS kPa</v>
      </c>
      <c r="O272" s="513" t="e">
        <f ca="1">O271</f>
        <v>#N/A</v>
      </c>
      <c r="P272" s="464" t="s">
        <v>422</v>
      </c>
      <c r="Q272" s="483" t="e">
        <f ca="1">VLOOKUP(VLOOKUP(I251,Worksheet!$A$18:$B$31,2),'1Test Data'!$O$30:$AP$49,28,0)</f>
        <v>#N/A</v>
      </c>
      <c r="R272" s="453"/>
      <c r="S272" s="453"/>
      <c r="T272" s="453"/>
      <c r="U272" s="455"/>
    </row>
    <row r="273" spans="1:21" s="440" customFormat="1">
      <c r="A273" s="497"/>
      <c r="B273" s="498"/>
      <c r="C273" s="498" t="s">
        <v>423</v>
      </c>
      <c r="D273" s="448"/>
      <c r="E273" s="448"/>
      <c r="F273" s="448"/>
      <c r="G273" s="448"/>
      <c r="H273" s="515" t="e">
        <f>"N " &amp; ReadoutType</f>
        <v>#NAME?</v>
      </c>
      <c r="I273" s="516" t="e">
        <f ca="1">($O274/$K262)</f>
        <v>#N/A</v>
      </c>
      <c r="J273" s="448"/>
      <c r="K273" s="448"/>
      <c r="L273" s="505"/>
      <c r="M273" s="517" t="e">
        <f ca="1">(M272/F251)*100</f>
        <v>#N/A</v>
      </c>
      <c r="N273" s="518" t="s">
        <v>78</v>
      </c>
      <c r="O273" s="517"/>
      <c r="P273" s="519"/>
      <c r="Q273" s="519"/>
      <c r="R273" s="453"/>
      <c r="S273" s="453"/>
      <c r="T273" s="453"/>
      <c r="U273" s="455"/>
    </row>
    <row r="274" spans="1:21" s="440" customFormat="1">
      <c r="A274" s="497"/>
      <c r="B274" s="498"/>
      <c r="C274" s="520" t="s">
        <v>33</v>
      </c>
      <c r="D274" s="521" t="str">
        <f ca="1">Gravity</f>
        <v/>
      </c>
      <c r="E274" s="520" t="s">
        <v>36</v>
      </c>
      <c r="F274" s="522"/>
      <c r="G274" s="523"/>
      <c r="H274" s="524" t="e">
        <f>ReadoutType</f>
        <v>#NAME?</v>
      </c>
      <c r="I274" s="516" t="e">
        <f ca="1">($M274/$K262)</f>
        <v>#N/A</v>
      </c>
      <c r="J274" s="1103" t="s">
        <v>424</v>
      </c>
      <c r="K274" s="1104"/>
      <c r="L274" s="1104"/>
      <c r="M274" s="525" t="e">
        <f ca="1">IF(NATA="Y",IF(M272&lt;Scopekpa,IF(Scopekpa&lt;((F251/100)*ScopeReading),((F251/100)*ScopeReading),Scopekpa),IF(M272&lt;((F251/100)*ScopeReading),((F251/100)*ScopeReading),M272)),Uncert!M272)</f>
        <v>#N/A</v>
      </c>
      <c r="N274" s="522" t="s">
        <v>425</v>
      </c>
      <c r="O274" s="525" t="e">
        <f ca="1">IF(NATA="Y",IF(O272&lt;Scopekpa,IF(Scopekpa&lt;((F251/100)*ScopeReading),((F251/100)*ScopeReading),Scopekpa),IF(O272&lt;((F251/100)*ScopeReading),((F251/100)*ScopeReading),O272)),Uncert!O272)</f>
        <v>#N/A</v>
      </c>
      <c r="P274" s="522"/>
      <c r="Q274" s="522"/>
      <c r="R274" s="453"/>
      <c r="S274" s="453"/>
      <c r="T274" s="453"/>
      <c r="U274" s="455"/>
    </row>
    <row r="275" spans="1:21" s="440" customFormat="1" ht="14.25" thickBot="1">
      <c r="A275" s="526" t="str">
        <f>"Worksheet!A" &amp; 17+(ROW()/25)</f>
        <v>Worksheet!A28</v>
      </c>
      <c r="B275" s="527"/>
      <c r="C275" s="527"/>
      <c r="D275" s="528">
        <f>ROW()/25</f>
        <v>11</v>
      </c>
      <c r="E275" s="529"/>
      <c r="F275" s="529"/>
      <c r="G275" s="529"/>
      <c r="H275" s="529"/>
      <c r="I275" s="530"/>
      <c r="J275" s="1105" t="s">
        <v>424</v>
      </c>
      <c r="K275" s="1105"/>
      <c r="L275" s="1105"/>
      <c r="M275" s="531" t="e">
        <f ca="1">IF(NATA="Y",IF(M273&lt;ScopeReading,ScopeReading,M273),M273)</f>
        <v>#N/A</v>
      </c>
      <c r="N275" s="532" t="s">
        <v>78</v>
      </c>
      <c r="O275" s="531"/>
      <c r="P275" s="532"/>
      <c r="Q275" s="527"/>
      <c r="R275" s="527"/>
      <c r="S275" s="527"/>
      <c r="T275" s="527"/>
      <c r="U275" s="533"/>
    </row>
    <row r="276" spans="1:21" s="440" customFormat="1">
      <c r="A276" s="1099" t="e">
        <f ca="1">"Uncertainty Budget: Digital Pressure Gauge (" &amp; Q276&amp; ", "&amp; Q277 &amp; H276 &amp;" x " &amp; Division   &amp;H276 &amp; " )" &amp; " Test Point "&amp;D300</f>
        <v>#N/A</v>
      </c>
      <c r="B276" s="1100"/>
      <c r="C276" s="1100"/>
      <c r="D276" s="1100"/>
      <c r="E276" s="1100"/>
      <c r="F276" s="1101">
        <f ca="1">ABS(I276*UnitConvert)</f>
        <v>0</v>
      </c>
      <c r="G276" s="1102"/>
      <c r="H276" s="428" t="s">
        <v>371</v>
      </c>
      <c r="I276" s="429">
        <f ca="1">INDIRECT(A300)</f>
        <v>0</v>
      </c>
      <c r="J276" s="430" t="str">
        <f>_xlfn.SINGLE(Units)</f>
        <v>mm</v>
      </c>
      <c r="K276" s="431" t="e">
        <f ca="1">IF(C279="","","Uncertainty (U) = ±"&amp;TEXT(M297,"0.0")&amp;$F$4&amp;",  &amp;  (k="&amp;TEXT(M295,"0.00")&amp;", confidence level=95%)")</f>
        <v>#N/A</v>
      </c>
      <c r="L276" s="432"/>
      <c r="M276" s="432"/>
      <c r="N276" s="432"/>
      <c r="O276" s="433"/>
      <c r="P276" s="434" t="s">
        <v>372</v>
      </c>
      <c r="Q276" s="435" t="e">
        <f ca="1">VLOOKUP(VLOOKUP(I276,Worksheet!$A$18:$B$31,2),'1Test Data'!$M$6:$O$10,2,0)</f>
        <v>#N/A</v>
      </c>
      <c r="R276" s="436"/>
      <c r="S276" s="436"/>
      <c r="T276" s="437" t="str">
        <f ca="1">"TEX Ver "&amp;Mods!$A$1</f>
        <v>TEX Ver TAS-SST001v1</v>
      </c>
      <c r="U276" s="438"/>
    </row>
    <row r="277" spans="1:21" s="440" customFormat="1">
      <c r="A277" s="442" t="s">
        <v>373</v>
      </c>
      <c r="B277" s="443"/>
      <c r="C277" s="444"/>
      <c r="D277" s="445" t="s">
        <v>374</v>
      </c>
      <c r="E277" s="446" t="e">
        <f ca="1">Q277</f>
        <v>#N/A</v>
      </c>
      <c r="F277" s="447"/>
      <c r="G277" s="447" t="e">
        <f ca="1">ROUND(M297/(F276/100),2)&amp;"% of Full Scale"</f>
        <v>#N/A</v>
      </c>
      <c r="H277" s="448"/>
      <c r="I277" s="448"/>
      <c r="J277" s="449" t="e">
        <f ca="1">M298</f>
        <v>#N/A</v>
      </c>
      <c r="K277" s="448"/>
      <c r="L277" s="450"/>
      <c r="M277" s="450"/>
      <c r="N277" s="450"/>
      <c r="O277" s="433"/>
      <c r="P277" s="451" t="s">
        <v>375</v>
      </c>
      <c r="Q277" s="452" t="e">
        <f ca="1">VLOOKUP(VLOOKUP(I276,Worksheet!$A$18:$B$31,2),'1Test Data'!$O$30:$T$49,6,0)</f>
        <v>#N/A</v>
      </c>
      <c r="R277" s="453">
        <v>0</v>
      </c>
      <c r="S277" s="453"/>
      <c r="T277" s="454">
        <f ca="1">Mods!$A$4</f>
        <v>45809.486168981479</v>
      </c>
      <c r="U277" s="455"/>
    </row>
    <row r="278" spans="1:21" s="440" customFormat="1" ht="38.25">
      <c r="A278" s="458" t="s">
        <v>376</v>
      </c>
      <c r="B278" s="459" t="s">
        <v>377</v>
      </c>
      <c r="C278" s="460" t="s">
        <v>378</v>
      </c>
      <c r="D278" s="460" t="s">
        <v>379</v>
      </c>
      <c r="E278" s="460" t="s">
        <v>380</v>
      </c>
      <c r="F278" s="460" t="s">
        <v>381</v>
      </c>
      <c r="G278" s="460" t="s">
        <v>178</v>
      </c>
      <c r="H278" s="461" t="s">
        <v>382</v>
      </c>
      <c r="I278" s="461" t="s">
        <v>383</v>
      </c>
      <c r="J278" s="462" t="s">
        <v>384</v>
      </c>
      <c r="K278" s="463" t="s">
        <v>385</v>
      </c>
      <c r="L278" s="461" t="s">
        <v>386</v>
      </c>
      <c r="M278" s="461" t="s">
        <v>387</v>
      </c>
      <c r="N278" s="461" t="s">
        <v>388</v>
      </c>
      <c r="O278" s="461" t="s">
        <v>389</v>
      </c>
      <c r="P278" s="464" t="s">
        <v>390</v>
      </c>
      <c r="Q278" s="452" t="e">
        <f ca="1">VLOOKUP(VLOOKUP(I276,Worksheet!$A$18:$B$31,2),'1Test Data'!$O$30:$V$49,8,0)</f>
        <v>#N/A</v>
      </c>
      <c r="R278" s="465" t="s">
        <v>391</v>
      </c>
      <c r="S278" s="465" t="s">
        <v>391</v>
      </c>
      <c r="T278" s="466" t="s">
        <v>392</v>
      </c>
      <c r="U278" s="467"/>
    </row>
    <row r="279" spans="1:21" s="440" customFormat="1" ht="18" customHeight="1">
      <c r="A279" s="470">
        <v>1</v>
      </c>
      <c r="B279" s="471">
        <f>$B$4</f>
        <v>1</v>
      </c>
      <c r="C279" s="472" t="e">
        <f ca="1">"Reference Device  ("&amp;Q277&amp;" Druck Transducer) + Sey
Uncertainty from Calibration Report - "&amp;Q276</f>
        <v>#N/A</v>
      </c>
      <c r="D279" s="471" t="s">
        <v>393</v>
      </c>
      <c r="E279" s="473" t="e">
        <f ca="1">Q283+Q284</f>
        <v>#N/A</v>
      </c>
      <c r="F279" s="474" t="str">
        <f>H276</f>
        <v>ABS kPa</v>
      </c>
      <c r="G279" s="475" t="str">
        <f>IF(OR(D279="",B279=0),"",IF(D279="ESDM","A","B"))</f>
        <v>B</v>
      </c>
      <c r="H279" s="476" t="e">
        <f ca="1">IF(OR(E279="",B279=0),"",IF(D279="ESDM",1,IF(D279="N95",2,IF(D279="Rect",(3^0.5)))))</f>
        <v>#N/A</v>
      </c>
      <c r="I279" s="477">
        <f>IF(D279="N95",60,100)</f>
        <v>60</v>
      </c>
      <c r="J279" s="478" t="e">
        <f ca="1">IF(OR(E279="",B279=0),"",(E279/H279))</f>
        <v>#N/A</v>
      </c>
      <c r="K279" s="479">
        <v>1</v>
      </c>
      <c r="L279" s="480" t="e">
        <f ca="1">IF(OR(E279="",B279=0),"",K279*J279)</f>
        <v>#N/A</v>
      </c>
      <c r="M279" s="480" t="e">
        <f t="shared" ref="M279:M290" ca="1" si="110">IF(OR(E279="",B279=0),"0",L279^2)</f>
        <v>#N/A</v>
      </c>
      <c r="N279" s="481" t="e">
        <f t="shared" ref="N279:N290" ca="1" si="111">IF(OR(D279="",B279=0),"0",(L279)^4/I279)</f>
        <v>#N/A</v>
      </c>
      <c r="O279" s="482" t="e">
        <f t="shared" ref="O279:O290" ca="1" si="112">T279</f>
        <v>#N/A</v>
      </c>
      <c r="P279" s="464" t="s">
        <v>394</v>
      </c>
      <c r="Q279" s="483" t="e">
        <f ca="1">VLOOKUP(VLOOKUP(I276,Worksheet!$A$18:$B$31,2),'1Test Data'!$O$30:$Y$49,11,0)</f>
        <v>#N/A</v>
      </c>
      <c r="R279" s="484" t="e">
        <f ca="1">IF(OR(E279="",B279=0),"",K279*J279)</f>
        <v>#N/A</v>
      </c>
      <c r="S279" s="465" t="e">
        <f ca="1">IF(OR(E279="",B279=0),"",ABS(R279))</f>
        <v>#N/A</v>
      </c>
      <c r="T279" s="465" t="e">
        <f ca="1">IF(OR(E279="",B279=0),"",ABS(L279/S291))</f>
        <v>#N/A</v>
      </c>
      <c r="U279" s="485"/>
    </row>
    <row r="280" spans="1:21" s="440" customFormat="1" ht="27" customHeight="1">
      <c r="A280" s="470">
        <v>2</v>
      </c>
      <c r="B280" s="471">
        <f>$B$5</f>
        <v>1</v>
      </c>
      <c r="C280" s="472" t="e">
        <f ca="1">"Reference Device  Specs +Sey
(" &amp; Q277 &amp; H276 &amp; " Druck Transducer)
"&amp;Q278 &amp; "% of F.S. from Calibration Report - " &amp; Q276</f>
        <v>#N/A</v>
      </c>
      <c r="D280" s="471" t="s">
        <v>395</v>
      </c>
      <c r="E280" s="473" t="e">
        <f ca="1">Q296+Q297</f>
        <v>#N/A</v>
      </c>
      <c r="F280" s="474" t="e">
        <f ca="1">IF(OR(E280="",B280=0),"",$F$4)</f>
        <v>#N/A</v>
      </c>
      <c r="G280" s="475" t="str">
        <f t="shared" ref="G280:G290" si="113">IF(OR(D280="",B280=0),"",IF(D280="ESDM","A","B"))</f>
        <v>B</v>
      </c>
      <c r="H280" s="476" t="e">
        <f t="shared" ref="H280:H290" ca="1" si="114">IF(OR(E280="",B280=0),"",IF(D280="ESDM",1,IF(D280="N95",2,IF(D280="Rect",(3^0.5)))))</f>
        <v>#N/A</v>
      </c>
      <c r="I280" s="477">
        <f t="shared" ref="I280:I290" si="115">IF(D280="N95",60,100)</f>
        <v>100</v>
      </c>
      <c r="J280" s="478" t="e">
        <f t="shared" ref="J280:J290" ca="1" si="116">IF(OR(E280="",B280=0),"",(E280/H280))</f>
        <v>#N/A</v>
      </c>
      <c r="K280" s="479">
        <v>1</v>
      </c>
      <c r="L280" s="480" t="e">
        <f t="shared" ref="L280:L290" ca="1" si="117">IF(OR(E280="",B280=0),"",K280*J280)</f>
        <v>#N/A</v>
      </c>
      <c r="M280" s="480" t="e">
        <f t="shared" ca="1" si="110"/>
        <v>#N/A</v>
      </c>
      <c r="N280" s="481" t="e">
        <f t="shared" ca="1" si="111"/>
        <v>#N/A</v>
      </c>
      <c r="O280" s="482" t="e">
        <f t="shared" ca="1" si="112"/>
        <v>#N/A</v>
      </c>
      <c r="P280" s="464" t="s">
        <v>396</v>
      </c>
      <c r="Q280" s="483" t="e">
        <f ca="1">VLOOKUP(VLOOKUP(I276,Worksheet!$A$18:$B$31,2),'1Test Data'!$O$30:$Z$49,12,0)</f>
        <v>#N/A</v>
      </c>
      <c r="R280" s="484" t="e">
        <f t="shared" ref="R280:R290" ca="1" si="118">IF(OR(E280="",B280=0),"",K280*J280)</f>
        <v>#N/A</v>
      </c>
      <c r="S280" s="465" t="e">
        <f t="shared" ref="S280:S290" ca="1" si="119">IF(OR(E280="",B280=0),"",ABS(R280))</f>
        <v>#N/A</v>
      </c>
      <c r="T280" s="465" t="e">
        <f ca="1">IF(OR(E280="",B280=0),"",ABS(L280/S291))</f>
        <v>#N/A</v>
      </c>
      <c r="U280" s="485"/>
    </row>
    <row r="281" spans="1:21" s="440" customFormat="1" ht="18" customHeight="1">
      <c r="A281" s="470">
        <v>3</v>
      </c>
      <c r="B281" s="471">
        <f>$B$6</f>
        <v>1</v>
      </c>
      <c r="C281" s="472" t="s">
        <v>397</v>
      </c>
      <c r="D281" s="471" t="s">
        <v>395</v>
      </c>
      <c r="E281" s="473" t="e">
        <f ca="1">Q285*F276/100</f>
        <v>#N/A</v>
      </c>
      <c r="F281" s="474" t="e">
        <f ca="1">IF(OR(E281="",B281=0),"",$F$4)</f>
        <v>#N/A</v>
      </c>
      <c r="G281" s="475" t="str">
        <f t="shared" si="113"/>
        <v>B</v>
      </c>
      <c r="H281" s="476" t="e">
        <f t="shared" ca="1" si="114"/>
        <v>#N/A</v>
      </c>
      <c r="I281" s="477">
        <f t="shared" si="115"/>
        <v>100</v>
      </c>
      <c r="J281" s="478" t="e">
        <f t="shared" ca="1" si="116"/>
        <v>#N/A</v>
      </c>
      <c r="K281" s="479">
        <v>1</v>
      </c>
      <c r="L281" s="480" t="e">
        <f t="shared" ca="1" si="117"/>
        <v>#N/A</v>
      </c>
      <c r="M281" s="480" t="e">
        <f t="shared" ca="1" si="110"/>
        <v>#N/A</v>
      </c>
      <c r="N281" s="481" t="e">
        <f t="shared" ca="1" si="111"/>
        <v>#N/A</v>
      </c>
      <c r="O281" s="482" t="e">
        <f t="shared" ca="1" si="112"/>
        <v>#N/A</v>
      </c>
      <c r="P281" s="464" t="s">
        <v>201</v>
      </c>
      <c r="Q281" s="483" t="e">
        <f ca="1">VLOOKUP(VLOOKUP(I276,Worksheet!$A$18:$B$31,2),'1Test Data'!$O$30:$AA$49,13,0)</f>
        <v>#N/A</v>
      </c>
      <c r="R281" s="484" t="e">
        <f t="shared" ca="1" si="118"/>
        <v>#N/A</v>
      </c>
      <c r="S281" s="465" t="e">
        <f t="shared" ca="1" si="119"/>
        <v>#N/A</v>
      </c>
      <c r="T281" s="465" t="e">
        <f ca="1">IF(OR(E281="",B281=0),"",ABS(L281/S291))</f>
        <v>#N/A</v>
      </c>
      <c r="U281" s="485"/>
    </row>
    <row r="282" spans="1:21" s="440" customFormat="1" ht="18" customHeight="1">
      <c r="A282" s="470">
        <v>4</v>
      </c>
      <c r="B282" s="471" t="e">
        <f>$B$7</f>
        <v>#NAME?</v>
      </c>
      <c r="C282" s="472" t="s">
        <v>398</v>
      </c>
      <c r="D282" s="471" t="s">
        <v>395</v>
      </c>
      <c r="E282" s="473">
        <f>EDMS*UnitConvert</f>
        <v>0</v>
      </c>
      <c r="F282" s="474" t="e">
        <f>IF(OR(E282="",B282=0),"",$F$4)</f>
        <v>#NAME?</v>
      </c>
      <c r="G282" s="475" t="e">
        <f t="shared" si="113"/>
        <v>#NAME?</v>
      </c>
      <c r="H282" s="476" t="e">
        <f t="shared" si="114"/>
        <v>#NAME?</v>
      </c>
      <c r="I282" s="477">
        <f t="shared" si="115"/>
        <v>100</v>
      </c>
      <c r="J282" s="478" t="e">
        <f t="shared" si="116"/>
        <v>#NAME?</v>
      </c>
      <c r="K282" s="479">
        <v>1</v>
      </c>
      <c r="L282" s="480" t="e">
        <f t="shared" si="117"/>
        <v>#NAME?</v>
      </c>
      <c r="M282" s="480" t="e">
        <f t="shared" si="110"/>
        <v>#NAME?</v>
      </c>
      <c r="N282" s="481" t="e">
        <f t="shared" si="111"/>
        <v>#NAME?</v>
      </c>
      <c r="O282" s="482" t="e">
        <f t="shared" si="112"/>
        <v>#NAME?</v>
      </c>
      <c r="P282" s="464" t="s">
        <v>88</v>
      </c>
      <c r="Q282" s="483" t="e">
        <f ca="1">VLOOKUP(VLOOKUP(I276,Worksheet!$A$18:$B$31,2),'1Test Data'!$O$30:$AB$49,14,0)</f>
        <v>#N/A</v>
      </c>
      <c r="R282" s="484" t="e">
        <f t="shared" si="118"/>
        <v>#NAME?</v>
      </c>
      <c r="S282" s="465" t="e">
        <f t="shared" si="119"/>
        <v>#NAME?</v>
      </c>
      <c r="T282" s="465" t="e">
        <f>IF(OR(E282="",B282=0),"",ABS(L282/S291))</f>
        <v>#NAME?</v>
      </c>
      <c r="U282" s="485"/>
    </row>
    <row r="283" spans="1:21" s="440" customFormat="1" ht="27">
      <c r="A283" s="470">
        <v>5</v>
      </c>
      <c r="B283" s="471">
        <f>$B$8</f>
        <v>0</v>
      </c>
      <c r="C283" s="472" t="str">
        <f>C33</f>
        <v>Gravity -0.001 m/s2 Sensitivity = Test Pressure / Gravity</v>
      </c>
      <c r="D283" s="471" t="s">
        <v>395</v>
      </c>
      <c r="E283" s="473">
        <f>E8</f>
        <v>1E-3</v>
      </c>
      <c r="F283" s="474" t="s">
        <v>400</v>
      </c>
      <c r="G283" s="475" t="str">
        <f t="shared" si="113"/>
        <v/>
      </c>
      <c r="H283" s="476" t="str">
        <f t="shared" si="114"/>
        <v/>
      </c>
      <c r="I283" s="477">
        <f t="shared" si="115"/>
        <v>100</v>
      </c>
      <c r="J283" s="478" t="str">
        <f t="shared" si="116"/>
        <v/>
      </c>
      <c r="K283" s="479">
        <f ca="1">F276*E283</f>
        <v>0</v>
      </c>
      <c r="L283" s="480" t="str">
        <f t="shared" si="117"/>
        <v/>
      </c>
      <c r="M283" s="480" t="str">
        <f t="shared" si="110"/>
        <v>0</v>
      </c>
      <c r="N283" s="481" t="str">
        <f t="shared" si="111"/>
        <v>0</v>
      </c>
      <c r="O283" s="482" t="str">
        <f>IFERROR(T283,0)</f>
        <v/>
      </c>
      <c r="P283" s="492" t="s">
        <v>401</v>
      </c>
      <c r="Q283" s="493" t="e">
        <f ca="1">ABS(Q279*F276^3+Q280*F276^2+Q281*F276+Q282)</f>
        <v>#N/A</v>
      </c>
      <c r="R283" s="484" t="str">
        <f t="shared" si="118"/>
        <v/>
      </c>
      <c r="S283" s="465" t="str">
        <f t="shared" si="119"/>
        <v/>
      </c>
      <c r="T283" s="465" t="str">
        <f>IF(OR(E283="",B283=0),"",ABS(L283/S291))</f>
        <v/>
      </c>
      <c r="U283" s="485"/>
    </row>
    <row r="284" spans="1:21" s="440" customFormat="1" ht="27">
      <c r="A284" s="470">
        <v>6</v>
      </c>
      <c r="B284" s="471">
        <f>$B$9</f>
        <v>0</v>
      </c>
      <c r="C284" s="472" t="s">
        <v>402</v>
      </c>
      <c r="D284" s="471" t="s">
        <v>395</v>
      </c>
      <c r="E284" s="473">
        <v>2</v>
      </c>
      <c r="F284" s="474" t="s">
        <v>403</v>
      </c>
      <c r="G284" s="475" t="str">
        <f t="shared" si="113"/>
        <v/>
      </c>
      <c r="H284" s="476" t="str">
        <f t="shared" si="114"/>
        <v/>
      </c>
      <c r="I284" s="477">
        <f t="shared" si="115"/>
        <v>100</v>
      </c>
      <c r="J284" s="478" t="str">
        <f t="shared" si="116"/>
        <v/>
      </c>
      <c r="K284" s="479">
        <f ca="1">F276*-0.000022</f>
        <v>0</v>
      </c>
      <c r="L284" s="480" t="str">
        <f t="shared" si="117"/>
        <v/>
      </c>
      <c r="M284" s="480" t="str">
        <f t="shared" si="110"/>
        <v>0</v>
      </c>
      <c r="N284" s="481" t="str">
        <f t="shared" si="111"/>
        <v>0</v>
      </c>
      <c r="O284" s="482" t="str">
        <f t="shared" si="112"/>
        <v/>
      </c>
      <c r="P284" s="494" t="s">
        <v>404</v>
      </c>
      <c r="Q284" s="483" t="e">
        <f ca="1">VLOOKUP(VLOOKUP(I276,Worksheet!$A$18:$B$31,2),'1Test Data'!$O$30:$AD$49,14,0)</f>
        <v>#N/A</v>
      </c>
      <c r="R284" s="484" t="str">
        <f t="shared" si="118"/>
        <v/>
      </c>
      <c r="S284" s="465" t="str">
        <f t="shared" si="119"/>
        <v/>
      </c>
      <c r="T284" s="465" t="str">
        <f>IF(OR(E284="",B284=0),"",ABS(L284/S291))</f>
        <v/>
      </c>
      <c r="U284" s="485"/>
    </row>
    <row r="285" spans="1:21" s="440" customFormat="1" ht="27">
      <c r="A285" s="470">
        <v>7</v>
      </c>
      <c r="B285" s="471">
        <f>$B$10</f>
        <v>0</v>
      </c>
      <c r="C285" s="472" t="s">
        <v>405</v>
      </c>
      <c r="D285" s="471" t="s">
        <v>395</v>
      </c>
      <c r="E285" s="473">
        <v>0.5</v>
      </c>
      <c r="F285" s="474" t="s">
        <v>406</v>
      </c>
      <c r="G285" s="475" t="str">
        <f t="shared" si="113"/>
        <v/>
      </c>
      <c r="H285" s="476" t="str">
        <f t="shared" si="114"/>
        <v/>
      </c>
      <c r="I285" s="477">
        <f t="shared" si="115"/>
        <v>100</v>
      </c>
      <c r="J285" s="478" t="str">
        <f t="shared" si="116"/>
        <v/>
      </c>
      <c r="K285" s="479">
        <f ca="1">(0.098*F276)/1000</f>
        <v>0</v>
      </c>
      <c r="L285" s="480" t="str">
        <f t="shared" si="117"/>
        <v/>
      </c>
      <c r="M285" s="480" t="str">
        <f t="shared" si="110"/>
        <v>0</v>
      </c>
      <c r="N285" s="481" t="str">
        <f t="shared" si="111"/>
        <v>0</v>
      </c>
      <c r="O285" s="482" t="str">
        <f t="shared" si="112"/>
        <v/>
      </c>
      <c r="P285" s="464" t="s">
        <v>407</v>
      </c>
      <c r="Q285" s="452" t="e">
        <f ca="1">VLOOKUP(VLOOKUP(I276,Worksheet!$A$18:$B$31,2),'1Test Data'!$O$30:$X$49,10,0)</f>
        <v>#N/A</v>
      </c>
      <c r="R285" s="484" t="str">
        <f t="shared" si="118"/>
        <v/>
      </c>
      <c r="S285" s="465" t="str">
        <f t="shared" si="119"/>
        <v/>
      </c>
      <c r="T285" s="465" t="str">
        <f>IF(OR(E285="",B285=0),"",ABS(L285/S291))</f>
        <v/>
      </c>
      <c r="U285" s="485"/>
    </row>
    <row r="286" spans="1:21" s="440" customFormat="1" ht="27">
      <c r="A286" s="470">
        <v>8</v>
      </c>
      <c r="B286" s="471">
        <f>$B$11</f>
        <v>0</v>
      </c>
      <c r="C286" s="472" t="s">
        <v>408</v>
      </c>
      <c r="D286" s="471" t="s">
        <v>395</v>
      </c>
      <c r="E286" s="473">
        <v>0.05</v>
      </c>
      <c r="F286" s="474" t="s">
        <v>406</v>
      </c>
      <c r="G286" s="475" t="str">
        <f t="shared" si="113"/>
        <v/>
      </c>
      <c r="H286" s="476" t="str">
        <f t="shared" si="114"/>
        <v/>
      </c>
      <c r="I286" s="477">
        <f t="shared" si="115"/>
        <v>100</v>
      </c>
      <c r="J286" s="478" t="str">
        <f t="shared" si="116"/>
        <v/>
      </c>
      <c r="K286" s="479">
        <f ca="1">F276/8000</f>
        <v>0</v>
      </c>
      <c r="L286" s="480" t="str">
        <f t="shared" si="117"/>
        <v/>
      </c>
      <c r="M286" s="480" t="str">
        <f t="shared" si="110"/>
        <v>0</v>
      </c>
      <c r="N286" s="481" t="str">
        <f t="shared" si="111"/>
        <v>0</v>
      </c>
      <c r="O286" s="482" t="str">
        <f t="shared" si="112"/>
        <v/>
      </c>
      <c r="P286" s="464" t="s">
        <v>394</v>
      </c>
      <c r="Q286" s="483" t="e">
        <f ca="1">VLOOKUP(VLOOKUP(I276,Worksheet!$A$18:$B$31,2),'1Test Data'!$O$30:$AE$49,17,0)</f>
        <v>#N/A</v>
      </c>
      <c r="R286" s="484" t="str">
        <f t="shared" si="118"/>
        <v/>
      </c>
      <c r="S286" s="465" t="str">
        <f t="shared" si="119"/>
        <v/>
      </c>
      <c r="T286" s="465" t="str">
        <f>IF(OR(E286="",B286=0),"",ABS(L286/S291))</f>
        <v/>
      </c>
      <c r="U286" s="485"/>
    </row>
    <row r="287" spans="1:21" s="440" customFormat="1" ht="13.5" customHeight="1">
      <c r="A287" s="470">
        <v>9</v>
      </c>
      <c r="B287" s="471" t="e">
        <f>$B$12</f>
        <v>#NAME?</v>
      </c>
      <c r="C287" s="472" t="str">
        <f>"Electrical reference devise" &amp; '1Test Data'!$O$3 &amp;  CHAR(10) &amp; "SN: " &amp; '1Test Data'!$P$3 &amp; ", Cert No: " &amp; '1Test Data'!$Q$3</f>
        <v>Electrical reference devisea
SN: b, Cert No: c</v>
      </c>
      <c r="D287" s="471" t="s">
        <v>395</v>
      </c>
      <c r="E287" s="473">
        <f>ElectUncert</f>
        <v>2E-3</v>
      </c>
      <c r="F287" s="474" t="e">
        <f>IF(OR(E287="",B287=0),"",ReadoutType)</f>
        <v>#NAME?</v>
      </c>
      <c r="G287" s="475" t="e">
        <f t="shared" si="113"/>
        <v>#NAME?</v>
      </c>
      <c r="H287" s="476" t="e">
        <f t="shared" si="114"/>
        <v>#NAME?</v>
      </c>
      <c r="I287" s="477">
        <f t="shared" si="115"/>
        <v>100</v>
      </c>
      <c r="J287" s="478" t="e">
        <f t="shared" si="116"/>
        <v>#NAME?</v>
      </c>
      <c r="K287" s="479" t="e">
        <f>Capacity/(Upper-Lower)</f>
        <v>#NAME?</v>
      </c>
      <c r="L287" s="480" t="e">
        <f t="shared" si="117"/>
        <v>#NAME?</v>
      </c>
      <c r="M287" s="480" t="e">
        <f t="shared" si="110"/>
        <v>#NAME?</v>
      </c>
      <c r="N287" s="481" t="e">
        <f t="shared" si="111"/>
        <v>#NAME?</v>
      </c>
      <c r="O287" s="482" t="e">
        <f t="shared" si="112"/>
        <v>#NAME?</v>
      </c>
      <c r="P287" s="464" t="s">
        <v>396</v>
      </c>
      <c r="Q287" s="483" t="e">
        <f ca="1">VLOOKUP(VLOOKUP(I276,Worksheet!$A$18:$B$31,2),'1Test Data'!$O$30:$AF$49,18,0)</f>
        <v>#N/A</v>
      </c>
      <c r="R287" s="484" t="e">
        <f t="shared" si="118"/>
        <v>#NAME?</v>
      </c>
      <c r="S287" s="465" t="e">
        <f t="shared" si="119"/>
        <v>#NAME?</v>
      </c>
      <c r="T287" s="465" t="e">
        <f>IF(OR(E287="",B287=0),"",ABS(L287/S291))</f>
        <v>#NAME?</v>
      </c>
      <c r="U287" s="485"/>
    </row>
    <row r="288" spans="1:21" s="440" customFormat="1" ht="18" customHeight="1">
      <c r="A288" s="470">
        <v>10</v>
      </c>
      <c r="B288" s="471">
        <f>$B$13</f>
        <v>1</v>
      </c>
      <c r="C288" s="472" t="s">
        <v>409</v>
      </c>
      <c r="D288" s="471" t="s">
        <v>395</v>
      </c>
      <c r="E288" s="473">
        <f>Worksheet!D29*UnitConvert</f>
        <v>0</v>
      </c>
      <c r="F288" s="474" t="str">
        <f>IF(OR(E288="",B288=0),"",$F$4)</f>
        <v>ABS kPa</v>
      </c>
      <c r="G288" s="475" t="str">
        <f t="shared" si="113"/>
        <v>B</v>
      </c>
      <c r="H288" s="476">
        <f t="shared" si="114"/>
        <v>1.7320508075688772</v>
      </c>
      <c r="I288" s="477">
        <f t="shared" si="115"/>
        <v>100</v>
      </c>
      <c r="J288" s="478">
        <f t="shared" si="116"/>
        <v>0</v>
      </c>
      <c r="K288" s="479">
        <v>1</v>
      </c>
      <c r="L288" s="480">
        <f t="shared" si="117"/>
        <v>0</v>
      </c>
      <c r="M288" s="480">
        <f t="shared" si="110"/>
        <v>0</v>
      </c>
      <c r="N288" s="481">
        <f t="shared" si="111"/>
        <v>0</v>
      </c>
      <c r="O288" s="482" t="e">
        <f t="shared" ca="1" si="112"/>
        <v>#N/A</v>
      </c>
      <c r="P288" s="464" t="s">
        <v>201</v>
      </c>
      <c r="Q288" s="483" t="e">
        <f ca="1">VLOOKUP(VLOOKUP(I276,Worksheet!$A$18:$B$31,2),'1Test Data'!$O$30:$AG$49,19,0)</f>
        <v>#N/A</v>
      </c>
      <c r="R288" s="484">
        <f t="shared" si="118"/>
        <v>0</v>
      </c>
      <c r="S288" s="465">
        <f t="shared" si="119"/>
        <v>0</v>
      </c>
      <c r="T288" s="465" t="e">
        <f ca="1">IF(OR(E288="",B288=0),"",ABS(L288/S291))</f>
        <v>#N/A</v>
      </c>
      <c r="U288" s="485"/>
    </row>
    <row r="289" spans="1:21" s="440" customFormat="1" ht="13.5" customHeight="1">
      <c r="A289" s="470">
        <v>11</v>
      </c>
      <c r="B289" s="471" t="e">
        <f>$B$14</f>
        <v>#NAME?</v>
      </c>
      <c r="C289" s="496" t="e">
        <f>"DUT Type " &amp;ReadoutType&amp; " Resolution "&amp;Readability &amp; "kPa
Digital - Type B - Rect - 1/2 of  least count with D of F = 100 &amp; (k=1.73)
Analogue - Type B - N95 - Best scale readability with D of F = 60 &amp; k=2.00"</f>
        <v>#NAME?</v>
      </c>
      <c r="D289" s="471" t="e">
        <f>IF(ReadoutType="Digital","Rect","N95")</f>
        <v>#NAME?</v>
      </c>
      <c r="E289" s="473" t="e">
        <f>IF(Elect=1,($K287)/1000,IF(ReadoutType="Digital",Readability/2,Readability)*UnitConvert)</f>
        <v>#NAME?</v>
      </c>
      <c r="F289" s="474" t="e">
        <f>IF(OR(E289="",B289=0),"",$F$4)</f>
        <v>#NAME?</v>
      </c>
      <c r="G289" s="475" t="e">
        <f t="shared" si="113"/>
        <v>#NAME?</v>
      </c>
      <c r="H289" s="476" t="e">
        <f t="shared" si="114"/>
        <v>#NAME?</v>
      </c>
      <c r="I289" s="477" t="e">
        <f t="shared" si="115"/>
        <v>#NAME?</v>
      </c>
      <c r="J289" s="478" t="e">
        <f t="shared" si="116"/>
        <v>#NAME?</v>
      </c>
      <c r="K289" s="479">
        <v>1</v>
      </c>
      <c r="L289" s="480" t="e">
        <f t="shared" si="117"/>
        <v>#NAME?</v>
      </c>
      <c r="M289" s="480" t="e">
        <f t="shared" si="110"/>
        <v>#NAME?</v>
      </c>
      <c r="N289" s="481" t="e">
        <f t="shared" si="111"/>
        <v>#NAME?</v>
      </c>
      <c r="O289" s="482" t="e">
        <f t="shared" si="112"/>
        <v>#NAME?</v>
      </c>
      <c r="P289" s="464" t="s">
        <v>88</v>
      </c>
      <c r="Q289" s="483" t="e">
        <f ca="1">VLOOKUP(VLOOKUP(I276,Worksheet!$A$18:$B$31,2),'1Test Data'!$O$30:$AH$49,20,0)</f>
        <v>#N/A</v>
      </c>
      <c r="R289" s="484" t="e">
        <f t="shared" si="118"/>
        <v>#NAME?</v>
      </c>
      <c r="S289" s="465" t="e">
        <f t="shared" si="119"/>
        <v>#NAME?</v>
      </c>
      <c r="T289" s="465" t="e">
        <f>IF(OR(E289="",B289=0),"",ABS(L289/S291))</f>
        <v>#NAME?</v>
      </c>
      <c r="U289" s="485"/>
    </row>
    <row r="290" spans="1:21" s="440" customFormat="1" ht="27">
      <c r="A290" s="470">
        <v>12</v>
      </c>
      <c r="B290" s="471" t="e">
        <f>$B$15</f>
        <v>#NAME?</v>
      </c>
      <c r="C290" s="496" t="s">
        <v>410</v>
      </c>
      <c r="D290" s="471" t="s">
        <v>395</v>
      </c>
      <c r="E290" s="473" t="e">
        <f>E289</f>
        <v>#NAME?</v>
      </c>
      <c r="F290" s="474" t="e">
        <f>IF(OR(E290="",B290=0),"",$F$4)</f>
        <v>#NAME?</v>
      </c>
      <c r="G290" s="475" t="e">
        <f t="shared" si="113"/>
        <v>#NAME?</v>
      </c>
      <c r="H290" s="476" t="e">
        <f t="shared" si="114"/>
        <v>#NAME?</v>
      </c>
      <c r="I290" s="477">
        <f t="shared" si="115"/>
        <v>100</v>
      </c>
      <c r="J290" s="478" t="e">
        <f t="shared" si="116"/>
        <v>#NAME?</v>
      </c>
      <c r="K290" s="479">
        <v>1</v>
      </c>
      <c r="L290" s="480" t="e">
        <f t="shared" si="117"/>
        <v>#NAME?</v>
      </c>
      <c r="M290" s="480" t="e">
        <f t="shared" si="110"/>
        <v>#NAME?</v>
      </c>
      <c r="N290" s="481" t="e">
        <f t="shared" si="111"/>
        <v>#NAME?</v>
      </c>
      <c r="O290" s="482" t="e">
        <f t="shared" si="112"/>
        <v>#NAME?</v>
      </c>
      <c r="P290" s="464" t="s">
        <v>411</v>
      </c>
      <c r="Q290" s="483" t="e">
        <f ca="1">ABS(Q286*F276^3+Q287*F276^2+Q288*F276+Q289)</f>
        <v>#N/A</v>
      </c>
      <c r="R290" s="484" t="e">
        <f t="shared" si="118"/>
        <v>#NAME?</v>
      </c>
      <c r="S290" s="465" t="e">
        <f t="shared" si="119"/>
        <v>#NAME?</v>
      </c>
      <c r="T290" s="465" t="e">
        <f>IF(OR(E290="",B290=0),"",ABS(L290/S291))</f>
        <v>#NAME?</v>
      </c>
      <c r="U290" s="485"/>
    </row>
    <row r="291" spans="1:21" s="440" customFormat="1" ht="25.5">
      <c r="A291" s="497"/>
      <c r="B291" s="498"/>
      <c r="C291" s="448"/>
      <c r="D291" s="448"/>
      <c r="E291" s="448"/>
      <c r="F291" s="448"/>
      <c r="G291" s="448"/>
      <c r="H291" s="448"/>
      <c r="I291" s="484"/>
      <c r="J291" s="448"/>
      <c r="K291" s="448"/>
      <c r="L291" s="499" t="s">
        <v>412</v>
      </c>
      <c r="M291" s="499" t="e">
        <f ca="1">SUM(M279:M290)</f>
        <v>#N/A</v>
      </c>
      <c r="N291" s="500" t="e">
        <f ca="1">SUM(N279:N290)</f>
        <v>#N/A</v>
      </c>
      <c r="O291" s="501" t="e">
        <f ca="1">SUM(O279:O290)</f>
        <v>#N/A</v>
      </c>
      <c r="P291" s="464" t="s">
        <v>413</v>
      </c>
      <c r="Q291" s="483" t="e">
        <f ca="1">VLOOKUP(VLOOKUP(I276,Worksheet!$A$18:$B$31,2),'1Test Data'!$O$30:$AJ$49,22,0)</f>
        <v>#N/A</v>
      </c>
      <c r="R291" s="453"/>
      <c r="S291" s="465" t="e">
        <f ca="1">SUM(S279:S290)</f>
        <v>#N/A</v>
      </c>
      <c r="T291" s="465" t="e">
        <f ca="1">SUM(T279:T290)</f>
        <v>#N/A</v>
      </c>
      <c r="U291" s="455"/>
    </row>
    <row r="292" spans="1:21" s="440" customFormat="1">
      <c r="A292" s="504"/>
      <c r="B292" s="448"/>
      <c r="C292" s="498" t="s">
        <v>414</v>
      </c>
      <c r="D292" s="448"/>
      <c r="E292" s="448"/>
      <c r="F292" s="448"/>
      <c r="G292" s="448"/>
      <c r="H292" s="448"/>
      <c r="I292" s="448"/>
      <c r="J292" s="448"/>
      <c r="K292" s="448"/>
      <c r="L292" s="505"/>
      <c r="M292" s="505"/>
      <c r="N292" s="505"/>
      <c r="O292" s="505"/>
      <c r="P292" s="464" t="s">
        <v>394</v>
      </c>
      <c r="Q292" s="483" t="e">
        <f ca="1">VLOOKUP(VLOOKUP(I276,Worksheet!$A$18:$B$31,2),'1Test Data'!$O$30:$AK$49,23,0)</f>
        <v>#N/A</v>
      </c>
      <c r="R292" s="453"/>
      <c r="S292" s="453"/>
      <c r="T292" s="453"/>
      <c r="U292" s="455"/>
    </row>
    <row r="293" spans="1:21" s="440" customFormat="1" ht="13.5" customHeight="1">
      <c r="A293" s="504"/>
      <c r="B293" s="448"/>
      <c r="C293" s="1090" t="s">
        <v>415</v>
      </c>
      <c r="D293" s="1091"/>
      <c r="E293" s="1091"/>
      <c r="F293" s="1091"/>
      <c r="G293" s="1092"/>
      <c r="H293" s="448"/>
      <c r="I293" s="448"/>
      <c r="J293" s="448"/>
      <c r="K293" s="448"/>
      <c r="L293" s="506" t="s">
        <v>416</v>
      </c>
      <c r="M293" s="507" t="e">
        <f ca="1">M291^0.5</f>
        <v>#N/A</v>
      </c>
      <c r="N293" s="508" t="str">
        <f>Uncert!$F$4</f>
        <v>ABS kPa</v>
      </c>
      <c r="O293" s="505" t="e">
        <f ca="1">(M291-M282-M287-M289-M290)^0.5</f>
        <v>#N/A</v>
      </c>
      <c r="P293" s="464" t="s">
        <v>396</v>
      </c>
      <c r="Q293" s="483" t="e">
        <f ca="1">VLOOKUP(VLOOKUP(I276,Worksheet!$A$18:$B$31,2),'1Test Data'!$O$30:$AL$49,24,0)</f>
        <v>#N/A</v>
      </c>
      <c r="R293" s="453"/>
      <c r="S293" s="453"/>
      <c r="T293" s="453"/>
      <c r="U293" s="455"/>
    </row>
    <row r="294" spans="1:21" s="440" customFormat="1">
      <c r="A294" s="504"/>
      <c r="B294" s="448"/>
      <c r="C294" s="1093"/>
      <c r="D294" s="1094"/>
      <c r="E294" s="1094"/>
      <c r="F294" s="1094"/>
      <c r="G294" s="1095"/>
      <c r="H294" s="448"/>
      <c r="I294" s="448"/>
      <c r="J294" s="448"/>
      <c r="K294" s="448"/>
      <c r="L294" s="506" t="s">
        <v>417</v>
      </c>
      <c r="M294" s="507" t="e">
        <f ca="1">M293^4/N291</f>
        <v>#N/A</v>
      </c>
      <c r="N294" s="509"/>
      <c r="O294" s="510" t="e">
        <f ca="1">O293^4/(N291-N282-N287-N289-N290)</f>
        <v>#N/A</v>
      </c>
      <c r="P294" s="464" t="s">
        <v>201</v>
      </c>
      <c r="Q294" s="483" t="e">
        <f ca="1">VLOOKUP(VLOOKUP(I276,Worksheet!$A$18:$B$31,2),'1Test Data'!$O$30:$AM$49,25,0)</f>
        <v>#N/A</v>
      </c>
      <c r="R294" s="453"/>
      <c r="S294" s="453"/>
      <c r="T294" s="453"/>
      <c r="U294" s="455"/>
    </row>
    <row r="295" spans="1:21" s="440" customFormat="1">
      <c r="A295" s="504"/>
      <c r="B295" s="448"/>
      <c r="C295" s="1093"/>
      <c r="D295" s="1094"/>
      <c r="E295" s="1094"/>
      <c r="F295" s="1094"/>
      <c r="G295" s="1095"/>
      <c r="H295" s="448"/>
      <c r="I295" s="448"/>
      <c r="J295" s="448"/>
      <c r="K295" s="448"/>
      <c r="L295" s="506" t="s">
        <v>418</v>
      </c>
      <c r="M295" s="507" t="e">
        <f ca="1">TINV(0.05,M294)</f>
        <v>#N/A</v>
      </c>
      <c r="N295" s="508"/>
      <c r="O295" s="507" t="e">
        <f ca="1">TINV(0.05,O294)</f>
        <v>#N/A</v>
      </c>
      <c r="P295" s="464" t="s">
        <v>88</v>
      </c>
      <c r="Q295" s="483" t="e">
        <f ca="1">VLOOKUP(VLOOKUP(I276,Worksheet!$A$18:$B$31,2),'1Test Data'!$O$30:$AN$49,26,0)</f>
        <v>#N/A</v>
      </c>
      <c r="R295" s="453"/>
      <c r="S295" s="453"/>
      <c r="T295" s="453"/>
      <c r="U295" s="455"/>
    </row>
    <row r="296" spans="1:21" s="440" customFormat="1">
      <c r="A296" s="504"/>
      <c r="B296" s="448"/>
      <c r="C296" s="1093"/>
      <c r="D296" s="1094"/>
      <c r="E296" s="1094"/>
      <c r="F296" s="1094"/>
      <c r="G296" s="1095"/>
      <c r="H296" s="448"/>
      <c r="I296" s="448"/>
      <c r="J296" s="448"/>
      <c r="K296" s="448"/>
      <c r="L296" s="506" t="s">
        <v>419</v>
      </c>
      <c r="M296" s="507" t="e">
        <f ca="1">M293*M295</f>
        <v>#N/A</v>
      </c>
      <c r="N296" s="508" t="str">
        <f>Uncert!$F$4</f>
        <v>ABS kPa</v>
      </c>
      <c r="O296" s="507" t="e">
        <f ca="1">O293*O295</f>
        <v>#N/A</v>
      </c>
      <c r="P296" s="464" t="s">
        <v>420</v>
      </c>
      <c r="Q296" s="483" t="e">
        <f ca="1">ABS(Q292*F276^3+Q293*F276^2+Q294*F276+Q295)</f>
        <v>#N/A</v>
      </c>
      <c r="R296" s="453"/>
      <c r="S296" s="453"/>
      <c r="T296" s="453"/>
      <c r="U296" s="455"/>
    </row>
    <row r="297" spans="1:21" s="440" customFormat="1">
      <c r="A297" s="497"/>
      <c r="B297" s="498"/>
      <c r="C297" s="1096"/>
      <c r="D297" s="1097"/>
      <c r="E297" s="1097"/>
      <c r="F297" s="1097"/>
      <c r="G297" s="1098"/>
      <c r="H297" s="448"/>
      <c r="I297" s="448"/>
      <c r="J297" s="511"/>
      <c r="K297" s="511"/>
      <c r="L297" s="512" t="s">
        <v>421</v>
      </c>
      <c r="M297" s="513" t="e">
        <f ca="1">M296</f>
        <v>#N/A</v>
      </c>
      <c r="N297" s="514" t="str">
        <f>Uncert!$F$4</f>
        <v>ABS kPa</v>
      </c>
      <c r="O297" s="513" t="e">
        <f ca="1">O296</f>
        <v>#N/A</v>
      </c>
      <c r="P297" s="464" t="s">
        <v>422</v>
      </c>
      <c r="Q297" s="483" t="e">
        <f ca="1">VLOOKUP(VLOOKUP(I276,Worksheet!$A$18:$B$31,2),'1Test Data'!$O$30:$AP$49,28,0)</f>
        <v>#N/A</v>
      </c>
      <c r="R297" s="453"/>
      <c r="S297" s="453"/>
      <c r="T297" s="453"/>
      <c r="U297" s="455"/>
    </row>
    <row r="298" spans="1:21" s="440" customFormat="1">
      <c r="A298" s="497"/>
      <c r="B298" s="498"/>
      <c r="C298" s="498" t="s">
        <v>423</v>
      </c>
      <c r="D298" s="448"/>
      <c r="E298" s="448"/>
      <c r="F298" s="448"/>
      <c r="G298" s="448"/>
      <c r="H298" s="515" t="e">
        <f>"N " &amp; ReadoutType</f>
        <v>#NAME?</v>
      </c>
      <c r="I298" s="516" t="e">
        <f ca="1">($O299/$K287)</f>
        <v>#N/A</v>
      </c>
      <c r="J298" s="448"/>
      <c r="K298" s="448"/>
      <c r="L298" s="505"/>
      <c r="M298" s="517" t="e">
        <f ca="1">(M297/F276)*100</f>
        <v>#N/A</v>
      </c>
      <c r="N298" s="518" t="s">
        <v>78</v>
      </c>
      <c r="O298" s="517"/>
      <c r="P298" s="519"/>
      <c r="Q298" s="519"/>
      <c r="R298" s="453"/>
      <c r="S298" s="453"/>
      <c r="T298" s="453"/>
      <c r="U298" s="455"/>
    </row>
    <row r="299" spans="1:21" s="440" customFormat="1">
      <c r="A299" s="497"/>
      <c r="B299" s="498"/>
      <c r="C299" s="520" t="s">
        <v>33</v>
      </c>
      <c r="D299" s="521" t="str">
        <f ca="1">Gravity</f>
        <v/>
      </c>
      <c r="E299" s="520" t="s">
        <v>36</v>
      </c>
      <c r="F299" s="522"/>
      <c r="G299" s="523"/>
      <c r="H299" s="524" t="e">
        <f>ReadoutType</f>
        <v>#NAME?</v>
      </c>
      <c r="I299" s="516" t="e">
        <f ca="1">($M299/$K287)</f>
        <v>#N/A</v>
      </c>
      <c r="J299" s="1103" t="s">
        <v>424</v>
      </c>
      <c r="K299" s="1104"/>
      <c r="L299" s="1104"/>
      <c r="M299" s="525" t="e">
        <f ca="1">IF(NATA="Y",IF(M297&lt;Scopekpa,IF(Scopekpa&lt;((F276/100)*ScopeReading),((F276/100)*ScopeReading),Scopekpa),IF(M297&lt;((F276/100)*ScopeReading),((F276/100)*ScopeReading),M297)),Uncert!M297)</f>
        <v>#N/A</v>
      </c>
      <c r="N299" s="522" t="s">
        <v>425</v>
      </c>
      <c r="O299" s="525" t="e">
        <f ca="1">IF(NATA="Y",IF(O297&lt;Scopekpa,IF(Scopekpa&lt;((F276/100)*ScopeReading),((F276/100)*ScopeReading),Scopekpa),IF(O297&lt;((F276/100)*ScopeReading),((F276/100)*ScopeReading),O297)),Uncert!O297)</f>
        <v>#N/A</v>
      </c>
      <c r="P299" s="522"/>
      <c r="Q299" s="522"/>
      <c r="R299" s="453"/>
      <c r="S299" s="453"/>
      <c r="T299" s="453"/>
      <c r="U299" s="455"/>
    </row>
    <row r="300" spans="1:21" s="440" customFormat="1" ht="14.25" thickBot="1">
      <c r="A300" s="526" t="str">
        <f>"Worksheet!A" &amp; 17+(ROW()/25)</f>
        <v>Worksheet!A29</v>
      </c>
      <c r="B300" s="527"/>
      <c r="C300" s="527"/>
      <c r="D300" s="528">
        <f>ROW()/25</f>
        <v>12</v>
      </c>
      <c r="E300" s="529"/>
      <c r="F300" s="529"/>
      <c r="G300" s="529"/>
      <c r="H300" s="529"/>
      <c r="I300" s="530"/>
      <c r="J300" s="1105" t="s">
        <v>424</v>
      </c>
      <c r="K300" s="1105"/>
      <c r="L300" s="1105"/>
      <c r="M300" s="531" t="e">
        <f ca="1">IF(NATA="Y",IF(M298&lt;ScopeReading,ScopeReading,M298),M298)</f>
        <v>#N/A</v>
      </c>
      <c r="N300" s="532" t="s">
        <v>78</v>
      </c>
      <c r="O300" s="531"/>
      <c r="P300" s="532"/>
      <c r="Q300" s="527"/>
      <c r="R300" s="527"/>
      <c r="S300" s="527"/>
      <c r="T300" s="527"/>
      <c r="U300" s="533"/>
    </row>
    <row r="301" spans="1:21" s="440" customFormat="1">
      <c r="A301" s="1099" t="e">
        <f ca="1">"Uncertainty Budget: Digital Pressure Gauge (" &amp; Q301&amp; ", "&amp; Q302 &amp; H301 &amp;" x " &amp; Division   &amp;H301 &amp; " )" &amp; " Test Point "&amp;D325</f>
        <v>#N/A</v>
      </c>
      <c r="B301" s="1100"/>
      <c r="C301" s="1100"/>
      <c r="D301" s="1100"/>
      <c r="E301" s="1100"/>
      <c r="F301" s="1101">
        <f ca="1">ABS(I301*UnitConvert)</f>
        <v>0</v>
      </c>
      <c r="G301" s="1102"/>
      <c r="H301" s="428" t="s">
        <v>371</v>
      </c>
      <c r="I301" s="429">
        <f ca="1">INDIRECT(A325)</f>
        <v>0</v>
      </c>
      <c r="J301" s="430" t="str">
        <f>_xlfn.SINGLE(Units)</f>
        <v>mm</v>
      </c>
      <c r="K301" s="431" t="e">
        <f ca="1">IF(C304="","","Uncertainty (U) = ±"&amp;TEXT(M322,"0.0")&amp;$F$4&amp;",  &amp;  (k="&amp;TEXT(M320,"0.00")&amp;", confidence level=95%)")</f>
        <v>#N/A</v>
      </c>
      <c r="L301" s="432"/>
      <c r="M301" s="432"/>
      <c r="N301" s="432"/>
      <c r="O301" s="433"/>
      <c r="P301" s="434" t="s">
        <v>372</v>
      </c>
      <c r="Q301" s="435" t="e">
        <f ca="1">VLOOKUP(VLOOKUP(I301,Worksheet!$A$18:$B$31,2),'1Test Data'!$M$6:$O$10,2,0)</f>
        <v>#N/A</v>
      </c>
      <c r="R301" s="436"/>
      <c r="S301" s="436"/>
      <c r="T301" s="437" t="str">
        <f ca="1">"TEX Ver "&amp;Mods!$A$1</f>
        <v>TEX Ver TAS-SST001v1</v>
      </c>
      <c r="U301" s="438"/>
    </row>
    <row r="302" spans="1:21" s="440" customFormat="1">
      <c r="A302" s="442" t="s">
        <v>373</v>
      </c>
      <c r="B302" s="443"/>
      <c r="C302" s="444"/>
      <c r="D302" s="445" t="s">
        <v>374</v>
      </c>
      <c r="E302" s="446" t="e">
        <f ca="1">Q302</f>
        <v>#N/A</v>
      </c>
      <c r="F302" s="447"/>
      <c r="G302" s="447" t="e">
        <f ca="1">ROUND(M322/(F301/100),2)&amp;"% of Full Scale"</f>
        <v>#N/A</v>
      </c>
      <c r="H302" s="448"/>
      <c r="I302" s="448"/>
      <c r="J302" s="449" t="e">
        <f ca="1">M323</f>
        <v>#N/A</v>
      </c>
      <c r="K302" s="448"/>
      <c r="L302" s="450"/>
      <c r="M302" s="450"/>
      <c r="N302" s="450"/>
      <c r="O302" s="433"/>
      <c r="P302" s="451" t="s">
        <v>375</v>
      </c>
      <c r="Q302" s="452" t="e">
        <f ca="1">VLOOKUP(VLOOKUP(I301,Worksheet!$A$18:$B$31,2),'1Test Data'!$O$30:$T$49,6,0)</f>
        <v>#N/A</v>
      </c>
      <c r="R302" s="453">
        <v>0</v>
      </c>
      <c r="S302" s="453"/>
      <c r="T302" s="454">
        <f ca="1">Mods!$A$4</f>
        <v>45809.486168981479</v>
      </c>
      <c r="U302" s="455"/>
    </row>
    <row r="303" spans="1:21" s="440" customFormat="1" ht="38.25">
      <c r="A303" s="458" t="s">
        <v>376</v>
      </c>
      <c r="B303" s="459" t="s">
        <v>377</v>
      </c>
      <c r="C303" s="460" t="s">
        <v>378</v>
      </c>
      <c r="D303" s="460" t="s">
        <v>379</v>
      </c>
      <c r="E303" s="460" t="s">
        <v>380</v>
      </c>
      <c r="F303" s="460" t="s">
        <v>381</v>
      </c>
      <c r="G303" s="460" t="s">
        <v>178</v>
      </c>
      <c r="H303" s="461" t="s">
        <v>382</v>
      </c>
      <c r="I303" s="461" t="s">
        <v>383</v>
      </c>
      <c r="J303" s="462" t="s">
        <v>384</v>
      </c>
      <c r="K303" s="463" t="s">
        <v>385</v>
      </c>
      <c r="L303" s="461" t="s">
        <v>386</v>
      </c>
      <c r="M303" s="461" t="s">
        <v>387</v>
      </c>
      <c r="N303" s="461" t="s">
        <v>388</v>
      </c>
      <c r="O303" s="461" t="s">
        <v>389</v>
      </c>
      <c r="P303" s="464" t="s">
        <v>390</v>
      </c>
      <c r="Q303" s="452" t="e">
        <f ca="1">VLOOKUP(VLOOKUP(I301,Worksheet!$A$18:$B$31,2),'1Test Data'!$O$30:$V$49,8,0)</f>
        <v>#N/A</v>
      </c>
      <c r="R303" s="465" t="s">
        <v>391</v>
      </c>
      <c r="S303" s="465" t="s">
        <v>391</v>
      </c>
      <c r="T303" s="466" t="s">
        <v>392</v>
      </c>
      <c r="U303" s="467"/>
    </row>
    <row r="304" spans="1:21" s="440" customFormat="1" ht="18" customHeight="1">
      <c r="A304" s="470">
        <v>1</v>
      </c>
      <c r="B304" s="471">
        <f>$B$4</f>
        <v>1</v>
      </c>
      <c r="C304" s="472" t="e">
        <f ca="1">"Reference Device  ("&amp;Q302&amp;" Druck Transducer) + Sey
Uncertainty from Calibration Report - "&amp;Q301</f>
        <v>#N/A</v>
      </c>
      <c r="D304" s="471" t="s">
        <v>393</v>
      </c>
      <c r="E304" s="473" t="e">
        <f ca="1">Q308+Q309</f>
        <v>#N/A</v>
      </c>
      <c r="F304" s="474" t="str">
        <f>H301</f>
        <v>ABS kPa</v>
      </c>
      <c r="G304" s="475" t="str">
        <f>IF(OR(D304="",B304=0),"",IF(D304="ESDM","A","B"))</f>
        <v>B</v>
      </c>
      <c r="H304" s="476" t="e">
        <f ca="1">IF(OR(E304="",B304=0),"",IF(D304="ESDM",1,IF(D304="N95",2,IF(D304="Rect",(3^0.5)))))</f>
        <v>#N/A</v>
      </c>
      <c r="I304" s="477">
        <f>IF(D304="N95",60,100)</f>
        <v>60</v>
      </c>
      <c r="J304" s="478" t="e">
        <f ca="1">IF(OR(E304="",B304=0),"",(E304/H304))</f>
        <v>#N/A</v>
      </c>
      <c r="K304" s="479">
        <v>1</v>
      </c>
      <c r="L304" s="480" t="e">
        <f ca="1">IF(OR(E304="",B304=0),"",K304*J304)</f>
        <v>#N/A</v>
      </c>
      <c r="M304" s="480" t="e">
        <f t="shared" ref="M304:M315" ca="1" si="120">IF(OR(E304="",B304=0),"0",L304^2)</f>
        <v>#N/A</v>
      </c>
      <c r="N304" s="481" t="e">
        <f t="shared" ref="N304:N315" ca="1" si="121">IF(OR(D304="",B304=0),"0",(L304)^4/I304)</f>
        <v>#N/A</v>
      </c>
      <c r="O304" s="482" t="e">
        <f t="shared" ref="O304:O315" ca="1" si="122">T304</f>
        <v>#N/A</v>
      </c>
      <c r="P304" s="464" t="s">
        <v>394</v>
      </c>
      <c r="Q304" s="483" t="e">
        <f ca="1">VLOOKUP(VLOOKUP(I301,Worksheet!$A$18:$B$31,2),'1Test Data'!$O$30:$Y$49,11,0)</f>
        <v>#N/A</v>
      </c>
      <c r="R304" s="484" t="e">
        <f ca="1">IF(OR(E304="",B304=0),"",K304*J304)</f>
        <v>#N/A</v>
      </c>
      <c r="S304" s="465" t="e">
        <f ca="1">IF(OR(E304="",B304=0),"",ABS(R304))</f>
        <v>#N/A</v>
      </c>
      <c r="T304" s="465" t="e">
        <f ca="1">IF(OR(E304="",B304=0),"",ABS(L304/S316))</f>
        <v>#N/A</v>
      </c>
      <c r="U304" s="485"/>
    </row>
    <row r="305" spans="1:21" s="440" customFormat="1" ht="27" customHeight="1">
      <c r="A305" s="470">
        <v>2</v>
      </c>
      <c r="B305" s="471">
        <f>$B$5</f>
        <v>1</v>
      </c>
      <c r="C305" s="472" t="e">
        <f ca="1">"Reference Device  Specs +Sey
(" &amp; Q302 &amp; H301 &amp; " Druck Transducer)
"&amp;Q303 &amp; "% of F.S. from Calibration Report - " &amp; Q301</f>
        <v>#N/A</v>
      </c>
      <c r="D305" s="471" t="s">
        <v>395</v>
      </c>
      <c r="E305" s="473" t="e">
        <f ca="1">Q321+Q322</f>
        <v>#N/A</v>
      </c>
      <c r="F305" s="474" t="e">
        <f ca="1">IF(OR(E305="",B305=0),"",$F$4)</f>
        <v>#N/A</v>
      </c>
      <c r="G305" s="475" t="str">
        <f t="shared" ref="G305:G315" si="123">IF(OR(D305="",B305=0),"",IF(D305="ESDM","A","B"))</f>
        <v>B</v>
      </c>
      <c r="H305" s="476" t="e">
        <f t="shared" ref="H305:H315" ca="1" si="124">IF(OR(E305="",B305=0),"",IF(D305="ESDM",1,IF(D305="N95",2,IF(D305="Rect",(3^0.5)))))</f>
        <v>#N/A</v>
      </c>
      <c r="I305" s="477">
        <f t="shared" ref="I305:I315" si="125">IF(D305="N95",60,100)</f>
        <v>100</v>
      </c>
      <c r="J305" s="478" t="e">
        <f t="shared" ref="J305:J315" ca="1" si="126">IF(OR(E305="",B305=0),"",(E305/H305))</f>
        <v>#N/A</v>
      </c>
      <c r="K305" s="479">
        <v>1</v>
      </c>
      <c r="L305" s="480" t="e">
        <f t="shared" ref="L305:L315" ca="1" si="127">IF(OR(E305="",B305=0),"",K305*J305)</f>
        <v>#N/A</v>
      </c>
      <c r="M305" s="480" t="e">
        <f t="shared" ca="1" si="120"/>
        <v>#N/A</v>
      </c>
      <c r="N305" s="481" t="e">
        <f t="shared" ca="1" si="121"/>
        <v>#N/A</v>
      </c>
      <c r="O305" s="482" t="e">
        <f t="shared" ca="1" si="122"/>
        <v>#N/A</v>
      </c>
      <c r="P305" s="464" t="s">
        <v>396</v>
      </c>
      <c r="Q305" s="483" t="e">
        <f ca="1">VLOOKUP(VLOOKUP(I301,Worksheet!$A$18:$B$31,2),'1Test Data'!$O$30:$Z$49,12,0)</f>
        <v>#N/A</v>
      </c>
      <c r="R305" s="484" t="e">
        <f t="shared" ref="R305:R315" ca="1" si="128">IF(OR(E305="",B305=0),"",K305*J305)</f>
        <v>#N/A</v>
      </c>
      <c r="S305" s="465" t="e">
        <f t="shared" ref="S305:S315" ca="1" si="129">IF(OR(E305="",B305=0),"",ABS(R305))</f>
        <v>#N/A</v>
      </c>
      <c r="T305" s="465" t="e">
        <f ca="1">IF(OR(E305="",B305=0),"",ABS(L305/S316))</f>
        <v>#N/A</v>
      </c>
      <c r="U305" s="485"/>
    </row>
    <row r="306" spans="1:21" s="440" customFormat="1" ht="18" customHeight="1">
      <c r="A306" s="470">
        <v>3</v>
      </c>
      <c r="B306" s="471">
        <f>$B$6</f>
        <v>1</v>
      </c>
      <c r="C306" s="472" t="s">
        <v>397</v>
      </c>
      <c r="D306" s="471" t="s">
        <v>395</v>
      </c>
      <c r="E306" s="473" t="e">
        <f ca="1">Q310*F301/100</f>
        <v>#N/A</v>
      </c>
      <c r="F306" s="474" t="e">
        <f ca="1">IF(OR(E306="",B306=0),"",$F$4)</f>
        <v>#N/A</v>
      </c>
      <c r="G306" s="475" t="str">
        <f t="shared" si="123"/>
        <v>B</v>
      </c>
      <c r="H306" s="476" t="e">
        <f t="shared" ca="1" si="124"/>
        <v>#N/A</v>
      </c>
      <c r="I306" s="477">
        <f t="shared" si="125"/>
        <v>100</v>
      </c>
      <c r="J306" s="478" t="e">
        <f t="shared" ca="1" si="126"/>
        <v>#N/A</v>
      </c>
      <c r="K306" s="479">
        <v>1</v>
      </c>
      <c r="L306" s="480" t="e">
        <f t="shared" ca="1" si="127"/>
        <v>#N/A</v>
      </c>
      <c r="M306" s="480" t="e">
        <f t="shared" ca="1" si="120"/>
        <v>#N/A</v>
      </c>
      <c r="N306" s="481" t="e">
        <f t="shared" ca="1" si="121"/>
        <v>#N/A</v>
      </c>
      <c r="O306" s="482" t="e">
        <f t="shared" ca="1" si="122"/>
        <v>#N/A</v>
      </c>
      <c r="P306" s="464" t="s">
        <v>201</v>
      </c>
      <c r="Q306" s="483" t="e">
        <f ca="1">VLOOKUP(VLOOKUP(I301,Worksheet!$A$18:$B$31,2),'1Test Data'!$O$30:$AA$49,13,0)</f>
        <v>#N/A</v>
      </c>
      <c r="R306" s="484" t="e">
        <f t="shared" ca="1" si="128"/>
        <v>#N/A</v>
      </c>
      <c r="S306" s="465" t="e">
        <f t="shared" ca="1" si="129"/>
        <v>#N/A</v>
      </c>
      <c r="T306" s="465" t="e">
        <f ca="1">IF(OR(E306="",B306=0),"",ABS(L306/S316))</f>
        <v>#N/A</v>
      </c>
      <c r="U306" s="485"/>
    </row>
    <row r="307" spans="1:21" s="440" customFormat="1" ht="18" customHeight="1">
      <c r="A307" s="470">
        <v>4</v>
      </c>
      <c r="B307" s="471" t="e">
        <f>$B$7</f>
        <v>#NAME?</v>
      </c>
      <c r="C307" s="472" t="s">
        <v>398</v>
      </c>
      <c r="D307" s="471" t="s">
        <v>395</v>
      </c>
      <c r="E307" s="473">
        <f>EDMS*UnitConvert</f>
        <v>0</v>
      </c>
      <c r="F307" s="474" t="e">
        <f>IF(OR(E307="",B307=0),"",$F$4)</f>
        <v>#NAME?</v>
      </c>
      <c r="G307" s="475" t="e">
        <f t="shared" si="123"/>
        <v>#NAME?</v>
      </c>
      <c r="H307" s="476" t="e">
        <f t="shared" si="124"/>
        <v>#NAME?</v>
      </c>
      <c r="I307" s="477">
        <f t="shared" si="125"/>
        <v>100</v>
      </c>
      <c r="J307" s="478" t="e">
        <f t="shared" si="126"/>
        <v>#NAME?</v>
      </c>
      <c r="K307" s="479">
        <v>1</v>
      </c>
      <c r="L307" s="480" t="e">
        <f t="shared" si="127"/>
        <v>#NAME?</v>
      </c>
      <c r="M307" s="480" t="e">
        <f t="shared" si="120"/>
        <v>#NAME?</v>
      </c>
      <c r="N307" s="481" t="e">
        <f t="shared" si="121"/>
        <v>#NAME?</v>
      </c>
      <c r="O307" s="482" t="e">
        <f t="shared" si="122"/>
        <v>#NAME?</v>
      </c>
      <c r="P307" s="464" t="s">
        <v>88</v>
      </c>
      <c r="Q307" s="483" t="e">
        <f ca="1">VLOOKUP(VLOOKUP(I301,Worksheet!$A$18:$B$31,2),'1Test Data'!$O$30:$AB$49,14,0)</f>
        <v>#N/A</v>
      </c>
      <c r="R307" s="484" t="e">
        <f t="shared" si="128"/>
        <v>#NAME?</v>
      </c>
      <c r="S307" s="465" t="e">
        <f t="shared" si="129"/>
        <v>#NAME?</v>
      </c>
      <c r="T307" s="465" t="e">
        <f>IF(OR(E307="",B307=0),"",ABS(L307/S316))</f>
        <v>#NAME?</v>
      </c>
      <c r="U307" s="485"/>
    </row>
    <row r="308" spans="1:21" s="440" customFormat="1" ht="27">
      <c r="A308" s="470">
        <v>5</v>
      </c>
      <c r="B308" s="471">
        <f>$B$8</f>
        <v>0</v>
      </c>
      <c r="C308" s="472" t="str">
        <f>C33</f>
        <v>Gravity -0.001 m/s2 Sensitivity = Test Pressure / Gravity</v>
      </c>
      <c r="D308" s="471" t="s">
        <v>395</v>
      </c>
      <c r="E308" s="473">
        <f>E8</f>
        <v>1E-3</v>
      </c>
      <c r="F308" s="474" t="s">
        <v>400</v>
      </c>
      <c r="G308" s="475" t="str">
        <f t="shared" si="123"/>
        <v/>
      </c>
      <c r="H308" s="476" t="str">
        <f t="shared" si="124"/>
        <v/>
      </c>
      <c r="I308" s="477">
        <f t="shared" si="125"/>
        <v>100</v>
      </c>
      <c r="J308" s="478" t="str">
        <f t="shared" si="126"/>
        <v/>
      </c>
      <c r="K308" s="479">
        <f ca="1">F301*E308</f>
        <v>0</v>
      </c>
      <c r="L308" s="480" t="str">
        <f t="shared" si="127"/>
        <v/>
      </c>
      <c r="M308" s="480" t="str">
        <f t="shared" si="120"/>
        <v>0</v>
      </c>
      <c r="N308" s="481" t="str">
        <f t="shared" si="121"/>
        <v>0</v>
      </c>
      <c r="O308" s="482" t="str">
        <f>IFERROR(T308,0)</f>
        <v/>
      </c>
      <c r="P308" s="492" t="s">
        <v>401</v>
      </c>
      <c r="Q308" s="493" t="e">
        <f ca="1">ABS(Q304*F301^3+Q305*F301^2+Q306*F301+Q307)</f>
        <v>#N/A</v>
      </c>
      <c r="R308" s="484" t="str">
        <f t="shared" si="128"/>
        <v/>
      </c>
      <c r="S308" s="465" t="str">
        <f t="shared" si="129"/>
        <v/>
      </c>
      <c r="T308" s="465" t="str">
        <f>IF(OR(E308="",B308=0),"",ABS(L308/S316))</f>
        <v/>
      </c>
      <c r="U308" s="485"/>
    </row>
    <row r="309" spans="1:21" s="440" customFormat="1" ht="27">
      <c r="A309" s="470">
        <v>6</v>
      </c>
      <c r="B309" s="471">
        <f>$B$9</f>
        <v>0</v>
      </c>
      <c r="C309" s="472" t="s">
        <v>402</v>
      </c>
      <c r="D309" s="471" t="s">
        <v>395</v>
      </c>
      <c r="E309" s="473">
        <v>2</v>
      </c>
      <c r="F309" s="474" t="s">
        <v>403</v>
      </c>
      <c r="G309" s="475" t="str">
        <f t="shared" si="123"/>
        <v/>
      </c>
      <c r="H309" s="476" t="str">
        <f t="shared" si="124"/>
        <v/>
      </c>
      <c r="I309" s="477">
        <f t="shared" si="125"/>
        <v>100</v>
      </c>
      <c r="J309" s="478" t="str">
        <f t="shared" si="126"/>
        <v/>
      </c>
      <c r="K309" s="479">
        <f ca="1">F301*-0.000022</f>
        <v>0</v>
      </c>
      <c r="L309" s="480" t="str">
        <f t="shared" si="127"/>
        <v/>
      </c>
      <c r="M309" s="480" t="str">
        <f t="shared" si="120"/>
        <v>0</v>
      </c>
      <c r="N309" s="481" t="str">
        <f t="shared" si="121"/>
        <v>0</v>
      </c>
      <c r="O309" s="482" t="str">
        <f t="shared" si="122"/>
        <v/>
      </c>
      <c r="P309" s="494" t="s">
        <v>404</v>
      </c>
      <c r="Q309" s="483" t="e">
        <f ca="1">VLOOKUP(VLOOKUP(I301,Worksheet!$A$18:$B$31,2),'1Test Data'!$O$30:$AD$49,14,0)</f>
        <v>#N/A</v>
      </c>
      <c r="R309" s="484" t="str">
        <f t="shared" si="128"/>
        <v/>
      </c>
      <c r="S309" s="465" t="str">
        <f t="shared" si="129"/>
        <v/>
      </c>
      <c r="T309" s="465" t="str">
        <f>IF(OR(E309="",B309=0),"",ABS(L309/S316))</f>
        <v/>
      </c>
      <c r="U309" s="485"/>
    </row>
    <row r="310" spans="1:21" s="440" customFormat="1" ht="27">
      <c r="A310" s="470">
        <v>7</v>
      </c>
      <c r="B310" s="471">
        <f>$B$10</f>
        <v>0</v>
      </c>
      <c r="C310" s="472" t="s">
        <v>405</v>
      </c>
      <c r="D310" s="471" t="s">
        <v>395</v>
      </c>
      <c r="E310" s="473">
        <v>0.5</v>
      </c>
      <c r="F310" s="474" t="s">
        <v>406</v>
      </c>
      <c r="G310" s="475" t="str">
        <f t="shared" si="123"/>
        <v/>
      </c>
      <c r="H310" s="476" t="str">
        <f t="shared" si="124"/>
        <v/>
      </c>
      <c r="I310" s="477">
        <f t="shared" si="125"/>
        <v>100</v>
      </c>
      <c r="J310" s="478" t="str">
        <f t="shared" si="126"/>
        <v/>
      </c>
      <c r="K310" s="479">
        <f ca="1">(0.098*F301)/1000</f>
        <v>0</v>
      </c>
      <c r="L310" s="480" t="str">
        <f t="shared" si="127"/>
        <v/>
      </c>
      <c r="M310" s="480" t="str">
        <f t="shared" si="120"/>
        <v>0</v>
      </c>
      <c r="N310" s="481" t="str">
        <f t="shared" si="121"/>
        <v>0</v>
      </c>
      <c r="O310" s="482" t="str">
        <f t="shared" si="122"/>
        <v/>
      </c>
      <c r="P310" s="464" t="s">
        <v>407</v>
      </c>
      <c r="Q310" s="452" t="e">
        <f ca="1">VLOOKUP(VLOOKUP(I301,Worksheet!$A$18:$B$31,2),'1Test Data'!$O$30:$X$49,10,0)</f>
        <v>#N/A</v>
      </c>
      <c r="R310" s="484" t="str">
        <f t="shared" si="128"/>
        <v/>
      </c>
      <c r="S310" s="465" t="str">
        <f t="shared" si="129"/>
        <v/>
      </c>
      <c r="T310" s="465" t="str">
        <f>IF(OR(E310="",B310=0),"",ABS(L310/S316))</f>
        <v/>
      </c>
      <c r="U310" s="485"/>
    </row>
    <row r="311" spans="1:21" s="440" customFormat="1" ht="27">
      <c r="A311" s="470">
        <v>8</v>
      </c>
      <c r="B311" s="471">
        <f>$B$11</f>
        <v>0</v>
      </c>
      <c r="C311" s="472" t="s">
        <v>408</v>
      </c>
      <c r="D311" s="471" t="s">
        <v>395</v>
      </c>
      <c r="E311" s="473">
        <v>0.05</v>
      </c>
      <c r="F311" s="474" t="s">
        <v>406</v>
      </c>
      <c r="G311" s="475" t="str">
        <f t="shared" si="123"/>
        <v/>
      </c>
      <c r="H311" s="476" t="str">
        <f t="shared" si="124"/>
        <v/>
      </c>
      <c r="I311" s="477">
        <f t="shared" si="125"/>
        <v>100</v>
      </c>
      <c r="J311" s="478" t="str">
        <f t="shared" si="126"/>
        <v/>
      </c>
      <c r="K311" s="479">
        <f ca="1">F301/8000</f>
        <v>0</v>
      </c>
      <c r="L311" s="480" t="str">
        <f t="shared" si="127"/>
        <v/>
      </c>
      <c r="M311" s="480" t="str">
        <f t="shared" si="120"/>
        <v>0</v>
      </c>
      <c r="N311" s="481" t="str">
        <f t="shared" si="121"/>
        <v>0</v>
      </c>
      <c r="O311" s="482" t="str">
        <f t="shared" si="122"/>
        <v/>
      </c>
      <c r="P311" s="464" t="s">
        <v>394</v>
      </c>
      <c r="Q311" s="483" t="e">
        <f ca="1">VLOOKUP(VLOOKUP(I301,Worksheet!$A$18:$B$31,2),'1Test Data'!$O$30:$AE$49,17,0)</f>
        <v>#N/A</v>
      </c>
      <c r="R311" s="484" t="str">
        <f t="shared" si="128"/>
        <v/>
      </c>
      <c r="S311" s="465" t="str">
        <f t="shared" si="129"/>
        <v/>
      </c>
      <c r="T311" s="465" t="str">
        <f>IF(OR(E311="",B311=0),"",ABS(L311/S316))</f>
        <v/>
      </c>
      <c r="U311" s="485"/>
    </row>
    <row r="312" spans="1:21" s="440" customFormat="1" ht="13.5" customHeight="1">
      <c r="A312" s="470">
        <v>9</v>
      </c>
      <c r="B312" s="471" t="e">
        <f>$B$12</f>
        <v>#NAME?</v>
      </c>
      <c r="C312" s="472" t="str">
        <f>"Electrical reference devise" &amp; '1Test Data'!$O$3 &amp;  CHAR(10) &amp; "SN: " &amp; '1Test Data'!$P$3 &amp; ", Cert No: " &amp; '1Test Data'!$Q$3</f>
        <v>Electrical reference devisea
SN: b, Cert No: c</v>
      </c>
      <c r="D312" s="471" t="s">
        <v>395</v>
      </c>
      <c r="E312" s="473">
        <f>ElectUncert</f>
        <v>2E-3</v>
      </c>
      <c r="F312" s="474" t="e">
        <f>IF(OR(E312="",B312=0),"",ReadoutType)</f>
        <v>#NAME?</v>
      </c>
      <c r="G312" s="475" t="e">
        <f t="shared" si="123"/>
        <v>#NAME?</v>
      </c>
      <c r="H312" s="476" t="e">
        <f t="shared" si="124"/>
        <v>#NAME?</v>
      </c>
      <c r="I312" s="477">
        <f t="shared" si="125"/>
        <v>100</v>
      </c>
      <c r="J312" s="478" t="e">
        <f t="shared" si="126"/>
        <v>#NAME?</v>
      </c>
      <c r="K312" s="479" t="e">
        <f>Capacity/(Upper-Lower)</f>
        <v>#NAME?</v>
      </c>
      <c r="L312" s="480" t="e">
        <f t="shared" si="127"/>
        <v>#NAME?</v>
      </c>
      <c r="M312" s="480" t="e">
        <f t="shared" si="120"/>
        <v>#NAME?</v>
      </c>
      <c r="N312" s="481" t="e">
        <f t="shared" si="121"/>
        <v>#NAME?</v>
      </c>
      <c r="O312" s="482" t="e">
        <f t="shared" si="122"/>
        <v>#NAME?</v>
      </c>
      <c r="P312" s="464" t="s">
        <v>396</v>
      </c>
      <c r="Q312" s="483" t="e">
        <f ca="1">VLOOKUP(VLOOKUP(I301,Worksheet!$A$18:$B$31,2),'1Test Data'!$O$30:$AF$49,18,0)</f>
        <v>#N/A</v>
      </c>
      <c r="R312" s="484" t="e">
        <f t="shared" si="128"/>
        <v>#NAME?</v>
      </c>
      <c r="S312" s="465" t="e">
        <f t="shared" si="129"/>
        <v>#NAME?</v>
      </c>
      <c r="T312" s="465" t="e">
        <f>IF(OR(E312="",B312=0),"",ABS(L312/S316))</f>
        <v>#NAME?</v>
      </c>
      <c r="U312" s="485"/>
    </row>
    <row r="313" spans="1:21" s="440" customFormat="1" ht="18" customHeight="1">
      <c r="A313" s="470">
        <v>10</v>
      </c>
      <c r="B313" s="471">
        <f>$B$13</f>
        <v>1</v>
      </c>
      <c r="C313" s="472" t="s">
        <v>409</v>
      </c>
      <c r="D313" s="471" t="s">
        <v>395</v>
      </c>
      <c r="E313" s="473">
        <f>Worksheet!D30*UnitConvert</f>
        <v>0</v>
      </c>
      <c r="F313" s="474" t="str">
        <f>IF(OR(E313="",B313=0),"",$F$4)</f>
        <v>ABS kPa</v>
      </c>
      <c r="G313" s="475" t="str">
        <f t="shared" si="123"/>
        <v>B</v>
      </c>
      <c r="H313" s="476">
        <f t="shared" si="124"/>
        <v>1.7320508075688772</v>
      </c>
      <c r="I313" s="477">
        <f t="shared" si="125"/>
        <v>100</v>
      </c>
      <c r="J313" s="478">
        <f t="shared" si="126"/>
        <v>0</v>
      </c>
      <c r="K313" s="479">
        <v>1</v>
      </c>
      <c r="L313" s="480">
        <f t="shared" si="127"/>
        <v>0</v>
      </c>
      <c r="M313" s="480">
        <f t="shared" si="120"/>
        <v>0</v>
      </c>
      <c r="N313" s="481">
        <f t="shared" si="121"/>
        <v>0</v>
      </c>
      <c r="O313" s="482" t="e">
        <f t="shared" ca="1" si="122"/>
        <v>#N/A</v>
      </c>
      <c r="P313" s="464" t="s">
        <v>201</v>
      </c>
      <c r="Q313" s="483" t="e">
        <f ca="1">VLOOKUP(VLOOKUP(I301,Worksheet!$A$18:$B$31,2),'1Test Data'!$O$30:$AG$49,19,0)</f>
        <v>#N/A</v>
      </c>
      <c r="R313" s="484">
        <f t="shared" si="128"/>
        <v>0</v>
      </c>
      <c r="S313" s="465">
        <f t="shared" si="129"/>
        <v>0</v>
      </c>
      <c r="T313" s="465" t="e">
        <f ca="1">IF(OR(E313="",B313=0),"",ABS(L313/S316))</f>
        <v>#N/A</v>
      </c>
      <c r="U313" s="485"/>
    </row>
    <row r="314" spans="1:21" s="440" customFormat="1" ht="13.5" customHeight="1">
      <c r="A314" s="470">
        <v>11</v>
      </c>
      <c r="B314" s="471" t="e">
        <f>$B$14</f>
        <v>#NAME?</v>
      </c>
      <c r="C314" s="496" t="e">
        <f>"DUT Type " &amp;ReadoutType&amp; " Resolution "&amp;Readability &amp; "kPa
Digital - Type B - Rect - 1/2 of  least count with D of F = 100 &amp; (k=1.73)
Analogue - Type B - N95 - Best scale readability with D of F = 60 &amp; k=2.00"</f>
        <v>#NAME?</v>
      </c>
      <c r="D314" s="471" t="e">
        <f>IF(ReadoutType="Digital","Rect","N95")</f>
        <v>#NAME?</v>
      </c>
      <c r="E314" s="473" t="e">
        <f>IF(Elect=1,($K312)/1000,IF(ReadoutType="Digital",Readability/2,Readability)*UnitConvert)</f>
        <v>#NAME?</v>
      </c>
      <c r="F314" s="474" t="e">
        <f>IF(OR(E314="",B314=0),"",$F$4)</f>
        <v>#NAME?</v>
      </c>
      <c r="G314" s="475" t="e">
        <f t="shared" si="123"/>
        <v>#NAME?</v>
      </c>
      <c r="H314" s="476" t="e">
        <f t="shared" si="124"/>
        <v>#NAME?</v>
      </c>
      <c r="I314" s="477" t="e">
        <f t="shared" si="125"/>
        <v>#NAME?</v>
      </c>
      <c r="J314" s="478" t="e">
        <f t="shared" si="126"/>
        <v>#NAME?</v>
      </c>
      <c r="K314" s="479">
        <v>1</v>
      </c>
      <c r="L314" s="480" t="e">
        <f t="shared" si="127"/>
        <v>#NAME?</v>
      </c>
      <c r="M314" s="480" t="e">
        <f t="shared" si="120"/>
        <v>#NAME?</v>
      </c>
      <c r="N314" s="481" t="e">
        <f t="shared" si="121"/>
        <v>#NAME?</v>
      </c>
      <c r="O314" s="482" t="e">
        <f t="shared" si="122"/>
        <v>#NAME?</v>
      </c>
      <c r="P314" s="464" t="s">
        <v>88</v>
      </c>
      <c r="Q314" s="483" t="e">
        <f ca="1">VLOOKUP(VLOOKUP(I301,Worksheet!$A$18:$B$31,2),'1Test Data'!$O$30:$AH$49,20,0)</f>
        <v>#N/A</v>
      </c>
      <c r="R314" s="484" t="e">
        <f t="shared" si="128"/>
        <v>#NAME?</v>
      </c>
      <c r="S314" s="465" t="e">
        <f t="shared" si="129"/>
        <v>#NAME?</v>
      </c>
      <c r="T314" s="465" t="e">
        <f>IF(OR(E314="",B314=0),"",ABS(L314/S316))</f>
        <v>#NAME?</v>
      </c>
      <c r="U314" s="485"/>
    </row>
    <row r="315" spans="1:21" s="440" customFormat="1" ht="27">
      <c r="A315" s="470">
        <v>12</v>
      </c>
      <c r="B315" s="471" t="e">
        <f>$B$15</f>
        <v>#NAME?</v>
      </c>
      <c r="C315" s="496" t="s">
        <v>410</v>
      </c>
      <c r="D315" s="471" t="s">
        <v>395</v>
      </c>
      <c r="E315" s="473" t="e">
        <f>E314</f>
        <v>#NAME?</v>
      </c>
      <c r="F315" s="474" t="e">
        <f>IF(OR(E315="",B315=0),"",$F$4)</f>
        <v>#NAME?</v>
      </c>
      <c r="G315" s="475" t="e">
        <f t="shared" si="123"/>
        <v>#NAME?</v>
      </c>
      <c r="H315" s="476" t="e">
        <f t="shared" si="124"/>
        <v>#NAME?</v>
      </c>
      <c r="I315" s="477">
        <f t="shared" si="125"/>
        <v>100</v>
      </c>
      <c r="J315" s="478" t="e">
        <f t="shared" si="126"/>
        <v>#NAME?</v>
      </c>
      <c r="K315" s="479">
        <v>1</v>
      </c>
      <c r="L315" s="480" t="e">
        <f t="shared" si="127"/>
        <v>#NAME?</v>
      </c>
      <c r="M315" s="480" t="e">
        <f t="shared" si="120"/>
        <v>#NAME?</v>
      </c>
      <c r="N315" s="481" t="e">
        <f t="shared" si="121"/>
        <v>#NAME?</v>
      </c>
      <c r="O315" s="482" t="e">
        <f t="shared" si="122"/>
        <v>#NAME?</v>
      </c>
      <c r="P315" s="464" t="s">
        <v>411</v>
      </c>
      <c r="Q315" s="483" t="e">
        <f ca="1">ABS(Q311*F301^3+Q312*F301^2+Q313*F301+Q314)</f>
        <v>#N/A</v>
      </c>
      <c r="R315" s="484" t="e">
        <f t="shared" si="128"/>
        <v>#NAME?</v>
      </c>
      <c r="S315" s="465" t="e">
        <f t="shared" si="129"/>
        <v>#NAME?</v>
      </c>
      <c r="T315" s="465" t="e">
        <f>IF(OR(E315="",B315=0),"",ABS(L315/S316))</f>
        <v>#NAME?</v>
      </c>
      <c r="U315" s="485"/>
    </row>
    <row r="316" spans="1:21" s="440" customFormat="1" ht="25.5">
      <c r="A316" s="497"/>
      <c r="B316" s="498"/>
      <c r="C316" s="448"/>
      <c r="D316" s="448"/>
      <c r="E316" s="448"/>
      <c r="F316" s="448"/>
      <c r="G316" s="448"/>
      <c r="H316" s="448"/>
      <c r="I316" s="484"/>
      <c r="J316" s="448"/>
      <c r="K316" s="448"/>
      <c r="L316" s="499" t="s">
        <v>412</v>
      </c>
      <c r="M316" s="499" t="e">
        <f ca="1">SUM(M304:M315)</f>
        <v>#N/A</v>
      </c>
      <c r="N316" s="500" t="e">
        <f ca="1">SUM(N304:N315)</f>
        <v>#N/A</v>
      </c>
      <c r="O316" s="501" t="e">
        <f ca="1">SUM(O304:O315)</f>
        <v>#N/A</v>
      </c>
      <c r="P316" s="464" t="s">
        <v>413</v>
      </c>
      <c r="Q316" s="483" t="e">
        <f ca="1">VLOOKUP(VLOOKUP(I301,Worksheet!$A$18:$B$31,2),'1Test Data'!$O$30:$AJ$49,22,0)</f>
        <v>#N/A</v>
      </c>
      <c r="R316" s="453"/>
      <c r="S316" s="465" t="e">
        <f ca="1">SUM(S304:S315)</f>
        <v>#N/A</v>
      </c>
      <c r="T316" s="465" t="e">
        <f ca="1">SUM(T304:T315)</f>
        <v>#N/A</v>
      </c>
      <c r="U316" s="455"/>
    </row>
    <row r="317" spans="1:21" s="440" customFormat="1">
      <c r="A317" s="504"/>
      <c r="B317" s="448"/>
      <c r="C317" s="498" t="s">
        <v>414</v>
      </c>
      <c r="D317" s="448"/>
      <c r="E317" s="448"/>
      <c r="F317" s="448"/>
      <c r="G317" s="448"/>
      <c r="H317" s="448"/>
      <c r="I317" s="448"/>
      <c r="J317" s="448"/>
      <c r="K317" s="448"/>
      <c r="L317" s="505"/>
      <c r="M317" s="505"/>
      <c r="N317" s="505"/>
      <c r="O317" s="505"/>
      <c r="P317" s="464" t="s">
        <v>394</v>
      </c>
      <c r="Q317" s="483" t="e">
        <f ca="1">VLOOKUP(VLOOKUP(I301,Worksheet!$A$18:$B$31,2),'1Test Data'!$O$30:$AK$49,23,0)</f>
        <v>#N/A</v>
      </c>
      <c r="R317" s="453"/>
      <c r="S317" s="453"/>
      <c r="T317" s="453"/>
      <c r="U317" s="455"/>
    </row>
    <row r="318" spans="1:21" s="440" customFormat="1" ht="13.5" customHeight="1">
      <c r="A318" s="504"/>
      <c r="B318" s="448"/>
      <c r="C318" s="1090" t="s">
        <v>415</v>
      </c>
      <c r="D318" s="1091"/>
      <c r="E318" s="1091"/>
      <c r="F318" s="1091"/>
      <c r="G318" s="1092"/>
      <c r="H318" s="448"/>
      <c r="I318" s="448"/>
      <c r="J318" s="448"/>
      <c r="K318" s="448"/>
      <c r="L318" s="506" t="s">
        <v>416</v>
      </c>
      <c r="M318" s="507" t="e">
        <f ca="1">M316^0.5</f>
        <v>#N/A</v>
      </c>
      <c r="N318" s="508" t="str">
        <f>Uncert!$F$4</f>
        <v>ABS kPa</v>
      </c>
      <c r="O318" s="505" t="e">
        <f ca="1">(M316-M307-M312-M314-M315)^0.5</f>
        <v>#N/A</v>
      </c>
      <c r="P318" s="464" t="s">
        <v>396</v>
      </c>
      <c r="Q318" s="483" t="e">
        <f ca="1">VLOOKUP(VLOOKUP(I301,Worksheet!$A$18:$B$31,2),'1Test Data'!$O$30:$AL$49,24,0)</f>
        <v>#N/A</v>
      </c>
      <c r="R318" s="453"/>
      <c r="S318" s="453"/>
      <c r="T318" s="453"/>
      <c r="U318" s="455"/>
    </row>
    <row r="319" spans="1:21" s="440" customFormat="1">
      <c r="A319" s="504"/>
      <c r="B319" s="448"/>
      <c r="C319" s="1093"/>
      <c r="D319" s="1094"/>
      <c r="E319" s="1094"/>
      <c r="F319" s="1094"/>
      <c r="G319" s="1095"/>
      <c r="H319" s="448"/>
      <c r="I319" s="448"/>
      <c r="J319" s="448"/>
      <c r="K319" s="448"/>
      <c r="L319" s="506" t="s">
        <v>417</v>
      </c>
      <c r="M319" s="507" t="e">
        <f ca="1">M318^4/N316</f>
        <v>#N/A</v>
      </c>
      <c r="N319" s="509"/>
      <c r="O319" s="510" t="e">
        <f ca="1">O318^4/(N316-N307-N312-N314-N315)</f>
        <v>#N/A</v>
      </c>
      <c r="P319" s="464" t="s">
        <v>201</v>
      </c>
      <c r="Q319" s="483" t="e">
        <f ca="1">VLOOKUP(VLOOKUP(I301,Worksheet!$A$18:$B$31,2),'1Test Data'!$O$30:$AM$49,25,0)</f>
        <v>#N/A</v>
      </c>
      <c r="R319" s="453"/>
      <c r="S319" s="453"/>
      <c r="T319" s="453"/>
      <c r="U319" s="455"/>
    </row>
    <row r="320" spans="1:21" s="440" customFormat="1">
      <c r="A320" s="504"/>
      <c r="B320" s="448"/>
      <c r="C320" s="1093"/>
      <c r="D320" s="1094"/>
      <c r="E320" s="1094"/>
      <c r="F320" s="1094"/>
      <c r="G320" s="1095"/>
      <c r="H320" s="448"/>
      <c r="I320" s="448"/>
      <c r="J320" s="448"/>
      <c r="K320" s="448"/>
      <c r="L320" s="506" t="s">
        <v>418</v>
      </c>
      <c r="M320" s="507" t="e">
        <f ca="1">TINV(0.05,M319)</f>
        <v>#N/A</v>
      </c>
      <c r="N320" s="508"/>
      <c r="O320" s="507" t="e">
        <f ca="1">TINV(0.05,O319)</f>
        <v>#N/A</v>
      </c>
      <c r="P320" s="464" t="s">
        <v>88</v>
      </c>
      <c r="Q320" s="483" t="e">
        <f ca="1">VLOOKUP(VLOOKUP(I301,Worksheet!$A$18:$B$31,2),'1Test Data'!$O$30:$AN$49,26,0)</f>
        <v>#N/A</v>
      </c>
      <c r="R320" s="453"/>
      <c r="S320" s="453"/>
      <c r="T320" s="453"/>
      <c r="U320" s="455"/>
    </row>
    <row r="321" spans="1:21" s="440" customFormat="1">
      <c r="A321" s="504"/>
      <c r="B321" s="448"/>
      <c r="C321" s="1093"/>
      <c r="D321" s="1094"/>
      <c r="E321" s="1094"/>
      <c r="F321" s="1094"/>
      <c r="G321" s="1095"/>
      <c r="H321" s="448"/>
      <c r="I321" s="448"/>
      <c r="J321" s="448"/>
      <c r="K321" s="448"/>
      <c r="L321" s="506" t="s">
        <v>419</v>
      </c>
      <c r="M321" s="507" t="e">
        <f ca="1">M318*M320</f>
        <v>#N/A</v>
      </c>
      <c r="N321" s="508" t="str">
        <f>Uncert!$F$4</f>
        <v>ABS kPa</v>
      </c>
      <c r="O321" s="507" t="e">
        <f ca="1">O318*O320</f>
        <v>#N/A</v>
      </c>
      <c r="P321" s="464" t="s">
        <v>420</v>
      </c>
      <c r="Q321" s="483" t="e">
        <f ca="1">ABS(Q317*F301^3+Q318*F301^2+Q319*F301+Q320)</f>
        <v>#N/A</v>
      </c>
      <c r="R321" s="453"/>
      <c r="S321" s="453"/>
      <c r="T321" s="453"/>
      <c r="U321" s="455"/>
    </row>
    <row r="322" spans="1:21" s="440" customFormat="1">
      <c r="A322" s="497"/>
      <c r="B322" s="498"/>
      <c r="C322" s="1096"/>
      <c r="D322" s="1097"/>
      <c r="E322" s="1097"/>
      <c r="F322" s="1097"/>
      <c r="G322" s="1098"/>
      <c r="H322" s="448"/>
      <c r="I322" s="448"/>
      <c r="J322" s="511"/>
      <c r="K322" s="511"/>
      <c r="L322" s="512" t="s">
        <v>421</v>
      </c>
      <c r="M322" s="513" t="e">
        <f ca="1">M321</f>
        <v>#N/A</v>
      </c>
      <c r="N322" s="514" t="str">
        <f>Uncert!$F$4</f>
        <v>ABS kPa</v>
      </c>
      <c r="O322" s="513" t="e">
        <f ca="1">O321</f>
        <v>#N/A</v>
      </c>
      <c r="P322" s="464" t="s">
        <v>422</v>
      </c>
      <c r="Q322" s="483" t="e">
        <f ca="1">VLOOKUP(VLOOKUP(I301,Worksheet!$A$18:$B$31,2),'1Test Data'!$O$30:$AP$49,28,0)</f>
        <v>#N/A</v>
      </c>
      <c r="R322" s="453"/>
      <c r="S322" s="453"/>
      <c r="T322" s="453"/>
      <c r="U322" s="455"/>
    </row>
    <row r="323" spans="1:21" s="440" customFormat="1">
      <c r="A323" s="497"/>
      <c r="B323" s="498"/>
      <c r="C323" s="498" t="s">
        <v>423</v>
      </c>
      <c r="D323" s="448"/>
      <c r="E323" s="448"/>
      <c r="F323" s="448"/>
      <c r="G323" s="448"/>
      <c r="H323" s="515" t="e">
        <f>"N " &amp; ReadoutType</f>
        <v>#NAME?</v>
      </c>
      <c r="I323" s="516" t="e">
        <f ca="1">($O324/$K312)</f>
        <v>#N/A</v>
      </c>
      <c r="J323" s="448"/>
      <c r="K323" s="448"/>
      <c r="L323" s="505"/>
      <c r="M323" s="517" t="e">
        <f ca="1">(M322/F301)*100</f>
        <v>#N/A</v>
      </c>
      <c r="N323" s="518" t="s">
        <v>78</v>
      </c>
      <c r="O323" s="517"/>
      <c r="P323" s="519"/>
      <c r="Q323" s="519"/>
      <c r="R323" s="453"/>
      <c r="S323" s="453"/>
      <c r="T323" s="453"/>
      <c r="U323" s="455"/>
    </row>
    <row r="324" spans="1:21" s="440" customFormat="1">
      <c r="A324" s="497"/>
      <c r="B324" s="498"/>
      <c r="C324" s="520" t="s">
        <v>33</v>
      </c>
      <c r="D324" s="521" t="str">
        <f ca="1">Gravity</f>
        <v/>
      </c>
      <c r="E324" s="520" t="s">
        <v>36</v>
      </c>
      <c r="F324" s="522"/>
      <c r="G324" s="523"/>
      <c r="H324" s="524" t="e">
        <f>ReadoutType</f>
        <v>#NAME?</v>
      </c>
      <c r="I324" s="516" t="e">
        <f ca="1">($M324/$K312)</f>
        <v>#N/A</v>
      </c>
      <c r="J324" s="1103" t="s">
        <v>424</v>
      </c>
      <c r="K324" s="1104"/>
      <c r="L324" s="1104"/>
      <c r="M324" s="525" t="e">
        <f ca="1">IF(NATA="Y",IF(M322&lt;Scopekpa,IF(Scopekpa&lt;((F301/100)*ScopeReading),((F301/100)*ScopeReading),Scopekpa),IF(M322&lt;((F301/100)*ScopeReading),((F301/100)*ScopeReading),M322)),Uncert!M322)</f>
        <v>#N/A</v>
      </c>
      <c r="N324" s="522" t="s">
        <v>425</v>
      </c>
      <c r="O324" s="525" t="e">
        <f ca="1">IF(NATA="Y",IF(O322&lt;Scopekpa,IF(Scopekpa&lt;((F301/100)*ScopeReading),((F301/100)*ScopeReading),Scopekpa),IF(O322&lt;((F301/100)*ScopeReading),((F301/100)*ScopeReading),O322)),Uncert!O322)</f>
        <v>#N/A</v>
      </c>
      <c r="P324" s="522"/>
      <c r="Q324" s="522"/>
      <c r="R324" s="453"/>
      <c r="S324" s="453"/>
      <c r="T324" s="453"/>
      <c r="U324" s="455"/>
    </row>
    <row r="325" spans="1:21" s="440" customFormat="1" ht="14.25" thickBot="1">
      <c r="A325" s="526" t="str">
        <f>"Worksheet!A" &amp; 17+(ROW()/25)</f>
        <v>Worksheet!A30</v>
      </c>
      <c r="B325" s="527"/>
      <c r="C325" s="527"/>
      <c r="D325" s="528">
        <f>ROW()/25</f>
        <v>13</v>
      </c>
      <c r="E325" s="529"/>
      <c r="F325" s="529"/>
      <c r="G325" s="529"/>
      <c r="H325" s="529"/>
      <c r="I325" s="530"/>
      <c r="J325" s="1105" t="s">
        <v>424</v>
      </c>
      <c r="K325" s="1105"/>
      <c r="L325" s="1105"/>
      <c r="M325" s="531" t="e">
        <f ca="1">IF(NATA="Y",IF(M323&lt;ScopeReading,ScopeReading,M323),M323)</f>
        <v>#N/A</v>
      </c>
      <c r="N325" s="532" t="s">
        <v>78</v>
      </c>
      <c r="O325" s="531"/>
      <c r="P325" s="532"/>
      <c r="Q325" s="527"/>
      <c r="R325" s="527"/>
      <c r="S325" s="527"/>
      <c r="T325" s="527"/>
      <c r="U325" s="533"/>
    </row>
    <row r="326" spans="1:21" s="440" customFormat="1">
      <c r="A326" s="1099" t="e">
        <f ca="1">"Uncertainty Budget: Digital Pressure Gauge (" &amp; Q326&amp; ", "&amp; Q327 &amp; H326 &amp;" x " &amp; Division   &amp;H326 &amp; " )" &amp; " Test Point "&amp;D350</f>
        <v>#N/A</v>
      </c>
      <c r="B326" s="1100"/>
      <c r="C326" s="1100"/>
      <c r="D326" s="1100"/>
      <c r="E326" s="1100"/>
      <c r="F326" s="1101">
        <f ca="1">ABS(I326*UnitConvert)</f>
        <v>0</v>
      </c>
      <c r="G326" s="1102"/>
      <c r="H326" s="428" t="s">
        <v>371</v>
      </c>
      <c r="I326" s="429">
        <f ca="1">INDIRECT(A350)</f>
        <v>0</v>
      </c>
      <c r="J326" s="430" t="str">
        <f>_xlfn.SINGLE(Units)</f>
        <v>mm</v>
      </c>
      <c r="K326" s="431" t="e">
        <f ca="1">IF(C329="","","Uncertainty (U) = ±"&amp;TEXT(M347,"0.0")&amp;$F$4&amp;",  &amp;  (k="&amp;TEXT(M345,"0.00")&amp;", confidence level=95%)")</f>
        <v>#N/A</v>
      </c>
      <c r="L326" s="432"/>
      <c r="M326" s="432"/>
      <c r="N326" s="432"/>
      <c r="O326" s="433"/>
      <c r="P326" s="434" t="s">
        <v>372</v>
      </c>
      <c r="Q326" s="435" t="e">
        <f ca="1">VLOOKUP(VLOOKUP(I326,Worksheet!$A$18:$B$31,2),'1Test Data'!$M$6:$O$10,2,0)</f>
        <v>#N/A</v>
      </c>
      <c r="R326" s="436"/>
      <c r="S326" s="436"/>
      <c r="T326" s="437" t="str">
        <f ca="1">"TEX Ver "&amp;Mods!$A$1</f>
        <v>TEX Ver TAS-SST001v1</v>
      </c>
      <c r="U326" s="438"/>
    </row>
    <row r="327" spans="1:21" s="440" customFormat="1">
      <c r="A327" s="442" t="s">
        <v>373</v>
      </c>
      <c r="B327" s="443"/>
      <c r="C327" s="444"/>
      <c r="D327" s="445" t="s">
        <v>374</v>
      </c>
      <c r="E327" s="446" t="e">
        <f ca="1">Q327</f>
        <v>#N/A</v>
      </c>
      <c r="F327" s="447"/>
      <c r="G327" s="447" t="e">
        <f ca="1">ROUND(M347/(F326/100),2)&amp;"% of Full Scale"</f>
        <v>#N/A</v>
      </c>
      <c r="H327" s="448"/>
      <c r="I327" s="448"/>
      <c r="J327" s="449" t="e">
        <f ca="1">M348</f>
        <v>#N/A</v>
      </c>
      <c r="K327" s="448"/>
      <c r="L327" s="450"/>
      <c r="M327" s="450"/>
      <c r="N327" s="450"/>
      <c r="O327" s="433"/>
      <c r="P327" s="451" t="s">
        <v>375</v>
      </c>
      <c r="Q327" s="452" t="e">
        <f ca="1">VLOOKUP(VLOOKUP(I326,Worksheet!$A$18:$B$31,2),'1Test Data'!$O$30:$T$49,6,0)</f>
        <v>#N/A</v>
      </c>
      <c r="R327" s="453">
        <v>0</v>
      </c>
      <c r="S327" s="453"/>
      <c r="T327" s="454">
        <f ca="1">Mods!$A$4</f>
        <v>45809.486168981479</v>
      </c>
      <c r="U327" s="455"/>
    </row>
    <row r="328" spans="1:21" s="440" customFormat="1" ht="38.25">
      <c r="A328" s="458" t="s">
        <v>376</v>
      </c>
      <c r="B328" s="459" t="s">
        <v>377</v>
      </c>
      <c r="C328" s="460" t="s">
        <v>378</v>
      </c>
      <c r="D328" s="460" t="s">
        <v>379</v>
      </c>
      <c r="E328" s="460" t="s">
        <v>380</v>
      </c>
      <c r="F328" s="460" t="s">
        <v>381</v>
      </c>
      <c r="G328" s="460" t="s">
        <v>178</v>
      </c>
      <c r="H328" s="461" t="s">
        <v>382</v>
      </c>
      <c r="I328" s="461" t="s">
        <v>383</v>
      </c>
      <c r="J328" s="462" t="s">
        <v>384</v>
      </c>
      <c r="K328" s="463" t="s">
        <v>385</v>
      </c>
      <c r="L328" s="461" t="s">
        <v>386</v>
      </c>
      <c r="M328" s="461" t="s">
        <v>387</v>
      </c>
      <c r="N328" s="461" t="s">
        <v>388</v>
      </c>
      <c r="O328" s="461" t="s">
        <v>389</v>
      </c>
      <c r="P328" s="464" t="s">
        <v>390</v>
      </c>
      <c r="Q328" s="452" t="e">
        <f ca="1">VLOOKUP(VLOOKUP(I326,Worksheet!$A$18:$B$31,2),'1Test Data'!$O$30:$V$49,8,0)</f>
        <v>#N/A</v>
      </c>
      <c r="R328" s="465" t="s">
        <v>391</v>
      </c>
      <c r="S328" s="465" t="s">
        <v>391</v>
      </c>
      <c r="T328" s="466" t="s">
        <v>392</v>
      </c>
      <c r="U328" s="467"/>
    </row>
    <row r="329" spans="1:21" s="440" customFormat="1" ht="18" customHeight="1">
      <c r="A329" s="470">
        <v>1</v>
      </c>
      <c r="B329" s="471">
        <f>$B$4</f>
        <v>1</v>
      </c>
      <c r="C329" s="472" t="e">
        <f ca="1">"Reference Device  ("&amp;Q327&amp;" Druck Transducer) + Sey
Uncertainty from Calibration Report - "&amp;Q326</f>
        <v>#N/A</v>
      </c>
      <c r="D329" s="471" t="s">
        <v>393</v>
      </c>
      <c r="E329" s="473" t="e">
        <f ca="1">Q333+Q334</f>
        <v>#N/A</v>
      </c>
      <c r="F329" s="474" t="str">
        <f>H326</f>
        <v>ABS kPa</v>
      </c>
      <c r="G329" s="475" t="str">
        <f>IF(OR(D329="",B329=0),"",IF(D329="ESDM","A","B"))</f>
        <v>B</v>
      </c>
      <c r="H329" s="476" t="e">
        <f ca="1">IF(OR(E329="",B329=0),"",IF(D329="ESDM",1,IF(D329="N95",2,IF(D329="Rect",(3^0.5)))))</f>
        <v>#N/A</v>
      </c>
      <c r="I329" s="477">
        <f>IF(D329="N95",60,100)</f>
        <v>60</v>
      </c>
      <c r="J329" s="478" t="e">
        <f ca="1">IF(OR(E329="",B329=0),"",(E329/H329))</f>
        <v>#N/A</v>
      </c>
      <c r="K329" s="479">
        <v>1</v>
      </c>
      <c r="L329" s="480" t="e">
        <f ca="1">IF(OR(E329="",B329=0),"",K329*J329)</f>
        <v>#N/A</v>
      </c>
      <c r="M329" s="480" t="e">
        <f t="shared" ref="M329:M340" ca="1" si="130">IF(OR(E329="",B329=0),"0",L329^2)</f>
        <v>#N/A</v>
      </c>
      <c r="N329" s="481" t="e">
        <f t="shared" ref="N329:N340" ca="1" si="131">IF(OR(D329="",B329=0),"0",(L329)^4/I329)</f>
        <v>#N/A</v>
      </c>
      <c r="O329" s="482" t="e">
        <f t="shared" ref="O329:O340" ca="1" si="132">T329</f>
        <v>#N/A</v>
      </c>
      <c r="P329" s="464" t="s">
        <v>394</v>
      </c>
      <c r="Q329" s="483" t="e">
        <f ca="1">VLOOKUP(VLOOKUP(I326,Worksheet!$A$18:$B$31,2),'1Test Data'!$O$30:$Y$49,11,0)</f>
        <v>#N/A</v>
      </c>
      <c r="R329" s="484" t="e">
        <f ca="1">IF(OR(E329="",B329=0),"",K329*J329)</f>
        <v>#N/A</v>
      </c>
      <c r="S329" s="465" t="e">
        <f ca="1">IF(OR(E329="",B329=0),"",ABS(R329))</f>
        <v>#N/A</v>
      </c>
      <c r="T329" s="465" t="e">
        <f ca="1">IF(OR(E329="",B329=0),"",ABS(L329/S341))</f>
        <v>#N/A</v>
      </c>
      <c r="U329" s="485"/>
    </row>
    <row r="330" spans="1:21" s="440" customFormat="1" ht="27" customHeight="1">
      <c r="A330" s="470">
        <v>2</v>
      </c>
      <c r="B330" s="471">
        <f>$B$5</f>
        <v>1</v>
      </c>
      <c r="C330" s="472" t="e">
        <f ca="1">"Reference Device  Specs +Sey
(" &amp; Q327 &amp; H326 &amp; " Druck Transducer)
"&amp;Q328 &amp; "% of F.S. from Calibration Report - " &amp; Q326</f>
        <v>#N/A</v>
      </c>
      <c r="D330" s="471" t="s">
        <v>395</v>
      </c>
      <c r="E330" s="473" t="e">
        <f ca="1">Q346+Q347</f>
        <v>#N/A</v>
      </c>
      <c r="F330" s="474" t="e">
        <f ca="1">IF(OR(E330="",B330=0),"",$F$4)</f>
        <v>#N/A</v>
      </c>
      <c r="G330" s="475" t="str">
        <f t="shared" ref="G330:G340" si="133">IF(OR(D330="",B330=0),"",IF(D330="ESDM","A","B"))</f>
        <v>B</v>
      </c>
      <c r="H330" s="476" t="e">
        <f t="shared" ref="H330:H340" ca="1" si="134">IF(OR(E330="",B330=0),"",IF(D330="ESDM",1,IF(D330="N95",2,IF(D330="Rect",(3^0.5)))))</f>
        <v>#N/A</v>
      </c>
      <c r="I330" s="477">
        <f t="shared" ref="I330:I340" si="135">IF(D330="N95",60,100)</f>
        <v>100</v>
      </c>
      <c r="J330" s="478" t="e">
        <f t="shared" ref="J330:J340" ca="1" si="136">IF(OR(E330="",B330=0),"",(E330/H330))</f>
        <v>#N/A</v>
      </c>
      <c r="K330" s="479">
        <v>1</v>
      </c>
      <c r="L330" s="480" t="e">
        <f t="shared" ref="L330:L340" ca="1" si="137">IF(OR(E330="",B330=0),"",K330*J330)</f>
        <v>#N/A</v>
      </c>
      <c r="M330" s="480" t="e">
        <f t="shared" ca="1" si="130"/>
        <v>#N/A</v>
      </c>
      <c r="N330" s="481" t="e">
        <f t="shared" ca="1" si="131"/>
        <v>#N/A</v>
      </c>
      <c r="O330" s="482" t="e">
        <f t="shared" ca="1" si="132"/>
        <v>#N/A</v>
      </c>
      <c r="P330" s="464" t="s">
        <v>396</v>
      </c>
      <c r="Q330" s="483" t="e">
        <f ca="1">VLOOKUP(VLOOKUP(I326,Worksheet!$A$18:$B$31,2),'1Test Data'!$O$30:$Z$49,12,0)</f>
        <v>#N/A</v>
      </c>
      <c r="R330" s="484" t="e">
        <f t="shared" ref="R330:R340" ca="1" si="138">IF(OR(E330="",B330=0),"",K330*J330)</f>
        <v>#N/A</v>
      </c>
      <c r="S330" s="465" t="e">
        <f t="shared" ref="S330:S340" ca="1" si="139">IF(OR(E330="",B330=0),"",ABS(R330))</f>
        <v>#N/A</v>
      </c>
      <c r="T330" s="465" t="e">
        <f ca="1">IF(OR(E330="",B330=0),"",ABS(L330/S341))</f>
        <v>#N/A</v>
      </c>
      <c r="U330" s="485"/>
    </row>
    <row r="331" spans="1:21" s="440" customFormat="1" ht="18" customHeight="1">
      <c r="A331" s="470">
        <v>3</v>
      </c>
      <c r="B331" s="471">
        <f>$B$6</f>
        <v>1</v>
      </c>
      <c r="C331" s="472" t="s">
        <v>397</v>
      </c>
      <c r="D331" s="471" t="s">
        <v>395</v>
      </c>
      <c r="E331" s="473" t="e">
        <f ca="1">Q335*F326/100</f>
        <v>#N/A</v>
      </c>
      <c r="F331" s="474" t="e">
        <f ca="1">IF(OR(E331="",B331=0),"",$F$4)</f>
        <v>#N/A</v>
      </c>
      <c r="G331" s="475" t="str">
        <f t="shared" si="133"/>
        <v>B</v>
      </c>
      <c r="H331" s="476" t="e">
        <f t="shared" ca="1" si="134"/>
        <v>#N/A</v>
      </c>
      <c r="I331" s="477">
        <f t="shared" si="135"/>
        <v>100</v>
      </c>
      <c r="J331" s="478" t="e">
        <f t="shared" ca="1" si="136"/>
        <v>#N/A</v>
      </c>
      <c r="K331" s="479">
        <v>1</v>
      </c>
      <c r="L331" s="480" t="e">
        <f t="shared" ca="1" si="137"/>
        <v>#N/A</v>
      </c>
      <c r="M331" s="480" t="e">
        <f t="shared" ca="1" si="130"/>
        <v>#N/A</v>
      </c>
      <c r="N331" s="481" t="e">
        <f t="shared" ca="1" si="131"/>
        <v>#N/A</v>
      </c>
      <c r="O331" s="482" t="e">
        <f t="shared" ca="1" si="132"/>
        <v>#N/A</v>
      </c>
      <c r="P331" s="464" t="s">
        <v>201</v>
      </c>
      <c r="Q331" s="483" t="e">
        <f ca="1">VLOOKUP(VLOOKUP(I326,Worksheet!$A$18:$B$31,2),'1Test Data'!$O$30:$AA$49,13,0)</f>
        <v>#N/A</v>
      </c>
      <c r="R331" s="484" t="e">
        <f t="shared" ca="1" si="138"/>
        <v>#N/A</v>
      </c>
      <c r="S331" s="465" t="e">
        <f t="shared" ca="1" si="139"/>
        <v>#N/A</v>
      </c>
      <c r="T331" s="465" t="e">
        <f ca="1">IF(OR(E331="",B331=0),"",ABS(L331/S341))</f>
        <v>#N/A</v>
      </c>
      <c r="U331" s="485"/>
    </row>
    <row r="332" spans="1:21" s="440" customFormat="1" ht="18" customHeight="1">
      <c r="A332" s="470">
        <v>4</v>
      </c>
      <c r="B332" s="471" t="e">
        <f>$B$7</f>
        <v>#NAME?</v>
      </c>
      <c r="C332" s="472" t="s">
        <v>398</v>
      </c>
      <c r="D332" s="471" t="s">
        <v>395</v>
      </c>
      <c r="E332" s="473">
        <f>EDMS*UnitConvert</f>
        <v>0</v>
      </c>
      <c r="F332" s="474" t="e">
        <f>IF(OR(E332="",B332=0),"",$F$4)</f>
        <v>#NAME?</v>
      </c>
      <c r="G332" s="475" t="e">
        <f t="shared" si="133"/>
        <v>#NAME?</v>
      </c>
      <c r="H332" s="476" t="e">
        <f t="shared" si="134"/>
        <v>#NAME?</v>
      </c>
      <c r="I332" s="477">
        <f t="shared" si="135"/>
        <v>100</v>
      </c>
      <c r="J332" s="478" t="e">
        <f t="shared" si="136"/>
        <v>#NAME?</v>
      </c>
      <c r="K332" s="479">
        <v>1</v>
      </c>
      <c r="L332" s="480" t="e">
        <f t="shared" si="137"/>
        <v>#NAME?</v>
      </c>
      <c r="M332" s="480" t="e">
        <f t="shared" si="130"/>
        <v>#NAME?</v>
      </c>
      <c r="N332" s="481" t="e">
        <f t="shared" si="131"/>
        <v>#NAME?</v>
      </c>
      <c r="O332" s="482" t="e">
        <f t="shared" si="132"/>
        <v>#NAME?</v>
      </c>
      <c r="P332" s="464" t="s">
        <v>88</v>
      </c>
      <c r="Q332" s="483" t="e">
        <f ca="1">VLOOKUP(VLOOKUP(I326,Worksheet!$A$18:$B$31,2),'1Test Data'!$O$30:$AB$49,14,0)</f>
        <v>#N/A</v>
      </c>
      <c r="R332" s="484" t="e">
        <f t="shared" si="138"/>
        <v>#NAME?</v>
      </c>
      <c r="S332" s="465" t="e">
        <f t="shared" si="139"/>
        <v>#NAME?</v>
      </c>
      <c r="T332" s="465" t="e">
        <f>IF(OR(E332="",B332=0),"",ABS(L332/S341))</f>
        <v>#NAME?</v>
      </c>
      <c r="U332" s="485"/>
    </row>
    <row r="333" spans="1:21" s="440" customFormat="1" ht="27">
      <c r="A333" s="470">
        <v>5</v>
      </c>
      <c r="B333" s="471">
        <f>$B$8</f>
        <v>0</v>
      </c>
      <c r="C333" s="472" t="str">
        <f>C33</f>
        <v>Gravity -0.001 m/s2 Sensitivity = Test Pressure / Gravity</v>
      </c>
      <c r="D333" s="471" t="s">
        <v>395</v>
      </c>
      <c r="E333" s="473">
        <f>E8</f>
        <v>1E-3</v>
      </c>
      <c r="F333" s="474" t="s">
        <v>400</v>
      </c>
      <c r="G333" s="475" t="str">
        <f t="shared" si="133"/>
        <v/>
      </c>
      <c r="H333" s="476" t="str">
        <f t="shared" si="134"/>
        <v/>
      </c>
      <c r="I333" s="477">
        <f t="shared" si="135"/>
        <v>100</v>
      </c>
      <c r="J333" s="478" t="str">
        <f t="shared" si="136"/>
        <v/>
      </c>
      <c r="K333" s="479">
        <f ca="1">F326*E333</f>
        <v>0</v>
      </c>
      <c r="L333" s="480" t="str">
        <f t="shared" si="137"/>
        <v/>
      </c>
      <c r="M333" s="480" t="str">
        <f t="shared" si="130"/>
        <v>0</v>
      </c>
      <c r="N333" s="481" t="str">
        <f t="shared" si="131"/>
        <v>0</v>
      </c>
      <c r="O333" s="482" t="str">
        <f>IFERROR(T333,0)</f>
        <v/>
      </c>
      <c r="P333" s="492" t="s">
        <v>401</v>
      </c>
      <c r="Q333" s="493" t="e">
        <f ca="1">ABS(Q329*F326^3+Q330*F326^2+Q331*F326+Q332)</f>
        <v>#N/A</v>
      </c>
      <c r="R333" s="484" t="str">
        <f t="shared" si="138"/>
        <v/>
      </c>
      <c r="S333" s="465" t="str">
        <f t="shared" si="139"/>
        <v/>
      </c>
      <c r="T333" s="465" t="str">
        <f>IF(OR(E333="",B333=0),"",ABS(L333/S341))</f>
        <v/>
      </c>
      <c r="U333" s="485"/>
    </row>
    <row r="334" spans="1:21" s="440" customFormat="1" ht="27">
      <c r="A334" s="470">
        <v>6</v>
      </c>
      <c r="B334" s="471">
        <f>$B$9</f>
        <v>0</v>
      </c>
      <c r="C334" s="472" t="s">
        <v>402</v>
      </c>
      <c r="D334" s="471" t="s">
        <v>395</v>
      </c>
      <c r="E334" s="473">
        <v>2</v>
      </c>
      <c r="F334" s="474" t="s">
        <v>403</v>
      </c>
      <c r="G334" s="475" t="str">
        <f t="shared" si="133"/>
        <v/>
      </c>
      <c r="H334" s="476" t="str">
        <f t="shared" si="134"/>
        <v/>
      </c>
      <c r="I334" s="477">
        <f t="shared" si="135"/>
        <v>100</v>
      </c>
      <c r="J334" s="478" t="str">
        <f t="shared" si="136"/>
        <v/>
      </c>
      <c r="K334" s="479">
        <f ca="1">F326*-0.000022</f>
        <v>0</v>
      </c>
      <c r="L334" s="480" t="str">
        <f t="shared" si="137"/>
        <v/>
      </c>
      <c r="M334" s="480" t="str">
        <f t="shared" si="130"/>
        <v>0</v>
      </c>
      <c r="N334" s="481" t="str">
        <f t="shared" si="131"/>
        <v>0</v>
      </c>
      <c r="O334" s="482" t="str">
        <f t="shared" si="132"/>
        <v/>
      </c>
      <c r="P334" s="494" t="s">
        <v>404</v>
      </c>
      <c r="Q334" s="483" t="e">
        <f ca="1">VLOOKUP(VLOOKUP(I326,Worksheet!$A$18:$B$31,2),'1Test Data'!$O$30:$AD$49,14,0)</f>
        <v>#N/A</v>
      </c>
      <c r="R334" s="484" t="str">
        <f t="shared" si="138"/>
        <v/>
      </c>
      <c r="S334" s="465" t="str">
        <f t="shared" si="139"/>
        <v/>
      </c>
      <c r="T334" s="465" t="str">
        <f>IF(OR(E334="",B334=0),"",ABS(L334/S341))</f>
        <v/>
      </c>
      <c r="U334" s="485"/>
    </row>
    <row r="335" spans="1:21" s="440" customFormat="1" ht="27">
      <c r="A335" s="470">
        <v>7</v>
      </c>
      <c r="B335" s="471">
        <f>$B$10</f>
        <v>0</v>
      </c>
      <c r="C335" s="472" t="s">
        <v>405</v>
      </c>
      <c r="D335" s="471" t="s">
        <v>395</v>
      </c>
      <c r="E335" s="473">
        <v>0.5</v>
      </c>
      <c r="F335" s="474" t="s">
        <v>406</v>
      </c>
      <c r="G335" s="475" t="str">
        <f t="shared" si="133"/>
        <v/>
      </c>
      <c r="H335" s="476" t="str">
        <f t="shared" si="134"/>
        <v/>
      </c>
      <c r="I335" s="477">
        <f t="shared" si="135"/>
        <v>100</v>
      </c>
      <c r="J335" s="478" t="str">
        <f t="shared" si="136"/>
        <v/>
      </c>
      <c r="K335" s="479">
        <f ca="1">(0.098*F326)/1000</f>
        <v>0</v>
      </c>
      <c r="L335" s="480" t="str">
        <f t="shared" si="137"/>
        <v/>
      </c>
      <c r="M335" s="480" t="str">
        <f t="shared" si="130"/>
        <v>0</v>
      </c>
      <c r="N335" s="481" t="str">
        <f t="shared" si="131"/>
        <v>0</v>
      </c>
      <c r="O335" s="482" t="str">
        <f t="shared" si="132"/>
        <v/>
      </c>
      <c r="P335" s="464" t="s">
        <v>407</v>
      </c>
      <c r="Q335" s="452" t="e">
        <f ca="1">VLOOKUP(VLOOKUP(I326,Worksheet!$A$18:$B$31,2),'1Test Data'!$O$30:$X$49,10,0)</f>
        <v>#N/A</v>
      </c>
      <c r="R335" s="484" t="str">
        <f t="shared" si="138"/>
        <v/>
      </c>
      <c r="S335" s="465" t="str">
        <f t="shared" si="139"/>
        <v/>
      </c>
      <c r="T335" s="465" t="str">
        <f>IF(OR(E335="",B335=0),"",ABS(L335/S341))</f>
        <v/>
      </c>
      <c r="U335" s="485"/>
    </row>
    <row r="336" spans="1:21" s="440" customFormat="1" ht="27">
      <c r="A336" s="470">
        <v>8</v>
      </c>
      <c r="B336" s="471">
        <f>$B$11</f>
        <v>0</v>
      </c>
      <c r="C336" s="472" t="s">
        <v>408</v>
      </c>
      <c r="D336" s="471" t="s">
        <v>395</v>
      </c>
      <c r="E336" s="473">
        <v>0.05</v>
      </c>
      <c r="F336" s="474" t="s">
        <v>406</v>
      </c>
      <c r="G336" s="475" t="str">
        <f t="shared" si="133"/>
        <v/>
      </c>
      <c r="H336" s="476" t="str">
        <f t="shared" si="134"/>
        <v/>
      </c>
      <c r="I336" s="477">
        <f t="shared" si="135"/>
        <v>100</v>
      </c>
      <c r="J336" s="478" t="str">
        <f t="shared" si="136"/>
        <v/>
      </c>
      <c r="K336" s="479">
        <f ca="1">F326/8000</f>
        <v>0</v>
      </c>
      <c r="L336" s="480" t="str">
        <f t="shared" si="137"/>
        <v/>
      </c>
      <c r="M336" s="480" t="str">
        <f t="shared" si="130"/>
        <v>0</v>
      </c>
      <c r="N336" s="481" t="str">
        <f t="shared" si="131"/>
        <v>0</v>
      </c>
      <c r="O336" s="482" t="str">
        <f t="shared" si="132"/>
        <v/>
      </c>
      <c r="P336" s="464" t="s">
        <v>394</v>
      </c>
      <c r="Q336" s="483" t="e">
        <f ca="1">VLOOKUP(VLOOKUP(I326,Worksheet!$A$18:$B$31,2),'1Test Data'!$O$30:$AE$49,17,0)</f>
        <v>#N/A</v>
      </c>
      <c r="R336" s="484" t="str">
        <f t="shared" si="138"/>
        <v/>
      </c>
      <c r="S336" s="465" t="str">
        <f t="shared" si="139"/>
        <v/>
      </c>
      <c r="T336" s="465" t="str">
        <f>IF(OR(E336="",B336=0),"",ABS(L336/S341))</f>
        <v/>
      </c>
      <c r="U336" s="485"/>
    </row>
    <row r="337" spans="1:21" s="440" customFormat="1" ht="13.5" customHeight="1">
      <c r="A337" s="470">
        <v>9</v>
      </c>
      <c r="B337" s="471" t="e">
        <f>$B$12</f>
        <v>#NAME?</v>
      </c>
      <c r="C337" s="472" t="str">
        <f>"Electrical reference devise" &amp; '1Test Data'!$O$3 &amp;  CHAR(10) &amp; "SN: " &amp; '1Test Data'!$P$3 &amp; ", Cert No: " &amp; '1Test Data'!$Q$3</f>
        <v>Electrical reference devisea
SN: b, Cert No: c</v>
      </c>
      <c r="D337" s="471" t="s">
        <v>395</v>
      </c>
      <c r="E337" s="473">
        <f>ElectUncert</f>
        <v>2E-3</v>
      </c>
      <c r="F337" s="474" t="e">
        <f>IF(OR(E337="",B337=0),"",ReadoutType)</f>
        <v>#NAME?</v>
      </c>
      <c r="G337" s="475" t="e">
        <f t="shared" si="133"/>
        <v>#NAME?</v>
      </c>
      <c r="H337" s="476" t="e">
        <f t="shared" si="134"/>
        <v>#NAME?</v>
      </c>
      <c r="I337" s="477">
        <f t="shared" si="135"/>
        <v>100</v>
      </c>
      <c r="J337" s="478" t="e">
        <f t="shared" si="136"/>
        <v>#NAME?</v>
      </c>
      <c r="K337" s="479" t="e">
        <f>Capacity/(Upper-Lower)</f>
        <v>#NAME?</v>
      </c>
      <c r="L337" s="480" t="e">
        <f t="shared" si="137"/>
        <v>#NAME?</v>
      </c>
      <c r="M337" s="480" t="e">
        <f t="shared" si="130"/>
        <v>#NAME?</v>
      </c>
      <c r="N337" s="481" t="e">
        <f t="shared" si="131"/>
        <v>#NAME?</v>
      </c>
      <c r="O337" s="482" t="e">
        <f t="shared" si="132"/>
        <v>#NAME?</v>
      </c>
      <c r="P337" s="464" t="s">
        <v>396</v>
      </c>
      <c r="Q337" s="483" t="e">
        <f ca="1">VLOOKUP(VLOOKUP(I326,Worksheet!$A$18:$B$31,2),'1Test Data'!$O$30:$AF$49,18,0)</f>
        <v>#N/A</v>
      </c>
      <c r="R337" s="484" t="e">
        <f t="shared" si="138"/>
        <v>#NAME?</v>
      </c>
      <c r="S337" s="465" t="e">
        <f t="shared" si="139"/>
        <v>#NAME?</v>
      </c>
      <c r="T337" s="465" t="e">
        <f>IF(OR(E337="",B337=0),"",ABS(L337/S341))</f>
        <v>#NAME?</v>
      </c>
      <c r="U337" s="485"/>
    </row>
    <row r="338" spans="1:21" s="440" customFormat="1" ht="18" customHeight="1">
      <c r="A338" s="470">
        <v>10</v>
      </c>
      <c r="B338" s="471">
        <f>$B$13</f>
        <v>1</v>
      </c>
      <c r="C338" s="472" t="s">
        <v>409</v>
      </c>
      <c r="D338" s="471" t="s">
        <v>395</v>
      </c>
      <c r="E338" s="473" t="e">
        <f>Worksheet!#REF!*UnitConvert</f>
        <v>#REF!</v>
      </c>
      <c r="F338" s="474" t="e">
        <f>IF(OR(E338="",B338=0),"",$F$4)</f>
        <v>#REF!</v>
      </c>
      <c r="G338" s="475" t="str">
        <f t="shared" si="133"/>
        <v>B</v>
      </c>
      <c r="H338" s="476" t="e">
        <f t="shared" si="134"/>
        <v>#REF!</v>
      </c>
      <c r="I338" s="477">
        <f t="shared" si="135"/>
        <v>100</v>
      </c>
      <c r="J338" s="478" t="e">
        <f t="shared" si="136"/>
        <v>#REF!</v>
      </c>
      <c r="K338" s="479">
        <v>1</v>
      </c>
      <c r="L338" s="480" t="e">
        <f t="shared" si="137"/>
        <v>#REF!</v>
      </c>
      <c r="M338" s="480" t="e">
        <f t="shared" si="130"/>
        <v>#REF!</v>
      </c>
      <c r="N338" s="481" t="e">
        <f t="shared" si="131"/>
        <v>#REF!</v>
      </c>
      <c r="O338" s="482" t="e">
        <f t="shared" si="132"/>
        <v>#REF!</v>
      </c>
      <c r="P338" s="464" t="s">
        <v>201</v>
      </c>
      <c r="Q338" s="483" t="e">
        <f ca="1">VLOOKUP(VLOOKUP(I326,Worksheet!$A$18:$B$31,2),'1Test Data'!$O$30:$AG$49,19,0)</f>
        <v>#N/A</v>
      </c>
      <c r="R338" s="484" t="e">
        <f t="shared" si="138"/>
        <v>#REF!</v>
      </c>
      <c r="S338" s="465" t="e">
        <f t="shared" si="139"/>
        <v>#REF!</v>
      </c>
      <c r="T338" s="465" t="e">
        <f>IF(OR(E338="",B338=0),"",ABS(L338/S341))</f>
        <v>#REF!</v>
      </c>
      <c r="U338" s="485"/>
    </row>
    <row r="339" spans="1:21" s="440" customFormat="1" ht="13.5" customHeight="1">
      <c r="A339" s="470">
        <v>11</v>
      </c>
      <c r="B339" s="471" t="e">
        <f>$B$14</f>
        <v>#NAME?</v>
      </c>
      <c r="C339" s="496" t="e">
        <f>"DUT Type " &amp;ReadoutType&amp; " Resolution "&amp;Readability &amp; "kPa
Digital - Type B - Rect - 1/2 of  least count with D of F = 100 &amp; (k=1.73)
Analogue - Type B - N95 - Best scale readability with D of F = 60 &amp; k=2.00"</f>
        <v>#NAME?</v>
      </c>
      <c r="D339" s="471" t="e">
        <f>IF(ReadoutType="Digital","Rect","N95")</f>
        <v>#NAME?</v>
      </c>
      <c r="E339" s="473" t="e">
        <f>IF(Elect=1,($K337)/1000,IF(ReadoutType="Digital",Readability/2,Readability)*UnitConvert)</f>
        <v>#NAME?</v>
      </c>
      <c r="F339" s="474" t="e">
        <f>IF(OR(E339="",B339=0),"",$F$4)</f>
        <v>#NAME?</v>
      </c>
      <c r="G339" s="475" t="e">
        <f t="shared" si="133"/>
        <v>#NAME?</v>
      </c>
      <c r="H339" s="476" t="e">
        <f t="shared" si="134"/>
        <v>#NAME?</v>
      </c>
      <c r="I339" s="477" t="e">
        <f t="shared" si="135"/>
        <v>#NAME?</v>
      </c>
      <c r="J339" s="478" t="e">
        <f t="shared" si="136"/>
        <v>#NAME?</v>
      </c>
      <c r="K339" s="479">
        <v>1</v>
      </c>
      <c r="L339" s="480" t="e">
        <f t="shared" si="137"/>
        <v>#NAME?</v>
      </c>
      <c r="M339" s="480" t="e">
        <f t="shared" si="130"/>
        <v>#NAME?</v>
      </c>
      <c r="N339" s="481" t="e">
        <f t="shared" si="131"/>
        <v>#NAME?</v>
      </c>
      <c r="O339" s="482" t="e">
        <f t="shared" si="132"/>
        <v>#NAME?</v>
      </c>
      <c r="P339" s="464" t="s">
        <v>88</v>
      </c>
      <c r="Q339" s="483" t="e">
        <f ca="1">VLOOKUP(VLOOKUP(F326,Worksheet!$A$18:$B$31,2),'1Test Data'!$O$30:$AH$49,20,0)</f>
        <v>#N/A</v>
      </c>
      <c r="R339" s="484" t="e">
        <f t="shared" si="138"/>
        <v>#NAME?</v>
      </c>
      <c r="S339" s="465" t="e">
        <f t="shared" si="139"/>
        <v>#NAME?</v>
      </c>
      <c r="T339" s="465" t="e">
        <f>IF(OR(E339="",B339=0),"",ABS(L339/S341))</f>
        <v>#NAME?</v>
      </c>
      <c r="U339" s="485"/>
    </row>
    <row r="340" spans="1:21" s="440" customFormat="1" ht="27">
      <c r="A340" s="470">
        <v>12</v>
      </c>
      <c r="B340" s="471" t="e">
        <f>$B$15</f>
        <v>#NAME?</v>
      </c>
      <c r="C340" s="496" t="s">
        <v>410</v>
      </c>
      <c r="D340" s="471" t="s">
        <v>395</v>
      </c>
      <c r="E340" s="473" t="e">
        <f>E339</f>
        <v>#NAME?</v>
      </c>
      <c r="F340" s="474" t="e">
        <f>IF(OR(E340="",B340=0),"",$F$4)</f>
        <v>#NAME?</v>
      </c>
      <c r="G340" s="475" t="e">
        <f t="shared" si="133"/>
        <v>#NAME?</v>
      </c>
      <c r="H340" s="476" t="e">
        <f t="shared" si="134"/>
        <v>#NAME?</v>
      </c>
      <c r="I340" s="477">
        <f t="shared" si="135"/>
        <v>100</v>
      </c>
      <c r="J340" s="478" t="e">
        <f t="shared" si="136"/>
        <v>#NAME?</v>
      </c>
      <c r="K340" s="479">
        <v>1</v>
      </c>
      <c r="L340" s="480" t="e">
        <f t="shared" si="137"/>
        <v>#NAME?</v>
      </c>
      <c r="M340" s="480" t="e">
        <f t="shared" si="130"/>
        <v>#NAME?</v>
      </c>
      <c r="N340" s="481" t="e">
        <f t="shared" si="131"/>
        <v>#NAME?</v>
      </c>
      <c r="O340" s="482" t="e">
        <f t="shared" si="132"/>
        <v>#NAME?</v>
      </c>
      <c r="P340" s="464" t="s">
        <v>411</v>
      </c>
      <c r="Q340" s="483" t="e">
        <f ca="1">ABS(Q336*F326^3+Q337*F326^2+Q338*F326+Q339)</f>
        <v>#N/A</v>
      </c>
      <c r="R340" s="484" t="e">
        <f t="shared" si="138"/>
        <v>#NAME?</v>
      </c>
      <c r="S340" s="465" t="e">
        <f t="shared" si="139"/>
        <v>#NAME?</v>
      </c>
      <c r="T340" s="465" t="e">
        <f>IF(OR(E340="",B340=0),"",ABS(L340/S341))</f>
        <v>#NAME?</v>
      </c>
      <c r="U340" s="485"/>
    </row>
    <row r="341" spans="1:21" s="440" customFormat="1" ht="25.5">
      <c r="A341" s="497"/>
      <c r="B341" s="498"/>
      <c r="C341" s="448"/>
      <c r="D341" s="448"/>
      <c r="E341" s="448"/>
      <c r="F341" s="448"/>
      <c r="G341" s="448"/>
      <c r="H341" s="448"/>
      <c r="I341" s="484"/>
      <c r="J341" s="448"/>
      <c r="K341" s="448"/>
      <c r="L341" s="499" t="s">
        <v>412</v>
      </c>
      <c r="M341" s="499" t="e">
        <f ca="1">SUM(M329:M340)</f>
        <v>#N/A</v>
      </c>
      <c r="N341" s="500" t="e">
        <f ca="1">SUM(N329:N340)</f>
        <v>#N/A</v>
      </c>
      <c r="O341" s="501" t="e">
        <f ca="1">SUM(O329:O340)</f>
        <v>#N/A</v>
      </c>
      <c r="P341" s="464" t="s">
        <v>413</v>
      </c>
      <c r="Q341" s="483" t="e">
        <f ca="1">VLOOKUP(VLOOKUP(I326,Worksheet!$A$18:$B$31,2),'1Test Data'!$O$30:$AJ$49,22,0)</f>
        <v>#N/A</v>
      </c>
      <c r="R341" s="453"/>
      <c r="S341" s="465" t="e">
        <f ca="1">SUM(S329:S340)</f>
        <v>#N/A</v>
      </c>
      <c r="T341" s="465" t="e">
        <f ca="1">SUM(T329:T340)</f>
        <v>#N/A</v>
      </c>
      <c r="U341" s="455"/>
    </row>
    <row r="342" spans="1:21" s="440" customFormat="1">
      <c r="A342" s="504"/>
      <c r="B342" s="448"/>
      <c r="C342" s="498" t="s">
        <v>414</v>
      </c>
      <c r="D342" s="448"/>
      <c r="E342" s="448"/>
      <c r="F342" s="448"/>
      <c r="G342" s="448"/>
      <c r="H342" s="448"/>
      <c r="I342" s="448"/>
      <c r="J342" s="448"/>
      <c r="K342" s="448"/>
      <c r="L342" s="505"/>
      <c r="M342" s="505"/>
      <c r="N342" s="505"/>
      <c r="O342" s="505"/>
      <c r="P342" s="464" t="s">
        <v>394</v>
      </c>
      <c r="Q342" s="483" t="e">
        <f ca="1">VLOOKUP(VLOOKUP(I326,Worksheet!$A$18:$B$31,2),'1Test Data'!$O$30:$AK$49,23,0)</f>
        <v>#N/A</v>
      </c>
      <c r="R342" s="453"/>
      <c r="S342" s="453"/>
      <c r="T342" s="453"/>
      <c r="U342" s="455"/>
    </row>
    <row r="343" spans="1:21" s="440" customFormat="1" ht="13.5" customHeight="1">
      <c r="A343" s="504"/>
      <c r="B343" s="448"/>
      <c r="C343" s="1090" t="s">
        <v>415</v>
      </c>
      <c r="D343" s="1091"/>
      <c r="E343" s="1091"/>
      <c r="F343" s="1091"/>
      <c r="G343" s="1092"/>
      <c r="H343" s="448"/>
      <c r="I343" s="448"/>
      <c r="J343" s="448"/>
      <c r="K343" s="448"/>
      <c r="L343" s="506" t="s">
        <v>416</v>
      </c>
      <c r="M343" s="507" t="e">
        <f ca="1">M341^0.5</f>
        <v>#N/A</v>
      </c>
      <c r="N343" s="508" t="str">
        <f>Uncert!$F$4</f>
        <v>ABS kPa</v>
      </c>
      <c r="O343" s="505" t="e">
        <f ca="1">(M341-M332-M337-M339-M340)^0.5</f>
        <v>#N/A</v>
      </c>
      <c r="P343" s="464" t="s">
        <v>396</v>
      </c>
      <c r="Q343" s="483" t="e">
        <f ca="1">VLOOKUP(VLOOKUP(I326,Worksheet!$A$18:$B$31,2),'1Test Data'!$O$30:$AL$49,24,0)</f>
        <v>#N/A</v>
      </c>
      <c r="R343" s="453"/>
      <c r="S343" s="453"/>
      <c r="T343" s="453"/>
      <c r="U343" s="455"/>
    </row>
    <row r="344" spans="1:21" s="440" customFormat="1">
      <c r="A344" s="504"/>
      <c r="B344" s="448"/>
      <c r="C344" s="1093"/>
      <c r="D344" s="1094"/>
      <c r="E344" s="1094"/>
      <c r="F344" s="1094"/>
      <c r="G344" s="1095"/>
      <c r="H344" s="448"/>
      <c r="I344" s="448"/>
      <c r="J344" s="448"/>
      <c r="K344" s="448"/>
      <c r="L344" s="506" t="s">
        <v>417</v>
      </c>
      <c r="M344" s="507" t="e">
        <f ca="1">M343^4/N341</f>
        <v>#N/A</v>
      </c>
      <c r="N344" s="509"/>
      <c r="O344" s="510" t="e">
        <f ca="1">O343^4/(N341-N332-N337-N339-N340)</f>
        <v>#N/A</v>
      </c>
      <c r="P344" s="464" t="s">
        <v>201</v>
      </c>
      <c r="Q344" s="483" t="e">
        <f ca="1">VLOOKUP(VLOOKUP(I326,Worksheet!$A$18:$B$31,2),'1Test Data'!$O$30:$AM$49,25,0)</f>
        <v>#N/A</v>
      </c>
      <c r="R344" s="453"/>
      <c r="S344" s="453"/>
      <c r="T344" s="453"/>
      <c r="U344" s="455"/>
    </row>
    <row r="345" spans="1:21" s="440" customFormat="1">
      <c r="A345" s="504"/>
      <c r="B345" s="448"/>
      <c r="C345" s="1093"/>
      <c r="D345" s="1094"/>
      <c r="E345" s="1094"/>
      <c r="F345" s="1094"/>
      <c r="G345" s="1095"/>
      <c r="H345" s="448"/>
      <c r="I345" s="448"/>
      <c r="J345" s="448"/>
      <c r="K345" s="448"/>
      <c r="L345" s="506" t="s">
        <v>418</v>
      </c>
      <c r="M345" s="507" t="e">
        <f ca="1">TINV(0.05,M344)</f>
        <v>#N/A</v>
      </c>
      <c r="N345" s="508"/>
      <c r="O345" s="507" t="e">
        <f ca="1">TINV(0.05,O344)</f>
        <v>#N/A</v>
      </c>
      <c r="P345" s="464" t="s">
        <v>88</v>
      </c>
      <c r="Q345" s="483" t="e">
        <f ca="1">VLOOKUP(VLOOKUP(I326,Worksheet!$A$18:$B$31,2),'1Test Data'!$O$30:$AN$49,26,0)</f>
        <v>#N/A</v>
      </c>
      <c r="R345" s="453"/>
      <c r="S345" s="453"/>
      <c r="T345" s="453"/>
      <c r="U345" s="455"/>
    </row>
    <row r="346" spans="1:21" s="440" customFormat="1">
      <c r="A346" s="504"/>
      <c r="B346" s="448"/>
      <c r="C346" s="1093"/>
      <c r="D346" s="1094"/>
      <c r="E346" s="1094"/>
      <c r="F346" s="1094"/>
      <c r="G346" s="1095"/>
      <c r="H346" s="448"/>
      <c r="I346" s="448"/>
      <c r="J346" s="448"/>
      <c r="K346" s="448"/>
      <c r="L346" s="506" t="s">
        <v>419</v>
      </c>
      <c r="M346" s="507" t="e">
        <f ca="1">M343*M345</f>
        <v>#N/A</v>
      </c>
      <c r="N346" s="508" t="str">
        <f>Uncert!$F$4</f>
        <v>ABS kPa</v>
      </c>
      <c r="O346" s="507" t="e">
        <f ca="1">O343*O345</f>
        <v>#N/A</v>
      </c>
      <c r="P346" s="464" t="s">
        <v>420</v>
      </c>
      <c r="Q346" s="483" t="e">
        <f ca="1">ABS(Q342*F326^3+Q343*F326^2+Q344*F326+Q345)</f>
        <v>#N/A</v>
      </c>
      <c r="R346" s="453"/>
      <c r="S346" s="453"/>
      <c r="T346" s="453"/>
      <c r="U346" s="455"/>
    </row>
    <row r="347" spans="1:21" s="440" customFormat="1">
      <c r="A347" s="497"/>
      <c r="B347" s="498"/>
      <c r="C347" s="1096"/>
      <c r="D347" s="1097"/>
      <c r="E347" s="1097"/>
      <c r="F347" s="1097"/>
      <c r="G347" s="1098"/>
      <c r="H347" s="448"/>
      <c r="I347" s="448"/>
      <c r="J347" s="511"/>
      <c r="K347" s="511"/>
      <c r="L347" s="512" t="s">
        <v>421</v>
      </c>
      <c r="M347" s="513" t="e">
        <f ca="1">M346</f>
        <v>#N/A</v>
      </c>
      <c r="N347" s="514" t="str">
        <f>Uncert!$F$4</f>
        <v>ABS kPa</v>
      </c>
      <c r="O347" s="513" t="e">
        <f ca="1">O346</f>
        <v>#N/A</v>
      </c>
      <c r="P347" s="464" t="s">
        <v>422</v>
      </c>
      <c r="Q347" s="483" t="e">
        <f ca="1">VLOOKUP(VLOOKUP(I326,Worksheet!$A$18:$B$31,2),'1Test Data'!$O$30:$AP$49,28,0)</f>
        <v>#N/A</v>
      </c>
      <c r="R347" s="453"/>
      <c r="S347" s="453"/>
      <c r="T347" s="453"/>
      <c r="U347" s="455"/>
    </row>
    <row r="348" spans="1:21" s="440" customFormat="1">
      <c r="A348" s="497"/>
      <c r="B348" s="498"/>
      <c r="C348" s="498" t="s">
        <v>423</v>
      </c>
      <c r="D348" s="448"/>
      <c r="E348" s="448"/>
      <c r="F348" s="448"/>
      <c r="G348" s="448"/>
      <c r="H348" s="515" t="e">
        <f>"N " &amp; ReadoutType</f>
        <v>#NAME?</v>
      </c>
      <c r="I348" s="516" t="e">
        <f ca="1">($O349/$K337)</f>
        <v>#N/A</v>
      </c>
      <c r="J348" s="448"/>
      <c r="K348" s="448"/>
      <c r="L348" s="505"/>
      <c r="M348" s="517" t="e">
        <f ca="1">(M347/F326)*100</f>
        <v>#N/A</v>
      </c>
      <c r="N348" s="518" t="s">
        <v>78</v>
      </c>
      <c r="O348" s="517"/>
      <c r="P348" s="519"/>
      <c r="Q348" s="519"/>
      <c r="R348" s="453"/>
      <c r="S348" s="453"/>
      <c r="T348" s="453"/>
      <c r="U348" s="455"/>
    </row>
    <row r="349" spans="1:21" s="440" customFormat="1">
      <c r="A349" s="497"/>
      <c r="B349" s="498"/>
      <c r="C349" s="520" t="s">
        <v>33</v>
      </c>
      <c r="D349" s="521" t="str">
        <f ca="1">Gravity</f>
        <v/>
      </c>
      <c r="E349" s="520" t="s">
        <v>36</v>
      </c>
      <c r="F349" s="522"/>
      <c r="G349" s="523"/>
      <c r="H349" s="524" t="e">
        <f>ReadoutType</f>
        <v>#NAME?</v>
      </c>
      <c r="I349" s="516" t="e">
        <f ca="1">($M349/$K337)</f>
        <v>#N/A</v>
      </c>
      <c r="J349" s="1103" t="s">
        <v>424</v>
      </c>
      <c r="K349" s="1104"/>
      <c r="L349" s="1104"/>
      <c r="M349" s="525" t="e">
        <f ca="1">IF(NATA="Y",IF(M347&lt;Scopekpa,IF(Scopekpa&lt;((F326/100)*ScopeReading),((F326/100)*ScopeReading),Scopekpa),IF(M347&lt;((F326/100)*ScopeReading),((F326/100)*ScopeReading),M347)),Uncert!M347)</f>
        <v>#N/A</v>
      </c>
      <c r="N349" s="522" t="s">
        <v>425</v>
      </c>
      <c r="O349" s="525" t="e">
        <f ca="1">IF(NATA="Y",IF(O347&lt;Scopekpa,IF(Scopekpa&lt;((F326/100)*ScopeReading),((F326/100)*ScopeReading),Scopekpa),IF(O347&lt;((F326/100)*ScopeReading),((F326/100)*ScopeReading),O347)),Uncert!O347)</f>
        <v>#N/A</v>
      </c>
      <c r="P349" s="522"/>
      <c r="Q349" s="522"/>
      <c r="R349" s="453"/>
      <c r="S349" s="453"/>
      <c r="T349" s="453"/>
      <c r="U349" s="455"/>
    </row>
    <row r="350" spans="1:21" s="440" customFormat="1" ht="14.25" thickBot="1">
      <c r="A350" s="526" t="str">
        <f>"Worksheet!A" &amp; 17+(ROW()/25)</f>
        <v>Worksheet!A31</v>
      </c>
      <c r="B350" s="527"/>
      <c r="C350" s="527"/>
      <c r="D350" s="528">
        <f>ROW()/25</f>
        <v>14</v>
      </c>
      <c r="E350" s="529"/>
      <c r="F350" s="529"/>
      <c r="G350" s="529"/>
      <c r="H350" s="529"/>
      <c r="I350" s="530"/>
      <c r="J350" s="1105" t="s">
        <v>424</v>
      </c>
      <c r="K350" s="1105"/>
      <c r="L350" s="1105"/>
      <c r="M350" s="531" t="e">
        <f ca="1">IF(NATA="Y",IF(M348&lt;ScopeReading,ScopeReading,M348),M348)</f>
        <v>#N/A</v>
      </c>
      <c r="N350" s="532" t="s">
        <v>78</v>
      </c>
      <c r="O350" s="531"/>
      <c r="P350" s="532"/>
      <c r="Q350" s="527"/>
      <c r="R350" s="527"/>
      <c r="S350" s="527"/>
      <c r="T350" s="527"/>
      <c r="U350" s="533"/>
    </row>
    <row r="351" spans="1:21" s="440" customFormat="1">
      <c r="A351" s="1099" t="e">
        <f ca="1">"Uncertainty Budget: Digital Pressure Gauge (" &amp; Q351&amp; ", "&amp; Q352 &amp; H351 &amp;" x " &amp; Division   &amp;H351 &amp; " )" &amp; " Test Point "&amp;D375</f>
        <v>#N/A</v>
      </c>
      <c r="B351" s="1100"/>
      <c r="C351" s="1100"/>
      <c r="D351" s="1100"/>
      <c r="E351" s="1100"/>
      <c r="F351" s="1101">
        <f ca="1">ABS(I351*UnitConvert)</f>
        <v>0</v>
      </c>
      <c r="G351" s="1102"/>
      <c r="H351" s="428" t="s">
        <v>371</v>
      </c>
      <c r="I351" s="429">
        <f ca="1">INDIRECT(A375)</f>
        <v>0</v>
      </c>
      <c r="J351" s="430" t="str">
        <f>_xlfn.SINGLE(Units)</f>
        <v>mm</v>
      </c>
      <c r="K351" s="431" t="e">
        <f ca="1">IF(C354="","","Uncertainty (U) = ±"&amp;TEXT(M372,"0.0")&amp;$F$4&amp;",  &amp;  (k="&amp;TEXT(M370,"0.00")&amp;", confidence level=95%)")</f>
        <v>#N/A</v>
      </c>
      <c r="L351" s="432"/>
      <c r="M351" s="432"/>
      <c r="N351" s="432"/>
      <c r="O351" s="433"/>
      <c r="P351" s="434" t="s">
        <v>372</v>
      </c>
      <c r="Q351" s="435" t="e">
        <f ca="1">VLOOKUP(VLOOKUP(I351,Worksheet!$A$18:$B$31,2),'1Test Data'!$M$6:$O$10,2,0)</f>
        <v>#N/A</v>
      </c>
      <c r="R351" s="436"/>
      <c r="S351" s="436"/>
      <c r="T351" s="437" t="str">
        <f ca="1">"TEX Ver "&amp;Mods!$A$1</f>
        <v>TEX Ver TAS-SST001v1</v>
      </c>
      <c r="U351" s="438"/>
    </row>
    <row r="352" spans="1:21" s="440" customFormat="1">
      <c r="A352" s="442" t="s">
        <v>373</v>
      </c>
      <c r="B352" s="443"/>
      <c r="C352" s="444"/>
      <c r="D352" s="445" t="s">
        <v>374</v>
      </c>
      <c r="E352" s="446" t="e">
        <f ca="1">Q352</f>
        <v>#N/A</v>
      </c>
      <c r="F352" s="447"/>
      <c r="G352" s="447" t="e">
        <f ca="1">ROUND(M372/(F351/100),2)&amp;"% of Full Scale"</f>
        <v>#N/A</v>
      </c>
      <c r="H352" s="448"/>
      <c r="I352" s="448"/>
      <c r="J352" s="449" t="e">
        <f ca="1">M373</f>
        <v>#N/A</v>
      </c>
      <c r="K352" s="448"/>
      <c r="L352" s="450"/>
      <c r="M352" s="450"/>
      <c r="N352" s="450"/>
      <c r="O352" s="433"/>
      <c r="P352" s="451" t="s">
        <v>375</v>
      </c>
      <c r="Q352" s="452" t="e">
        <f ca="1">VLOOKUP(VLOOKUP(I351,Worksheet!$A$18:$B$31,2),'1Test Data'!$O$30:$T$49,6,0)</f>
        <v>#N/A</v>
      </c>
      <c r="R352" s="453">
        <v>0</v>
      </c>
      <c r="S352" s="453"/>
      <c r="T352" s="454">
        <f ca="1">Mods!$A$4</f>
        <v>45809.486168981479</v>
      </c>
      <c r="U352" s="455"/>
    </row>
    <row r="353" spans="1:21" s="440" customFormat="1" ht="38.25">
      <c r="A353" s="458" t="s">
        <v>376</v>
      </c>
      <c r="B353" s="459" t="s">
        <v>377</v>
      </c>
      <c r="C353" s="460" t="s">
        <v>378</v>
      </c>
      <c r="D353" s="460" t="s">
        <v>379</v>
      </c>
      <c r="E353" s="460" t="s">
        <v>380</v>
      </c>
      <c r="F353" s="460" t="s">
        <v>381</v>
      </c>
      <c r="G353" s="460" t="s">
        <v>178</v>
      </c>
      <c r="H353" s="461" t="s">
        <v>382</v>
      </c>
      <c r="I353" s="461" t="s">
        <v>383</v>
      </c>
      <c r="J353" s="462" t="s">
        <v>384</v>
      </c>
      <c r="K353" s="463" t="s">
        <v>385</v>
      </c>
      <c r="L353" s="461" t="s">
        <v>386</v>
      </c>
      <c r="M353" s="461" t="s">
        <v>387</v>
      </c>
      <c r="N353" s="461" t="s">
        <v>388</v>
      </c>
      <c r="O353" s="461" t="s">
        <v>389</v>
      </c>
      <c r="P353" s="464" t="s">
        <v>390</v>
      </c>
      <c r="Q353" s="452" t="e">
        <f ca="1">VLOOKUP(VLOOKUP(I351,Worksheet!$A$18:$B$31,2),'1Test Data'!$O$30:$V$49,8,0)</f>
        <v>#N/A</v>
      </c>
      <c r="R353" s="465" t="s">
        <v>391</v>
      </c>
      <c r="S353" s="465" t="s">
        <v>391</v>
      </c>
      <c r="T353" s="466" t="s">
        <v>392</v>
      </c>
      <c r="U353" s="467"/>
    </row>
    <row r="354" spans="1:21" s="440" customFormat="1" ht="18" customHeight="1">
      <c r="A354" s="470">
        <v>1</v>
      </c>
      <c r="B354" s="471">
        <f>$B$4</f>
        <v>1</v>
      </c>
      <c r="C354" s="472" t="e">
        <f ca="1">"Reference Device  ("&amp;Q352&amp;" Druck Transducer) + Sey
Uncertainty from Calibration Report - "&amp;Q351</f>
        <v>#N/A</v>
      </c>
      <c r="D354" s="471" t="s">
        <v>393</v>
      </c>
      <c r="E354" s="473" t="e">
        <f ca="1">Q358+Q359</f>
        <v>#N/A</v>
      </c>
      <c r="F354" s="474" t="str">
        <f>H351</f>
        <v>ABS kPa</v>
      </c>
      <c r="G354" s="475" t="str">
        <f>IF(OR(D354="",B354=0),"",IF(D354="ESDM","A","B"))</f>
        <v>B</v>
      </c>
      <c r="H354" s="476" t="e">
        <f ca="1">IF(OR(E354="",B354=0),"",IF(D354="ESDM",1,IF(D354="N95",2,IF(D354="Rect",(3^0.5)))))</f>
        <v>#N/A</v>
      </c>
      <c r="I354" s="477">
        <f>IF(D354="N95",60,100)</f>
        <v>60</v>
      </c>
      <c r="J354" s="478" t="e">
        <f ca="1">IF(OR(E354="",B354=0),"",(E354/H354))</f>
        <v>#N/A</v>
      </c>
      <c r="K354" s="479">
        <v>1</v>
      </c>
      <c r="L354" s="480" t="e">
        <f ca="1">IF(OR(E354="",B354=0),"",K354*J354)</f>
        <v>#N/A</v>
      </c>
      <c r="M354" s="480" t="e">
        <f t="shared" ref="M354:M365" ca="1" si="140">IF(OR(E354="",B354=0),"0",L354^2)</f>
        <v>#N/A</v>
      </c>
      <c r="N354" s="481" t="e">
        <f t="shared" ref="N354:N365" ca="1" si="141">IF(OR(D354="",B354=0),"0",(L354)^4/I354)</f>
        <v>#N/A</v>
      </c>
      <c r="O354" s="482" t="e">
        <f t="shared" ref="O354:O365" ca="1" si="142">T354</f>
        <v>#N/A</v>
      </c>
      <c r="P354" s="464" t="s">
        <v>394</v>
      </c>
      <c r="Q354" s="483" t="e">
        <f ca="1">VLOOKUP(VLOOKUP(I351,Worksheet!$A$18:$B$31,2),'1Test Data'!$O$30:$Y$49,11,0)</f>
        <v>#N/A</v>
      </c>
      <c r="R354" s="484" t="e">
        <f ca="1">IF(OR(E354="",B354=0),"",K354*J354)</f>
        <v>#N/A</v>
      </c>
      <c r="S354" s="465" t="e">
        <f ca="1">IF(OR(E354="",B354=0),"",ABS(R354))</f>
        <v>#N/A</v>
      </c>
      <c r="T354" s="465" t="e">
        <f ca="1">IF(OR(E354="",B354=0),"",ABS(L354/S366))</f>
        <v>#N/A</v>
      </c>
      <c r="U354" s="485"/>
    </row>
    <row r="355" spans="1:21" s="440" customFormat="1" ht="27" customHeight="1">
      <c r="A355" s="470">
        <v>2</v>
      </c>
      <c r="B355" s="471">
        <f>$B$5</f>
        <v>1</v>
      </c>
      <c r="C355" s="472" t="e">
        <f ca="1">"Reference Device  Specs +Sey
(" &amp; Q352 &amp; H351 &amp; " Druck Transducer)
"&amp;Q353 &amp; "% of F.S. from Calibration Report - " &amp; Q351</f>
        <v>#N/A</v>
      </c>
      <c r="D355" s="471" t="s">
        <v>395</v>
      </c>
      <c r="E355" s="473" t="e">
        <f ca="1">Q371+Q372</f>
        <v>#N/A</v>
      </c>
      <c r="F355" s="474" t="e">
        <f ca="1">IF(OR(E355="",B355=0),"",$F$4)</f>
        <v>#N/A</v>
      </c>
      <c r="G355" s="475" t="str">
        <f t="shared" ref="G355:G365" si="143">IF(OR(D355="",B355=0),"",IF(D355="ESDM","A","B"))</f>
        <v>B</v>
      </c>
      <c r="H355" s="476" t="e">
        <f t="shared" ref="H355:H365" ca="1" si="144">IF(OR(E355="",B355=0),"",IF(D355="ESDM",1,IF(D355="N95",2,IF(D355="Rect",(3^0.5)))))</f>
        <v>#N/A</v>
      </c>
      <c r="I355" s="477">
        <f t="shared" ref="I355:I365" si="145">IF(D355="N95",60,100)</f>
        <v>100</v>
      </c>
      <c r="J355" s="478" t="e">
        <f t="shared" ref="J355:J365" ca="1" si="146">IF(OR(E355="",B355=0),"",(E355/H355))</f>
        <v>#N/A</v>
      </c>
      <c r="K355" s="479">
        <v>1</v>
      </c>
      <c r="L355" s="480" t="e">
        <f t="shared" ref="L355:L365" ca="1" si="147">IF(OR(E355="",B355=0),"",K355*J355)</f>
        <v>#N/A</v>
      </c>
      <c r="M355" s="480" t="e">
        <f t="shared" ca="1" si="140"/>
        <v>#N/A</v>
      </c>
      <c r="N355" s="481" t="e">
        <f t="shared" ca="1" si="141"/>
        <v>#N/A</v>
      </c>
      <c r="O355" s="482" t="e">
        <f t="shared" ca="1" si="142"/>
        <v>#N/A</v>
      </c>
      <c r="P355" s="464" t="s">
        <v>396</v>
      </c>
      <c r="Q355" s="483" t="e">
        <f ca="1">VLOOKUP(VLOOKUP(I351,Worksheet!$A$18:$B$31,2),'1Test Data'!$O$30:$Z$49,12,0)</f>
        <v>#N/A</v>
      </c>
      <c r="R355" s="484" t="e">
        <f t="shared" ref="R355:R365" ca="1" si="148">IF(OR(E355="",B355=0),"",K355*J355)</f>
        <v>#N/A</v>
      </c>
      <c r="S355" s="465" t="e">
        <f t="shared" ref="S355:S365" ca="1" si="149">IF(OR(E355="",B355=0),"",ABS(R355))</f>
        <v>#N/A</v>
      </c>
      <c r="T355" s="465" t="e">
        <f ca="1">IF(OR(E355="",B355=0),"",ABS(L355/S366))</f>
        <v>#N/A</v>
      </c>
      <c r="U355" s="485"/>
    </row>
    <row r="356" spans="1:21" s="440" customFormat="1" ht="18" customHeight="1">
      <c r="A356" s="470">
        <v>3</v>
      </c>
      <c r="B356" s="471">
        <f>$B$6</f>
        <v>1</v>
      </c>
      <c r="C356" s="472" t="s">
        <v>397</v>
      </c>
      <c r="D356" s="471" t="s">
        <v>395</v>
      </c>
      <c r="E356" s="473" t="e">
        <f ca="1">Q360*F351/100</f>
        <v>#N/A</v>
      </c>
      <c r="F356" s="474" t="e">
        <f ca="1">IF(OR(E356="",B356=0),"",$F$4)</f>
        <v>#N/A</v>
      </c>
      <c r="G356" s="475" t="str">
        <f t="shared" si="143"/>
        <v>B</v>
      </c>
      <c r="H356" s="476" t="e">
        <f t="shared" ca="1" si="144"/>
        <v>#N/A</v>
      </c>
      <c r="I356" s="477">
        <f t="shared" si="145"/>
        <v>100</v>
      </c>
      <c r="J356" s="478" t="e">
        <f t="shared" ca="1" si="146"/>
        <v>#N/A</v>
      </c>
      <c r="K356" s="479">
        <v>1</v>
      </c>
      <c r="L356" s="480" t="e">
        <f t="shared" ca="1" si="147"/>
        <v>#N/A</v>
      </c>
      <c r="M356" s="480" t="e">
        <f t="shared" ca="1" si="140"/>
        <v>#N/A</v>
      </c>
      <c r="N356" s="481" t="e">
        <f t="shared" ca="1" si="141"/>
        <v>#N/A</v>
      </c>
      <c r="O356" s="482" t="e">
        <f t="shared" ca="1" si="142"/>
        <v>#N/A</v>
      </c>
      <c r="P356" s="464" t="s">
        <v>201</v>
      </c>
      <c r="Q356" s="483" t="e">
        <f ca="1">VLOOKUP(VLOOKUP(I351,Worksheet!$A$18:$B$31,2),'1Test Data'!$O$30:$AA$49,13,0)</f>
        <v>#N/A</v>
      </c>
      <c r="R356" s="484" t="e">
        <f t="shared" ca="1" si="148"/>
        <v>#N/A</v>
      </c>
      <c r="S356" s="465" t="e">
        <f t="shared" ca="1" si="149"/>
        <v>#N/A</v>
      </c>
      <c r="T356" s="465" t="e">
        <f ca="1">IF(OR(E356="",B356=0),"",ABS(L356/S366))</f>
        <v>#N/A</v>
      </c>
      <c r="U356" s="485"/>
    </row>
    <row r="357" spans="1:21" s="440" customFormat="1" ht="18" customHeight="1">
      <c r="A357" s="470">
        <v>4</v>
      </c>
      <c r="B357" s="471" t="e">
        <f>$B$7</f>
        <v>#NAME?</v>
      </c>
      <c r="C357" s="472" t="s">
        <v>398</v>
      </c>
      <c r="D357" s="471" t="s">
        <v>395</v>
      </c>
      <c r="E357" s="473">
        <f>EDMS*UnitConvert</f>
        <v>0</v>
      </c>
      <c r="F357" s="474" t="e">
        <f>IF(OR(E357="",B357=0),"",$F$4)</f>
        <v>#NAME?</v>
      </c>
      <c r="G357" s="475" t="e">
        <f t="shared" si="143"/>
        <v>#NAME?</v>
      </c>
      <c r="H357" s="476" t="e">
        <f t="shared" si="144"/>
        <v>#NAME?</v>
      </c>
      <c r="I357" s="477">
        <f t="shared" si="145"/>
        <v>100</v>
      </c>
      <c r="J357" s="478" t="e">
        <f t="shared" si="146"/>
        <v>#NAME?</v>
      </c>
      <c r="K357" s="479">
        <v>1</v>
      </c>
      <c r="L357" s="480" t="e">
        <f t="shared" si="147"/>
        <v>#NAME?</v>
      </c>
      <c r="M357" s="480" t="e">
        <f t="shared" si="140"/>
        <v>#NAME?</v>
      </c>
      <c r="N357" s="481" t="e">
        <f t="shared" si="141"/>
        <v>#NAME?</v>
      </c>
      <c r="O357" s="482" t="e">
        <f t="shared" si="142"/>
        <v>#NAME?</v>
      </c>
      <c r="P357" s="464" t="s">
        <v>88</v>
      </c>
      <c r="Q357" s="483" t="e">
        <f ca="1">VLOOKUP(VLOOKUP(I351,Worksheet!$A$18:$B$31,2),'1Test Data'!$O$30:$AB$49,14,0)</f>
        <v>#N/A</v>
      </c>
      <c r="R357" s="484" t="e">
        <f t="shared" si="148"/>
        <v>#NAME?</v>
      </c>
      <c r="S357" s="465" t="e">
        <f t="shared" si="149"/>
        <v>#NAME?</v>
      </c>
      <c r="T357" s="465" t="e">
        <f>IF(OR(E357="",B357=0),"",ABS(L357/S366))</f>
        <v>#NAME?</v>
      </c>
      <c r="U357" s="485"/>
    </row>
    <row r="358" spans="1:21" s="440" customFormat="1" ht="27">
      <c r="A358" s="470">
        <v>5</v>
      </c>
      <c r="B358" s="471">
        <f>$B$8</f>
        <v>0</v>
      </c>
      <c r="C358" s="472" t="str">
        <f>C33</f>
        <v>Gravity -0.001 m/s2 Sensitivity = Test Pressure / Gravity</v>
      </c>
      <c r="D358" s="471" t="s">
        <v>395</v>
      </c>
      <c r="E358" s="473">
        <f>E8</f>
        <v>1E-3</v>
      </c>
      <c r="F358" s="474" t="s">
        <v>400</v>
      </c>
      <c r="G358" s="475" t="str">
        <f t="shared" si="143"/>
        <v/>
      </c>
      <c r="H358" s="476" t="str">
        <f t="shared" si="144"/>
        <v/>
      </c>
      <c r="I358" s="477">
        <f t="shared" si="145"/>
        <v>100</v>
      </c>
      <c r="J358" s="478" t="str">
        <f t="shared" si="146"/>
        <v/>
      </c>
      <c r="K358" s="479">
        <f ca="1">F351*E358</f>
        <v>0</v>
      </c>
      <c r="L358" s="480" t="str">
        <f t="shared" si="147"/>
        <v/>
      </c>
      <c r="M358" s="480" t="str">
        <f t="shared" si="140"/>
        <v>0</v>
      </c>
      <c r="N358" s="481" t="str">
        <f t="shared" si="141"/>
        <v>0</v>
      </c>
      <c r="O358" s="482" t="str">
        <f>IFERROR(T358,0)</f>
        <v/>
      </c>
      <c r="P358" s="492" t="s">
        <v>401</v>
      </c>
      <c r="Q358" s="493" t="e">
        <f ca="1">ABS(Q354*F351^3+Q355*F351^2+Q356*F351+Q357)</f>
        <v>#N/A</v>
      </c>
      <c r="R358" s="484" t="str">
        <f t="shared" si="148"/>
        <v/>
      </c>
      <c r="S358" s="465" t="str">
        <f t="shared" si="149"/>
        <v/>
      </c>
      <c r="T358" s="465" t="str">
        <f>IF(OR(E358="",B358=0),"",ABS(L358/S366))</f>
        <v/>
      </c>
      <c r="U358" s="485"/>
    </row>
    <row r="359" spans="1:21" s="440" customFormat="1" ht="27">
      <c r="A359" s="470">
        <v>6</v>
      </c>
      <c r="B359" s="471">
        <f>$B$9</f>
        <v>0</v>
      </c>
      <c r="C359" s="472" t="s">
        <v>402</v>
      </c>
      <c r="D359" s="471" t="s">
        <v>395</v>
      </c>
      <c r="E359" s="473">
        <v>2</v>
      </c>
      <c r="F359" s="474" t="s">
        <v>403</v>
      </c>
      <c r="G359" s="475" t="str">
        <f t="shared" si="143"/>
        <v/>
      </c>
      <c r="H359" s="476" t="str">
        <f t="shared" si="144"/>
        <v/>
      </c>
      <c r="I359" s="477">
        <f t="shared" si="145"/>
        <v>100</v>
      </c>
      <c r="J359" s="478" t="str">
        <f t="shared" si="146"/>
        <v/>
      </c>
      <c r="K359" s="479">
        <f ca="1">F351*-0.000022</f>
        <v>0</v>
      </c>
      <c r="L359" s="480" t="str">
        <f t="shared" si="147"/>
        <v/>
      </c>
      <c r="M359" s="480" t="str">
        <f t="shared" si="140"/>
        <v>0</v>
      </c>
      <c r="N359" s="481" t="str">
        <f t="shared" si="141"/>
        <v>0</v>
      </c>
      <c r="O359" s="482" t="str">
        <f t="shared" si="142"/>
        <v/>
      </c>
      <c r="P359" s="494" t="s">
        <v>404</v>
      </c>
      <c r="Q359" s="483" t="e">
        <f ca="1">VLOOKUP(VLOOKUP(I351,Worksheet!$A$18:$B$31,2),'1Test Data'!$O$30:$AD$49,14,0)</f>
        <v>#N/A</v>
      </c>
      <c r="R359" s="484" t="str">
        <f t="shared" si="148"/>
        <v/>
      </c>
      <c r="S359" s="465" t="str">
        <f t="shared" si="149"/>
        <v/>
      </c>
      <c r="T359" s="465" t="str">
        <f>IF(OR(E359="",B359=0),"",ABS(L359/S366))</f>
        <v/>
      </c>
      <c r="U359" s="485"/>
    </row>
    <row r="360" spans="1:21" s="440" customFormat="1" ht="27">
      <c r="A360" s="470">
        <v>7</v>
      </c>
      <c r="B360" s="471">
        <f>$B$10</f>
        <v>0</v>
      </c>
      <c r="C360" s="472" t="s">
        <v>405</v>
      </c>
      <c r="D360" s="471" t="s">
        <v>395</v>
      </c>
      <c r="E360" s="473">
        <v>0.5</v>
      </c>
      <c r="F360" s="474" t="s">
        <v>406</v>
      </c>
      <c r="G360" s="475" t="str">
        <f t="shared" si="143"/>
        <v/>
      </c>
      <c r="H360" s="476" t="str">
        <f t="shared" si="144"/>
        <v/>
      </c>
      <c r="I360" s="477">
        <f t="shared" si="145"/>
        <v>100</v>
      </c>
      <c r="J360" s="478" t="str">
        <f t="shared" si="146"/>
        <v/>
      </c>
      <c r="K360" s="479">
        <f ca="1">(0.098*F351)/1000</f>
        <v>0</v>
      </c>
      <c r="L360" s="480" t="str">
        <f t="shared" si="147"/>
        <v/>
      </c>
      <c r="M360" s="480" t="str">
        <f t="shared" si="140"/>
        <v>0</v>
      </c>
      <c r="N360" s="481" t="str">
        <f t="shared" si="141"/>
        <v>0</v>
      </c>
      <c r="O360" s="482" t="str">
        <f t="shared" si="142"/>
        <v/>
      </c>
      <c r="P360" s="464" t="s">
        <v>407</v>
      </c>
      <c r="Q360" s="452" t="e">
        <f ca="1">VLOOKUP(VLOOKUP(I351,Worksheet!$A$18:$B$31,2),'1Test Data'!$O$30:$X$49,10,0)</f>
        <v>#N/A</v>
      </c>
      <c r="R360" s="484" t="str">
        <f t="shared" si="148"/>
        <v/>
      </c>
      <c r="S360" s="465" t="str">
        <f t="shared" si="149"/>
        <v/>
      </c>
      <c r="T360" s="465" t="str">
        <f>IF(OR(E360="",B360=0),"",ABS(L360/S366))</f>
        <v/>
      </c>
      <c r="U360" s="485"/>
    </row>
    <row r="361" spans="1:21" s="440" customFormat="1" ht="27">
      <c r="A361" s="470">
        <v>8</v>
      </c>
      <c r="B361" s="471">
        <f>$B$11</f>
        <v>0</v>
      </c>
      <c r="C361" s="472" t="s">
        <v>408</v>
      </c>
      <c r="D361" s="471" t="s">
        <v>395</v>
      </c>
      <c r="E361" s="473">
        <v>0.05</v>
      </c>
      <c r="F361" s="474" t="s">
        <v>406</v>
      </c>
      <c r="G361" s="475" t="str">
        <f t="shared" si="143"/>
        <v/>
      </c>
      <c r="H361" s="476" t="str">
        <f t="shared" si="144"/>
        <v/>
      </c>
      <c r="I361" s="477">
        <f t="shared" si="145"/>
        <v>100</v>
      </c>
      <c r="J361" s="478" t="str">
        <f t="shared" si="146"/>
        <v/>
      </c>
      <c r="K361" s="479">
        <f ca="1">F351/8000</f>
        <v>0</v>
      </c>
      <c r="L361" s="480" t="str">
        <f t="shared" si="147"/>
        <v/>
      </c>
      <c r="M361" s="480" t="str">
        <f t="shared" si="140"/>
        <v>0</v>
      </c>
      <c r="N361" s="481" t="str">
        <f t="shared" si="141"/>
        <v>0</v>
      </c>
      <c r="O361" s="482" t="str">
        <f t="shared" si="142"/>
        <v/>
      </c>
      <c r="P361" s="464" t="s">
        <v>394</v>
      </c>
      <c r="Q361" s="483" t="e">
        <f ca="1">VLOOKUP(VLOOKUP(I351,Worksheet!$A$18:$B$31,2),'1Test Data'!$O$30:$AE$49,17,0)</f>
        <v>#N/A</v>
      </c>
      <c r="R361" s="484" t="str">
        <f t="shared" si="148"/>
        <v/>
      </c>
      <c r="S361" s="465" t="str">
        <f t="shared" si="149"/>
        <v/>
      </c>
      <c r="T361" s="465" t="str">
        <f>IF(OR(E361="",B361=0),"",ABS(L361/S366))</f>
        <v/>
      </c>
      <c r="U361" s="485"/>
    </row>
    <row r="362" spans="1:21" s="440" customFormat="1" ht="13.5" customHeight="1">
      <c r="A362" s="470">
        <v>9</v>
      </c>
      <c r="B362" s="471" t="e">
        <f>$B$12</f>
        <v>#NAME?</v>
      </c>
      <c r="C362" s="472" t="str">
        <f>"Electrical reference devise" &amp; '1Test Data'!$O$3 &amp;  CHAR(10) &amp; "SN: " &amp; '1Test Data'!$P$3 &amp; ", Cert No: " &amp; '1Test Data'!$Q$3</f>
        <v>Electrical reference devisea
SN: b, Cert No: c</v>
      </c>
      <c r="D362" s="471" t="s">
        <v>395</v>
      </c>
      <c r="E362" s="473">
        <f>ElectUncert</f>
        <v>2E-3</v>
      </c>
      <c r="F362" s="474" t="e">
        <f>IF(OR(E362="",B362=0),"",ReadoutType)</f>
        <v>#NAME?</v>
      </c>
      <c r="G362" s="475" t="e">
        <f t="shared" si="143"/>
        <v>#NAME?</v>
      </c>
      <c r="H362" s="476" t="e">
        <f t="shared" si="144"/>
        <v>#NAME?</v>
      </c>
      <c r="I362" s="477">
        <f t="shared" si="145"/>
        <v>100</v>
      </c>
      <c r="J362" s="478" t="e">
        <f t="shared" si="146"/>
        <v>#NAME?</v>
      </c>
      <c r="K362" s="479" t="e">
        <f>Capacity/(Upper-Lower)</f>
        <v>#NAME?</v>
      </c>
      <c r="L362" s="480" t="e">
        <f t="shared" si="147"/>
        <v>#NAME?</v>
      </c>
      <c r="M362" s="480" t="e">
        <f t="shared" si="140"/>
        <v>#NAME?</v>
      </c>
      <c r="N362" s="481" t="e">
        <f t="shared" si="141"/>
        <v>#NAME?</v>
      </c>
      <c r="O362" s="482" t="e">
        <f t="shared" si="142"/>
        <v>#NAME?</v>
      </c>
      <c r="P362" s="464" t="s">
        <v>396</v>
      </c>
      <c r="Q362" s="483" t="e">
        <f ca="1">VLOOKUP(VLOOKUP(I351,Worksheet!$A$18:$B$31,2),'1Test Data'!$O$30:$AF$49,18,0)</f>
        <v>#N/A</v>
      </c>
      <c r="R362" s="484" t="e">
        <f t="shared" si="148"/>
        <v>#NAME?</v>
      </c>
      <c r="S362" s="465" t="e">
        <f t="shared" si="149"/>
        <v>#NAME?</v>
      </c>
      <c r="T362" s="465" t="e">
        <f>IF(OR(E362="",B362=0),"",ABS(L362/S366))</f>
        <v>#NAME?</v>
      </c>
      <c r="U362" s="485"/>
    </row>
    <row r="363" spans="1:21" s="440" customFormat="1" ht="18" customHeight="1">
      <c r="A363" s="470">
        <v>10</v>
      </c>
      <c r="B363" s="471">
        <f>$B$13</f>
        <v>1</v>
      </c>
      <c r="C363" s="472" t="s">
        <v>409</v>
      </c>
      <c r="D363" s="471" t="s">
        <v>395</v>
      </c>
      <c r="E363" s="473" t="e">
        <f>Worksheet!#REF!*UnitConvert</f>
        <v>#REF!</v>
      </c>
      <c r="F363" s="474" t="e">
        <f>IF(OR(E363="",B363=0),"",$F$4)</f>
        <v>#REF!</v>
      </c>
      <c r="G363" s="475" t="str">
        <f t="shared" si="143"/>
        <v>B</v>
      </c>
      <c r="H363" s="476" t="e">
        <f t="shared" si="144"/>
        <v>#REF!</v>
      </c>
      <c r="I363" s="477">
        <f t="shared" si="145"/>
        <v>100</v>
      </c>
      <c r="J363" s="478" t="e">
        <f t="shared" si="146"/>
        <v>#REF!</v>
      </c>
      <c r="K363" s="479">
        <v>1</v>
      </c>
      <c r="L363" s="480" t="e">
        <f t="shared" si="147"/>
        <v>#REF!</v>
      </c>
      <c r="M363" s="480" t="e">
        <f t="shared" si="140"/>
        <v>#REF!</v>
      </c>
      <c r="N363" s="481" t="e">
        <f t="shared" si="141"/>
        <v>#REF!</v>
      </c>
      <c r="O363" s="482" t="e">
        <f t="shared" si="142"/>
        <v>#REF!</v>
      </c>
      <c r="P363" s="464" t="s">
        <v>201</v>
      </c>
      <c r="Q363" s="483" t="e">
        <f ca="1">VLOOKUP(VLOOKUP(I351,Worksheet!$A$18:$B$31,2),'1Test Data'!$O$30:$AG$49,19,0)</f>
        <v>#N/A</v>
      </c>
      <c r="R363" s="484" t="e">
        <f t="shared" si="148"/>
        <v>#REF!</v>
      </c>
      <c r="S363" s="465" t="e">
        <f t="shared" si="149"/>
        <v>#REF!</v>
      </c>
      <c r="T363" s="465" t="e">
        <f>IF(OR(E363="",B363=0),"",ABS(L363/S366))</f>
        <v>#REF!</v>
      </c>
      <c r="U363" s="485"/>
    </row>
    <row r="364" spans="1:21" s="440" customFormat="1" ht="13.5" customHeight="1">
      <c r="A364" s="470">
        <v>11</v>
      </c>
      <c r="B364" s="471" t="e">
        <f>$B$14</f>
        <v>#NAME?</v>
      </c>
      <c r="C364" s="496" t="e">
        <f>"DUT Type " &amp;ReadoutType&amp; " Resolution "&amp;Readability &amp; "kPa
Digital - Type B - Rect - 1/2 of  least count with D of F = 100 &amp; (k=1.73)
Analogue - Type B - N95 - Best scale readability with D of F = 60 &amp; k=2.00"</f>
        <v>#NAME?</v>
      </c>
      <c r="D364" s="471" t="e">
        <f>IF(ReadoutType="Digital","Rect","N95")</f>
        <v>#NAME?</v>
      </c>
      <c r="E364" s="473" t="e">
        <f>IF(Elect=1,($K362)/1000,IF(ReadoutType="Digital",Readability/2,Readability)*UnitConvert)</f>
        <v>#NAME?</v>
      </c>
      <c r="F364" s="474" t="e">
        <f>IF(OR(E364="",B364=0),"",$F$4)</f>
        <v>#NAME?</v>
      </c>
      <c r="G364" s="475" t="e">
        <f t="shared" si="143"/>
        <v>#NAME?</v>
      </c>
      <c r="H364" s="476" t="e">
        <f t="shared" si="144"/>
        <v>#NAME?</v>
      </c>
      <c r="I364" s="477" t="e">
        <f t="shared" si="145"/>
        <v>#NAME?</v>
      </c>
      <c r="J364" s="478" t="e">
        <f t="shared" si="146"/>
        <v>#NAME?</v>
      </c>
      <c r="K364" s="479">
        <v>1</v>
      </c>
      <c r="L364" s="480" t="e">
        <f t="shared" si="147"/>
        <v>#NAME?</v>
      </c>
      <c r="M364" s="480" t="e">
        <f t="shared" si="140"/>
        <v>#NAME?</v>
      </c>
      <c r="N364" s="481" t="e">
        <f t="shared" si="141"/>
        <v>#NAME?</v>
      </c>
      <c r="O364" s="482" t="e">
        <f t="shared" si="142"/>
        <v>#NAME?</v>
      </c>
      <c r="P364" s="464" t="s">
        <v>88</v>
      </c>
      <c r="Q364" s="483" t="e">
        <f ca="1">VLOOKUP(VLOOKUP(I351,Worksheet!$A$18:$B$31,2),'1Test Data'!$O$30:$AH$49,20,0)</f>
        <v>#N/A</v>
      </c>
      <c r="R364" s="484" t="e">
        <f t="shared" si="148"/>
        <v>#NAME?</v>
      </c>
      <c r="S364" s="465" t="e">
        <f t="shared" si="149"/>
        <v>#NAME?</v>
      </c>
      <c r="T364" s="465" t="e">
        <f>IF(OR(E364="",B364=0),"",ABS(L364/S366))</f>
        <v>#NAME?</v>
      </c>
      <c r="U364" s="485"/>
    </row>
    <row r="365" spans="1:21" s="440" customFormat="1" ht="27">
      <c r="A365" s="470">
        <v>12</v>
      </c>
      <c r="B365" s="471" t="e">
        <f>$B$15</f>
        <v>#NAME?</v>
      </c>
      <c r="C365" s="496" t="s">
        <v>410</v>
      </c>
      <c r="D365" s="471" t="s">
        <v>395</v>
      </c>
      <c r="E365" s="473" t="e">
        <f>E364</f>
        <v>#NAME?</v>
      </c>
      <c r="F365" s="474" t="e">
        <f>IF(OR(E365="",B365=0),"",$F$4)</f>
        <v>#NAME?</v>
      </c>
      <c r="G365" s="475" t="e">
        <f t="shared" si="143"/>
        <v>#NAME?</v>
      </c>
      <c r="H365" s="476" t="e">
        <f t="shared" si="144"/>
        <v>#NAME?</v>
      </c>
      <c r="I365" s="477">
        <f t="shared" si="145"/>
        <v>100</v>
      </c>
      <c r="J365" s="478" t="e">
        <f t="shared" si="146"/>
        <v>#NAME?</v>
      </c>
      <c r="K365" s="479">
        <v>1</v>
      </c>
      <c r="L365" s="480" t="e">
        <f t="shared" si="147"/>
        <v>#NAME?</v>
      </c>
      <c r="M365" s="480" t="e">
        <f t="shared" si="140"/>
        <v>#NAME?</v>
      </c>
      <c r="N365" s="481" t="e">
        <f t="shared" si="141"/>
        <v>#NAME?</v>
      </c>
      <c r="O365" s="482" t="e">
        <f t="shared" si="142"/>
        <v>#NAME?</v>
      </c>
      <c r="P365" s="464" t="s">
        <v>411</v>
      </c>
      <c r="Q365" s="483" t="e">
        <f ca="1">ABS(Q361*F351^3+Q362*F351^2+Q363*F351+Q364)</f>
        <v>#N/A</v>
      </c>
      <c r="R365" s="484" t="e">
        <f t="shared" si="148"/>
        <v>#NAME?</v>
      </c>
      <c r="S365" s="465" t="e">
        <f t="shared" si="149"/>
        <v>#NAME?</v>
      </c>
      <c r="T365" s="465" t="e">
        <f>IF(OR(E365="",B365=0),"",ABS(L365/S366))</f>
        <v>#NAME?</v>
      </c>
      <c r="U365" s="485"/>
    </row>
    <row r="366" spans="1:21" s="440" customFormat="1" ht="25.5">
      <c r="A366" s="497"/>
      <c r="B366" s="498"/>
      <c r="C366" s="448"/>
      <c r="D366" s="448"/>
      <c r="E366" s="448"/>
      <c r="F366" s="448"/>
      <c r="G366" s="448"/>
      <c r="H366" s="448"/>
      <c r="I366" s="484"/>
      <c r="J366" s="448"/>
      <c r="K366" s="448"/>
      <c r="L366" s="499" t="s">
        <v>412</v>
      </c>
      <c r="M366" s="499" t="e">
        <f ca="1">SUM(M354:M365)</f>
        <v>#N/A</v>
      </c>
      <c r="N366" s="500" t="e">
        <f ca="1">SUM(N354:N365)</f>
        <v>#N/A</v>
      </c>
      <c r="O366" s="501" t="e">
        <f ca="1">SUM(O354:O365)</f>
        <v>#N/A</v>
      </c>
      <c r="P366" s="464" t="s">
        <v>413</v>
      </c>
      <c r="Q366" s="483" t="e">
        <f ca="1">VLOOKUP(VLOOKUP(I351,Worksheet!$A$18:$B$31,2),'1Test Data'!$O$30:$AJ$49,22,0)</f>
        <v>#N/A</v>
      </c>
      <c r="R366" s="453"/>
      <c r="S366" s="465" t="e">
        <f ca="1">SUM(S354:S365)</f>
        <v>#N/A</v>
      </c>
      <c r="T366" s="465" t="e">
        <f ca="1">SUM(T354:T365)</f>
        <v>#N/A</v>
      </c>
      <c r="U366" s="455"/>
    </row>
    <row r="367" spans="1:21" s="440" customFormat="1">
      <c r="A367" s="504"/>
      <c r="B367" s="448"/>
      <c r="C367" s="498" t="s">
        <v>414</v>
      </c>
      <c r="D367" s="448"/>
      <c r="E367" s="448"/>
      <c r="F367" s="448"/>
      <c r="G367" s="448"/>
      <c r="H367" s="448"/>
      <c r="I367" s="448"/>
      <c r="J367" s="448"/>
      <c r="K367" s="448"/>
      <c r="L367" s="505"/>
      <c r="M367" s="505"/>
      <c r="N367" s="505"/>
      <c r="O367" s="505"/>
      <c r="P367" s="464" t="s">
        <v>394</v>
      </c>
      <c r="Q367" s="483" t="e">
        <f ca="1">VLOOKUP(VLOOKUP(I351,Worksheet!$A$18:$B$31,2),'1Test Data'!$O$30:$AK$49,23,0)</f>
        <v>#N/A</v>
      </c>
      <c r="R367" s="453"/>
      <c r="S367" s="453"/>
      <c r="T367" s="453"/>
      <c r="U367" s="455"/>
    </row>
    <row r="368" spans="1:21" s="440" customFormat="1" ht="13.5" customHeight="1">
      <c r="A368" s="504"/>
      <c r="B368" s="448"/>
      <c r="C368" s="1090" t="s">
        <v>415</v>
      </c>
      <c r="D368" s="1091"/>
      <c r="E368" s="1091"/>
      <c r="F368" s="1091"/>
      <c r="G368" s="1092"/>
      <c r="H368" s="448"/>
      <c r="I368" s="448"/>
      <c r="J368" s="448"/>
      <c r="K368" s="448"/>
      <c r="L368" s="506" t="s">
        <v>416</v>
      </c>
      <c r="M368" s="507" t="e">
        <f ca="1">M366^0.5</f>
        <v>#N/A</v>
      </c>
      <c r="N368" s="508" t="str">
        <f>Uncert!$F$4</f>
        <v>ABS kPa</v>
      </c>
      <c r="O368" s="505" t="e">
        <f ca="1">(M366-M357-M362-M364-M365)^0.5</f>
        <v>#N/A</v>
      </c>
      <c r="P368" s="464" t="s">
        <v>396</v>
      </c>
      <c r="Q368" s="483" t="e">
        <f ca="1">VLOOKUP(VLOOKUP(I351,Worksheet!$A$18:$B$31,2),'1Test Data'!$O$30:$AL$49,24,0)</f>
        <v>#N/A</v>
      </c>
      <c r="R368" s="453"/>
      <c r="S368" s="453"/>
      <c r="T368" s="453"/>
      <c r="U368" s="455"/>
    </row>
    <row r="369" spans="1:21" s="440" customFormat="1">
      <c r="A369" s="504"/>
      <c r="B369" s="448"/>
      <c r="C369" s="1093"/>
      <c r="D369" s="1094"/>
      <c r="E369" s="1094"/>
      <c r="F369" s="1094"/>
      <c r="G369" s="1095"/>
      <c r="H369" s="448"/>
      <c r="I369" s="448"/>
      <c r="J369" s="448"/>
      <c r="K369" s="448"/>
      <c r="L369" s="506" t="s">
        <v>417</v>
      </c>
      <c r="M369" s="507" t="e">
        <f ca="1">M368^4/N366</f>
        <v>#N/A</v>
      </c>
      <c r="N369" s="509"/>
      <c r="O369" s="510" t="e">
        <f ca="1">O368^4/(N366-N357-N362-N364-N365)</f>
        <v>#N/A</v>
      </c>
      <c r="P369" s="464" t="s">
        <v>201</v>
      </c>
      <c r="Q369" s="483" t="e">
        <f ca="1">VLOOKUP(VLOOKUP(I351,Worksheet!$A$18:$B$31,2),'1Test Data'!$O$30:$AM$49,25,0)</f>
        <v>#N/A</v>
      </c>
      <c r="R369" s="453"/>
      <c r="S369" s="453"/>
      <c r="T369" s="453"/>
      <c r="U369" s="455"/>
    </row>
    <row r="370" spans="1:21" s="440" customFormat="1">
      <c r="A370" s="504"/>
      <c r="B370" s="448"/>
      <c r="C370" s="1093"/>
      <c r="D370" s="1094"/>
      <c r="E370" s="1094"/>
      <c r="F370" s="1094"/>
      <c r="G370" s="1095"/>
      <c r="H370" s="448"/>
      <c r="I370" s="448"/>
      <c r="J370" s="448"/>
      <c r="K370" s="448"/>
      <c r="L370" s="506" t="s">
        <v>418</v>
      </c>
      <c r="M370" s="507" t="e">
        <f ca="1">TINV(0.05,M369)</f>
        <v>#N/A</v>
      </c>
      <c r="N370" s="508"/>
      <c r="O370" s="507" t="e">
        <f ca="1">TINV(0.05,O369)</f>
        <v>#N/A</v>
      </c>
      <c r="P370" s="464" t="s">
        <v>88</v>
      </c>
      <c r="Q370" s="483" t="e">
        <f ca="1">VLOOKUP(VLOOKUP(I351,Worksheet!$A$18:$B$31,2),'1Test Data'!$O$30:$AN$49,26,0)</f>
        <v>#N/A</v>
      </c>
      <c r="R370" s="453"/>
      <c r="S370" s="453"/>
      <c r="T370" s="453"/>
      <c r="U370" s="455"/>
    </row>
    <row r="371" spans="1:21" s="440" customFormat="1">
      <c r="A371" s="504"/>
      <c r="B371" s="448"/>
      <c r="C371" s="1093"/>
      <c r="D371" s="1094"/>
      <c r="E371" s="1094"/>
      <c r="F371" s="1094"/>
      <c r="G371" s="1095"/>
      <c r="H371" s="448"/>
      <c r="I371" s="448"/>
      <c r="J371" s="448"/>
      <c r="K371" s="448"/>
      <c r="L371" s="506" t="s">
        <v>419</v>
      </c>
      <c r="M371" s="507" t="e">
        <f ca="1">M368*M370</f>
        <v>#N/A</v>
      </c>
      <c r="N371" s="508" t="str">
        <f>Uncert!$F$4</f>
        <v>ABS kPa</v>
      </c>
      <c r="O371" s="507" t="e">
        <f ca="1">O368*O370</f>
        <v>#N/A</v>
      </c>
      <c r="P371" s="464" t="s">
        <v>420</v>
      </c>
      <c r="Q371" s="483" t="e">
        <f ca="1">ABS(Q367*F351^3+Q368*F351^2+Q369*F351+Q370)</f>
        <v>#N/A</v>
      </c>
      <c r="R371" s="453"/>
      <c r="S371" s="453"/>
      <c r="T371" s="453"/>
      <c r="U371" s="455"/>
    </row>
    <row r="372" spans="1:21" s="440" customFormat="1">
      <c r="A372" s="497"/>
      <c r="B372" s="498"/>
      <c r="C372" s="1096"/>
      <c r="D372" s="1097"/>
      <c r="E372" s="1097"/>
      <c r="F372" s="1097"/>
      <c r="G372" s="1098"/>
      <c r="H372" s="448"/>
      <c r="I372" s="448"/>
      <c r="J372" s="511"/>
      <c r="K372" s="511"/>
      <c r="L372" s="512" t="s">
        <v>421</v>
      </c>
      <c r="M372" s="513" t="e">
        <f ca="1">M371</f>
        <v>#N/A</v>
      </c>
      <c r="N372" s="514" t="str">
        <f>Uncert!$F$4</f>
        <v>ABS kPa</v>
      </c>
      <c r="O372" s="513" t="e">
        <f ca="1">O371</f>
        <v>#N/A</v>
      </c>
      <c r="P372" s="464" t="s">
        <v>422</v>
      </c>
      <c r="Q372" s="483" t="e">
        <f ca="1">VLOOKUP(VLOOKUP(I351,Worksheet!$A$18:$B$31,2),'1Test Data'!$O$30:$AP$49,28,0)</f>
        <v>#N/A</v>
      </c>
      <c r="R372" s="453"/>
      <c r="S372" s="453"/>
      <c r="T372" s="453"/>
      <c r="U372" s="455"/>
    </row>
    <row r="373" spans="1:21" s="440" customFormat="1">
      <c r="A373" s="497"/>
      <c r="B373" s="498"/>
      <c r="C373" s="498" t="s">
        <v>423</v>
      </c>
      <c r="D373" s="448"/>
      <c r="E373" s="448"/>
      <c r="F373" s="448"/>
      <c r="G373" s="448"/>
      <c r="H373" s="515" t="e">
        <f>"N " &amp; ReadoutType</f>
        <v>#NAME?</v>
      </c>
      <c r="I373" s="516" t="e">
        <f ca="1">($O374/$K362)</f>
        <v>#N/A</v>
      </c>
      <c r="J373" s="448"/>
      <c r="K373" s="448"/>
      <c r="L373" s="505"/>
      <c r="M373" s="517" t="e">
        <f ca="1">(M372/F351)*100</f>
        <v>#N/A</v>
      </c>
      <c r="N373" s="518" t="s">
        <v>78</v>
      </c>
      <c r="O373" s="517"/>
      <c r="P373" s="519"/>
      <c r="Q373" s="519"/>
      <c r="R373" s="453"/>
      <c r="S373" s="453"/>
      <c r="T373" s="453"/>
      <c r="U373" s="455"/>
    </row>
    <row r="374" spans="1:21" s="440" customFormat="1">
      <c r="A374" s="497"/>
      <c r="B374" s="498"/>
      <c r="C374" s="520" t="s">
        <v>33</v>
      </c>
      <c r="D374" s="521" t="str">
        <f ca="1">Gravity</f>
        <v/>
      </c>
      <c r="E374" s="520" t="s">
        <v>36</v>
      </c>
      <c r="F374" s="522"/>
      <c r="G374" s="523"/>
      <c r="H374" s="524" t="e">
        <f>ReadoutType</f>
        <v>#NAME?</v>
      </c>
      <c r="I374" s="516" t="e">
        <f ca="1">($M374/$K362)</f>
        <v>#N/A</v>
      </c>
      <c r="J374" s="1103" t="s">
        <v>424</v>
      </c>
      <c r="K374" s="1104"/>
      <c r="L374" s="1104"/>
      <c r="M374" s="525" t="e">
        <f ca="1">IF(NATA="Y",IF(M372&lt;Scopekpa,IF(Scopekpa&lt;((F351/100)*ScopeReading),((F351/100)*ScopeReading),Scopekpa),IF(M372&lt;((F351/100)*ScopeReading),((F351/100)*ScopeReading),M372)),Uncert!M372)</f>
        <v>#N/A</v>
      </c>
      <c r="N374" s="522" t="s">
        <v>425</v>
      </c>
      <c r="O374" s="525" t="e">
        <f ca="1">IF(NATA="Y",IF(O372&lt;Scopekpa,IF(Scopekpa&lt;((F351/100)*ScopeReading),((F351/100)*ScopeReading),Scopekpa),IF(O372&lt;((F351/100)*ScopeReading),((F351/100)*ScopeReading),O372)),Uncert!O372)</f>
        <v>#N/A</v>
      </c>
      <c r="P374" s="522"/>
      <c r="Q374" s="522"/>
      <c r="R374" s="453"/>
      <c r="S374" s="453"/>
      <c r="T374" s="453"/>
      <c r="U374" s="455"/>
    </row>
    <row r="375" spans="1:21" s="440" customFormat="1" ht="14.25" thickBot="1">
      <c r="A375" s="526" t="str">
        <f>"Worksheet!A" &amp; 17+(ROW()/25)</f>
        <v>Worksheet!A32</v>
      </c>
      <c r="B375" s="527"/>
      <c r="C375" s="527"/>
      <c r="D375" s="528">
        <f>ROW()/25</f>
        <v>15</v>
      </c>
      <c r="E375" s="529"/>
      <c r="F375" s="529"/>
      <c r="G375" s="529"/>
      <c r="H375" s="529"/>
      <c r="I375" s="530"/>
      <c r="J375" s="1105" t="s">
        <v>424</v>
      </c>
      <c r="K375" s="1105"/>
      <c r="L375" s="1105"/>
      <c r="M375" s="531" t="e">
        <f ca="1">IF(NATA="Y",IF(M373&lt;ScopeReading,ScopeReading,M373),M373)</f>
        <v>#N/A</v>
      </c>
      <c r="N375" s="532" t="s">
        <v>78</v>
      </c>
      <c r="O375" s="531"/>
      <c r="P375" s="532"/>
      <c r="Q375" s="527"/>
      <c r="R375" s="527"/>
      <c r="S375" s="527"/>
      <c r="T375" s="527"/>
      <c r="U375" s="533"/>
    </row>
    <row r="376" spans="1:21" s="440" customFormat="1">
      <c r="A376" s="1099" t="e">
        <f ca="1">"Uncertainty Budget: Digital Pressure Gauge (" &amp; Q376&amp; ", "&amp; Q377 &amp; H376 &amp;" x " &amp; Division   &amp;H376 &amp; " )" &amp; " Test Point "&amp;D400</f>
        <v>#N/A</v>
      </c>
      <c r="B376" s="1100"/>
      <c r="C376" s="1100"/>
      <c r="D376" s="1100"/>
      <c r="E376" s="1100"/>
      <c r="F376" s="1101">
        <f ca="1">ABS(I376*UnitConvert)</f>
        <v>0</v>
      </c>
      <c r="G376" s="1102"/>
      <c r="H376" s="428" t="s">
        <v>371</v>
      </c>
      <c r="I376" s="429">
        <f ca="1">INDIRECT(A400)</f>
        <v>0</v>
      </c>
      <c r="J376" s="430" t="str">
        <f>_xlfn.SINGLE(Units)</f>
        <v>mm</v>
      </c>
      <c r="K376" s="431" t="e">
        <f ca="1">IF(C379="","","Uncertainty (U) = ±"&amp;TEXT(M397,"0.0")&amp;$F$4&amp;",  &amp;  (k="&amp;TEXT(M395,"0.00")&amp;", confidence level=95%)")</f>
        <v>#N/A</v>
      </c>
      <c r="L376" s="432"/>
      <c r="M376" s="432"/>
      <c r="N376" s="432"/>
      <c r="O376" s="433"/>
      <c r="P376" s="434" t="s">
        <v>372</v>
      </c>
      <c r="Q376" s="435" t="e">
        <f ca="1">VLOOKUP(VLOOKUP(I376,Worksheet!$A$18:$B$31,2),'1Test Data'!$M$6:$O$10,2,0)</f>
        <v>#N/A</v>
      </c>
      <c r="R376" s="436"/>
      <c r="S376" s="436"/>
      <c r="T376" s="437" t="str">
        <f ca="1">"TEX Ver "&amp;Mods!$A$1</f>
        <v>TEX Ver TAS-SST001v1</v>
      </c>
      <c r="U376" s="438"/>
    </row>
    <row r="377" spans="1:21" s="440" customFormat="1">
      <c r="A377" s="442" t="s">
        <v>373</v>
      </c>
      <c r="B377" s="443"/>
      <c r="C377" s="444"/>
      <c r="D377" s="445" t="s">
        <v>374</v>
      </c>
      <c r="E377" s="446" t="e">
        <f ca="1">Q377</f>
        <v>#N/A</v>
      </c>
      <c r="F377" s="447"/>
      <c r="G377" s="447" t="e">
        <f ca="1">ROUND(M397/(F376/100),2)&amp;"% of Full Scale"</f>
        <v>#N/A</v>
      </c>
      <c r="H377" s="448"/>
      <c r="I377" s="448"/>
      <c r="J377" s="449" t="e">
        <f ca="1">M398</f>
        <v>#N/A</v>
      </c>
      <c r="K377" s="448"/>
      <c r="L377" s="450"/>
      <c r="M377" s="450"/>
      <c r="N377" s="450"/>
      <c r="O377" s="433"/>
      <c r="P377" s="451" t="s">
        <v>375</v>
      </c>
      <c r="Q377" s="452" t="e">
        <f ca="1">VLOOKUP(VLOOKUP(I376,Worksheet!$A$18:$B$31,2),'1Test Data'!$O$30:$T$49,6,0)</f>
        <v>#N/A</v>
      </c>
      <c r="R377" s="453">
        <v>0</v>
      </c>
      <c r="S377" s="453"/>
      <c r="T377" s="454">
        <f ca="1">Mods!$A$4</f>
        <v>45809.486168981479</v>
      </c>
      <c r="U377" s="455"/>
    </row>
    <row r="378" spans="1:21" s="440" customFormat="1" ht="38.25">
      <c r="A378" s="458" t="s">
        <v>376</v>
      </c>
      <c r="B378" s="459" t="s">
        <v>377</v>
      </c>
      <c r="C378" s="460" t="s">
        <v>378</v>
      </c>
      <c r="D378" s="460" t="s">
        <v>379</v>
      </c>
      <c r="E378" s="460" t="s">
        <v>380</v>
      </c>
      <c r="F378" s="460" t="s">
        <v>381</v>
      </c>
      <c r="G378" s="460" t="s">
        <v>178</v>
      </c>
      <c r="H378" s="461" t="s">
        <v>382</v>
      </c>
      <c r="I378" s="461" t="s">
        <v>383</v>
      </c>
      <c r="J378" s="462" t="s">
        <v>384</v>
      </c>
      <c r="K378" s="463" t="s">
        <v>385</v>
      </c>
      <c r="L378" s="461" t="s">
        <v>386</v>
      </c>
      <c r="M378" s="461" t="s">
        <v>387</v>
      </c>
      <c r="N378" s="461" t="s">
        <v>388</v>
      </c>
      <c r="O378" s="461" t="s">
        <v>389</v>
      </c>
      <c r="P378" s="464" t="s">
        <v>390</v>
      </c>
      <c r="Q378" s="452" t="e">
        <f ca="1">VLOOKUP(VLOOKUP(I376,Worksheet!$A$18:$B$31,2),'1Test Data'!$O$30:$V$49,8,0)</f>
        <v>#N/A</v>
      </c>
      <c r="R378" s="465" t="s">
        <v>391</v>
      </c>
      <c r="S378" s="465" t="s">
        <v>391</v>
      </c>
      <c r="T378" s="466" t="s">
        <v>392</v>
      </c>
      <c r="U378" s="467"/>
    </row>
    <row r="379" spans="1:21" s="440" customFormat="1" ht="18" customHeight="1">
      <c r="A379" s="470">
        <v>1</v>
      </c>
      <c r="B379" s="471">
        <f>$B$4</f>
        <v>1</v>
      </c>
      <c r="C379" s="472" t="e">
        <f ca="1">"Reference Device  ("&amp;Q377&amp;" Druck Transducer) + Sey
Uncertainty from Calibration Report - "&amp;Q376</f>
        <v>#N/A</v>
      </c>
      <c r="D379" s="471" t="s">
        <v>393</v>
      </c>
      <c r="E379" s="473" t="e">
        <f ca="1">Q383+Q384</f>
        <v>#N/A</v>
      </c>
      <c r="F379" s="474" t="str">
        <f>H376</f>
        <v>ABS kPa</v>
      </c>
      <c r="G379" s="475" t="str">
        <f>IF(OR(D379="",B379=0),"",IF(D379="ESDM","A","B"))</f>
        <v>B</v>
      </c>
      <c r="H379" s="476" t="e">
        <f ca="1">IF(OR(E379="",B379=0),"",IF(D379="ESDM",1,IF(D379="N95",2,IF(D379="Rect",(3^0.5)))))</f>
        <v>#N/A</v>
      </c>
      <c r="I379" s="477">
        <f>IF(D379="N95",60,100)</f>
        <v>60</v>
      </c>
      <c r="J379" s="478" t="e">
        <f ca="1">IF(OR(E379="",B379=0),"",(E379/H379))</f>
        <v>#N/A</v>
      </c>
      <c r="K379" s="479">
        <v>1</v>
      </c>
      <c r="L379" s="480" t="e">
        <f ca="1">IF(OR(E379="",B379=0),"",K379*J379)</f>
        <v>#N/A</v>
      </c>
      <c r="M379" s="480" t="e">
        <f t="shared" ref="M379:M390" ca="1" si="150">IF(OR(E379="",B379=0),"0",L379^2)</f>
        <v>#N/A</v>
      </c>
      <c r="N379" s="481" t="e">
        <f t="shared" ref="N379:N390" ca="1" si="151">IF(OR(D379="",B379=0),"0",(L379)^4/I379)</f>
        <v>#N/A</v>
      </c>
      <c r="O379" s="482" t="e">
        <f t="shared" ref="O379:O390" ca="1" si="152">T379</f>
        <v>#N/A</v>
      </c>
      <c r="P379" s="464" t="s">
        <v>394</v>
      </c>
      <c r="Q379" s="483" t="e">
        <f ca="1">VLOOKUP(VLOOKUP(I376,Worksheet!$A$18:$B$31,2),'1Test Data'!$O$30:$Y$49,11,0)</f>
        <v>#N/A</v>
      </c>
      <c r="R379" s="484" t="e">
        <f ca="1">IF(OR(E379="",B379=0),"",K379*J379)</f>
        <v>#N/A</v>
      </c>
      <c r="S379" s="465" t="e">
        <f ca="1">IF(OR(E379="",B379=0),"",ABS(R379))</f>
        <v>#N/A</v>
      </c>
      <c r="T379" s="465" t="e">
        <f ca="1">IF(OR(E379="",B379=0),"",ABS(L379/S391))</f>
        <v>#N/A</v>
      </c>
      <c r="U379" s="485"/>
    </row>
    <row r="380" spans="1:21" s="440" customFormat="1" ht="27" customHeight="1">
      <c r="A380" s="470">
        <v>2</v>
      </c>
      <c r="B380" s="471">
        <f>$B$5</f>
        <v>1</v>
      </c>
      <c r="C380" s="472" t="e">
        <f ca="1">"Reference Device  Specs +Sey
(" &amp; Q377 &amp; H376 &amp; " Druck Transducer)
"&amp;Q378 &amp; "% of F.S. from Calibration Report - " &amp; Q376</f>
        <v>#N/A</v>
      </c>
      <c r="D380" s="471" t="s">
        <v>395</v>
      </c>
      <c r="E380" s="473" t="e">
        <f ca="1">Q396+Q397</f>
        <v>#N/A</v>
      </c>
      <c r="F380" s="474" t="e">
        <f ca="1">IF(OR(E380="",B380=0),"",$F$4)</f>
        <v>#N/A</v>
      </c>
      <c r="G380" s="475" t="str">
        <f t="shared" ref="G380:G390" si="153">IF(OR(D380="",B380=0),"",IF(D380="ESDM","A","B"))</f>
        <v>B</v>
      </c>
      <c r="H380" s="476" t="e">
        <f t="shared" ref="H380:H390" ca="1" si="154">IF(OR(E380="",B380=0),"",IF(D380="ESDM",1,IF(D380="N95",2,IF(D380="Rect",(3^0.5)))))</f>
        <v>#N/A</v>
      </c>
      <c r="I380" s="477">
        <f t="shared" ref="I380:I390" si="155">IF(D380="N95",60,100)</f>
        <v>100</v>
      </c>
      <c r="J380" s="478" t="e">
        <f t="shared" ref="J380:J390" ca="1" si="156">IF(OR(E380="",B380=0),"",(E380/H380))</f>
        <v>#N/A</v>
      </c>
      <c r="K380" s="479">
        <v>1</v>
      </c>
      <c r="L380" s="480" t="e">
        <f t="shared" ref="L380:L390" ca="1" si="157">IF(OR(E380="",B380=0),"",K380*J380)</f>
        <v>#N/A</v>
      </c>
      <c r="M380" s="480" t="e">
        <f t="shared" ca="1" si="150"/>
        <v>#N/A</v>
      </c>
      <c r="N380" s="481" t="e">
        <f t="shared" ca="1" si="151"/>
        <v>#N/A</v>
      </c>
      <c r="O380" s="482" t="e">
        <f t="shared" ca="1" si="152"/>
        <v>#N/A</v>
      </c>
      <c r="P380" s="464" t="s">
        <v>396</v>
      </c>
      <c r="Q380" s="483" t="e">
        <f ca="1">VLOOKUP(VLOOKUP(I376,Worksheet!$A$18:$B$31,2),'1Test Data'!$O$30:$Z$49,12,0)</f>
        <v>#N/A</v>
      </c>
      <c r="R380" s="484" t="e">
        <f t="shared" ref="R380:R390" ca="1" si="158">IF(OR(E380="",B380=0),"",K380*J380)</f>
        <v>#N/A</v>
      </c>
      <c r="S380" s="465" t="e">
        <f t="shared" ref="S380:S390" ca="1" si="159">IF(OR(E380="",B380=0),"",ABS(R380))</f>
        <v>#N/A</v>
      </c>
      <c r="T380" s="465" t="e">
        <f ca="1">IF(OR(E380="",B380=0),"",ABS(L380/S391))</f>
        <v>#N/A</v>
      </c>
      <c r="U380" s="485"/>
    </row>
    <row r="381" spans="1:21" s="440" customFormat="1" ht="18" customHeight="1">
      <c r="A381" s="470">
        <v>3</v>
      </c>
      <c r="B381" s="471">
        <f>$B$6</f>
        <v>1</v>
      </c>
      <c r="C381" s="472" t="s">
        <v>397</v>
      </c>
      <c r="D381" s="471" t="s">
        <v>395</v>
      </c>
      <c r="E381" s="473" t="e">
        <f ca="1">Q385*F376/100</f>
        <v>#N/A</v>
      </c>
      <c r="F381" s="474" t="e">
        <f ca="1">IF(OR(E381="",B381=0),"",$F$4)</f>
        <v>#N/A</v>
      </c>
      <c r="G381" s="475" t="str">
        <f t="shared" si="153"/>
        <v>B</v>
      </c>
      <c r="H381" s="476" t="e">
        <f t="shared" ca="1" si="154"/>
        <v>#N/A</v>
      </c>
      <c r="I381" s="477">
        <f t="shared" si="155"/>
        <v>100</v>
      </c>
      <c r="J381" s="478" t="e">
        <f t="shared" ca="1" si="156"/>
        <v>#N/A</v>
      </c>
      <c r="K381" s="479">
        <v>1</v>
      </c>
      <c r="L381" s="480" t="e">
        <f t="shared" ca="1" si="157"/>
        <v>#N/A</v>
      </c>
      <c r="M381" s="480" t="e">
        <f t="shared" ca="1" si="150"/>
        <v>#N/A</v>
      </c>
      <c r="N381" s="481" t="e">
        <f t="shared" ca="1" si="151"/>
        <v>#N/A</v>
      </c>
      <c r="O381" s="482" t="e">
        <f t="shared" ca="1" si="152"/>
        <v>#N/A</v>
      </c>
      <c r="P381" s="464" t="s">
        <v>201</v>
      </c>
      <c r="Q381" s="483" t="e">
        <f ca="1">VLOOKUP(VLOOKUP(I376,Worksheet!$A$18:$B$31,2),'1Test Data'!$O$30:$AA$49,13,0)</f>
        <v>#N/A</v>
      </c>
      <c r="R381" s="484" t="e">
        <f t="shared" ca="1" si="158"/>
        <v>#N/A</v>
      </c>
      <c r="S381" s="465" t="e">
        <f t="shared" ca="1" si="159"/>
        <v>#N/A</v>
      </c>
      <c r="T381" s="465" t="e">
        <f ca="1">IF(OR(E381="",B381=0),"",ABS(L381/S391))</f>
        <v>#N/A</v>
      </c>
      <c r="U381" s="485"/>
    </row>
    <row r="382" spans="1:21" s="440" customFormat="1" ht="18" customHeight="1">
      <c r="A382" s="470">
        <v>4</v>
      </c>
      <c r="B382" s="471" t="e">
        <f>$B$7</f>
        <v>#NAME?</v>
      </c>
      <c r="C382" s="472" t="s">
        <v>398</v>
      </c>
      <c r="D382" s="471" t="s">
        <v>395</v>
      </c>
      <c r="E382" s="473">
        <f>EDMS*UnitConvert</f>
        <v>0</v>
      </c>
      <c r="F382" s="474" t="e">
        <f>IF(OR(E382="",B382=0),"",$F$4)</f>
        <v>#NAME?</v>
      </c>
      <c r="G382" s="475" t="e">
        <f t="shared" si="153"/>
        <v>#NAME?</v>
      </c>
      <c r="H382" s="476" t="e">
        <f t="shared" si="154"/>
        <v>#NAME?</v>
      </c>
      <c r="I382" s="477">
        <f t="shared" si="155"/>
        <v>100</v>
      </c>
      <c r="J382" s="478" t="e">
        <f t="shared" si="156"/>
        <v>#NAME?</v>
      </c>
      <c r="K382" s="479">
        <v>1</v>
      </c>
      <c r="L382" s="480" t="e">
        <f t="shared" si="157"/>
        <v>#NAME?</v>
      </c>
      <c r="M382" s="480" t="e">
        <f t="shared" si="150"/>
        <v>#NAME?</v>
      </c>
      <c r="N382" s="481" t="e">
        <f t="shared" si="151"/>
        <v>#NAME?</v>
      </c>
      <c r="O382" s="482" t="e">
        <f t="shared" si="152"/>
        <v>#NAME?</v>
      </c>
      <c r="P382" s="464" t="s">
        <v>88</v>
      </c>
      <c r="Q382" s="483" t="e">
        <f ca="1">VLOOKUP(VLOOKUP(I376,Worksheet!$A$18:$B$31,2),'1Test Data'!$O$30:$AB$49,14,0)</f>
        <v>#N/A</v>
      </c>
      <c r="R382" s="484" t="e">
        <f t="shared" si="158"/>
        <v>#NAME?</v>
      </c>
      <c r="S382" s="465" t="e">
        <f t="shared" si="159"/>
        <v>#NAME?</v>
      </c>
      <c r="T382" s="465" t="e">
        <f>IF(OR(E382="",B382=0),"",ABS(L382/S391))</f>
        <v>#NAME?</v>
      </c>
      <c r="U382" s="485"/>
    </row>
    <row r="383" spans="1:21" s="440" customFormat="1" ht="27">
      <c r="A383" s="470">
        <v>5</v>
      </c>
      <c r="B383" s="471">
        <f>$B$8</f>
        <v>0</v>
      </c>
      <c r="C383" s="472" t="str">
        <f>C33</f>
        <v>Gravity -0.001 m/s2 Sensitivity = Test Pressure / Gravity</v>
      </c>
      <c r="D383" s="471" t="s">
        <v>395</v>
      </c>
      <c r="E383" s="473">
        <f>E8</f>
        <v>1E-3</v>
      </c>
      <c r="F383" s="474" t="s">
        <v>400</v>
      </c>
      <c r="G383" s="475" t="str">
        <f t="shared" si="153"/>
        <v/>
      </c>
      <c r="H383" s="476" t="str">
        <f t="shared" si="154"/>
        <v/>
      </c>
      <c r="I383" s="477">
        <f t="shared" si="155"/>
        <v>100</v>
      </c>
      <c r="J383" s="478" t="str">
        <f t="shared" si="156"/>
        <v/>
      </c>
      <c r="K383" s="479">
        <f ca="1">F376*E383</f>
        <v>0</v>
      </c>
      <c r="L383" s="480" t="str">
        <f t="shared" si="157"/>
        <v/>
      </c>
      <c r="M383" s="480" t="str">
        <f t="shared" si="150"/>
        <v>0</v>
      </c>
      <c r="N383" s="481" t="str">
        <f t="shared" si="151"/>
        <v>0</v>
      </c>
      <c r="O383" s="482" t="str">
        <f>IFERROR(T383,0)</f>
        <v/>
      </c>
      <c r="P383" s="492" t="s">
        <v>401</v>
      </c>
      <c r="Q383" s="493" t="e">
        <f ca="1">ABS(Q379*F376^3+Q380*F376^2+Q381*F376+Q382)</f>
        <v>#N/A</v>
      </c>
      <c r="R383" s="484" t="str">
        <f t="shared" si="158"/>
        <v/>
      </c>
      <c r="S383" s="465" t="str">
        <f t="shared" si="159"/>
        <v/>
      </c>
      <c r="T383" s="465" t="str">
        <f>IF(OR(E383="",B383=0),"",ABS(L383/S391))</f>
        <v/>
      </c>
      <c r="U383" s="485"/>
    </row>
    <row r="384" spans="1:21" s="440" customFormat="1" ht="27">
      <c r="A384" s="470">
        <v>6</v>
      </c>
      <c r="B384" s="471">
        <f>$B$9</f>
        <v>0</v>
      </c>
      <c r="C384" s="472" t="s">
        <v>402</v>
      </c>
      <c r="D384" s="471" t="s">
        <v>395</v>
      </c>
      <c r="E384" s="473">
        <v>2</v>
      </c>
      <c r="F384" s="474" t="s">
        <v>403</v>
      </c>
      <c r="G384" s="475" t="str">
        <f t="shared" si="153"/>
        <v/>
      </c>
      <c r="H384" s="476" t="str">
        <f t="shared" si="154"/>
        <v/>
      </c>
      <c r="I384" s="477">
        <f t="shared" si="155"/>
        <v>100</v>
      </c>
      <c r="J384" s="478" t="str">
        <f t="shared" si="156"/>
        <v/>
      </c>
      <c r="K384" s="479">
        <f ca="1">F376*-0.000022</f>
        <v>0</v>
      </c>
      <c r="L384" s="480" t="str">
        <f t="shared" si="157"/>
        <v/>
      </c>
      <c r="M384" s="480" t="str">
        <f t="shared" si="150"/>
        <v>0</v>
      </c>
      <c r="N384" s="481" t="str">
        <f t="shared" si="151"/>
        <v>0</v>
      </c>
      <c r="O384" s="482" t="str">
        <f t="shared" si="152"/>
        <v/>
      </c>
      <c r="P384" s="494" t="s">
        <v>404</v>
      </c>
      <c r="Q384" s="483" t="e">
        <f ca="1">VLOOKUP(VLOOKUP(I376,Worksheet!$A$18:$B$31,2),'1Test Data'!$O$30:$AD$49,14,0)</f>
        <v>#N/A</v>
      </c>
      <c r="R384" s="484" t="str">
        <f t="shared" si="158"/>
        <v/>
      </c>
      <c r="S384" s="465" t="str">
        <f t="shared" si="159"/>
        <v/>
      </c>
      <c r="T384" s="465" t="str">
        <f>IF(OR(E384="",B384=0),"",ABS(L384/S391))</f>
        <v/>
      </c>
      <c r="U384" s="485"/>
    </row>
    <row r="385" spans="1:21" s="440" customFormat="1" ht="27">
      <c r="A385" s="470">
        <v>7</v>
      </c>
      <c r="B385" s="471">
        <f>$B$10</f>
        <v>0</v>
      </c>
      <c r="C385" s="472" t="s">
        <v>405</v>
      </c>
      <c r="D385" s="471" t="s">
        <v>395</v>
      </c>
      <c r="E385" s="473">
        <v>0.5</v>
      </c>
      <c r="F385" s="474" t="s">
        <v>406</v>
      </c>
      <c r="G385" s="475" t="str">
        <f t="shared" si="153"/>
        <v/>
      </c>
      <c r="H385" s="476" t="str">
        <f t="shared" si="154"/>
        <v/>
      </c>
      <c r="I385" s="477">
        <f t="shared" si="155"/>
        <v>100</v>
      </c>
      <c r="J385" s="478" t="str">
        <f t="shared" si="156"/>
        <v/>
      </c>
      <c r="K385" s="479">
        <f ca="1">(0.098*F376)/1000</f>
        <v>0</v>
      </c>
      <c r="L385" s="480" t="str">
        <f t="shared" si="157"/>
        <v/>
      </c>
      <c r="M385" s="480" t="str">
        <f t="shared" si="150"/>
        <v>0</v>
      </c>
      <c r="N385" s="481" t="str">
        <f t="shared" si="151"/>
        <v>0</v>
      </c>
      <c r="O385" s="482" t="str">
        <f t="shared" si="152"/>
        <v/>
      </c>
      <c r="P385" s="464" t="s">
        <v>407</v>
      </c>
      <c r="Q385" s="452" t="e">
        <f ca="1">VLOOKUP(VLOOKUP(I376,Worksheet!$A$18:$B$31,2),'1Test Data'!$O$30:$X$49,10,0)</f>
        <v>#N/A</v>
      </c>
      <c r="R385" s="484" t="str">
        <f t="shared" si="158"/>
        <v/>
      </c>
      <c r="S385" s="465" t="str">
        <f t="shared" si="159"/>
        <v/>
      </c>
      <c r="T385" s="465" t="str">
        <f>IF(OR(E385="",B385=0),"",ABS(L385/S391))</f>
        <v/>
      </c>
      <c r="U385" s="485"/>
    </row>
    <row r="386" spans="1:21" s="440" customFormat="1" ht="27">
      <c r="A386" s="470">
        <v>8</v>
      </c>
      <c r="B386" s="471">
        <f>$B$11</f>
        <v>0</v>
      </c>
      <c r="C386" s="472" t="s">
        <v>408</v>
      </c>
      <c r="D386" s="471" t="s">
        <v>395</v>
      </c>
      <c r="E386" s="473">
        <v>0.05</v>
      </c>
      <c r="F386" s="474" t="s">
        <v>406</v>
      </c>
      <c r="G386" s="475" t="str">
        <f t="shared" si="153"/>
        <v/>
      </c>
      <c r="H386" s="476" t="str">
        <f t="shared" si="154"/>
        <v/>
      </c>
      <c r="I386" s="477">
        <f t="shared" si="155"/>
        <v>100</v>
      </c>
      <c r="J386" s="478" t="str">
        <f t="shared" si="156"/>
        <v/>
      </c>
      <c r="K386" s="479">
        <f ca="1">F376/8000</f>
        <v>0</v>
      </c>
      <c r="L386" s="480" t="str">
        <f t="shared" si="157"/>
        <v/>
      </c>
      <c r="M386" s="480" t="str">
        <f t="shared" si="150"/>
        <v>0</v>
      </c>
      <c r="N386" s="481" t="str">
        <f t="shared" si="151"/>
        <v>0</v>
      </c>
      <c r="O386" s="482" t="str">
        <f t="shared" si="152"/>
        <v/>
      </c>
      <c r="P386" s="464" t="s">
        <v>394</v>
      </c>
      <c r="Q386" s="483" t="e">
        <f ca="1">VLOOKUP(VLOOKUP(I376,Worksheet!$A$18:$B$31,2),'1Test Data'!$O$30:$AE$49,17,0)</f>
        <v>#N/A</v>
      </c>
      <c r="R386" s="484" t="str">
        <f t="shared" si="158"/>
        <v/>
      </c>
      <c r="S386" s="465" t="str">
        <f t="shared" si="159"/>
        <v/>
      </c>
      <c r="T386" s="465" t="str">
        <f>IF(OR(E386="",B386=0),"",ABS(L386/S391))</f>
        <v/>
      </c>
      <c r="U386" s="485"/>
    </row>
    <row r="387" spans="1:21" s="440" customFormat="1" ht="13.5" customHeight="1">
      <c r="A387" s="470">
        <v>9</v>
      </c>
      <c r="B387" s="471" t="e">
        <f>$B$12</f>
        <v>#NAME?</v>
      </c>
      <c r="C387" s="472" t="str">
        <f>"Electrical reference devise" &amp; '1Test Data'!$O$3 &amp;  CHAR(10) &amp; "SN: " &amp; '1Test Data'!$P$3 &amp; ", Cert No: " &amp; '1Test Data'!$Q$3</f>
        <v>Electrical reference devisea
SN: b, Cert No: c</v>
      </c>
      <c r="D387" s="471" t="s">
        <v>395</v>
      </c>
      <c r="E387" s="473">
        <f>ElectUncert</f>
        <v>2E-3</v>
      </c>
      <c r="F387" s="474" t="e">
        <f>IF(OR(E387="",B387=0),"",ReadoutType)</f>
        <v>#NAME?</v>
      </c>
      <c r="G387" s="475" t="e">
        <f t="shared" si="153"/>
        <v>#NAME?</v>
      </c>
      <c r="H387" s="476" t="e">
        <f t="shared" si="154"/>
        <v>#NAME?</v>
      </c>
      <c r="I387" s="477">
        <f t="shared" si="155"/>
        <v>100</v>
      </c>
      <c r="J387" s="478" t="e">
        <f t="shared" si="156"/>
        <v>#NAME?</v>
      </c>
      <c r="K387" s="479" t="e">
        <f>Capacity/(Upper-Lower)</f>
        <v>#NAME?</v>
      </c>
      <c r="L387" s="480" t="e">
        <f t="shared" si="157"/>
        <v>#NAME?</v>
      </c>
      <c r="M387" s="480" t="e">
        <f t="shared" si="150"/>
        <v>#NAME?</v>
      </c>
      <c r="N387" s="481" t="e">
        <f t="shared" si="151"/>
        <v>#NAME?</v>
      </c>
      <c r="O387" s="482" t="e">
        <f t="shared" si="152"/>
        <v>#NAME?</v>
      </c>
      <c r="P387" s="464" t="s">
        <v>396</v>
      </c>
      <c r="Q387" s="483" t="e">
        <f ca="1">VLOOKUP(VLOOKUP(I376,Worksheet!$A$18:$B$31,2),'1Test Data'!$O$30:$AF$49,18,0)</f>
        <v>#N/A</v>
      </c>
      <c r="R387" s="484" t="e">
        <f t="shared" si="158"/>
        <v>#NAME?</v>
      </c>
      <c r="S387" s="465" t="e">
        <f t="shared" si="159"/>
        <v>#NAME?</v>
      </c>
      <c r="T387" s="465" t="e">
        <f>IF(OR(E387="",B387=0),"",ABS(L387/S391))</f>
        <v>#NAME?</v>
      </c>
      <c r="U387" s="485"/>
    </row>
    <row r="388" spans="1:21" s="440" customFormat="1" ht="18" customHeight="1">
      <c r="A388" s="470">
        <v>10</v>
      </c>
      <c r="B388" s="471">
        <f>$B$13</f>
        <v>1</v>
      </c>
      <c r="C388" s="472" t="s">
        <v>409</v>
      </c>
      <c r="D388" s="471" t="s">
        <v>395</v>
      </c>
      <c r="E388" s="473" t="e">
        <f>Worksheet!#REF!*UnitConvert</f>
        <v>#REF!</v>
      </c>
      <c r="F388" s="474" t="e">
        <f>IF(OR(E388="",B388=0),"",$F$4)</f>
        <v>#REF!</v>
      </c>
      <c r="G388" s="475" t="str">
        <f t="shared" si="153"/>
        <v>B</v>
      </c>
      <c r="H388" s="476" t="e">
        <f t="shared" si="154"/>
        <v>#REF!</v>
      </c>
      <c r="I388" s="477">
        <f t="shared" si="155"/>
        <v>100</v>
      </c>
      <c r="J388" s="478" t="e">
        <f t="shared" si="156"/>
        <v>#REF!</v>
      </c>
      <c r="K388" s="479">
        <v>1</v>
      </c>
      <c r="L388" s="480" t="e">
        <f t="shared" si="157"/>
        <v>#REF!</v>
      </c>
      <c r="M388" s="480" t="e">
        <f t="shared" si="150"/>
        <v>#REF!</v>
      </c>
      <c r="N388" s="481" t="e">
        <f t="shared" si="151"/>
        <v>#REF!</v>
      </c>
      <c r="O388" s="482" t="e">
        <f t="shared" si="152"/>
        <v>#REF!</v>
      </c>
      <c r="P388" s="464" t="s">
        <v>201</v>
      </c>
      <c r="Q388" s="483" t="e">
        <f ca="1">VLOOKUP(VLOOKUP(I376,Worksheet!$A$18:$B$31,2),'1Test Data'!$O$30:$AG$49,19,0)</f>
        <v>#N/A</v>
      </c>
      <c r="R388" s="484" t="e">
        <f t="shared" si="158"/>
        <v>#REF!</v>
      </c>
      <c r="S388" s="465" t="e">
        <f t="shared" si="159"/>
        <v>#REF!</v>
      </c>
      <c r="T388" s="465" t="e">
        <f>IF(OR(E388="",B388=0),"",ABS(L388/S391))</f>
        <v>#REF!</v>
      </c>
      <c r="U388" s="485"/>
    </row>
    <row r="389" spans="1:21" s="440" customFormat="1" ht="13.5" customHeight="1">
      <c r="A389" s="470">
        <v>11</v>
      </c>
      <c r="B389" s="471" t="e">
        <f>$B$14</f>
        <v>#NAME?</v>
      </c>
      <c r="C389" s="496" t="e">
        <f>"DUT Type " &amp;ReadoutType&amp; " Resolution "&amp;Readability &amp; "kPa
Digital - Type B - Rect - 1/2 of  least count with D of F = 100 &amp; (k=1.73)
Analogue - Type B - N95 - Best scale readability with D of F = 60 &amp; k=2.00"</f>
        <v>#NAME?</v>
      </c>
      <c r="D389" s="471" t="e">
        <f>IF(ReadoutType="Digital","Rect","N95")</f>
        <v>#NAME?</v>
      </c>
      <c r="E389" s="473" t="e">
        <f>IF(Elect=1,($K387)/1000,IF(ReadoutType="Digital",Readability/2,Readability)*UnitConvert)</f>
        <v>#NAME?</v>
      </c>
      <c r="F389" s="474" t="e">
        <f>IF(OR(E389="",B389=0),"",$F$4)</f>
        <v>#NAME?</v>
      </c>
      <c r="G389" s="475" t="e">
        <f t="shared" si="153"/>
        <v>#NAME?</v>
      </c>
      <c r="H389" s="476" t="e">
        <f t="shared" si="154"/>
        <v>#NAME?</v>
      </c>
      <c r="I389" s="477" t="e">
        <f t="shared" si="155"/>
        <v>#NAME?</v>
      </c>
      <c r="J389" s="478" t="e">
        <f t="shared" si="156"/>
        <v>#NAME?</v>
      </c>
      <c r="K389" s="479">
        <v>1</v>
      </c>
      <c r="L389" s="480" t="e">
        <f t="shared" si="157"/>
        <v>#NAME?</v>
      </c>
      <c r="M389" s="480" t="e">
        <f t="shared" si="150"/>
        <v>#NAME?</v>
      </c>
      <c r="N389" s="481" t="e">
        <f t="shared" si="151"/>
        <v>#NAME?</v>
      </c>
      <c r="O389" s="482" t="e">
        <f t="shared" si="152"/>
        <v>#NAME?</v>
      </c>
      <c r="P389" s="464" t="s">
        <v>88</v>
      </c>
      <c r="Q389" s="483" t="e">
        <f ca="1">VLOOKUP(VLOOKUP(I376,Worksheet!$A$18:$B$31,2),'1Test Data'!$O$30:$AH$49,20,0)</f>
        <v>#N/A</v>
      </c>
      <c r="R389" s="484" t="e">
        <f t="shared" si="158"/>
        <v>#NAME?</v>
      </c>
      <c r="S389" s="465" t="e">
        <f t="shared" si="159"/>
        <v>#NAME?</v>
      </c>
      <c r="T389" s="465" t="e">
        <f>IF(OR(E389="",B389=0),"",ABS(L389/S391))</f>
        <v>#NAME?</v>
      </c>
      <c r="U389" s="485"/>
    </row>
    <row r="390" spans="1:21" s="440" customFormat="1" ht="27">
      <c r="A390" s="470">
        <v>12</v>
      </c>
      <c r="B390" s="471" t="e">
        <f>$B$15</f>
        <v>#NAME?</v>
      </c>
      <c r="C390" s="496" t="s">
        <v>410</v>
      </c>
      <c r="D390" s="471" t="s">
        <v>395</v>
      </c>
      <c r="E390" s="473" t="e">
        <f>E389</f>
        <v>#NAME?</v>
      </c>
      <c r="F390" s="474" t="e">
        <f>IF(OR(E390="",B390=0),"",$F$4)</f>
        <v>#NAME?</v>
      </c>
      <c r="G390" s="475" t="e">
        <f t="shared" si="153"/>
        <v>#NAME?</v>
      </c>
      <c r="H390" s="476" t="e">
        <f t="shared" si="154"/>
        <v>#NAME?</v>
      </c>
      <c r="I390" s="477">
        <f t="shared" si="155"/>
        <v>100</v>
      </c>
      <c r="J390" s="478" t="e">
        <f t="shared" si="156"/>
        <v>#NAME?</v>
      </c>
      <c r="K390" s="479">
        <v>1</v>
      </c>
      <c r="L390" s="480" t="e">
        <f t="shared" si="157"/>
        <v>#NAME?</v>
      </c>
      <c r="M390" s="480" t="e">
        <f t="shared" si="150"/>
        <v>#NAME?</v>
      </c>
      <c r="N390" s="481" t="e">
        <f t="shared" si="151"/>
        <v>#NAME?</v>
      </c>
      <c r="O390" s="482" t="e">
        <f t="shared" si="152"/>
        <v>#NAME?</v>
      </c>
      <c r="P390" s="464" t="s">
        <v>411</v>
      </c>
      <c r="Q390" s="483" t="e">
        <f ca="1">ABS(Q386*F376^3+Q387*F376^2+Q388*F376+Q389)</f>
        <v>#N/A</v>
      </c>
      <c r="R390" s="484" t="e">
        <f t="shared" si="158"/>
        <v>#NAME?</v>
      </c>
      <c r="S390" s="465" t="e">
        <f t="shared" si="159"/>
        <v>#NAME?</v>
      </c>
      <c r="T390" s="465" t="e">
        <f>IF(OR(E390="",B390=0),"",ABS(L390/S391))</f>
        <v>#NAME?</v>
      </c>
      <c r="U390" s="485"/>
    </row>
    <row r="391" spans="1:21" s="440" customFormat="1" ht="25.5">
      <c r="A391" s="497"/>
      <c r="B391" s="498"/>
      <c r="C391" s="448"/>
      <c r="D391" s="448"/>
      <c r="E391" s="448"/>
      <c r="F391" s="448"/>
      <c r="G391" s="448"/>
      <c r="H391" s="448"/>
      <c r="I391" s="484"/>
      <c r="J391" s="448"/>
      <c r="K391" s="448"/>
      <c r="L391" s="499" t="s">
        <v>412</v>
      </c>
      <c r="M391" s="499" t="e">
        <f ca="1">SUM(M379:M390)</f>
        <v>#N/A</v>
      </c>
      <c r="N391" s="500" t="e">
        <f ca="1">SUM(N379:N390)</f>
        <v>#N/A</v>
      </c>
      <c r="O391" s="501" t="e">
        <f ca="1">SUM(O379:O390)</f>
        <v>#N/A</v>
      </c>
      <c r="P391" s="464" t="s">
        <v>413</v>
      </c>
      <c r="Q391" s="483" t="e">
        <f ca="1">VLOOKUP(VLOOKUP(I376,Worksheet!$A$18:$B$31,2),'1Test Data'!$O$30:$AJ$49,22,0)</f>
        <v>#N/A</v>
      </c>
      <c r="R391" s="453"/>
      <c r="S391" s="465" t="e">
        <f ca="1">SUM(S379:S390)</f>
        <v>#N/A</v>
      </c>
      <c r="T391" s="465" t="e">
        <f ca="1">SUM(T379:T390)</f>
        <v>#N/A</v>
      </c>
      <c r="U391" s="455"/>
    </row>
    <row r="392" spans="1:21" s="440" customFormat="1">
      <c r="A392" s="504"/>
      <c r="B392" s="448"/>
      <c r="C392" s="498" t="s">
        <v>414</v>
      </c>
      <c r="D392" s="448"/>
      <c r="E392" s="448"/>
      <c r="F392" s="448"/>
      <c r="G392" s="448"/>
      <c r="H392" s="448"/>
      <c r="I392" s="448"/>
      <c r="J392" s="448"/>
      <c r="K392" s="448"/>
      <c r="L392" s="505"/>
      <c r="M392" s="505"/>
      <c r="N392" s="505"/>
      <c r="O392" s="505"/>
      <c r="P392" s="464" t="s">
        <v>394</v>
      </c>
      <c r="Q392" s="483" t="e">
        <f ca="1">VLOOKUP(VLOOKUP(I376,Worksheet!$A$18:$B$31,2),'1Test Data'!$O$30:$AK$49,23,0)</f>
        <v>#N/A</v>
      </c>
      <c r="R392" s="453"/>
      <c r="S392" s="453"/>
      <c r="T392" s="453"/>
      <c r="U392" s="455"/>
    </row>
    <row r="393" spans="1:21" s="440" customFormat="1" ht="13.5" customHeight="1">
      <c r="A393" s="504"/>
      <c r="B393" s="448"/>
      <c r="C393" s="1090" t="s">
        <v>415</v>
      </c>
      <c r="D393" s="1091"/>
      <c r="E393" s="1091"/>
      <c r="F393" s="1091"/>
      <c r="G393" s="1092"/>
      <c r="H393" s="448"/>
      <c r="I393" s="448"/>
      <c r="J393" s="448"/>
      <c r="K393" s="448"/>
      <c r="L393" s="506" t="s">
        <v>416</v>
      </c>
      <c r="M393" s="507" t="e">
        <f ca="1">M391^0.5</f>
        <v>#N/A</v>
      </c>
      <c r="N393" s="508" t="str">
        <f>Uncert!$F$4</f>
        <v>ABS kPa</v>
      </c>
      <c r="O393" s="505" t="e">
        <f ca="1">(M391-M382-M387-M389-M390)^0.5</f>
        <v>#N/A</v>
      </c>
      <c r="P393" s="464" t="s">
        <v>396</v>
      </c>
      <c r="Q393" s="483" t="e">
        <f ca="1">VLOOKUP(VLOOKUP(I376,Worksheet!$A$18:$B$31,2),'1Test Data'!$O$30:$AL$49,24,0)</f>
        <v>#N/A</v>
      </c>
      <c r="R393" s="453"/>
      <c r="S393" s="453"/>
      <c r="T393" s="453"/>
      <c r="U393" s="455"/>
    </row>
    <row r="394" spans="1:21" s="440" customFormat="1">
      <c r="A394" s="504"/>
      <c r="B394" s="448"/>
      <c r="C394" s="1093"/>
      <c r="D394" s="1094"/>
      <c r="E394" s="1094"/>
      <c r="F394" s="1094"/>
      <c r="G394" s="1095"/>
      <c r="H394" s="448"/>
      <c r="I394" s="448"/>
      <c r="J394" s="448"/>
      <c r="K394" s="448"/>
      <c r="L394" s="506" t="s">
        <v>417</v>
      </c>
      <c r="M394" s="507" t="e">
        <f ca="1">M393^4/N391</f>
        <v>#N/A</v>
      </c>
      <c r="N394" s="509"/>
      <c r="O394" s="510" t="e">
        <f ca="1">O393^4/(N391-N382-N387-N389-N390)</f>
        <v>#N/A</v>
      </c>
      <c r="P394" s="464" t="s">
        <v>201</v>
      </c>
      <c r="Q394" s="483" t="e">
        <f ca="1">VLOOKUP(VLOOKUP(I376,Worksheet!$A$18:$B$31,2),'1Test Data'!$O$30:$AM$49,25,0)</f>
        <v>#N/A</v>
      </c>
      <c r="R394" s="453"/>
      <c r="S394" s="453"/>
      <c r="T394" s="453"/>
      <c r="U394" s="455"/>
    </row>
    <row r="395" spans="1:21" s="440" customFormat="1">
      <c r="A395" s="504"/>
      <c r="B395" s="448"/>
      <c r="C395" s="1093"/>
      <c r="D395" s="1094"/>
      <c r="E395" s="1094"/>
      <c r="F395" s="1094"/>
      <c r="G395" s="1095"/>
      <c r="H395" s="448"/>
      <c r="I395" s="448"/>
      <c r="J395" s="448"/>
      <c r="K395" s="448"/>
      <c r="L395" s="506" t="s">
        <v>418</v>
      </c>
      <c r="M395" s="507" t="e">
        <f ca="1">TINV(0.05,M394)</f>
        <v>#N/A</v>
      </c>
      <c r="N395" s="508"/>
      <c r="O395" s="507" t="e">
        <f ca="1">TINV(0.05,O394)</f>
        <v>#N/A</v>
      </c>
      <c r="P395" s="464" t="s">
        <v>88</v>
      </c>
      <c r="Q395" s="483" t="e">
        <f ca="1">VLOOKUP(VLOOKUP(I376,Worksheet!$A$18:$B$31,2),'1Test Data'!$O$30:$AN$49,26,0)</f>
        <v>#N/A</v>
      </c>
      <c r="R395" s="453"/>
      <c r="S395" s="453"/>
      <c r="T395" s="453"/>
      <c r="U395" s="455"/>
    </row>
    <row r="396" spans="1:21" s="440" customFormat="1">
      <c r="A396" s="504"/>
      <c r="B396" s="448"/>
      <c r="C396" s="1093"/>
      <c r="D396" s="1094"/>
      <c r="E396" s="1094"/>
      <c r="F396" s="1094"/>
      <c r="G396" s="1095"/>
      <c r="H396" s="448"/>
      <c r="I396" s="448"/>
      <c r="J396" s="448"/>
      <c r="K396" s="448"/>
      <c r="L396" s="506" t="s">
        <v>419</v>
      </c>
      <c r="M396" s="507" t="e">
        <f ca="1">M393*M395</f>
        <v>#N/A</v>
      </c>
      <c r="N396" s="508" t="str">
        <f>Uncert!$F$4</f>
        <v>ABS kPa</v>
      </c>
      <c r="O396" s="507" t="e">
        <f ca="1">O393*O395</f>
        <v>#N/A</v>
      </c>
      <c r="P396" s="464" t="s">
        <v>420</v>
      </c>
      <c r="Q396" s="483" t="e">
        <f ca="1">ABS(Q392*F376^3+Q393*F376^2+Q394*F376+Q395)</f>
        <v>#N/A</v>
      </c>
      <c r="R396" s="453"/>
      <c r="S396" s="453"/>
      <c r="T396" s="453"/>
      <c r="U396" s="455"/>
    </row>
    <row r="397" spans="1:21" s="440" customFormat="1">
      <c r="A397" s="497"/>
      <c r="B397" s="498"/>
      <c r="C397" s="1096"/>
      <c r="D397" s="1097"/>
      <c r="E397" s="1097"/>
      <c r="F397" s="1097"/>
      <c r="G397" s="1098"/>
      <c r="H397" s="448"/>
      <c r="I397" s="448"/>
      <c r="J397" s="511"/>
      <c r="K397" s="511"/>
      <c r="L397" s="512" t="s">
        <v>421</v>
      </c>
      <c r="M397" s="513" t="e">
        <f ca="1">M396</f>
        <v>#N/A</v>
      </c>
      <c r="N397" s="514" t="str">
        <f>Uncert!$F$4</f>
        <v>ABS kPa</v>
      </c>
      <c r="O397" s="513" t="e">
        <f ca="1">O396</f>
        <v>#N/A</v>
      </c>
      <c r="P397" s="464" t="s">
        <v>422</v>
      </c>
      <c r="Q397" s="483" t="e">
        <f ca="1">VLOOKUP(VLOOKUP(I376,Worksheet!$A$18:$B$31,2),'1Test Data'!$O$30:$AP$49,28,0)</f>
        <v>#N/A</v>
      </c>
      <c r="R397" s="453"/>
      <c r="S397" s="453"/>
      <c r="T397" s="453"/>
      <c r="U397" s="455"/>
    </row>
    <row r="398" spans="1:21" s="440" customFormat="1">
      <c r="A398" s="497"/>
      <c r="B398" s="498"/>
      <c r="C398" s="498" t="s">
        <v>423</v>
      </c>
      <c r="D398" s="448"/>
      <c r="E398" s="448"/>
      <c r="F398" s="448"/>
      <c r="G398" s="448"/>
      <c r="H398" s="515" t="e">
        <f>"N " &amp; ReadoutType</f>
        <v>#NAME?</v>
      </c>
      <c r="I398" s="516" t="e">
        <f ca="1">($O399/$K387)</f>
        <v>#N/A</v>
      </c>
      <c r="J398" s="448"/>
      <c r="K398" s="448"/>
      <c r="L398" s="505"/>
      <c r="M398" s="517" t="e">
        <f ca="1">(M397/F376)*100</f>
        <v>#N/A</v>
      </c>
      <c r="N398" s="518" t="s">
        <v>78</v>
      </c>
      <c r="O398" s="517"/>
      <c r="P398" s="519"/>
      <c r="Q398" s="519"/>
      <c r="R398" s="453"/>
      <c r="S398" s="453"/>
      <c r="T398" s="453"/>
      <c r="U398" s="455"/>
    </row>
    <row r="399" spans="1:21" s="440" customFormat="1">
      <c r="A399" s="497"/>
      <c r="B399" s="498"/>
      <c r="C399" s="520" t="s">
        <v>33</v>
      </c>
      <c r="D399" s="521" t="str">
        <f ca="1">Gravity</f>
        <v/>
      </c>
      <c r="E399" s="520" t="s">
        <v>36</v>
      </c>
      <c r="F399" s="522"/>
      <c r="G399" s="523"/>
      <c r="H399" s="524" t="e">
        <f>ReadoutType</f>
        <v>#NAME?</v>
      </c>
      <c r="I399" s="516" t="e">
        <f ca="1">($M399/$K387)</f>
        <v>#N/A</v>
      </c>
      <c r="J399" s="1103" t="s">
        <v>424</v>
      </c>
      <c r="K399" s="1104"/>
      <c r="L399" s="1104"/>
      <c r="M399" s="525" t="e">
        <f ca="1">IF(NATA="Y",IF(M397&lt;Scopekpa,IF(Scopekpa&lt;((F376/100)*ScopeReading),((F376/100)*ScopeReading),Scopekpa),IF(M397&lt;((F376/100)*ScopeReading),((F376/100)*ScopeReading),M397)),Uncert!M397)</f>
        <v>#N/A</v>
      </c>
      <c r="N399" s="522" t="s">
        <v>425</v>
      </c>
      <c r="O399" s="525" t="e">
        <f ca="1">IF(NATA="Y",IF(O397&lt;Scopekpa,IF(Scopekpa&lt;((F376/100)*ScopeReading),((F376/100)*ScopeReading),Scopekpa),IF(O397&lt;((F376/100)*ScopeReading),((F376/100)*ScopeReading),O397)),Uncert!O397)</f>
        <v>#N/A</v>
      </c>
      <c r="P399" s="522"/>
      <c r="Q399" s="522"/>
      <c r="R399" s="453"/>
      <c r="S399" s="453"/>
      <c r="T399" s="453"/>
      <c r="U399" s="455"/>
    </row>
    <row r="400" spans="1:21" s="440" customFormat="1" ht="14.25" thickBot="1">
      <c r="A400" s="526" t="str">
        <f>"Worksheet!A" &amp; 17+(ROW()/25)</f>
        <v>Worksheet!A33</v>
      </c>
      <c r="B400" s="527"/>
      <c r="C400" s="527"/>
      <c r="D400" s="528">
        <f>ROW()/25</f>
        <v>16</v>
      </c>
      <c r="E400" s="529"/>
      <c r="F400" s="529"/>
      <c r="G400" s="529"/>
      <c r="H400" s="529"/>
      <c r="I400" s="530"/>
      <c r="J400" s="1105" t="s">
        <v>424</v>
      </c>
      <c r="K400" s="1105"/>
      <c r="L400" s="1105"/>
      <c r="M400" s="531" t="e">
        <f ca="1">IF(NATA="Y",IF(M398&lt;ScopeReading,ScopeReading,M398),M398)</f>
        <v>#N/A</v>
      </c>
      <c r="N400" s="532" t="s">
        <v>78</v>
      </c>
      <c r="O400" s="531"/>
      <c r="P400" s="532"/>
      <c r="Q400" s="527"/>
      <c r="R400" s="527"/>
      <c r="S400" s="527"/>
      <c r="T400" s="527"/>
      <c r="U400" s="533"/>
    </row>
    <row r="401" spans="1:21" s="440" customFormat="1">
      <c r="A401" s="1099" t="e">
        <f ca="1">"Uncertainty Budget: Digital Pressure Gauge (" &amp; Q401&amp; ", "&amp; Q402 &amp; H401 &amp;" x " &amp; Division   &amp;H401 &amp; " )" &amp; " Test Point "&amp;D425</f>
        <v>#N/A</v>
      </c>
      <c r="B401" s="1100"/>
      <c r="C401" s="1100"/>
      <c r="D401" s="1100"/>
      <c r="E401" s="1100"/>
      <c r="F401" s="1101">
        <f ca="1">ABS(I401*UnitConvert)</f>
        <v>0</v>
      </c>
      <c r="G401" s="1102"/>
      <c r="H401" s="428" t="s">
        <v>371</v>
      </c>
      <c r="I401" s="429">
        <f ca="1">INDIRECT(A425)</f>
        <v>0</v>
      </c>
      <c r="J401" s="430" t="str">
        <f>_xlfn.SINGLE(Units)</f>
        <v>mm</v>
      </c>
      <c r="K401" s="431" t="e">
        <f ca="1">IF(C404="","","Uncertainty (U) = ±"&amp;TEXT(M422,"0.0")&amp;$F$4&amp;",  &amp;  (k="&amp;TEXT(M420,"0.00")&amp;", confidence level=95%)")</f>
        <v>#N/A</v>
      </c>
      <c r="L401" s="432"/>
      <c r="M401" s="432"/>
      <c r="N401" s="432"/>
      <c r="O401" s="433"/>
      <c r="P401" s="434" t="s">
        <v>372</v>
      </c>
      <c r="Q401" s="435" t="e">
        <f ca="1">VLOOKUP(VLOOKUP(I401,Worksheet!$A$18:$B$31,2),'1Test Data'!$M$6:$O$10,2,0)</f>
        <v>#N/A</v>
      </c>
      <c r="R401" s="436"/>
      <c r="S401" s="436"/>
      <c r="T401" s="437" t="str">
        <f ca="1">"TEX Ver "&amp;Mods!$A$1</f>
        <v>TEX Ver TAS-SST001v1</v>
      </c>
      <c r="U401" s="438"/>
    </row>
    <row r="402" spans="1:21" s="440" customFormat="1">
      <c r="A402" s="442" t="s">
        <v>373</v>
      </c>
      <c r="B402" s="443"/>
      <c r="C402" s="444"/>
      <c r="D402" s="445" t="s">
        <v>374</v>
      </c>
      <c r="E402" s="446" t="e">
        <f ca="1">Q402</f>
        <v>#N/A</v>
      </c>
      <c r="F402" s="447"/>
      <c r="G402" s="447" t="e">
        <f ca="1">ROUND(M422/(F401/100),2)&amp;"% of Full Scale"</f>
        <v>#N/A</v>
      </c>
      <c r="H402" s="448"/>
      <c r="I402" s="448"/>
      <c r="J402" s="449" t="e">
        <f ca="1">M423</f>
        <v>#N/A</v>
      </c>
      <c r="K402" s="448"/>
      <c r="L402" s="450"/>
      <c r="M402" s="450"/>
      <c r="N402" s="450"/>
      <c r="O402" s="433"/>
      <c r="P402" s="451" t="s">
        <v>375</v>
      </c>
      <c r="Q402" s="452" t="e">
        <f ca="1">VLOOKUP(VLOOKUP(I401,Worksheet!$A$18:$B$31,2),'1Test Data'!$O$30:$T$49,6,0)</f>
        <v>#N/A</v>
      </c>
      <c r="R402" s="453">
        <v>0</v>
      </c>
      <c r="S402" s="453"/>
      <c r="T402" s="454">
        <f ca="1">Mods!$A$4</f>
        <v>45809.486168981479</v>
      </c>
      <c r="U402" s="455"/>
    </row>
    <row r="403" spans="1:21" s="440" customFormat="1" ht="38.25">
      <c r="A403" s="458" t="s">
        <v>376</v>
      </c>
      <c r="B403" s="459" t="s">
        <v>377</v>
      </c>
      <c r="C403" s="460" t="s">
        <v>378</v>
      </c>
      <c r="D403" s="460" t="s">
        <v>379</v>
      </c>
      <c r="E403" s="460" t="s">
        <v>380</v>
      </c>
      <c r="F403" s="460" t="s">
        <v>381</v>
      </c>
      <c r="G403" s="460" t="s">
        <v>178</v>
      </c>
      <c r="H403" s="461" t="s">
        <v>382</v>
      </c>
      <c r="I403" s="461" t="s">
        <v>383</v>
      </c>
      <c r="J403" s="462" t="s">
        <v>384</v>
      </c>
      <c r="K403" s="463" t="s">
        <v>385</v>
      </c>
      <c r="L403" s="461" t="s">
        <v>386</v>
      </c>
      <c r="M403" s="461" t="s">
        <v>387</v>
      </c>
      <c r="N403" s="461" t="s">
        <v>388</v>
      </c>
      <c r="O403" s="461" t="s">
        <v>389</v>
      </c>
      <c r="P403" s="464" t="s">
        <v>390</v>
      </c>
      <c r="Q403" s="452" t="e">
        <f ca="1">VLOOKUP(VLOOKUP(I401,Worksheet!$A$18:$B$31,2),'1Test Data'!$O$30:$V$49,8,0)</f>
        <v>#N/A</v>
      </c>
      <c r="R403" s="465" t="s">
        <v>391</v>
      </c>
      <c r="S403" s="465" t="s">
        <v>391</v>
      </c>
      <c r="T403" s="466" t="s">
        <v>392</v>
      </c>
      <c r="U403" s="467"/>
    </row>
    <row r="404" spans="1:21" s="440" customFormat="1" ht="18" customHeight="1">
      <c r="A404" s="470">
        <v>1</v>
      </c>
      <c r="B404" s="471">
        <f>$B$4</f>
        <v>1</v>
      </c>
      <c r="C404" s="472" t="e">
        <f ca="1">"Reference Device  ("&amp;Q402&amp;" Druck Transducer) + Sey
Uncertainty from Calibration Report - "&amp;Q401</f>
        <v>#N/A</v>
      </c>
      <c r="D404" s="471" t="s">
        <v>393</v>
      </c>
      <c r="E404" s="473" t="e">
        <f ca="1">Q408+Q409</f>
        <v>#N/A</v>
      </c>
      <c r="F404" s="474" t="str">
        <f>H401</f>
        <v>ABS kPa</v>
      </c>
      <c r="G404" s="475" t="str">
        <f>IF(OR(D404="",B404=0),"",IF(D404="ESDM","A","B"))</f>
        <v>B</v>
      </c>
      <c r="H404" s="476" t="e">
        <f ca="1">IF(OR(E404="",B404=0),"",IF(D404="ESDM",1,IF(D404="N95",2,IF(D404="Rect",(3^0.5)))))</f>
        <v>#N/A</v>
      </c>
      <c r="I404" s="477">
        <f>IF(D404="N95",60,100)</f>
        <v>60</v>
      </c>
      <c r="J404" s="478" t="e">
        <f ca="1">IF(OR(E404="",B404=0),"",(E404/H404))</f>
        <v>#N/A</v>
      </c>
      <c r="K404" s="479">
        <v>1</v>
      </c>
      <c r="L404" s="480" t="e">
        <f ca="1">IF(OR(E404="",B404=0),"",K404*J404)</f>
        <v>#N/A</v>
      </c>
      <c r="M404" s="480" t="e">
        <f t="shared" ref="M404:M415" ca="1" si="160">IF(OR(E404="",B404=0),"0",L404^2)</f>
        <v>#N/A</v>
      </c>
      <c r="N404" s="481" t="e">
        <f t="shared" ref="N404:N415" ca="1" si="161">IF(OR(D404="",B404=0),"0",(L404)^4/I404)</f>
        <v>#N/A</v>
      </c>
      <c r="O404" s="482" t="e">
        <f t="shared" ref="O404:O415" ca="1" si="162">T404</f>
        <v>#N/A</v>
      </c>
      <c r="P404" s="464" t="s">
        <v>394</v>
      </c>
      <c r="Q404" s="483" t="e">
        <f ca="1">VLOOKUP(VLOOKUP(I401,Worksheet!$A$18:$B$31,2),'1Test Data'!$O$30:$Y$49,11,0)</f>
        <v>#N/A</v>
      </c>
      <c r="R404" s="484" t="e">
        <f ca="1">IF(OR(E404="",B404=0),"",K404*J404)</f>
        <v>#N/A</v>
      </c>
      <c r="S404" s="465" t="e">
        <f ca="1">IF(OR(E404="",B404=0),"",ABS(R404))</f>
        <v>#N/A</v>
      </c>
      <c r="T404" s="465" t="e">
        <f ca="1">IF(OR(E404="",B404=0),"",ABS(L404/S416))</f>
        <v>#N/A</v>
      </c>
      <c r="U404" s="485"/>
    </row>
    <row r="405" spans="1:21" s="440" customFormat="1" ht="27" customHeight="1">
      <c r="A405" s="470">
        <v>2</v>
      </c>
      <c r="B405" s="471">
        <f>$B$5</f>
        <v>1</v>
      </c>
      <c r="C405" s="472" t="e">
        <f ca="1">"Reference Device  Specs +Sey
(" &amp; Q402 &amp; H401 &amp; " Druck Transducer)
"&amp;Q403 &amp; "% of F.S. from Calibration Report - " &amp; Q401</f>
        <v>#N/A</v>
      </c>
      <c r="D405" s="471" t="s">
        <v>395</v>
      </c>
      <c r="E405" s="473" t="e">
        <f ca="1">Q421+Q422</f>
        <v>#N/A</v>
      </c>
      <c r="F405" s="474" t="e">
        <f ca="1">IF(OR(E405="",B405=0),"",$F$4)</f>
        <v>#N/A</v>
      </c>
      <c r="G405" s="475" t="str">
        <f t="shared" ref="G405:G415" si="163">IF(OR(D405="",B405=0),"",IF(D405="ESDM","A","B"))</f>
        <v>B</v>
      </c>
      <c r="H405" s="476" t="e">
        <f t="shared" ref="H405:H415" ca="1" si="164">IF(OR(E405="",B405=0),"",IF(D405="ESDM",1,IF(D405="N95",2,IF(D405="Rect",(3^0.5)))))</f>
        <v>#N/A</v>
      </c>
      <c r="I405" s="477">
        <f t="shared" ref="I405:I415" si="165">IF(D405="N95",60,100)</f>
        <v>100</v>
      </c>
      <c r="J405" s="478" t="e">
        <f t="shared" ref="J405:J415" ca="1" si="166">IF(OR(E405="",B405=0),"",(E405/H405))</f>
        <v>#N/A</v>
      </c>
      <c r="K405" s="479">
        <v>1</v>
      </c>
      <c r="L405" s="480" t="e">
        <f t="shared" ref="L405:L415" ca="1" si="167">IF(OR(E405="",B405=0),"",K405*J405)</f>
        <v>#N/A</v>
      </c>
      <c r="M405" s="480" t="e">
        <f t="shared" ca="1" si="160"/>
        <v>#N/A</v>
      </c>
      <c r="N405" s="481" t="e">
        <f t="shared" ca="1" si="161"/>
        <v>#N/A</v>
      </c>
      <c r="O405" s="482" t="e">
        <f t="shared" ca="1" si="162"/>
        <v>#N/A</v>
      </c>
      <c r="P405" s="464" t="s">
        <v>396</v>
      </c>
      <c r="Q405" s="483" t="e">
        <f ca="1">VLOOKUP(VLOOKUP(I401,Worksheet!$A$18:$B$31,2),'1Test Data'!$O$30:$Z$49,12,0)</f>
        <v>#N/A</v>
      </c>
      <c r="R405" s="484" t="e">
        <f t="shared" ref="R405:R415" ca="1" si="168">IF(OR(E405="",B405=0),"",K405*J405)</f>
        <v>#N/A</v>
      </c>
      <c r="S405" s="465" t="e">
        <f t="shared" ref="S405:S415" ca="1" si="169">IF(OR(E405="",B405=0),"",ABS(R405))</f>
        <v>#N/A</v>
      </c>
      <c r="T405" s="465" t="e">
        <f ca="1">IF(OR(E405="",B405=0),"",ABS(L405/S416))</f>
        <v>#N/A</v>
      </c>
      <c r="U405" s="485"/>
    </row>
    <row r="406" spans="1:21" s="440" customFormat="1" ht="18" customHeight="1">
      <c r="A406" s="470">
        <v>3</v>
      </c>
      <c r="B406" s="471">
        <f>$B$6</f>
        <v>1</v>
      </c>
      <c r="C406" s="472" t="s">
        <v>397</v>
      </c>
      <c r="D406" s="471" t="s">
        <v>395</v>
      </c>
      <c r="E406" s="473" t="e">
        <f ca="1">Q410*F401/100</f>
        <v>#N/A</v>
      </c>
      <c r="F406" s="474" t="e">
        <f ca="1">IF(OR(E406="",B406=0),"",$F$4)</f>
        <v>#N/A</v>
      </c>
      <c r="G406" s="475" t="str">
        <f t="shared" si="163"/>
        <v>B</v>
      </c>
      <c r="H406" s="476" t="e">
        <f t="shared" ca="1" si="164"/>
        <v>#N/A</v>
      </c>
      <c r="I406" s="477">
        <f t="shared" si="165"/>
        <v>100</v>
      </c>
      <c r="J406" s="478" t="e">
        <f t="shared" ca="1" si="166"/>
        <v>#N/A</v>
      </c>
      <c r="K406" s="479">
        <v>1</v>
      </c>
      <c r="L406" s="480" t="e">
        <f t="shared" ca="1" si="167"/>
        <v>#N/A</v>
      </c>
      <c r="M406" s="480" t="e">
        <f t="shared" ca="1" si="160"/>
        <v>#N/A</v>
      </c>
      <c r="N406" s="481" t="e">
        <f t="shared" ca="1" si="161"/>
        <v>#N/A</v>
      </c>
      <c r="O406" s="482" t="e">
        <f t="shared" ca="1" si="162"/>
        <v>#N/A</v>
      </c>
      <c r="P406" s="464" t="s">
        <v>201</v>
      </c>
      <c r="Q406" s="483" t="e">
        <f ca="1">VLOOKUP(VLOOKUP(I401,Worksheet!$A$18:$B$31,2),'1Test Data'!$O$30:$AA$49,13,0)</f>
        <v>#N/A</v>
      </c>
      <c r="R406" s="484" t="e">
        <f t="shared" ca="1" si="168"/>
        <v>#N/A</v>
      </c>
      <c r="S406" s="465" t="e">
        <f t="shared" ca="1" si="169"/>
        <v>#N/A</v>
      </c>
      <c r="T406" s="465" t="e">
        <f ca="1">IF(OR(E406="",B406=0),"",ABS(L406/S416))</f>
        <v>#N/A</v>
      </c>
      <c r="U406" s="485"/>
    </row>
    <row r="407" spans="1:21" s="440" customFormat="1" ht="18" customHeight="1">
      <c r="A407" s="470">
        <v>4</v>
      </c>
      <c r="B407" s="471" t="e">
        <f>$B$7</f>
        <v>#NAME?</v>
      </c>
      <c r="C407" s="472" t="s">
        <v>398</v>
      </c>
      <c r="D407" s="471" t="s">
        <v>395</v>
      </c>
      <c r="E407" s="473">
        <f>EDMS*UnitConvert</f>
        <v>0</v>
      </c>
      <c r="F407" s="474" t="e">
        <f>IF(OR(E407="",B407=0),"",$F$4)</f>
        <v>#NAME?</v>
      </c>
      <c r="G407" s="475" t="e">
        <f t="shared" si="163"/>
        <v>#NAME?</v>
      </c>
      <c r="H407" s="476" t="e">
        <f t="shared" si="164"/>
        <v>#NAME?</v>
      </c>
      <c r="I407" s="477">
        <f t="shared" si="165"/>
        <v>100</v>
      </c>
      <c r="J407" s="478" t="e">
        <f t="shared" si="166"/>
        <v>#NAME?</v>
      </c>
      <c r="K407" s="479">
        <v>1</v>
      </c>
      <c r="L407" s="480" t="e">
        <f t="shared" si="167"/>
        <v>#NAME?</v>
      </c>
      <c r="M407" s="480" t="e">
        <f t="shared" si="160"/>
        <v>#NAME?</v>
      </c>
      <c r="N407" s="481" t="e">
        <f t="shared" si="161"/>
        <v>#NAME?</v>
      </c>
      <c r="O407" s="482" t="e">
        <f t="shared" si="162"/>
        <v>#NAME?</v>
      </c>
      <c r="P407" s="464" t="s">
        <v>88</v>
      </c>
      <c r="Q407" s="483" t="e">
        <f ca="1">VLOOKUP(VLOOKUP(I401,Worksheet!$A$18:$B$31,2),'1Test Data'!$O$30:$AB$49,14,0)</f>
        <v>#N/A</v>
      </c>
      <c r="R407" s="484" t="e">
        <f t="shared" si="168"/>
        <v>#NAME?</v>
      </c>
      <c r="S407" s="465" t="e">
        <f t="shared" si="169"/>
        <v>#NAME?</v>
      </c>
      <c r="T407" s="465" t="e">
        <f>IF(OR(E407="",B407=0),"",ABS(L407/S416))</f>
        <v>#NAME?</v>
      </c>
      <c r="U407" s="485"/>
    </row>
    <row r="408" spans="1:21" s="440" customFormat="1" ht="27">
      <c r="A408" s="470">
        <v>5</v>
      </c>
      <c r="B408" s="471">
        <f>$B$8</f>
        <v>0</v>
      </c>
      <c r="C408" s="472" t="str">
        <f>C33</f>
        <v>Gravity -0.001 m/s2 Sensitivity = Test Pressure / Gravity</v>
      </c>
      <c r="D408" s="471" t="s">
        <v>395</v>
      </c>
      <c r="E408" s="473">
        <f>E8</f>
        <v>1E-3</v>
      </c>
      <c r="F408" s="474" t="s">
        <v>400</v>
      </c>
      <c r="G408" s="475" t="str">
        <f t="shared" si="163"/>
        <v/>
      </c>
      <c r="H408" s="476" t="str">
        <f t="shared" si="164"/>
        <v/>
      </c>
      <c r="I408" s="477">
        <f t="shared" si="165"/>
        <v>100</v>
      </c>
      <c r="J408" s="478" t="str">
        <f t="shared" si="166"/>
        <v/>
      </c>
      <c r="K408" s="479">
        <f ca="1">F401*E408</f>
        <v>0</v>
      </c>
      <c r="L408" s="480" t="str">
        <f t="shared" si="167"/>
        <v/>
      </c>
      <c r="M408" s="480" t="str">
        <f t="shared" si="160"/>
        <v>0</v>
      </c>
      <c r="N408" s="481" t="str">
        <f t="shared" si="161"/>
        <v>0</v>
      </c>
      <c r="O408" s="482" t="str">
        <f>IFERROR(T408,0)</f>
        <v/>
      </c>
      <c r="P408" s="492" t="s">
        <v>401</v>
      </c>
      <c r="Q408" s="493" t="e">
        <f ca="1">ABS(Q404*F401^3+Q405*F401^2+Q406*F401+Q407)</f>
        <v>#N/A</v>
      </c>
      <c r="R408" s="484" t="str">
        <f t="shared" si="168"/>
        <v/>
      </c>
      <c r="S408" s="465" t="str">
        <f t="shared" si="169"/>
        <v/>
      </c>
      <c r="T408" s="465" t="str">
        <f>IF(OR(E408="",B408=0),"",ABS(L408/S416))</f>
        <v/>
      </c>
      <c r="U408" s="485"/>
    </row>
    <row r="409" spans="1:21" s="440" customFormat="1" ht="27">
      <c r="A409" s="470">
        <v>6</v>
      </c>
      <c r="B409" s="471">
        <f>$B$9</f>
        <v>0</v>
      </c>
      <c r="C409" s="472" t="s">
        <v>402</v>
      </c>
      <c r="D409" s="471" t="s">
        <v>395</v>
      </c>
      <c r="E409" s="473">
        <v>2</v>
      </c>
      <c r="F409" s="474" t="s">
        <v>403</v>
      </c>
      <c r="G409" s="475" t="str">
        <f t="shared" si="163"/>
        <v/>
      </c>
      <c r="H409" s="476" t="str">
        <f t="shared" si="164"/>
        <v/>
      </c>
      <c r="I409" s="477">
        <f t="shared" si="165"/>
        <v>100</v>
      </c>
      <c r="J409" s="478" t="str">
        <f t="shared" si="166"/>
        <v/>
      </c>
      <c r="K409" s="479">
        <f ca="1">F401*-0.000022</f>
        <v>0</v>
      </c>
      <c r="L409" s="480" t="str">
        <f t="shared" si="167"/>
        <v/>
      </c>
      <c r="M409" s="480" t="str">
        <f t="shared" si="160"/>
        <v>0</v>
      </c>
      <c r="N409" s="481" t="str">
        <f t="shared" si="161"/>
        <v>0</v>
      </c>
      <c r="O409" s="482" t="str">
        <f t="shared" si="162"/>
        <v/>
      </c>
      <c r="P409" s="494" t="s">
        <v>404</v>
      </c>
      <c r="Q409" s="483" t="e">
        <f ca="1">VLOOKUP(VLOOKUP(I401,Worksheet!$A$18:$B$31,2),'1Test Data'!$O$30:$AD$49,14,0)</f>
        <v>#N/A</v>
      </c>
      <c r="R409" s="484" t="str">
        <f t="shared" si="168"/>
        <v/>
      </c>
      <c r="S409" s="465" t="str">
        <f t="shared" si="169"/>
        <v/>
      </c>
      <c r="T409" s="465" t="str">
        <f>IF(OR(E409="",B409=0),"",ABS(L409/S416))</f>
        <v/>
      </c>
      <c r="U409" s="485"/>
    </row>
    <row r="410" spans="1:21" s="440" customFormat="1" ht="27">
      <c r="A410" s="470">
        <v>7</v>
      </c>
      <c r="B410" s="471">
        <f>$B$10</f>
        <v>0</v>
      </c>
      <c r="C410" s="472" t="s">
        <v>405</v>
      </c>
      <c r="D410" s="471" t="s">
        <v>395</v>
      </c>
      <c r="E410" s="473">
        <v>0.5</v>
      </c>
      <c r="F410" s="474" t="s">
        <v>406</v>
      </c>
      <c r="G410" s="475" t="str">
        <f t="shared" si="163"/>
        <v/>
      </c>
      <c r="H410" s="476" t="str">
        <f t="shared" si="164"/>
        <v/>
      </c>
      <c r="I410" s="477">
        <f t="shared" si="165"/>
        <v>100</v>
      </c>
      <c r="J410" s="478" t="str">
        <f t="shared" si="166"/>
        <v/>
      </c>
      <c r="K410" s="479">
        <f ca="1">(0.098*F401)/1000</f>
        <v>0</v>
      </c>
      <c r="L410" s="480" t="str">
        <f t="shared" si="167"/>
        <v/>
      </c>
      <c r="M410" s="480" t="str">
        <f t="shared" si="160"/>
        <v>0</v>
      </c>
      <c r="N410" s="481" t="str">
        <f t="shared" si="161"/>
        <v>0</v>
      </c>
      <c r="O410" s="482" t="str">
        <f t="shared" si="162"/>
        <v/>
      </c>
      <c r="P410" s="464" t="s">
        <v>407</v>
      </c>
      <c r="Q410" s="452" t="e">
        <f ca="1">VLOOKUP(VLOOKUP(I401,Worksheet!$A$18:$B$31,2),'1Test Data'!$O$30:$X$49,10,0)</f>
        <v>#N/A</v>
      </c>
      <c r="R410" s="484" t="str">
        <f t="shared" si="168"/>
        <v/>
      </c>
      <c r="S410" s="465" t="str">
        <f t="shared" si="169"/>
        <v/>
      </c>
      <c r="T410" s="465" t="str">
        <f>IF(OR(E410="",B410=0),"",ABS(L410/S416))</f>
        <v/>
      </c>
      <c r="U410" s="485"/>
    </row>
    <row r="411" spans="1:21" s="440" customFormat="1" ht="27">
      <c r="A411" s="470">
        <v>8</v>
      </c>
      <c r="B411" s="471">
        <f>$B$11</f>
        <v>0</v>
      </c>
      <c r="C411" s="472" t="s">
        <v>408</v>
      </c>
      <c r="D411" s="471" t="s">
        <v>395</v>
      </c>
      <c r="E411" s="473">
        <v>0.05</v>
      </c>
      <c r="F411" s="474" t="s">
        <v>406</v>
      </c>
      <c r="G411" s="475" t="str">
        <f t="shared" si="163"/>
        <v/>
      </c>
      <c r="H411" s="476" t="str">
        <f t="shared" si="164"/>
        <v/>
      </c>
      <c r="I411" s="477">
        <f t="shared" si="165"/>
        <v>100</v>
      </c>
      <c r="J411" s="478" t="str">
        <f t="shared" si="166"/>
        <v/>
      </c>
      <c r="K411" s="479">
        <f ca="1">F401/8000</f>
        <v>0</v>
      </c>
      <c r="L411" s="480" t="str">
        <f t="shared" si="167"/>
        <v/>
      </c>
      <c r="M411" s="480" t="str">
        <f t="shared" si="160"/>
        <v>0</v>
      </c>
      <c r="N411" s="481" t="str">
        <f t="shared" si="161"/>
        <v>0</v>
      </c>
      <c r="O411" s="482" t="str">
        <f t="shared" si="162"/>
        <v/>
      </c>
      <c r="P411" s="464" t="s">
        <v>394</v>
      </c>
      <c r="Q411" s="483" t="e">
        <f ca="1">VLOOKUP(VLOOKUP(I401,Worksheet!$A$18:$B$31,2),'1Test Data'!$O$30:$AE$49,17,0)</f>
        <v>#N/A</v>
      </c>
      <c r="R411" s="484" t="str">
        <f t="shared" si="168"/>
        <v/>
      </c>
      <c r="S411" s="465" t="str">
        <f t="shared" si="169"/>
        <v/>
      </c>
      <c r="T411" s="465" t="str">
        <f>IF(OR(E411="",B411=0),"",ABS(L411/S416))</f>
        <v/>
      </c>
      <c r="U411" s="485"/>
    </row>
    <row r="412" spans="1:21" s="440" customFormat="1" ht="13.5" customHeight="1">
      <c r="A412" s="470">
        <v>9</v>
      </c>
      <c r="B412" s="471" t="e">
        <f>$B$12</f>
        <v>#NAME?</v>
      </c>
      <c r="C412" s="472" t="str">
        <f>"Electrical reference devise" &amp; '1Test Data'!$O$3 &amp;  CHAR(10) &amp; "SN: " &amp; '1Test Data'!$P$3 &amp; ", Cert No: " &amp; '1Test Data'!$Q$3</f>
        <v>Electrical reference devisea
SN: b, Cert No: c</v>
      </c>
      <c r="D412" s="471" t="s">
        <v>395</v>
      </c>
      <c r="E412" s="473">
        <f>ElectUncert</f>
        <v>2E-3</v>
      </c>
      <c r="F412" s="474" t="e">
        <f>IF(OR(E412="",B412=0),"",ReadoutType)</f>
        <v>#NAME?</v>
      </c>
      <c r="G412" s="475" t="e">
        <f t="shared" si="163"/>
        <v>#NAME?</v>
      </c>
      <c r="H412" s="476" t="e">
        <f t="shared" si="164"/>
        <v>#NAME?</v>
      </c>
      <c r="I412" s="477">
        <f t="shared" si="165"/>
        <v>100</v>
      </c>
      <c r="J412" s="478" t="e">
        <f t="shared" si="166"/>
        <v>#NAME?</v>
      </c>
      <c r="K412" s="479" t="e">
        <f>Capacity/(Upper-Lower)</f>
        <v>#NAME?</v>
      </c>
      <c r="L412" s="480" t="e">
        <f t="shared" si="167"/>
        <v>#NAME?</v>
      </c>
      <c r="M412" s="480" t="e">
        <f t="shared" si="160"/>
        <v>#NAME?</v>
      </c>
      <c r="N412" s="481" t="e">
        <f t="shared" si="161"/>
        <v>#NAME?</v>
      </c>
      <c r="O412" s="482" t="e">
        <f t="shared" si="162"/>
        <v>#NAME?</v>
      </c>
      <c r="P412" s="464" t="s">
        <v>396</v>
      </c>
      <c r="Q412" s="483" t="e">
        <f ca="1">VLOOKUP(VLOOKUP(I401,Worksheet!$A$18:$B$31,2),'1Test Data'!$O$30:$AF$49,18,0)</f>
        <v>#N/A</v>
      </c>
      <c r="R412" s="484" t="e">
        <f t="shared" si="168"/>
        <v>#NAME?</v>
      </c>
      <c r="S412" s="465" t="e">
        <f t="shared" si="169"/>
        <v>#NAME?</v>
      </c>
      <c r="T412" s="465" t="e">
        <f>IF(OR(E412="",B412=0),"",ABS(L412/S416))</f>
        <v>#NAME?</v>
      </c>
      <c r="U412" s="485"/>
    </row>
    <row r="413" spans="1:21" s="440" customFormat="1" ht="18" customHeight="1">
      <c r="A413" s="470">
        <v>10</v>
      </c>
      <c r="B413" s="471">
        <f>$B$13</f>
        <v>1</v>
      </c>
      <c r="C413" s="472" t="s">
        <v>409</v>
      </c>
      <c r="D413" s="471" t="s">
        <v>395</v>
      </c>
      <c r="E413" s="473" t="e">
        <f>Worksheet!#REF!*UnitConvert</f>
        <v>#REF!</v>
      </c>
      <c r="F413" s="474" t="e">
        <f>IF(OR(E413="",B413=0),"",$F$4)</f>
        <v>#REF!</v>
      </c>
      <c r="G413" s="475" t="str">
        <f t="shared" si="163"/>
        <v>B</v>
      </c>
      <c r="H413" s="476" t="e">
        <f t="shared" si="164"/>
        <v>#REF!</v>
      </c>
      <c r="I413" s="477">
        <f t="shared" si="165"/>
        <v>100</v>
      </c>
      <c r="J413" s="478" t="e">
        <f t="shared" si="166"/>
        <v>#REF!</v>
      </c>
      <c r="K413" s="479">
        <v>1</v>
      </c>
      <c r="L413" s="480" t="e">
        <f t="shared" si="167"/>
        <v>#REF!</v>
      </c>
      <c r="M413" s="480" t="e">
        <f t="shared" si="160"/>
        <v>#REF!</v>
      </c>
      <c r="N413" s="481" t="e">
        <f t="shared" si="161"/>
        <v>#REF!</v>
      </c>
      <c r="O413" s="482" t="e">
        <f t="shared" si="162"/>
        <v>#REF!</v>
      </c>
      <c r="P413" s="464" t="s">
        <v>201</v>
      </c>
      <c r="Q413" s="483" t="e">
        <f ca="1">VLOOKUP(VLOOKUP(I401,Worksheet!$A$18:$B$31,2),'1Test Data'!$O$30:$AG$49,19,0)</f>
        <v>#N/A</v>
      </c>
      <c r="R413" s="484" t="e">
        <f t="shared" si="168"/>
        <v>#REF!</v>
      </c>
      <c r="S413" s="465" t="e">
        <f t="shared" si="169"/>
        <v>#REF!</v>
      </c>
      <c r="T413" s="465" t="e">
        <f>IF(OR(E413="",B413=0),"",ABS(L413/S416))</f>
        <v>#REF!</v>
      </c>
      <c r="U413" s="485"/>
    </row>
    <row r="414" spans="1:21" s="440" customFormat="1" ht="13.5" customHeight="1">
      <c r="A414" s="470">
        <v>11</v>
      </c>
      <c r="B414" s="471" t="e">
        <f>$B$14</f>
        <v>#NAME?</v>
      </c>
      <c r="C414" s="496" t="e">
        <f>"DUT Type " &amp;ReadoutType&amp; " Resolution "&amp;Readability &amp; "kPa
Digital - Type B - Rect - 1/2 of  least count with D of F = 100 &amp; (k=1.73)
Analogue - Type B - N95 - Best scale readability with D of F = 60 &amp; k=2.00"</f>
        <v>#NAME?</v>
      </c>
      <c r="D414" s="471" t="e">
        <f>IF(ReadoutType="Digital","Rect","N95")</f>
        <v>#NAME?</v>
      </c>
      <c r="E414" s="473" t="e">
        <f>IF(Elect=1,($K412)/1000,IF(ReadoutType="Digital",Readability/2,Readability)*UnitConvert)</f>
        <v>#NAME?</v>
      </c>
      <c r="F414" s="474" t="e">
        <f>IF(OR(E414="",B414=0),"",$F$4)</f>
        <v>#NAME?</v>
      </c>
      <c r="G414" s="475" t="e">
        <f t="shared" si="163"/>
        <v>#NAME?</v>
      </c>
      <c r="H414" s="476" t="e">
        <f t="shared" si="164"/>
        <v>#NAME?</v>
      </c>
      <c r="I414" s="477" t="e">
        <f t="shared" si="165"/>
        <v>#NAME?</v>
      </c>
      <c r="J414" s="478" t="e">
        <f t="shared" si="166"/>
        <v>#NAME?</v>
      </c>
      <c r="K414" s="479">
        <v>1</v>
      </c>
      <c r="L414" s="480" t="e">
        <f t="shared" si="167"/>
        <v>#NAME?</v>
      </c>
      <c r="M414" s="480" t="e">
        <f t="shared" si="160"/>
        <v>#NAME?</v>
      </c>
      <c r="N414" s="481" t="e">
        <f t="shared" si="161"/>
        <v>#NAME?</v>
      </c>
      <c r="O414" s="482" t="e">
        <f t="shared" si="162"/>
        <v>#NAME?</v>
      </c>
      <c r="P414" s="464" t="s">
        <v>88</v>
      </c>
      <c r="Q414" s="483" t="e">
        <f ca="1">VLOOKUP(VLOOKUP(I401,Worksheet!$A$18:$B$31,2),'1Test Data'!$O$30:$AH$49,20,0)</f>
        <v>#N/A</v>
      </c>
      <c r="R414" s="484" t="e">
        <f t="shared" si="168"/>
        <v>#NAME?</v>
      </c>
      <c r="S414" s="465" t="e">
        <f t="shared" si="169"/>
        <v>#NAME?</v>
      </c>
      <c r="T414" s="465" t="e">
        <f>IF(OR(E414="",B414=0),"",ABS(L414/S416))</f>
        <v>#NAME?</v>
      </c>
      <c r="U414" s="485"/>
    </row>
    <row r="415" spans="1:21" s="440" customFormat="1" ht="27">
      <c r="A415" s="470">
        <v>12</v>
      </c>
      <c r="B415" s="471" t="e">
        <f>$B$15</f>
        <v>#NAME?</v>
      </c>
      <c r="C415" s="496" t="s">
        <v>410</v>
      </c>
      <c r="D415" s="471" t="s">
        <v>395</v>
      </c>
      <c r="E415" s="473" t="e">
        <f>E414</f>
        <v>#NAME?</v>
      </c>
      <c r="F415" s="474" t="e">
        <f>IF(OR(E415="",B415=0),"",$F$4)</f>
        <v>#NAME?</v>
      </c>
      <c r="G415" s="475" t="e">
        <f t="shared" si="163"/>
        <v>#NAME?</v>
      </c>
      <c r="H415" s="476" t="e">
        <f t="shared" si="164"/>
        <v>#NAME?</v>
      </c>
      <c r="I415" s="477">
        <f t="shared" si="165"/>
        <v>100</v>
      </c>
      <c r="J415" s="478" t="e">
        <f t="shared" si="166"/>
        <v>#NAME?</v>
      </c>
      <c r="K415" s="479">
        <v>1</v>
      </c>
      <c r="L415" s="480" t="e">
        <f t="shared" si="167"/>
        <v>#NAME?</v>
      </c>
      <c r="M415" s="480" t="e">
        <f t="shared" si="160"/>
        <v>#NAME?</v>
      </c>
      <c r="N415" s="481" t="e">
        <f t="shared" si="161"/>
        <v>#NAME?</v>
      </c>
      <c r="O415" s="482" t="e">
        <f t="shared" si="162"/>
        <v>#NAME?</v>
      </c>
      <c r="P415" s="464" t="s">
        <v>411</v>
      </c>
      <c r="Q415" s="483" t="e">
        <f ca="1">ABS(Q411*F401^3+Q412*F401^2+Q413*F401+Q414)</f>
        <v>#N/A</v>
      </c>
      <c r="R415" s="484" t="e">
        <f t="shared" si="168"/>
        <v>#NAME?</v>
      </c>
      <c r="S415" s="465" t="e">
        <f t="shared" si="169"/>
        <v>#NAME?</v>
      </c>
      <c r="T415" s="465" t="e">
        <f>IF(OR(E415="",B415=0),"",ABS(L415/S416))</f>
        <v>#NAME?</v>
      </c>
      <c r="U415" s="485"/>
    </row>
    <row r="416" spans="1:21" s="440" customFormat="1" ht="25.5">
      <c r="A416" s="497"/>
      <c r="B416" s="498"/>
      <c r="C416" s="448"/>
      <c r="D416" s="448"/>
      <c r="E416" s="448"/>
      <c r="F416" s="448"/>
      <c r="G416" s="448"/>
      <c r="H416" s="448"/>
      <c r="I416" s="484"/>
      <c r="J416" s="448"/>
      <c r="K416" s="448"/>
      <c r="L416" s="499" t="s">
        <v>412</v>
      </c>
      <c r="M416" s="499" t="e">
        <f ca="1">SUM(M404:M415)</f>
        <v>#N/A</v>
      </c>
      <c r="N416" s="500" t="e">
        <f ca="1">SUM(N404:N415)</f>
        <v>#N/A</v>
      </c>
      <c r="O416" s="501" t="e">
        <f ca="1">SUM(O404:O415)</f>
        <v>#N/A</v>
      </c>
      <c r="P416" s="464" t="s">
        <v>413</v>
      </c>
      <c r="Q416" s="483" t="e">
        <f ca="1">VLOOKUP(VLOOKUP(I401,Worksheet!$A$18:$B$31,2),'1Test Data'!$O$30:$AJ$49,22,0)</f>
        <v>#N/A</v>
      </c>
      <c r="R416" s="453"/>
      <c r="S416" s="465" t="e">
        <f ca="1">SUM(S404:S415)</f>
        <v>#N/A</v>
      </c>
      <c r="T416" s="465" t="e">
        <f ca="1">SUM(T404:T415)</f>
        <v>#N/A</v>
      </c>
      <c r="U416" s="455"/>
    </row>
    <row r="417" spans="1:21" s="440" customFormat="1">
      <c r="A417" s="504"/>
      <c r="B417" s="448"/>
      <c r="C417" s="498" t="s">
        <v>414</v>
      </c>
      <c r="D417" s="448"/>
      <c r="E417" s="448"/>
      <c r="F417" s="448"/>
      <c r="G417" s="448"/>
      <c r="H417" s="448"/>
      <c r="I417" s="448"/>
      <c r="J417" s="448"/>
      <c r="K417" s="448"/>
      <c r="L417" s="505"/>
      <c r="M417" s="505"/>
      <c r="N417" s="505"/>
      <c r="O417" s="505"/>
      <c r="P417" s="464" t="s">
        <v>394</v>
      </c>
      <c r="Q417" s="483" t="e">
        <f ca="1">VLOOKUP(VLOOKUP(I401,Worksheet!$A$18:$B$31,2),'1Test Data'!$O$30:$AK$49,23,0)</f>
        <v>#N/A</v>
      </c>
      <c r="R417" s="453"/>
      <c r="S417" s="453"/>
      <c r="T417" s="453"/>
      <c r="U417" s="455"/>
    </row>
    <row r="418" spans="1:21" s="440" customFormat="1" ht="13.5" customHeight="1">
      <c r="A418" s="504"/>
      <c r="B418" s="448"/>
      <c r="C418" s="1090" t="s">
        <v>415</v>
      </c>
      <c r="D418" s="1091"/>
      <c r="E418" s="1091"/>
      <c r="F418" s="1091"/>
      <c r="G418" s="1092"/>
      <c r="H418" s="448"/>
      <c r="I418" s="448"/>
      <c r="J418" s="448"/>
      <c r="K418" s="448"/>
      <c r="L418" s="506" t="s">
        <v>416</v>
      </c>
      <c r="M418" s="507" t="e">
        <f ca="1">M416^0.5</f>
        <v>#N/A</v>
      </c>
      <c r="N418" s="508" t="str">
        <f>Uncert!$F$4</f>
        <v>ABS kPa</v>
      </c>
      <c r="O418" s="505" t="e">
        <f ca="1">(M416-M407-M412-M414-M415)^0.5</f>
        <v>#N/A</v>
      </c>
      <c r="P418" s="464" t="s">
        <v>396</v>
      </c>
      <c r="Q418" s="483" t="e">
        <f ca="1">VLOOKUP(VLOOKUP(I401,Worksheet!$A$18:$B$31,2),'1Test Data'!$O$30:$AL$49,24,0)</f>
        <v>#N/A</v>
      </c>
      <c r="R418" s="453"/>
      <c r="S418" s="453"/>
      <c r="T418" s="453"/>
      <c r="U418" s="455"/>
    </row>
    <row r="419" spans="1:21" s="440" customFormat="1">
      <c r="A419" s="504"/>
      <c r="B419" s="448"/>
      <c r="C419" s="1093"/>
      <c r="D419" s="1094"/>
      <c r="E419" s="1094"/>
      <c r="F419" s="1094"/>
      <c r="G419" s="1095"/>
      <c r="H419" s="448"/>
      <c r="I419" s="448"/>
      <c r="J419" s="448"/>
      <c r="K419" s="448"/>
      <c r="L419" s="506" t="s">
        <v>417</v>
      </c>
      <c r="M419" s="507" t="e">
        <f ca="1">M418^4/N416</f>
        <v>#N/A</v>
      </c>
      <c r="N419" s="509"/>
      <c r="O419" s="510" t="e">
        <f ca="1">O418^4/(N416-N407-N412-N414-N415)</f>
        <v>#N/A</v>
      </c>
      <c r="P419" s="464" t="s">
        <v>201</v>
      </c>
      <c r="Q419" s="483" t="e">
        <f ca="1">VLOOKUP(VLOOKUP(I401,Worksheet!$A$18:$B$31,2),'1Test Data'!$O$30:$AM$49,25,0)</f>
        <v>#N/A</v>
      </c>
      <c r="R419" s="453"/>
      <c r="S419" s="453"/>
      <c r="T419" s="453"/>
      <c r="U419" s="455"/>
    </row>
    <row r="420" spans="1:21" s="440" customFormat="1">
      <c r="A420" s="504"/>
      <c r="B420" s="448"/>
      <c r="C420" s="1093"/>
      <c r="D420" s="1094"/>
      <c r="E420" s="1094"/>
      <c r="F420" s="1094"/>
      <c r="G420" s="1095"/>
      <c r="H420" s="448"/>
      <c r="I420" s="448"/>
      <c r="J420" s="448"/>
      <c r="K420" s="448"/>
      <c r="L420" s="506" t="s">
        <v>418</v>
      </c>
      <c r="M420" s="507" t="e">
        <f ca="1">TINV(0.05,M419)</f>
        <v>#N/A</v>
      </c>
      <c r="N420" s="508"/>
      <c r="O420" s="507" t="e">
        <f ca="1">TINV(0.05,O419)</f>
        <v>#N/A</v>
      </c>
      <c r="P420" s="464" t="s">
        <v>88</v>
      </c>
      <c r="Q420" s="483" t="e">
        <f ca="1">VLOOKUP(VLOOKUP(I401,Worksheet!$A$18:$B$31,2),'1Test Data'!$O$30:$AN$49,26,0)</f>
        <v>#N/A</v>
      </c>
      <c r="R420" s="453"/>
      <c r="S420" s="453"/>
      <c r="T420" s="453"/>
      <c r="U420" s="455"/>
    </row>
    <row r="421" spans="1:21" s="440" customFormat="1">
      <c r="A421" s="504"/>
      <c r="B421" s="448"/>
      <c r="C421" s="1093"/>
      <c r="D421" s="1094"/>
      <c r="E421" s="1094"/>
      <c r="F421" s="1094"/>
      <c r="G421" s="1095"/>
      <c r="H421" s="448"/>
      <c r="I421" s="448"/>
      <c r="J421" s="448"/>
      <c r="K421" s="448"/>
      <c r="L421" s="506" t="s">
        <v>419</v>
      </c>
      <c r="M421" s="507" t="e">
        <f ca="1">M418*M420</f>
        <v>#N/A</v>
      </c>
      <c r="N421" s="508" t="str">
        <f>Uncert!$F$4</f>
        <v>ABS kPa</v>
      </c>
      <c r="O421" s="507" t="e">
        <f ca="1">O418*O420</f>
        <v>#N/A</v>
      </c>
      <c r="P421" s="464" t="s">
        <v>420</v>
      </c>
      <c r="Q421" s="483" t="e">
        <f ca="1">ABS(Q417*F401^3+Q418*F401^2+Q419*F401+Q420)</f>
        <v>#N/A</v>
      </c>
      <c r="R421" s="453"/>
      <c r="S421" s="453"/>
      <c r="T421" s="453"/>
      <c r="U421" s="455"/>
    </row>
    <row r="422" spans="1:21" s="440" customFormat="1">
      <c r="A422" s="497"/>
      <c r="B422" s="498"/>
      <c r="C422" s="1096"/>
      <c r="D422" s="1097"/>
      <c r="E422" s="1097"/>
      <c r="F422" s="1097"/>
      <c r="G422" s="1098"/>
      <c r="H422" s="448"/>
      <c r="I422" s="448"/>
      <c r="J422" s="511"/>
      <c r="K422" s="511"/>
      <c r="L422" s="512" t="s">
        <v>421</v>
      </c>
      <c r="M422" s="513" t="e">
        <f ca="1">M421</f>
        <v>#N/A</v>
      </c>
      <c r="N422" s="514" t="str">
        <f>Uncert!$F$4</f>
        <v>ABS kPa</v>
      </c>
      <c r="O422" s="513" t="e">
        <f ca="1">O421</f>
        <v>#N/A</v>
      </c>
      <c r="P422" s="464" t="s">
        <v>422</v>
      </c>
      <c r="Q422" s="483" t="e">
        <f ca="1">VLOOKUP(VLOOKUP(I401,Worksheet!$A$18:$B$31,2),'1Test Data'!$O$30:$AP$49,28,0)</f>
        <v>#N/A</v>
      </c>
      <c r="R422" s="453"/>
      <c r="S422" s="453"/>
      <c r="T422" s="453"/>
      <c r="U422" s="455"/>
    </row>
    <row r="423" spans="1:21" s="440" customFormat="1">
      <c r="A423" s="497"/>
      <c r="B423" s="498"/>
      <c r="C423" s="498" t="s">
        <v>423</v>
      </c>
      <c r="D423" s="448"/>
      <c r="E423" s="448"/>
      <c r="F423" s="448"/>
      <c r="G423" s="448"/>
      <c r="H423" s="515" t="e">
        <f>"N " &amp; ReadoutType</f>
        <v>#NAME?</v>
      </c>
      <c r="I423" s="516" t="e">
        <f ca="1">($O424/$K412)</f>
        <v>#N/A</v>
      </c>
      <c r="J423" s="448"/>
      <c r="K423" s="448"/>
      <c r="L423" s="505"/>
      <c r="M423" s="517" t="e">
        <f ca="1">(M422/F401)*100</f>
        <v>#N/A</v>
      </c>
      <c r="N423" s="518" t="s">
        <v>78</v>
      </c>
      <c r="O423" s="517"/>
      <c r="P423" s="519"/>
      <c r="Q423" s="519"/>
      <c r="R423" s="453"/>
      <c r="S423" s="453"/>
      <c r="T423" s="453"/>
      <c r="U423" s="455"/>
    </row>
    <row r="424" spans="1:21" s="440" customFormat="1">
      <c r="A424" s="497"/>
      <c r="B424" s="498"/>
      <c r="C424" s="520" t="s">
        <v>33</v>
      </c>
      <c r="D424" s="521" t="str">
        <f ca="1">Gravity</f>
        <v/>
      </c>
      <c r="E424" s="520" t="s">
        <v>36</v>
      </c>
      <c r="F424" s="522"/>
      <c r="G424" s="523"/>
      <c r="H424" s="524" t="e">
        <f>ReadoutType</f>
        <v>#NAME?</v>
      </c>
      <c r="I424" s="516" t="e">
        <f ca="1">($M424/$K412)</f>
        <v>#N/A</v>
      </c>
      <c r="J424" s="1103" t="s">
        <v>424</v>
      </c>
      <c r="K424" s="1104"/>
      <c r="L424" s="1104"/>
      <c r="M424" s="525" t="e">
        <f ca="1">IF(NATA="Y",IF(M422&lt;Scopekpa,IF(Scopekpa&lt;((F401/100)*ScopeReading),((F401/100)*ScopeReading),Scopekpa),IF(M422&lt;((F401/100)*ScopeReading),((F401/100)*ScopeReading),M422)),Uncert!M422)</f>
        <v>#N/A</v>
      </c>
      <c r="N424" s="522" t="s">
        <v>425</v>
      </c>
      <c r="O424" s="525" t="e">
        <f ca="1">IF(NATA="Y",IF(O422&lt;Scopekpa,IF(Scopekpa&lt;((F401/100)*ScopeReading),((F401/100)*ScopeReading),Scopekpa),IF(O422&lt;((F401/100)*ScopeReading),((F401/100)*ScopeReading),O422)),Uncert!O422)</f>
        <v>#N/A</v>
      </c>
      <c r="P424" s="522"/>
      <c r="Q424" s="522"/>
      <c r="R424" s="453"/>
      <c r="S424" s="453"/>
      <c r="T424" s="453"/>
      <c r="U424" s="455"/>
    </row>
    <row r="425" spans="1:21" s="440" customFormat="1" ht="14.25" thickBot="1">
      <c r="A425" s="526" t="str">
        <f>"Worksheet!A" &amp; 17+(ROW()/25)</f>
        <v>Worksheet!A34</v>
      </c>
      <c r="B425" s="527"/>
      <c r="C425" s="527"/>
      <c r="D425" s="528">
        <f>ROW()/25</f>
        <v>17</v>
      </c>
      <c r="E425" s="529"/>
      <c r="F425" s="529"/>
      <c r="G425" s="529"/>
      <c r="H425" s="529"/>
      <c r="I425" s="530"/>
      <c r="J425" s="1105" t="s">
        <v>424</v>
      </c>
      <c r="K425" s="1105"/>
      <c r="L425" s="1105"/>
      <c r="M425" s="531" t="e">
        <f ca="1">IF(NATA="Y",IF(M423&lt;ScopeReading,ScopeReading,M423),M423)</f>
        <v>#N/A</v>
      </c>
      <c r="N425" s="532" t="s">
        <v>78</v>
      </c>
      <c r="O425" s="531"/>
      <c r="P425" s="532"/>
      <c r="Q425" s="527"/>
      <c r="R425" s="527"/>
      <c r="S425" s="527"/>
      <c r="T425" s="527"/>
      <c r="U425" s="533"/>
    </row>
    <row r="426" spans="1:21" s="440" customFormat="1">
      <c r="A426" s="1099" t="e">
        <f ca="1">"Uncertainty Budget: Digital Pressure Gauge (" &amp; Q426&amp; ", "&amp; Q427 &amp; H426 &amp;" x " &amp; Division   &amp;H426 &amp; " )" &amp; " Test Point "&amp;D450</f>
        <v>#N/A</v>
      </c>
      <c r="B426" s="1100"/>
      <c r="C426" s="1100"/>
      <c r="D426" s="1100"/>
      <c r="E426" s="1100"/>
      <c r="F426" s="1101">
        <f ca="1">ABS(I426*UnitConvert)</f>
        <v>0</v>
      </c>
      <c r="G426" s="1102"/>
      <c r="H426" s="428" t="s">
        <v>371</v>
      </c>
      <c r="I426" s="429">
        <f ca="1">INDIRECT(A450)</f>
        <v>0</v>
      </c>
      <c r="J426" s="430" t="str">
        <f>_xlfn.SINGLE(Units)</f>
        <v>mm</v>
      </c>
      <c r="K426" s="431" t="e">
        <f ca="1">IF(C429="","","Uncertainty (U) = ±"&amp;TEXT(M447,"0.0")&amp;$F$4&amp;",  &amp;  (k="&amp;TEXT(M445,"0.00")&amp;", confidence level=95%)")</f>
        <v>#N/A</v>
      </c>
      <c r="L426" s="432"/>
      <c r="M426" s="432"/>
      <c r="N426" s="432"/>
      <c r="O426" s="433"/>
      <c r="P426" s="434" t="s">
        <v>372</v>
      </c>
      <c r="Q426" s="435" t="e">
        <f ca="1">VLOOKUP(VLOOKUP(I426,Worksheet!$A$18:$B$31,2),'1Test Data'!$M$6:$O$10,2,0)</f>
        <v>#N/A</v>
      </c>
      <c r="R426" s="436"/>
      <c r="S426" s="436"/>
      <c r="T426" s="437" t="str">
        <f ca="1">"TEX Ver "&amp;Mods!$A$1</f>
        <v>TEX Ver TAS-SST001v1</v>
      </c>
      <c r="U426" s="438"/>
    </row>
    <row r="427" spans="1:21" s="440" customFormat="1">
      <c r="A427" s="442" t="s">
        <v>373</v>
      </c>
      <c r="B427" s="443"/>
      <c r="C427" s="444"/>
      <c r="D427" s="445" t="s">
        <v>374</v>
      </c>
      <c r="E427" s="446" t="e">
        <f ca="1">Q427</f>
        <v>#N/A</v>
      </c>
      <c r="F427" s="447"/>
      <c r="G427" s="447" t="e">
        <f ca="1">ROUND(M447/(F426/100),2)&amp;"% of Full Scale"</f>
        <v>#N/A</v>
      </c>
      <c r="H427" s="448"/>
      <c r="I427" s="448"/>
      <c r="J427" s="449" t="e">
        <f ca="1">M448</f>
        <v>#N/A</v>
      </c>
      <c r="K427" s="448"/>
      <c r="L427" s="450"/>
      <c r="M427" s="450"/>
      <c r="N427" s="450"/>
      <c r="O427" s="433"/>
      <c r="P427" s="451" t="s">
        <v>375</v>
      </c>
      <c r="Q427" s="452" t="e">
        <f ca="1">VLOOKUP(VLOOKUP(I426,Worksheet!$A$18:$B$31,2),'1Test Data'!$O$30:$T$49,6,0)</f>
        <v>#N/A</v>
      </c>
      <c r="R427" s="453">
        <v>0</v>
      </c>
      <c r="S427" s="453"/>
      <c r="T427" s="454">
        <f ca="1">Mods!$A$4</f>
        <v>45809.486168981479</v>
      </c>
      <c r="U427" s="455"/>
    </row>
    <row r="428" spans="1:21" s="440" customFormat="1" ht="38.25">
      <c r="A428" s="458" t="s">
        <v>376</v>
      </c>
      <c r="B428" s="459" t="s">
        <v>377</v>
      </c>
      <c r="C428" s="460" t="s">
        <v>378</v>
      </c>
      <c r="D428" s="460" t="s">
        <v>379</v>
      </c>
      <c r="E428" s="460" t="s">
        <v>380</v>
      </c>
      <c r="F428" s="460" t="s">
        <v>381</v>
      </c>
      <c r="G428" s="460" t="s">
        <v>178</v>
      </c>
      <c r="H428" s="461" t="s">
        <v>382</v>
      </c>
      <c r="I428" s="461" t="s">
        <v>383</v>
      </c>
      <c r="J428" s="462" t="s">
        <v>384</v>
      </c>
      <c r="K428" s="463" t="s">
        <v>385</v>
      </c>
      <c r="L428" s="461" t="s">
        <v>386</v>
      </c>
      <c r="M428" s="461" t="s">
        <v>387</v>
      </c>
      <c r="N428" s="461" t="s">
        <v>388</v>
      </c>
      <c r="O428" s="461" t="s">
        <v>389</v>
      </c>
      <c r="P428" s="464" t="s">
        <v>390</v>
      </c>
      <c r="Q428" s="452" t="e">
        <f ca="1">VLOOKUP(VLOOKUP(I426,Worksheet!$A$18:$B$31,2),'1Test Data'!$O$30:$V$49,8,0)</f>
        <v>#N/A</v>
      </c>
      <c r="R428" s="465" t="s">
        <v>391</v>
      </c>
      <c r="S428" s="465" t="s">
        <v>391</v>
      </c>
      <c r="T428" s="466" t="s">
        <v>392</v>
      </c>
      <c r="U428" s="467"/>
    </row>
    <row r="429" spans="1:21" s="440" customFormat="1" ht="18" customHeight="1">
      <c r="A429" s="470">
        <v>1</v>
      </c>
      <c r="B429" s="471">
        <f>$B$4</f>
        <v>1</v>
      </c>
      <c r="C429" s="472" t="e">
        <f ca="1">"Reference Device  ("&amp;Q427&amp;" Druck Transducer) + Sey
Uncertainty from Calibration Report - "&amp;Q426</f>
        <v>#N/A</v>
      </c>
      <c r="D429" s="471" t="s">
        <v>393</v>
      </c>
      <c r="E429" s="473" t="e">
        <f ca="1">Q433+Q434</f>
        <v>#N/A</v>
      </c>
      <c r="F429" s="474" t="str">
        <f>H426</f>
        <v>ABS kPa</v>
      </c>
      <c r="G429" s="475" t="str">
        <f>IF(OR(D429="",B429=0),"",IF(D429="ESDM","A","B"))</f>
        <v>B</v>
      </c>
      <c r="H429" s="476" t="e">
        <f ca="1">IF(OR(E429="",B429=0),"",IF(D429="ESDM",1,IF(D429="N95",2,IF(D429="Rect",(3^0.5)))))</f>
        <v>#N/A</v>
      </c>
      <c r="I429" s="477">
        <f>IF(D429="N95",60,100)</f>
        <v>60</v>
      </c>
      <c r="J429" s="478" t="e">
        <f ca="1">IF(OR(E429="",B429=0),"",(E429/H429))</f>
        <v>#N/A</v>
      </c>
      <c r="K429" s="479">
        <v>1</v>
      </c>
      <c r="L429" s="480" t="e">
        <f ca="1">IF(OR(E429="",B429=0),"",K429*J429)</f>
        <v>#N/A</v>
      </c>
      <c r="M429" s="480" t="e">
        <f t="shared" ref="M429:M440" ca="1" si="170">IF(OR(E429="",B429=0),"0",L429^2)</f>
        <v>#N/A</v>
      </c>
      <c r="N429" s="481" t="e">
        <f t="shared" ref="N429:N440" ca="1" si="171">IF(OR(D429="",B429=0),"0",(L429)^4/I429)</f>
        <v>#N/A</v>
      </c>
      <c r="O429" s="482" t="e">
        <f t="shared" ref="O429:O440" ca="1" si="172">T429</f>
        <v>#N/A</v>
      </c>
      <c r="P429" s="464" t="s">
        <v>394</v>
      </c>
      <c r="Q429" s="483" t="e">
        <f ca="1">VLOOKUP(VLOOKUP(I426,Worksheet!$A$18:$B$31,2),'1Test Data'!$O$30:$Y$49,11,0)</f>
        <v>#N/A</v>
      </c>
      <c r="R429" s="484" t="e">
        <f ca="1">IF(OR(E429="",B429=0),"",K429*J429)</f>
        <v>#N/A</v>
      </c>
      <c r="S429" s="465" t="e">
        <f ca="1">IF(OR(E429="",B429=0),"",ABS(R429))</f>
        <v>#N/A</v>
      </c>
      <c r="T429" s="465" t="e">
        <f ca="1">IF(OR(E429="",B429=0),"",ABS(L429/S441))</f>
        <v>#N/A</v>
      </c>
      <c r="U429" s="485"/>
    </row>
    <row r="430" spans="1:21" s="440" customFormat="1" ht="27" customHeight="1">
      <c r="A430" s="470">
        <v>2</v>
      </c>
      <c r="B430" s="471">
        <f>$B$5</f>
        <v>1</v>
      </c>
      <c r="C430" s="472" t="e">
        <f ca="1">"Reference Device  Specs +Sey
(" &amp; Q427 &amp; H426 &amp; " Druck Transducer)
"&amp;Q428 &amp; "% of F.S. from Calibration Report - " &amp; Q426</f>
        <v>#N/A</v>
      </c>
      <c r="D430" s="471" t="s">
        <v>395</v>
      </c>
      <c r="E430" s="473" t="e">
        <f ca="1">Q446+Q447</f>
        <v>#N/A</v>
      </c>
      <c r="F430" s="474" t="e">
        <f ca="1">IF(OR(E430="",B430=0),"",$F$4)</f>
        <v>#N/A</v>
      </c>
      <c r="G430" s="475" t="str">
        <f t="shared" ref="G430:G440" si="173">IF(OR(D430="",B430=0),"",IF(D430="ESDM","A","B"))</f>
        <v>B</v>
      </c>
      <c r="H430" s="476" t="e">
        <f t="shared" ref="H430:H440" ca="1" si="174">IF(OR(E430="",B430=0),"",IF(D430="ESDM",1,IF(D430="N95",2,IF(D430="Rect",(3^0.5)))))</f>
        <v>#N/A</v>
      </c>
      <c r="I430" s="477">
        <f t="shared" ref="I430:I440" si="175">IF(D430="N95",60,100)</f>
        <v>100</v>
      </c>
      <c r="J430" s="478" t="e">
        <f t="shared" ref="J430:J440" ca="1" si="176">IF(OR(E430="",B430=0),"",(E430/H430))</f>
        <v>#N/A</v>
      </c>
      <c r="K430" s="479">
        <v>1</v>
      </c>
      <c r="L430" s="480" t="e">
        <f t="shared" ref="L430:L440" ca="1" si="177">IF(OR(E430="",B430=0),"",K430*J430)</f>
        <v>#N/A</v>
      </c>
      <c r="M430" s="480" t="e">
        <f t="shared" ca="1" si="170"/>
        <v>#N/A</v>
      </c>
      <c r="N430" s="481" t="e">
        <f t="shared" ca="1" si="171"/>
        <v>#N/A</v>
      </c>
      <c r="O430" s="482" t="e">
        <f t="shared" ca="1" si="172"/>
        <v>#N/A</v>
      </c>
      <c r="P430" s="464" t="s">
        <v>396</v>
      </c>
      <c r="Q430" s="483" t="e">
        <f ca="1">VLOOKUP(VLOOKUP(I426,Worksheet!$A$18:$B$31,2),'1Test Data'!$O$30:$Z$49,12,0)</f>
        <v>#N/A</v>
      </c>
      <c r="R430" s="484" t="e">
        <f t="shared" ref="R430:R440" ca="1" si="178">IF(OR(E430="",B430=0),"",K430*J430)</f>
        <v>#N/A</v>
      </c>
      <c r="S430" s="465" t="e">
        <f t="shared" ref="S430:S440" ca="1" si="179">IF(OR(E430="",B430=0),"",ABS(R430))</f>
        <v>#N/A</v>
      </c>
      <c r="T430" s="465" t="e">
        <f ca="1">IF(OR(E430="",B430=0),"",ABS(L430/S441))</f>
        <v>#N/A</v>
      </c>
      <c r="U430" s="485"/>
    </row>
    <row r="431" spans="1:21" s="440" customFormat="1" ht="18" customHeight="1">
      <c r="A431" s="470">
        <v>3</v>
      </c>
      <c r="B431" s="471">
        <f>$B$6</f>
        <v>1</v>
      </c>
      <c r="C431" s="472" t="s">
        <v>397</v>
      </c>
      <c r="D431" s="471" t="s">
        <v>395</v>
      </c>
      <c r="E431" s="473" t="e">
        <f ca="1">Q435*F426/100</f>
        <v>#N/A</v>
      </c>
      <c r="F431" s="474" t="e">
        <f ca="1">IF(OR(E431="",B431=0),"",$F$4)</f>
        <v>#N/A</v>
      </c>
      <c r="G431" s="475" t="str">
        <f t="shared" si="173"/>
        <v>B</v>
      </c>
      <c r="H431" s="476" t="e">
        <f t="shared" ca="1" si="174"/>
        <v>#N/A</v>
      </c>
      <c r="I431" s="477">
        <f t="shared" si="175"/>
        <v>100</v>
      </c>
      <c r="J431" s="478" t="e">
        <f t="shared" ca="1" si="176"/>
        <v>#N/A</v>
      </c>
      <c r="K431" s="479">
        <v>1</v>
      </c>
      <c r="L431" s="480" t="e">
        <f t="shared" ca="1" si="177"/>
        <v>#N/A</v>
      </c>
      <c r="M431" s="480" t="e">
        <f t="shared" ca="1" si="170"/>
        <v>#N/A</v>
      </c>
      <c r="N431" s="481" t="e">
        <f t="shared" ca="1" si="171"/>
        <v>#N/A</v>
      </c>
      <c r="O431" s="482" t="e">
        <f t="shared" ca="1" si="172"/>
        <v>#N/A</v>
      </c>
      <c r="P431" s="464" t="s">
        <v>201</v>
      </c>
      <c r="Q431" s="483" t="e">
        <f ca="1">VLOOKUP(VLOOKUP(I426,Worksheet!$A$18:$B$31,2),'1Test Data'!$O$30:$AA$49,13,0)</f>
        <v>#N/A</v>
      </c>
      <c r="R431" s="484" t="e">
        <f t="shared" ca="1" si="178"/>
        <v>#N/A</v>
      </c>
      <c r="S431" s="465" t="e">
        <f t="shared" ca="1" si="179"/>
        <v>#N/A</v>
      </c>
      <c r="T431" s="465" t="e">
        <f ca="1">IF(OR(E431="",B431=0),"",ABS(L431/S441))</f>
        <v>#N/A</v>
      </c>
      <c r="U431" s="485"/>
    </row>
    <row r="432" spans="1:21" s="440" customFormat="1" ht="18" customHeight="1">
      <c r="A432" s="470">
        <v>4</v>
      </c>
      <c r="B432" s="471" t="e">
        <f>$B$7</f>
        <v>#NAME?</v>
      </c>
      <c r="C432" s="472" t="s">
        <v>398</v>
      </c>
      <c r="D432" s="471" t="s">
        <v>395</v>
      </c>
      <c r="E432" s="473">
        <f>EDMS*UnitConvert</f>
        <v>0</v>
      </c>
      <c r="F432" s="474" t="e">
        <f>IF(OR(E432="",B432=0),"",$F$4)</f>
        <v>#NAME?</v>
      </c>
      <c r="G432" s="475" t="e">
        <f t="shared" si="173"/>
        <v>#NAME?</v>
      </c>
      <c r="H432" s="476" t="e">
        <f t="shared" si="174"/>
        <v>#NAME?</v>
      </c>
      <c r="I432" s="477">
        <f t="shared" si="175"/>
        <v>100</v>
      </c>
      <c r="J432" s="478" t="e">
        <f t="shared" si="176"/>
        <v>#NAME?</v>
      </c>
      <c r="K432" s="479">
        <v>1</v>
      </c>
      <c r="L432" s="480" t="e">
        <f t="shared" si="177"/>
        <v>#NAME?</v>
      </c>
      <c r="M432" s="480" t="e">
        <f t="shared" si="170"/>
        <v>#NAME?</v>
      </c>
      <c r="N432" s="481" t="e">
        <f t="shared" si="171"/>
        <v>#NAME?</v>
      </c>
      <c r="O432" s="482" t="e">
        <f t="shared" si="172"/>
        <v>#NAME?</v>
      </c>
      <c r="P432" s="464" t="s">
        <v>88</v>
      </c>
      <c r="Q432" s="483" t="e">
        <f ca="1">VLOOKUP(VLOOKUP(I426,Worksheet!$A$18:$B$31,2),'1Test Data'!$O$30:$AB$49,14,0)</f>
        <v>#N/A</v>
      </c>
      <c r="R432" s="484" t="e">
        <f t="shared" si="178"/>
        <v>#NAME?</v>
      </c>
      <c r="S432" s="465" t="e">
        <f t="shared" si="179"/>
        <v>#NAME?</v>
      </c>
      <c r="T432" s="465" t="e">
        <f>IF(OR(E432="",B432=0),"",ABS(L432/S441))</f>
        <v>#NAME?</v>
      </c>
      <c r="U432" s="485"/>
    </row>
    <row r="433" spans="1:21" s="440" customFormat="1" ht="27">
      <c r="A433" s="470">
        <v>5</v>
      </c>
      <c r="B433" s="471">
        <f>$B$8</f>
        <v>0</v>
      </c>
      <c r="C433" s="472" t="str">
        <f>C33</f>
        <v>Gravity -0.001 m/s2 Sensitivity = Test Pressure / Gravity</v>
      </c>
      <c r="D433" s="471" t="s">
        <v>395</v>
      </c>
      <c r="E433" s="473">
        <f>E8</f>
        <v>1E-3</v>
      </c>
      <c r="F433" s="474" t="s">
        <v>400</v>
      </c>
      <c r="G433" s="475" t="str">
        <f t="shared" si="173"/>
        <v/>
      </c>
      <c r="H433" s="476" t="str">
        <f t="shared" si="174"/>
        <v/>
      </c>
      <c r="I433" s="477">
        <f t="shared" si="175"/>
        <v>100</v>
      </c>
      <c r="J433" s="478" t="str">
        <f t="shared" si="176"/>
        <v/>
      </c>
      <c r="K433" s="479">
        <f ca="1">F426*E433</f>
        <v>0</v>
      </c>
      <c r="L433" s="480" t="str">
        <f t="shared" si="177"/>
        <v/>
      </c>
      <c r="M433" s="480" t="str">
        <f t="shared" si="170"/>
        <v>0</v>
      </c>
      <c r="N433" s="481" t="str">
        <f t="shared" si="171"/>
        <v>0</v>
      </c>
      <c r="O433" s="482" t="str">
        <f>IFERROR(T433,0)</f>
        <v/>
      </c>
      <c r="P433" s="492" t="s">
        <v>401</v>
      </c>
      <c r="Q433" s="493" t="e">
        <f ca="1">ABS(Q429*F426^3+Q430*F426^2+Q431*F426+Q432)</f>
        <v>#N/A</v>
      </c>
      <c r="R433" s="484" t="str">
        <f t="shared" si="178"/>
        <v/>
      </c>
      <c r="S433" s="465" t="str">
        <f t="shared" si="179"/>
        <v/>
      </c>
      <c r="T433" s="465" t="str">
        <f>IF(OR(E433="",B433=0),"",ABS(L433/S441))</f>
        <v/>
      </c>
      <c r="U433" s="485"/>
    </row>
    <row r="434" spans="1:21" s="440" customFormat="1" ht="27">
      <c r="A434" s="470">
        <v>6</v>
      </c>
      <c r="B434" s="471">
        <f>$B$9</f>
        <v>0</v>
      </c>
      <c r="C434" s="472" t="s">
        <v>402</v>
      </c>
      <c r="D434" s="471" t="s">
        <v>395</v>
      </c>
      <c r="E434" s="473">
        <v>2</v>
      </c>
      <c r="F434" s="474" t="s">
        <v>403</v>
      </c>
      <c r="G434" s="475" t="str">
        <f t="shared" si="173"/>
        <v/>
      </c>
      <c r="H434" s="476" t="str">
        <f t="shared" si="174"/>
        <v/>
      </c>
      <c r="I434" s="477">
        <f t="shared" si="175"/>
        <v>100</v>
      </c>
      <c r="J434" s="478" t="str">
        <f t="shared" si="176"/>
        <v/>
      </c>
      <c r="K434" s="479">
        <f ca="1">F426*-0.000022</f>
        <v>0</v>
      </c>
      <c r="L434" s="480" t="str">
        <f t="shared" si="177"/>
        <v/>
      </c>
      <c r="M434" s="480" t="str">
        <f t="shared" si="170"/>
        <v>0</v>
      </c>
      <c r="N434" s="481" t="str">
        <f t="shared" si="171"/>
        <v>0</v>
      </c>
      <c r="O434" s="482" t="str">
        <f t="shared" si="172"/>
        <v/>
      </c>
      <c r="P434" s="494" t="s">
        <v>404</v>
      </c>
      <c r="Q434" s="483" t="e">
        <f ca="1">VLOOKUP(VLOOKUP(I426,Worksheet!$A$18:$B$31,2),'1Test Data'!$O$30:$AD$49,14,0)</f>
        <v>#N/A</v>
      </c>
      <c r="R434" s="484" t="str">
        <f t="shared" si="178"/>
        <v/>
      </c>
      <c r="S434" s="465" t="str">
        <f t="shared" si="179"/>
        <v/>
      </c>
      <c r="T434" s="465" t="str">
        <f>IF(OR(E434="",B434=0),"",ABS(L434/S441))</f>
        <v/>
      </c>
      <c r="U434" s="485"/>
    </row>
    <row r="435" spans="1:21" s="440" customFormat="1" ht="27">
      <c r="A435" s="470">
        <v>7</v>
      </c>
      <c r="B435" s="471">
        <f>$B$10</f>
        <v>0</v>
      </c>
      <c r="C435" s="472" t="s">
        <v>405</v>
      </c>
      <c r="D435" s="471" t="s">
        <v>395</v>
      </c>
      <c r="E435" s="473">
        <v>0.5</v>
      </c>
      <c r="F435" s="474" t="s">
        <v>406</v>
      </c>
      <c r="G435" s="475" t="str">
        <f t="shared" si="173"/>
        <v/>
      </c>
      <c r="H435" s="476" t="str">
        <f t="shared" si="174"/>
        <v/>
      </c>
      <c r="I435" s="477">
        <f t="shared" si="175"/>
        <v>100</v>
      </c>
      <c r="J435" s="478" t="str">
        <f t="shared" si="176"/>
        <v/>
      </c>
      <c r="K435" s="479">
        <f ca="1">(0.098*F426)/1000</f>
        <v>0</v>
      </c>
      <c r="L435" s="480" t="str">
        <f t="shared" si="177"/>
        <v/>
      </c>
      <c r="M435" s="480" t="str">
        <f t="shared" si="170"/>
        <v>0</v>
      </c>
      <c r="N435" s="481" t="str">
        <f t="shared" si="171"/>
        <v>0</v>
      </c>
      <c r="O435" s="482" t="str">
        <f t="shared" si="172"/>
        <v/>
      </c>
      <c r="P435" s="464" t="s">
        <v>407</v>
      </c>
      <c r="Q435" s="452" t="e">
        <f ca="1">VLOOKUP(VLOOKUP(I426,Worksheet!$A$18:$B$31,2),'1Test Data'!$O$30:$X$49,10,0)</f>
        <v>#N/A</v>
      </c>
      <c r="R435" s="484" t="str">
        <f t="shared" si="178"/>
        <v/>
      </c>
      <c r="S435" s="465" t="str">
        <f t="shared" si="179"/>
        <v/>
      </c>
      <c r="T435" s="465" t="str">
        <f>IF(OR(E435="",B435=0),"",ABS(L435/S441))</f>
        <v/>
      </c>
      <c r="U435" s="485"/>
    </row>
    <row r="436" spans="1:21" s="440" customFormat="1" ht="27">
      <c r="A436" s="470">
        <v>8</v>
      </c>
      <c r="B436" s="471">
        <f>$B$11</f>
        <v>0</v>
      </c>
      <c r="C436" s="472" t="s">
        <v>408</v>
      </c>
      <c r="D436" s="471" t="s">
        <v>395</v>
      </c>
      <c r="E436" s="473">
        <v>0.05</v>
      </c>
      <c r="F436" s="474" t="s">
        <v>406</v>
      </c>
      <c r="G436" s="475" t="str">
        <f t="shared" si="173"/>
        <v/>
      </c>
      <c r="H436" s="476" t="str">
        <f t="shared" si="174"/>
        <v/>
      </c>
      <c r="I436" s="477">
        <f t="shared" si="175"/>
        <v>100</v>
      </c>
      <c r="J436" s="478" t="str">
        <f t="shared" si="176"/>
        <v/>
      </c>
      <c r="K436" s="479">
        <f ca="1">F426/8000</f>
        <v>0</v>
      </c>
      <c r="L436" s="480" t="str">
        <f t="shared" si="177"/>
        <v/>
      </c>
      <c r="M436" s="480" t="str">
        <f t="shared" si="170"/>
        <v>0</v>
      </c>
      <c r="N436" s="481" t="str">
        <f t="shared" si="171"/>
        <v>0</v>
      </c>
      <c r="O436" s="482" t="str">
        <f t="shared" si="172"/>
        <v/>
      </c>
      <c r="P436" s="464" t="s">
        <v>394</v>
      </c>
      <c r="Q436" s="483" t="e">
        <f ca="1">VLOOKUP(VLOOKUP(I426,Worksheet!$A$18:$B$31,2),'1Test Data'!$O$30:$AE$49,17,0)</f>
        <v>#N/A</v>
      </c>
      <c r="R436" s="484" t="str">
        <f t="shared" si="178"/>
        <v/>
      </c>
      <c r="S436" s="465" t="str">
        <f t="shared" si="179"/>
        <v/>
      </c>
      <c r="T436" s="465" t="str">
        <f>IF(OR(E436="",B436=0),"",ABS(L436/S441))</f>
        <v/>
      </c>
      <c r="U436" s="485"/>
    </row>
    <row r="437" spans="1:21" s="440" customFormat="1" ht="13.5" customHeight="1">
      <c r="A437" s="470">
        <v>9</v>
      </c>
      <c r="B437" s="471" t="e">
        <f>$B$12</f>
        <v>#NAME?</v>
      </c>
      <c r="C437" s="472" t="str">
        <f>"Electrical reference devise" &amp; '1Test Data'!$O$3 &amp;  CHAR(10) &amp; "SN: " &amp; '1Test Data'!$P$3 &amp; ", Cert No: " &amp; '1Test Data'!$Q$3</f>
        <v>Electrical reference devisea
SN: b, Cert No: c</v>
      </c>
      <c r="D437" s="471" t="s">
        <v>395</v>
      </c>
      <c r="E437" s="473">
        <f>ElectUncert</f>
        <v>2E-3</v>
      </c>
      <c r="F437" s="474" t="e">
        <f>IF(OR(E437="",B437=0),"",ReadoutType)</f>
        <v>#NAME?</v>
      </c>
      <c r="G437" s="475" t="e">
        <f t="shared" si="173"/>
        <v>#NAME?</v>
      </c>
      <c r="H437" s="476" t="e">
        <f t="shared" si="174"/>
        <v>#NAME?</v>
      </c>
      <c r="I437" s="477">
        <f t="shared" si="175"/>
        <v>100</v>
      </c>
      <c r="J437" s="478" t="e">
        <f t="shared" si="176"/>
        <v>#NAME?</v>
      </c>
      <c r="K437" s="479" t="e">
        <f>Capacity/(Upper-Lower)</f>
        <v>#NAME?</v>
      </c>
      <c r="L437" s="480" t="e">
        <f t="shared" si="177"/>
        <v>#NAME?</v>
      </c>
      <c r="M437" s="480" t="e">
        <f t="shared" si="170"/>
        <v>#NAME?</v>
      </c>
      <c r="N437" s="481" t="e">
        <f t="shared" si="171"/>
        <v>#NAME?</v>
      </c>
      <c r="O437" s="482" t="e">
        <f t="shared" si="172"/>
        <v>#NAME?</v>
      </c>
      <c r="P437" s="464" t="s">
        <v>396</v>
      </c>
      <c r="Q437" s="483" t="e">
        <f ca="1">VLOOKUP(VLOOKUP(I426,Worksheet!$A$18:$B$31,2),'1Test Data'!$O$30:$AF$49,18,0)</f>
        <v>#N/A</v>
      </c>
      <c r="R437" s="484" t="e">
        <f t="shared" si="178"/>
        <v>#NAME?</v>
      </c>
      <c r="S437" s="465" t="e">
        <f t="shared" si="179"/>
        <v>#NAME?</v>
      </c>
      <c r="T437" s="465" t="e">
        <f>IF(OR(E437="",B437=0),"",ABS(L437/S441))</f>
        <v>#NAME?</v>
      </c>
      <c r="U437" s="485"/>
    </row>
    <row r="438" spans="1:21" s="440" customFormat="1" ht="18" customHeight="1">
      <c r="A438" s="470">
        <v>10</v>
      </c>
      <c r="B438" s="471">
        <f>$B$13</f>
        <v>1</v>
      </c>
      <c r="C438" s="472" t="s">
        <v>409</v>
      </c>
      <c r="D438" s="471" t="s">
        <v>395</v>
      </c>
      <c r="E438" s="473" t="e">
        <f>Worksheet!#REF!*UnitConvert</f>
        <v>#REF!</v>
      </c>
      <c r="F438" s="474" t="e">
        <f>IF(OR(E438="",B438=0),"",$F$4)</f>
        <v>#REF!</v>
      </c>
      <c r="G438" s="475" t="str">
        <f t="shared" si="173"/>
        <v>B</v>
      </c>
      <c r="H438" s="476" t="e">
        <f t="shared" si="174"/>
        <v>#REF!</v>
      </c>
      <c r="I438" s="477">
        <f t="shared" si="175"/>
        <v>100</v>
      </c>
      <c r="J438" s="478" t="e">
        <f t="shared" si="176"/>
        <v>#REF!</v>
      </c>
      <c r="K438" s="479">
        <v>1</v>
      </c>
      <c r="L438" s="480" t="e">
        <f t="shared" si="177"/>
        <v>#REF!</v>
      </c>
      <c r="M438" s="480" t="e">
        <f t="shared" si="170"/>
        <v>#REF!</v>
      </c>
      <c r="N438" s="481" t="e">
        <f t="shared" si="171"/>
        <v>#REF!</v>
      </c>
      <c r="O438" s="482" t="e">
        <f t="shared" si="172"/>
        <v>#REF!</v>
      </c>
      <c r="P438" s="464" t="s">
        <v>201</v>
      </c>
      <c r="Q438" s="483" t="e">
        <f ca="1">VLOOKUP(VLOOKUP(I426,Worksheet!$A$18:$B$31,2),'1Test Data'!$O$30:$AG$49,19,0)</f>
        <v>#N/A</v>
      </c>
      <c r="R438" s="484" t="e">
        <f t="shared" si="178"/>
        <v>#REF!</v>
      </c>
      <c r="S438" s="465" t="e">
        <f t="shared" si="179"/>
        <v>#REF!</v>
      </c>
      <c r="T438" s="465" t="e">
        <f>IF(OR(E438="",B438=0),"",ABS(L438/S441))</f>
        <v>#REF!</v>
      </c>
      <c r="U438" s="485"/>
    </row>
    <row r="439" spans="1:21" s="440" customFormat="1" ht="13.5" customHeight="1">
      <c r="A439" s="470">
        <v>11</v>
      </c>
      <c r="B439" s="471" t="e">
        <f>$B$14</f>
        <v>#NAME?</v>
      </c>
      <c r="C439" s="496" t="e">
        <f>"DUT Type " &amp;ReadoutType&amp; " Resolution "&amp;Readability &amp; "kPa
Digital - Type B - Rect - 1/2 of  least count with D of F = 100 &amp; (k=1.73)
Analogue - Type B - N95 - Best scale readability with D of F = 60 &amp; k=2.00"</f>
        <v>#NAME?</v>
      </c>
      <c r="D439" s="471" t="e">
        <f>IF(ReadoutType="Digital","Rect","N95")</f>
        <v>#NAME?</v>
      </c>
      <c r="E439" s="473" t="e">
        <f>IF(Elect=1,($K437)/1000,IF(ReadoutType="Digital",Readability/2,Readability)*UnitConvert)</f>
        <v>#NAME?</v>
      </c>
      <c r="F439" s="474" t="e">
        <f>IF(OR(E439="",B439=0),"",$F$4)</f>
        <v>#NAME?</v>
      </c>
      <c r="G439" s="475" t="e">
        <f t="shared" si="173"/>
        <v>#NAME?</v>
      </c>
      <c r="H439" s="476" t="e">
        <f t="shared" si="174"/>
        <v>#NAME?</v>
      </c>
      <c r="I439" s="477" t="e">
        <f t="shared" si="175"/>
        <v>#NAME?</v>
      </c>
      <c r="J439" s="478" t="e">
        <f t="shared" si="176"/>
        <v>#NAME?</v>
      </c>
      <c r="K439" s="479">
        <v>1</v>
      </c>
      <c r="L439" s="480" t="e">
        <f t="shared" si="177"/>
        <v>#NAME?</v>
      </c>
      <c r="M439" s="480" t="e">
        <f t="shared" si="170"/>
        <v>#NAME?</v>
      </c>
      <c r="N439" s="481" t="e">
        <f t="shared" si="171"/>
        <v>#NAME?</v>
      </c>
      <c r="O439" s="482" t="e">
        <f t="shared" si="172"/>
        <v>#NAME?</v>
      </c>
      <c r="P439" s="464" t="s">
        <v>88</v>
      </c>
      <c r="Q439" s="483" t="e">
        <f ca="1">VLOOKUP(VLOOKUP(I426,Worksheet!$A$18:$B$31,2),'1Test Data'!$O$30:$AH$49,20,0)</f>
        <v>#N/A</v>
      </c>
      <c r="R439" s="484" t="e">
        <f t="shared" si="178"/>
        <v>#NAME?</v>
      </c>
      <c r="S439" s="465" t="e">
        <f t="shared" si="179"/>
        <v>#NAME?</v>
      </c>
      <c r="T439" s="465" t="e">
        <f>IF(OR(E439="",B439=0),"",ABS(L439/S441))</f>
        <v>#NAME?</v>
      </c>
      <c r="U439" s="485"/>
    </row>
    <row r="440" spans="1:21" s="440" customFormat="1" ht="27">
      <c r="A440" s="470">
        <v>12</v>
      </c>
      <c r="B440" s="471" t="e">
        <f>$B$15</f>
        <v>#NAME?</v>
      </c>
      <c r="C440" s="496" t="s">
        <v>410</v>
      </c>
      <c r="D440" s="471" t="s">
        <v>395</v>
      </c>
      <c r="E440" s="473" t="e">
        <f>E439</f>
        <v>#NAME?</v>
      </c>
      <c r="F440" s="474" t="e">
        <f>IF(OR(E440="",B440=0),"",$F$4)</f>
        <v>#NAME?</v>
      </c>
      <c r="G440" s="475" t="e">
        <f t="shared" si="173"/>
        <v>#NAME?</v>
      </c>
      <c r="H440" s="476" t="e">
        <f t="shared" si="174"/>
        <v>#NAME?</v>
      </c>
      <c r="I440" s="477">
        <f t="shared" si="175"/>
        <v>100</v>
      </c>
      <c r="J440" s="478" t="e">
        <f t="shared" si="176"/>
        <v>#NAME?</v>
      </c>
      <c r="K440" s="479">
        <v>1</v>
      </c>
      <c r="L440" s="480" t="e">
        <f t="shared" si="177"/>
        <v>#NAME?</v>
      </c>
      <c r="M440" s="480" t="e">
        <f t="shared" si="170"/>
        <v>#NAME?</v>
      </c>
      <c r="N440" s="481" t="e">
        <f t="shared" si="171"/>
        <v>#NAME?</v>
      </c>
      <c r="O440" s="482" t="e">
        <f t="shared" si="172"/>
        <v>#NAME?</v>
      </c>
      <c r="P440" s="464" t="s">
        <v>411</v>
      </c>
      <c r="Q440" s="483" t="e">
        <f ca="1">ABS(Q436*F426^3+Q437*F426^2+Q438*F426+Q439)</f>
        <v>#N/A</v>
      </c>
      <c r="R440" s="484" t="e">
        <f t="shared" si="178"/>
        <v>#NAME?</v>
      </c>
      <c r="S440" s="465" t="e">
        <f t="shared" si="179"/>
        <v>#NAME?</v>
      </c>
      <c r="T440" s="465" t="e">
        <f>IF(OR(E440="",B440=0),"",ABS(L440/S441))</f>
        <v>#NAME?</v>
      </c>
      <c r="U440" s="485"/>
    </row>
    <row r="441" spans="1:21" s="440" customFormat="1" ht="25.5">
      <c r="A441" s="497"/>
      <c r="B441" s="498"/>
      <c r="C441" s="448"/>
      <c r="D441" s="448"/>
      <c r="E441" s="448"/>
      <c r="F441" s="448"/>
      <c r="G441" s="448"/>
      <c r="H441" s="448"/>
      <c r="I441" s="484"/>
      <c r="J441" s="448"/>
      <c r="K441" s="448"/>
      <c r="L441" s="499" t="s">
        <v>412</v>
      </c>
      <c r="M441" s="499" t="e">
        <f ca="1">SUM(M429:M440)</f>
        <v>#N/A</v>
      </c>
      <c r="N441" s="500" t="e">
        <f ca="1">SUM(N429:N440)</f>
        <v>#N/A</v>
      </c>
      <c r="O441" s="501" t="e">
        <f ca="1">SUM(O429:O440)</f>
        <v>#N/A</v>
      </c>
      <c r="P441" s="464" t="s">
        <v>413</v>
      </c>
      <c r="Q441" s="483" t="e">
        <f ca="1">VLOOKUP(VLOOKUP(I426,Worksheet!$A$18:$B$31,2),'1Test Data'!$O$30:$AJ$49,22,0)</f>
        <v>#N/A</v>
      </c>
      <c r="R441" s="453"/>
      <c r="S441" s="465" t="e">
        <f ca="1">SUM(S429:S440)</f>
        <v>#N/A</v>
      </c>
      <c r="T441" s="465" t="e">
        <f ca="1">SUM(T429:T440)</f>
        <v>#N/A</v>
      </c>
      <c r="U441" s="455"/>
    </row>
    <row r="442" spans="1:21" s="440" customFormat="1">
      <c r="A442" s="504"/>
      <c r="B442" s="448"/>
      <c r="C442" s="498" t="s">
        <v>414</v>
      </c>
      <c r="D442" s="448"/>
      <c r="E442" s="448"/>
      <c r="F442" s="448"/>
      <c r="G442" s="448"/>
      <c r="H442" s="448"/>
      <c r="I442" s="448"/>
      <c r="J442" s="448"/>
      <c r="K442" s="448"/>
      <c r="L442" s="505"/>
      <c r="M442" s="505"/>
      <c r="N442" s="505"/>
      <c r="O442" s="505"/>
      <c r="P442" s="464" t="s">
        <v>394</v>
      </c>
      <c r="Q442" s="483" t="e">
        <f ca="1">VLOOKUP(VLOOKUP(I426,Worksheet!$A$18:$B$31,2),'1Test Data'!$O$30:$AK$49,23,0)</f>
        <v>#N/A</v>
      </c>
      <c r="R442" s="453"/>
      <c r="S442" s="453"/>
      <c r="T442" s="453"/>
      <c r="U442" s="455"/>
    </row>
    <row r="443" spans="1:21" s="440" customFormat="1" ht="13.5" customHeight="1">
      <c r="A443" s="504"/>
      <c r="B443" s="448"/>
      <c r="C443" s="1090" t="s">
        <v>415</v>
      </c>
      <c r="D443" s="1091"/>
      <c r="E443" s="1091"/>
      <c r="F443" s="1091"/>
      <c r="G443" s="1092"/>
      <c r="H443" s="448"/>
      <c r="I443" s="448"/>
      <c r="J443" s="448"/>
      <c r="K443" s="448"/>
      <c r="L443" s="506" t="s">
        <v>416</v>
      </c>
      <c r="M443" s="507" t="e">
        <f ca="1">M441^0.5</f>
        <v>#N/A</v>
      </c>
      <c r="N443" s="508" t="str">
        <f>Uncert!$F$4</f>
        <v>ABS kPa</v>
      </c>
      <c r="O443" s="505" t="e">
        <f ca="1">(M441-M432-M437-M439-M440)^0.5</f>
        <v>#N/A</v>
      </c>
      <c r="P443" s="464" t="s">
        <v>396</v>
      </c>
      <c r="Q443" s="483" t="e">
        <f ca="1">VLOOKUP(VLOOKUP(I426,Worksheet!$A$18:$B$31,2),'1Test Data'!$O$30:$AL$49,24,0)</f>
        <v>#N/A</v>
      </c>
      <c r="R443" s="453"/>
      <c r="S443" s="453"/>
      <c r="T443" s="453"/>
      <c r="U443" s="455"/>
    </row>
    <row r="444" spans="1:21" s="440" customFormat="1">
      <c r="A444" s="504"/>
      <c r="B444" s="448"/>
      <c r="C444" s="1093"/>
      <c r="D444" s="1094"/>
      <c r="E444" s="1094"/>
      <c r="F444" s="1094"/>
      <c r="G444" s="1095"/>
      <c r="H444" s="448"/>
      <c r="I444" s="448"/>
      <c r="J444" s="448"/>
      <c r="K444" s="448"/>
      <c r="L444" s="506" t="s">
        <v>417</v>
      </c>
      <c r="M444" s="507" t="e">
        <f ca="1">M443^4/N441</f>
        <v>#N/A</v>
      </c>
      <c r="N444" s="509"/>
      <c r="O444" s="510" t="e">
        <f ca="1">O443^4/(N441-N432-N437-N439-N440)</f>
        <v>#N/A</v>
      </c>
      <c r="P444" s="464" t="s">
        <v>201</v>
      </c>
      <c r="Q444" s="483" t="e">
        <f ca="1">VLOOKUP(VLOOKUP(I426,Worksheet!$A$18:$B$31,2),'1Test Data'!$O$30:$AM$49,25,0)</f>
        <v>#N/A</v>
      </c>
      <c r="R444" s="453"/>
      <c r="S444" s="453"/>
      <c r="T444" s="453"/>
      <c r="U444" s="455"/>
    </row>
    <row r="445" spans="1:21" s="440" customFormat="1">
      <c r="A445" s="504"/>
      <c r="B445" s="448"/>
      <c r="C445" s="1093"/>
      <c r="D445" s="1094"/>
      <c r="E445" s="1094"/>
      <c r="F445" s="1094"/>
      <c r="G445" s="1095"/>
      <c r="H445" s="448"/>
      <c r="I445" s="448"/>
      <c r="J445" s="448"/>
      <c r="K445" s="448"/>
      <c r="L445" s="506" t="s">
        <v>418</v>
      </c>
      <c r="M445" s="507" t="e">
        <f ca="1">TINV(0.05,M444)</f>
        <v>#N/A</v>
      </c>
      <c r="N445" s="508"/>
      <c r="O445" s="507" t="e">
        <f ca="1">TINV(0.05,O444)</f>
        <v>#N/A</v>
      </c>
      <c r="P445" s="464" t="s">
        <v>88</v>
      </c>
      <c r="Q445" s="483" t="e">
        <f ca="1">VLOOKUP(VLOOKUP(I426,Worksheet!$A$18:$B$31,2),'1Test Data'!$O$30:$AN$49,26,0)</f>
        <v>#N/A</v>
      </c>
      <c r="R445" s="453"/>
      <c r="S445" s="453"/>
      <c r="T445" s="453"/>
      <c r="U445" s="455"/>
    </row>
    <row r="446" spans="1:21" s="440" customFormat="1">
      <c r="A446" s="504"/>
      <c r="B446" s="448"/>
      <c r="C446" s="1093"/>
      <c r="D446" s="1094"/>
      <c r="E446" s="1094"/>
      <c r="F446" s="1094"/>
      <c r="G446" s="1095"/>
      <c r="H446" s="448"/>
      <c r="I446" s="448"/>
      <c r="J446" s="448"/>
      <c r="K446" s="448"/>
      <c r="L446" s="506" t="s">
        <v>419</v>
      </c>
      <c r="M446" s="507" t="e">
        <f ca="1">M443*M445</f>
        <v>#N/A</v>
      </c>
      <c r="N446" s="508" t="str">
        <f>Uncert!$F$4</f>
        <v>ABS kPa</v>
      </c>
      <c r="O446" s="507" t="e">
        <f ca="1">O443*O445</f>
        <v>#N/A</v>
      </c>
      <c r="P446" s="464" t="s">
        <v>420</v>
      </c>
      <c r="Q446" s="483" t="e">
        <f ca="1">ABS(Q442*F426^3+Q443*F426^2+Q444*F426+Q445)</f>
        <v>#N/A</v>
      </c>
      <c r="R446" s="453"/>
      <c r="S446" s="453"/>
      <c r="T446" s="453"/>
      <c r="U446" s="455"/>
    </row>
    <row r="447" spans="1:21" s="440" customFormat="1">
      <c r="A447" s="497"/>
      <c r="B447" s="498"/>
      <c r="C447" s="1096"/>
      <c r="D447" s="1097"/>
      <c r="E447" s="1097"/>
      <c r="F447" s="1097"/>
      <c r="G447" s="1098"/>
      <c r="H447" s="448"/>
      <c r="I447" s="448"/>
      <c r="J447" s="511"/>
      <c r="K447" s="511"/>
      <c r="L447" s="512" t="s">
        <v>421</v>
      </c>
      <c r="M447" s="513" t="e">
        <f ca="1">M446</f>
        <v>#N/A</v>
      </c>
      <c r="N447" s="514" t="str">
        <f>Uncert!$F$4</f>
        <v>ABS kPa</v>
      </c>
      <c r="O447" s="513" t="e">
        <f ca="1">O446</f>
        <v>#N/A</v>
      </c>
      <c r="P447" s="464" t="s">
        <v>422</v>
      </c>
      <c r="Q447" s="483" t="e">
        <f ca="1">VLOOKUP(VLOOKUP(I426,Worksheet!$A$18:$B$31,2),'1Test Data'!$O$30:$AP$49,28,0)</f>
        <v>#N/A</v>
      </c>
      <c r="R447" s="453"/>
      <c r="S447" s="453"/>
      <c r="T447" s="453"/>
      <c r="U447" s="455"/>
    </row>
    <row r="448" spans="1:21" s="440" customFormat="1">
      <c r="A448" s="497"/>
      <c r="B448" s="498"/>
      <c r="C448" s="498" t="s">
        <v>423</v>
      </c>
      <c r="D448" s="448"/>
      <c r="E448" s="448"/>
      <c r="F448" s="448"/>
      <c r="G448" s="448"/>
      <c r="H448" s="515" t="e">
        <f>"N " &amp; ReadoutType</f>
        <v>#NAME?</v>
      </c>
      <c r="I448" s="516" t="e">
        <f ca="1">($O449/$K437)</f>
        <v>#N/A</v>
      </c>
      <c r="J448" s="448"/>
      <c r="K448" s="448"/>
      <c r="L448" s="505"/>
      <c r="M448" s="517" t="e">
        <f ca="1">(M447/F426)*100</f>
        <v>#N/A</v>
      </c>
      <c r="N448" s="518" t="s">
        <v>78</v>
      </c>
      <c r="O448" s="517"/>
      <c r="P448" s="519"/>
      <c r="Q448" s="519"/>
      <c r="R448" s="453"/>
      <c r="S448" s="453"/>
      <c r="T448" s="453"/>
      <c r="U448" s="455"/>
    </row>
    <row r="449" spans="1:21" s="440" customFormat="1">
      <c r="A449" s="497"/>
      <c r="B449" s="498"/>
      <c r="C449" s="520" t="s">
        <v>33</v>
      </c>
      <c r="D449" s="521" t="str">
        <f ca="1">Gravity</f>
        <v/>
      </c>
      <c r="E449" s="520" t="s">
        <v>36</v>
      </c>
      <c r="F449" s="522"/>
      <c r="G449" s="523"/>
      <c r="H449" s="524" t="e">
        <f>ReadoutType</f>
        <v>#NAME?</v>
      </c>
      <c r="I449" s="516" t="e">
        <f ca="1">($M449/$K437)</f>
        <v>#N/A</v>
      </c>
      <c r="J449" s="1103" t="s">
        <v>424</v>
      </c>
      <c r="K449" s="1104"/>
      <c r="L449" s="1104"/>
      <c r="M449" s="525" t="e">
        <f ca="1">IF(NATA="Y",IF(M447&lt;Scopekpa,IF(Scopekpa&lt;((F426/100)*ScopeReading),((F426/100)*ScopeReading),Scopekpa),IF(M447&lt;((F426/100)*ScopeReading),((F426/100)*ScopeReading),M447)),Uncert!M447)</f>
        <v>#N/A</v>
      </c>
      <c r="N449" s="522" t="s">
        <v>425</v>
      </c>
      <c r="O449" s="525" t="e">
        <f ca="1">IF(NATA="Y",IF(O447&lt;Scopekpa,IF(Scopekpa&lt;((F426/100)*ScopeReading),((F426/100)*ScopeReading),Scopekpa),IF(O447&lt;((F426/100)*ScopeReading),((F426/100)*ScopeReading),O447)),Uncert!O447)</f>
        <v>#N/A</v>
      </c>
      <c r="P449" s="522"/>
      <c r="Q449" s="522"/>
      <c r="R449" s="453"/>
      <c r="S449" s="453"/>
      <c r="T449" s="453"/>
      <c r="U449" s="455"/>
    </row>
    <row r="450" spans="1:21" s="440" customFormat="1" ht="14.25" thickBot="1">
      <c r="A450" s="526" t="str">
        <f>"Worksheet!A" &amp; 17+(ROW()/25)</f>
        <v>Worksheet!A35</v>
      </c>
      <c r="B450" s="527"/>
      <c r="C450" s="527"/>
      <c r="D450" s="528">
        <f>ROW()/25</f>
        <v>18</v>
      </c>
      <c r="E450" s="529"/>
      <c r="F450" s="529"/>
      <c r="G450" s="529"/>
      <c r="H450" s="529"/>
      <c r="I450" s="530"/>
      <c r="J450" s="1105" t="s">
        <v>424</v>
      </c>
      <c r="K450" s="1105"/>
      <c r="L450" s="1105"/>
      <c r="M450" s="531" t="e">
        <f ca="1">IF(NATA="Y",IF(M448&lt;ScopeReading,ScopeReading,M448),M448)</f>
        <v>#N/A</v>
      </c>
      <c r="N450" s="532" t="s">
        <v>78</v>
      </c>
      <c r="O450" s="531"/>
      <c r="P450" s="532"/>
      <c r="Q450" s="527"/>
      <c r="R450" s="527"/>
      <c r="S450" s="527"/>
      <c r="T450" s="527"/>
      <c r="U450" s="533"/>
    </row>
    <row r="451" spans="1:21" s="440" customFormat="1">
      <c r="A451" s="1099" t="e">
        <f ca="1">"Uncertainty Budget: Digital Pressure Gauge (" &amp; Q451&amp; ", "&amp; Q452 &amp; H451 &amp;" x " &amp; Division   &amp;H451 &amp; " )" &amp; " Test Point "&amp;D475</f>
        <v>#N/A</v>
      </c>
      <c r="B451" s="1100"/>
      <c r="C451" s="1100"/>
      <c r="D451" s="1100"/>
      <c r="E451" s="1100"/>
      <c r="F451" s="1101">
        <f ca="1">ABS(I451*UnitConvert)</f>
        <v>0</v>
      </c>
      <c r="G451" s="1102"/>
      <c r="H451" s="428" t="s">
        <v>371</v>
      </c>
      <c r="I451" s="429">
        <f ca="1">INDIRECT(A475)</f>
        <v>0</v>
      </c>
      <c r="J451" s="430" t="str">
        <f>_xlfn.SINGLE(Units)</f>
        <v>mm</v>
      </c>
      <c r="K451" s="431" t="e">
        <f ca="1">IF(C454="","","Uncertainty (U) = ±"&amp;TEXT(M472,"0.0")&amp;$F$4&amp;",  &amp;  (k="&amp;TEXT(M470,"0.00")&amp;", confidence level=95%)")</f>
        <v>#N/A</v>
      </c>
      <c r="L451" s="432"/>
      <c r="M451" s="432"/>
      <c r="N451" s="432"/>
      <c r="O451" s="433"/>
      <c r="P451" s="434" t="s">
        <v>372</v>
      </c>
      <c r="Q451" s="435" t="e">
        <f ca="1">VLOOKUP(VLOOKUP(I451,Worksheet!$A$18:$B$31,2),'1Test Data'!$M$6:$O$10,2,0)</f>
        <v>#N/A</v>
      </c>
      <c r="R451" s="436"/>
      <c r="S451" s="436"/>
      <c r="T451" s="437" t="str">
        <f ca="1">"TEX Ver "&amp;Mods!$A$1</f>
        <v>TEX Ver TAS-SST001v1</v>
      </c>
      <c r="U451" s="438"/>
    </row>
    <row r="452" spans="1:21" s="440" customFormat="1">
      <c r="A452" s="442" t="s">
        <v>373</v>
      </c>
      <c r="B452" s="443"/>
      <c r="C452" s="444"/>
      <c r="D452" s="445" t="s">
        <v>374</v>
      </c>
      <c r="E452" s="446" t="e">
        <f ca="1">Q452</f>
        <v>#N/A</v>
      </c>
      <c r="F452" s="447"/>
      <c r="G452" s="447" t="e">
        <f ca="1">ROUND(M472/(F451/100),2)&amp;"% of Full Scale"</f>
        <v>#N/A</v>
      </c>
      <c r="H452" s="448"/>
      <c r="I452" s="448"/>
      <c r="J452" s="449" t="e">
        <f ca="1">M473</f>
        <v>#N/A</v>
      </c>
      <c r="K452" s="448"/>
      <c r="L452" s="450"/>
      <c r="M452" s="450"/>
      <c r="N452" s="450"/>
      <c r="O452" s="433"/>
      <c r="P452" s="451" t="s">
        <v>375</v>
      </c>
      <c r="Q452" s="452" t="e">
        <f ca="1">VLOOKUP(VLOOKUP(I451,Worksheet!$A$18:$B$31,2),'1Test Data'!$O$30:$T$49,6,0)</f>
        <v>#N/A</v>
      </c>
      <c r="R452" s="453">
        <v>0</v>
      </c>
      <c r="S452" s="453"/>
      <c r="T452" s="454">
        <f ca="1">Mods!$A$4</f>
        <v>45809.486168981479</v>
      </c>
      <c r="U452" s="455"/>
    </row>
    <row r="453" spans="1:21" s="440" customFormat="1" ht="38.25">
      <c r="A453" s="458" t="s">
        <v>376</v>
      </c>
      <c r="B453" s="459" t="s">
        <v>377</v>
      </c>
      <c r="C453" s="460" t="s">
        <v>378</v>
      </c>
      <c r="D453" s="460" t="s">
        <v>379</v>
      </c>
      <c r="E453" s="460" t="s">
        <v>380</v>
      </c>
      <c r="F453" s="460" t="s">
        <v>381</v>
      </c>
      <c r="G453" s="460" t="s">
        <v>178</v>
      </c>
      <c r="H453" s="461" t="s">
        <v>382</v>
      </c>
      <c r="I453" s="461" t="s">
        <v>383</v>
      </c>
      <c r="J453" s="462" t="s">
        <v>384</v>
      </c>
      <c r="K453" s="463" t="s">
        <v>385</v>
      </c>
      <c r="L453" s="461" t="s">
        <v>386</v>
      </c>
      <c r="M453" s="461" t="s">
        <v>387</v>
      </c>
      <c r="N453" s="461" t="s">
        <v>388</v>
      </c>
      <c r="O453" s="461" t="s">
        <v>389</v>
      </c>
      <c r="P453" s="464" t="s">
        <v>390</v>
      </c>
      <c r="Q453" s="452" t="e">
        <f ca="1">VLOOKUP(VLOOKUP(I451,Worksheet!$A$18:$B$31,2),'1Test Data'!$O$30:$V$49,8,0)</f>
        <v>#N/A</v>
      </c>
      <c r="R453" s="465" t="s">
        <v>391</v>
      </c>
      <c r="S453" s="465" t="s">
        <v>391</v>
      </c>
      <c r="T453" s="466" t="s">
        <v>392</v>
      </c>
      <c r="U453" s="467"/>
    </row>
    <row r="454" spans="1:21" s="440" customFormat="1" ht="18" customHeight="1">
      <c r="A454" s="470">
        <v>1</v>
      </c>
      <c r="B454" s="471">
        <f>$B$4</f>
        <v>1</v>
      </c>
      <c r="C454" s="472" t="e">
        <f ca="1">"Reference Device  ("&amp;Q452&amp;" Druck Transducer) + Sey
Uncertainty from Calibration Report - "&amp;Q451</f>
        <v>#N/A</v>
      </c>
      <c r="D454" s="471" t="s">
        <v>393</v>
      </c>
      <c r="E454" s="473" t="e">
        <f ca="1">Q458+Q459</f>
        <v>#N/A</v>
      </c>
      <c r="F454" s="474" t="str">
        <f>H451</f>
        <v>ABS kPa</v>
      </c>
      <c r="G454" s="475" t="str">
        <f>IF(OR(D454="",B454=0),"",IF(D454="ESDM","A","B"))</f>
        <v>B</v>
      </c>
      <c r="H454" s="476" t="e">
        <f ca="1">IF(OR(E454="",B454=0),"",IF(D454="ESDM",1,IF(D454="N95",2,IF(D454="Rect",(3^0.5)))))</f>
        <v>#N/A</v>
      </c>
      <c r="I454" s="477">
        <f>IF(D454="N95",60,100)</f>
        <v>60</v>
      </c>
      <c r="J454" s="478" t="e">
        <f ca="1">IF(OR(E454="",B454=0),"",(E454/H454))</f>
        <v>#N/A</v>
      </c>
      <c r="K454" s="479">
        <v>1</v>
      </c>
      <c r="L454" s="480" t="e">
        <f ca="1">IF(OR(E454="",B454=0),"",K454*J454)</f>
        <v>#N/A</v>
      </c>
      <c r="M454" s="480" t="e">
        <f t="shared" ref="M454:M465" ca="1" si="180">IF(OR(E454="",B454=0),"0",L454^2)</f>
        <v>#N/A</v>
      </c>
      <c r="N454" s="481" t="e">
        <f t="shared" ref="N454:N465" ca="1" si="181">IF(OR(D454="",B454=0),"0",(L454)^4/I454)</f>
        <v>#N/A</v>
      </c>
      <c r="O454" s="482" t="e">
        <f t="shared" ref="O454:O465" ca="1" si="182">T454</f>
        <v>#N/A</v>
      </c>
      <c r="P454" s="464" t="s">
        <v>394</v>
      </c>
      <c r="Q454" s="483" t="e">
        <f ca="1">VLOOKUP(VLOOKUP(I451,Worksheet!$A$18:$B$31,2),'1Test Data'!$O$30:$Y$49,11,0)</f>
        <v>#N/A</v>
      </c>
      <c r="R454" s="484" t="e">
        <f ca="1">IF(OR(E454="",B454=0),"",K454*J454)</f>
        <v>#N/A</v>
      </c>
      <c r="S454" s="465" t="e">
        <f ca="1">IF(OR(E454="",B454=0),"",ABS(R454))</f>
        <v>#N/A</v>
      </c>
      <c r="T454" s="465" t="e">
        <f ca="1">IF(OR(E454="",B454=0),"",ABS(L454/S466))</f>
        <v>#N/A</v>
      </c>
      <c r="U454" s="485"/>
    </row>
    <row r="455" spans="1:21" s="440" customFormat="1" ht="27" customHeight="1">
      <c r="A455" s="470">
        <v>2</v>
      </c>
      <c r="B455" s="471">
        <f>$B$5</f>
        <v>1</v>
      </c>
      <c r="C455" s="472" t="e">
        <f ca="1">"Reference Device  Specs +Sey
(" &amp; Q452 &amp; H451 &amp; " Druck Transducer)
"&amp;Q453 &amp; "% of F.S. from Calibration Report - " &amp; Q451</f>
        <v>#N/A</v>
      </c>
      <c r="D455" s="471" t="s">
        <v>395</v>
      </c>
      <c r="E455" s="473" t="e">
        <f ca="1">Q471+Q472</f>
        <v>#N/A</v>
      </c>
      <c r="F455" s="474" t="e">
        <f ca="1">IF(OR(E455="",B455=0),"",$F$4)</f>
        <v>#N/A</v>
      </c>
      <c r="G455" s="475" t="str">
        <f t="shared" ref="G455:G465" si="183">IF(OR(D455="",B455=0),"",IF(D455="ESDM","A","B"))</f>
        <v>B</v>
      </c>
      <c r="H455" s="476" t="e">
        <f t="shared" ref="H455:H465" ca="1" si="184">IF(OR(E455="",B455=0),"",IF(D455="ESDM",1,IF(D455="N95",2,IF(D455="Rect",(3^0.5)))))</f>
        <v>#N/A</v>
      </c>
      <c r="I455" s="477">
        <f t="shared" ref="I455:I465" si="185">IF(D455="N95",60,100)</f>
        <v>100</v>
      </c>
      <c r="J455" s="478" t="e">
        <f t="shared" ref="J455:J465" ca="1" si="186">IF(OR(E455="",B455=0),"",(E455/H455))</f>
        <v>#N/A</v>
      </c>
      <c r="K455" s="479">
        <v>1</v>
      </c>
      <c r="L455" s="480" t="e">
        <f t="shared" ref="L455:L465" ca="1" si="187">IF(OR(E455="",B455=0),"",K455*J455)</f>
        <v>#N/A</v>
      </c>
      <c r="M455" s="480" t="e">
        <f t="shared" ca="1" si="180"/>
        <v>#N/A</v>
      </c>
      <c r="N455" s="481" t="e">
        <f t="shared" ca="1" si="181"/>
        <v>#N/A</v>
      </c>
      <c r="O455" s="482" t="e">
        <f t="shared" ca="1" si="182"/>
        <v>#N/A</v>
      </c>
      <c r="P455" s="464" t="s">
        <v>396</v>
      </c>
      <c r="Q455" s="483" t="e">
        <f ca="1">VLOOKUP(VLOOKUP(I451,Worksheet!$A$18:$B$31,2),'1Test Data'!$O$30:$Z$49,12,0)</f>
        <v>#N/A</v>
      </c>
      <c r="R455" s="484" t="e">
        <f t="shared" ref="R455:R465" ca="1" si="188">IF(OR(E455="",B455=0),"",K455*J455)</f>
        <v>#N/A</v>
      </c>
      <c r="S455" s="465" t="e">
        <f t="shared" ref="S455:S465" ca="1" si="189">IF(OR(E455="",B455=0),"",ABS(R455))</f>
        <v>#N/A</v>
      </c>
      <c r="T455" s="465" t="e">
        <f ca="1">IF(OR(E455="",B455=0),"",ABS(L455/S466))</f>
        <v>#N/A</v>
      </c>
      <c r="U455" s="485"/>
    </row>
    <row r="456" spans="1:21" s="440" customFormat="1" ht="18" customHeight="1">
      <c r="A456" s="470">
        <v>3</v>
      </c>
      <c r="B456" s="471">
        <f>$B$6</f>
        <v>1</v>
      </c>
      <c r="C456" s="472" t="s">
        <v>397</v>
      </c>
      <c r="D456" s="471" t="s">
        <v>395</v>
      </c>
      <c r="E456" s="473" t="e">
        <f ca="1">Q460*F451/100</f>
        <v>#N/A</v>
      </c>
      <c r="F456" s="474" t="e">
        <f ca="1">IF(OR(E456="",B456=0),"",$F$4)</f>
        <v>#N/A</v>
      </c>
      <c r="G456" s="475" t="str">
        <f t="shared" si="183"/>
        <v>B</v>
      </c>
      <c r="H456" s="476" t="e">
        <f t="shared" ca="1" si="184"/>
        <v>#N/A</v>
      </c>
      <c r="I456" s="477">
        <f t="shared" si="185"/>
        <v>100</v>
      </c>
      <c r="J456" s="478" t="e">
        <f t="shared" ca="1" si="186"/>
        <v>#N/A</v>
      </c>
      <c r="K456" s="479">
        <v>1</v>
      </c>
      <c r="L456" s="480" t="e">
        <f t="shared" ca="1" si="187"/>
        <v>#N/A</v>
      </c>
      <c r="M456" s="480" t="e">
        <f t="shared" ca="1" si="180"/>
        <v>#N/A</v>
      </c>
      <c r="N456" s="481" t="e">
        <f t="shared" ca="1" si="181"/>
        <v>#N/A</v>
      </c>
      <c r="O456" s="482" t="e">
        <f t="shared" ca="1" si="182"/>
        <v>#N/A</v>
      </c>
      <c r="P456" s="464" t="s">
        <v>201</v>
      </c>
      <c r="Q456" s="483" t="e">
        <f ca="1">VLOOKUP(VLOOKUP(I451,Worksheet!$A$18:$B$31,2),'1Test Data'!$O$30:$AA$49,13,0)</f>
        <v>#N/A</v>
      </c>
      <c r="R456" s="484" t="e">
        <f t="shared" ca="1" si="188"/>
        <v>#N/A</v>
      </c>
      <c r="S456" s="465" t="e">
        <f t="shared" ca="1" si="189"/>
        <v>#N/A</v>
      </c>
      <c r="T456" s="465" t="e">
        <f ca="1">IF(OR(E456="",B456=0),"",ABS(L456/S466))</f>
        <v>#N/A</v>
      </c>
      <c r="U456" s="485"/>
    </row>
    <row r="457" spans="1:21" s="440" customFormat="1" ht="18" customHeight="1">
      <c r="A457" s="470">
        <v>4</v>
      </c>
      <c r="B457" s="471" t="e">
        <f>$B$7</f>
        <v>#NAME?</v>
      </c>
      <c r="C457" s="472" t="s">
        <v>398</v>
      </c>
      <c r="D457" s="471" t="s">
        <v>395</v>
      </c>
      <c r="E457" s="473">
        <f>EDMS*UnitConvert</f>
        <v>0</v>
      </c>
      <c r="F457" s="474" t="e">
        <f>IF(OR(E457="",B457=0),"",$F$4)</f>
        <v>#NAME?</v>
      </c>
      <c r="G457" s="475" t="e">
        <f t="shared" si="183"/>
        <v>#NAME?</v>
      </c>
      <c r="H457" s="476" t="e">
        <f t="shared" si="184"/>
        <v>#NAME?</v>
      </c>
      <c r="I457" s="477">
        <f t="shared" si="185"/>
        <v>100</v>
      </c>
      <c r="J457" s="478" t="e">
        <f t="shared" si="186"/>
        <v>#NAME?</v>
      </c>
      <c r="K457" s="479">
        <v>1</v>
      </c>
      <c r="L457" s="480" t="e">
        <f t="shared" si="187"/>
        <v>#NAME?</v>
      </c>
      <c r="M457" s="480" t="e">
        <f t="shared" si="180"/>
        <v>#NAME?</v>
      </c>
      <c r="N457" s="481" t="e">
        <f t="shared" si="181"/>
        <v>#NAME?</v>
      </c>
      <c r="O457" s="482" t="e">
        <f t="shared" si="182"/>
        <v>#NAME?</v>
      </c>
      <c r="P457" s="464" t="s">
        <v>88</v>
      </c>
      <c r="Q457" s="483" t="e">
        <f ca="1">VLOOKUP(VLOOKUP(I451,Worksheet!$A$18:$B$31,2),'1Test Data'!$O$30:$AB$49,14,0)</f>
        <v>#N/A</v>
      </c>
      <c r="R457" s="484" t="e">
        <f t="shared" si="188"/>
        <v>#NAME?</v>
      </c>
      <c r="S457" s="465" t="e">
        <f t="shared" si="189"/>
        <v>#NAME?</v>
      </c>
      <c r="T457" s="465" t="e">
        <f>IF(OR(E457="",B457=0),"",ABS(L457/S466))</f>
        <v>#NAME?</v>
      </c>
      <c r="U457" s="485"/>
    </row>
    <row r="458" spans="1:21" s="440" customFormat="1" ht="27">
      <c r="A458" s="470">
        <v>5</v>
      </c>
      <c r="B458" s="471">
        <f>$B$8</f>
        <v>0</v>
      </c>
      <c r="C458" s="472" t="s">
        <v>426</v>
      </c>
      <c r="D458" s="471" t="s">
        <v>395</v>
      </c>
      <c r="E458" s="473">
        <v>1E-3</v>
      </c>
      <c r="F458" s="474" t="s">
        <v>400</v>
      </c>
      <c r="G458" s="475" t="str">
        <f t="shared" si="183"/>
        <v/>
      </c>
      <c r="H458" s="476" t="str">
        <f t="shared" si="184"/>
        <v/>
      </c>
      <c r="I458" s="477">
        <f t="shared" si="185"/>
        <v>100</v>
      </c>
      <c r="J458" s="478" t="str">
        <f t="shared" si="186"/>
        <v/>
      </c>
      <c r="K458" s="479">
        <f ca="1">F451*E458</f>
        <v>0</v>
      </c>
      <c r="L458" s="480" t="str">
        <f t="shared" si="187"/>
        <v/>
      </c>
      <c r="M458" s="480" t="str">
        <f t="shared" si="180"/>
        <v>0</v>
      </c>
      <c r="N458" s="481" t="str">
        <f t="shared" si="181"/>
        <v>0</v>
      </c>
      <c r="O458" s="482" t="str">
        <f t="shared" si="182"/>
        <v/>
      </c>
      <c r="P458" s="492" t="s">
        <v>401</v>
      </c>
      <c r="Q458" s="493" t="e">
        <f ca="1">ABS(Q454*F451^3+Q455*F451^2+Q456*F451+Q457)</f>
        <v>#N/A</v>
      </c>
      <c r="R458" s="484" t="str">
        <f t="shared" si="188"/>
        <v/>
      </c>
      <c r="S458" s="465" t="str">
        <f t="shared" si="189"/>
        <v/>
      </c>
      <c r="T458" s="465" t="str">
        <f>IF(OR(E458="",B458=0),"",ABS(L458/S466))</f>
        <v/>
      </c>
      <c r="U458" s="485"/>
    </row>
    <row r="459" spans="1:21" s="440" customFormat="1" ht="27">
      <c r="A459" s="470">
        <v>6</v>
      </c>
      <c r="B459" s="471">
        <f>$B$9</f>
        <v>0</v>
      </c>
      <c r="C459" s="472" t="s">
        <v>402</v>
      </c>
      <c r="D459" s="471" t="s">
        <v>395</v>
      </c>
      <c r="E459" s="473">
        <v>2</v>
      </c>
      <c r="F459" s="474" t="s">
        <v>403</v>
      </c>
      <c r="G459" s="475" t="str">
        <f t="shared" si="183"/>
        <v/>
      </c>
      <c r="H459" s="476" t="str">
        <f t="shared" si="184"/>
        <v/>
      </c>
      <c r="I459" s="477">
        <f t="shared" si="185"/>
        <v>100</v>
      </c>
      <c r="J459" s="478" t="str">
        <f t="shared" si="186"/>
        <v/>
      </c>
      <c r="K459" s="479">
        <f ca="1">F451*-0.000022</f>
        <v>0</v>
      </c>
      <c r="L459" s="480" t="str">
        <f t="shared" si="187"/>
        <v/>
      </c>
      <c r="M459" s="480" t="str">
        <f t="shared" si="180"/>
        <v>0</v>
      </c>
      <c r="N459" s="481" t="str">
        <f t="shared" si="181"/>
        <v>0</v>
      </c>
      <c r="O459" s="482" t="str">
        <f t="shared" si="182"/>
        <v/>
      </c>
      <c r="P459" s="494" t="s">
        <v>404</v>
      </c>
      <c r="Q459" s="483" t="e">
        <f ca="1">VLOOKUP(VLOOKUP(I451,Worksheet!$A$18:$B$31,2),'1Test Data'!$O$30:$AD$49,14,0)</f>
        <v>#N/A</v>
      </c>
      <c r="R459" s="484" t="str">
        <f t="shared" si="188"/>
        <v/>
      </c>
      <c r="S459" s="465" t="str">
        <f t="shared" si="189"/>
        <v/>
      </c>
      <c r="T459" s="465" t="str">
        <f>IF(OR(E459="",B459=0),"",ABS(L459/S466))</f>
        <v/>
      </c>
      <c r="U459" s="485"/>
    </row>
    <row r="460" spans="1:21" s="440" customFormat="1" ht="27">
      <c r="A460" s="470">
        <v>7</v>
      </c>
      <c r="B460" s="471">
        <f>$B$10</f>
        <v>0</v>
      </c>
      <c r="C460" s="472" t="s">
        <v>405</v>
      </c>
      <c r="D460" s="471" t="s">
        <v>395</v>
      </c>
      <c r="E460" s="473">
        <v>0.5</v>
      </c>
      <c r="F460" s="474" t="s">
        <v>406</v>
      </c>
      <c r="G460" s="475" t="str">
        <f t="shared" si="183"/>
        <v/>
      </c>
      <c r="H460" s="476" t="str">
        <f t="shared" si="184"/>
        <v/>
      </c>
      <c r="I460" s="477">
        <f t="shared" si="185"/>
        <v>100</v>
      </c>
      <c r="J460" s="478" t="str">
        <f t="shared" si="186"/>
        <v/>
      </c>
      <c r="K460" s="479">
        <f ca="1">(0.098*F451)/1000</f>
        <v>0</v>
      </c>
      <c r="L460" s="480" t="str">
        <f t="shared" si="187"/>
        <v/>
      </c>
      <c r="M460" s="480" t="str">
        <f t="shared" si="180"/>
        <v>0</v>
      </c>
      <c r="N460" s="481" t="str">
        <f t="shared" si="181"/>
        <v>0</v>
      </c>
      <c r="O460" s="482" t="str">
        <f t="shared" si="182"/>
        <v/>
      </c>
      <c r="P460" s="464" t="s">
        <v>407</v>
      </c>
      <c r="Q460" s="452" t="e">
        <f ca="1">VLOOKUP(VLOOKUP(I451,Worksheet!$A$18:$B$31,2),'1Test Data'!$O$30:$X$49,10,0)</f>
        <v>#N/A</v>
      </c>
      <c r="R460" s="484" t="str">
        <f t="shared" si="188"/>
        <v/>
      </c>
      <c r="S460" s="465" t="str">
        <f t="shared" si="189"/>
        <v/>
      </c>
      <c r="T460" s="465" t="str">
        <f>IF(OR(E460="",B460=0),"",ABS(L460/S466))</f>
        <v/>
      </c>
      <c r="U460" s="485"/>
    </row>
    <row r="461" spans="1:21" s="440" customFormat="1" ht="27">
      <c r="A461" s="470">
        <v>8</v>
      </c>
      <c r="B461" s="471">
        <f>$B$11</f>
        <v>0</v>
      </c>
      <c r="C461" s="472" t="s">
        <v>408</v>
      </c>
      <c r="D461" s="471" t="s">
        <v>395</v>
      </c>
      <c r="E461" s="473">
        <v>0.05</v>
      </c>
      <c r="F461" s="474" t="s">
        <v>406</v>
      </c>
      <c r="G461" s="475" t="str">
        <f t="shared" si="183"/>
        <v/>
      </c>
      <c r="H461" s="476" t="str">
        <f t="shared" si="184"/>
        <v/>
      </c>
      <c r="I461" s="477">
        <f t="shared" si="185"/>
        <v>100</v>
      </c>
      <c r="J461" s="478" t="str">
        <f t="shared" si="186"/>
        <v/>
      </c>
      <c r="K461" s="479">
        <f ca="1">F451/8000</f>
        <v>0</v>
      </c>
      <c r="L461" s="480" t="str">
        <f t="shared" si="187"/>
        <v/>
      </c>
      <c r="M461" s="480" t="str">
        <f t="shared" si="180"/>
        <v>0</v>
      </c>
      <c r="N461" s="481" t="str">
        <f t="shared" si="181"/>
        <v>0</v>
      </c>
      <c r="O461" s="482" t="str">
        <f t="shared" si="182"/>
        <v/>
      </c>
      <c r="P461" s="464" t="s">
        <v>394</v>
      </c>
      <c r="Q461" s="483" t="e">
        <f ca="1">VLOOKUP(VLOOKUP(I451,Worksheet!$A$18:$B$31,2),'1Test Data'!$O$30:$AE$49,17,0)</f>
        <v>#N/A</v>
      </c>
      <c r="R461" s="484" t="str">
        <f t="shared" si="188"/>
        <v/>
      </c>
      <c r="S461" s="465" t="str">
        <f t="shared" si="189"/>
        <v/>
      </c>
      <c r="T461" s="465" t="str">
        <f>IF(OR(E461="",B461=0),"",ABS(L461/S466))</f>
        <v/>
      </c>
      <c r="U461" s="485"/>
    </row>
    <row r="462" spans="1:21" s="440" customFormat="1" ht="13.5" customHeight="1">
      <c r="A462" s="470">
        <v>9</v>
      </c>
      <c r="B462" s="471" t="e">
        <f>$B$12</f>
        <v>#NAME?</v>
      </c>
      <c r="C462" s="472" t="str">
        <f>"Electrical reference devise" &amp; '1Test Data'!$O$3 &amp;  CHAR(10) &amp; "SN: " &amp; '1Test Data'!$P$3 &amp; ", Cert No: " &amp; '1Test Data'!$Q$3</f>
        <v>Electrical reference devisea
SN: b, Cert No: c</v>
      </c>
      <c r="D462" s="471" t="s">
        <v>395</v>
      </c>
      <c r="E462" s="473">
        <f>ElectUncert</f>
        <v>2E-3</v>
      </c>
      <c r="F462" s="474" t="e">
        <f>IF(OR(E462="",B462=0),"",ReadoutType)</f>
        <v>#NAME?</v>
      </c>
      <c r="G462" s="475" t="e">
        <f t="shared" si="183"/>
        <v>#NAME?</v>
      </c>
      <c r="H462" s="476" t="e">
        <f t="shared" si="184"/>
        <v>#NAME?</v>
      </c>
      <c r="I462" s="477">
        <f t="shared" si="185"/>
        <v>100</v>
      </c>
      <c r="J462" s="478" t="e">
        <f t="shared" si="186"/>
        <v>#NAME?</v>
      </c>
      <c r="K462" s="479" t="e">
        <f>Capacity/(Upper-Lower)</f>
        <v>#NAME?</v>
      </c>
      <c r="L462" s="480" t="e">
        <f t="shared" si="187"/>
        <v>#NAME?</v>
      </c>
      <c r="M462" s="480" t="e">
        <f t="shared" si="180"/>
        <v>#NAME?</v>
      </c>
      <c r="N462" s="481" t="e">
        <f t="shared" si="181"/>
        <v>#NAME?</v>
      </c>
      <c r="O462" s="482" t="e">
        <f t="shared" si="182"/>
        <v>#NAME?</v>
      </c>
      <c r="P462" s="464" t="s">
        <v>396</v>
      </c>
      <c r="Q462" s="483" t="e">
        <f ca="1">VLOOKUP(VLOOKUP(I451,Worksheet!$A$18:$B$31,2),'1Test Data'!$O$30:$AF$49,18,0)</f>
        <v>#N/A</v>
      </c>
      <c r="R462" s="484" t="e">
        <f t="shared" si="188"/>
        <v>#NAME?</v>
      </c>
      <c r="S462" s="465" t="e">
        <f t="shared" si="189"/>
        <v>#NAME?</v>
      </c>
      <c r="T462" s="465" t="e">
        <f>IF(OR(E462="",B462=0),"",ABS(L462/S466))</f>
        <v>#NAME?</v>
      </c>
      <c r="U462" s="485"/>
    </row>
    <row r="463" spans="1:21" s="440" customFormat="1" ht="18" customHeight="1">
      <c r="A463" s="470">
        <v>10</v>
      </c>
      <c r="B463" s="471">
        <f>$B$13</f>
        <v>1</v>
      </c>
      <c r="C463" s="472" t="s">
        <v>409</v>
      </c>
      <c r="D463" s="471" t="s">
        <v>395</v>
      </c>
      <c r="E463" s="473" t="e">
        <f>Worksheet!#REF!*UnitConvert</f>
        <v>#REF!</v>
      </c>
      <c r="F463" s="474" t="e">
        <f>IF(OR(E463="",B463=0),"",$F$4)</f>
        <v>#REF!</v>
      </c>
      <c r="G463" s="475" t="str">
        <f t="shared" si="183"/>
        <v>B</v>
      </c>
      <c r="H463" s="476" t="e">
        <f t="shared" si="184"/>
        <v>#REF!</v>
      </c>
      <c r="I463" s="477">
        <f t="shared" si="185"/>
        <v>100</v>
      </c>
      <c r="J463" s="478" t="e">
        <f t="shared" si="186"/>
        <v>#REF!</v>
      </c>
      <c r="K463" s="479">
        <v>1</v>
      </c>
      <c r="L463" s="480" t="e">
        <f t="shared" si="187"/>
        <v>#REF!</v>
      </c>
      <c r="M463" s="480" t="e">
        <f t="shared" si="180"/>
        <v>#REF!</v>
      </c>
      <c r="N463" s="481" t="e">
        <f t="shared" si="181"/>
        <v>#REF!</v>
      </c>
      <c r="O463" s="482" t="e">
        <f t="shared" si="182"/>
        <v>#REF!</v>
      </c>
      <c r="P463" s="464" t="s">
        <v>201</v>
      </c>
      <c r="Q463" s="483" t="e">
        <f ca="1">VLOOKUP(VLOOKUP(I451,Worksheet!$A$18:$B$31,2),'1Test Data'!$O$30:$AG$49,19,0)</f>
        <v>#N/A</v>
      </c>
      <c r="R463" s="484" t="e">
        <f t="shared" si="188"/>
        <v>#REF!</v>
      </c>
      <c r="S463" s="465" t="e">
        <f t="shared" si="189"/>
        <v>#REF!</v>
      </c>
      <c r="T463" s="465" t="e">
        <f>IF(OR(E463="",B463=0),"",ABS(L463/S466))</f>
        <v>#REF!</v>
      </c>
      <c r="U463" s="485"/>
    </row>
    <row r="464" spans="1:21" s="440" customFormat="1" ht="13.5" customHeight="1">
      <c r="A464" s="470">
        <v>11</v>
      </c>
      <c r="B464" s="471" t="e">
        <f>$B$14</f>
        <v>#NAME?</v>
      </c>
      <c r="C464" s="496" t="e">
        <f>"DUT Type " &amp;ReadoutType&amp; " Resolution "&amp;Readability &amp; "kPa
Digital - Type B - Rect - 1/2 of  least count with D of F = 100 &amp; (k=1.73)
Analogue - Type B - N95 - Best scale readability with D of F = 60 &amp; k=2.00"</f>
        <v>#NAME?</v>
      </c>
      <c r="D464" s="471" t="e">
        <f>IF(ReadoutType="Digital","Rect","N95")</f>
        <v>#NAME?</v>
      </c>
      <c r="E464" s="473" t="e">
        <f>IF(Elect=1,($K462)/1000,IF(ReadoutType="Digital",Readability/2,Readability)*UnitConvert)</f>
        <v>#NAME?</v>
      </c>
      <c r="F464" s="474" t="e">
        <f>IF(OR(E464="",B464=0),"",$F$4)</f>
        <v>#NAME?</v>
      </c>
      <c r="G464" s="475" t="e">
        <f t="shared" si="183"/>
        <v>#NAME?</v>
      </c>
      <c r="H464" s="476" t="e">
        <f t="shared" si="184"/>
        <v>#NAME?</v>
      </c>
      <c r="I464" s="477" t="e">
        <f t="shared" si="185"/>
        <v>#NAME?</v>
      </c>
      <c r="J464" s="478" t="e">
        <f t="shared" si="186"/>
        <v>#NAME?</v>
      </c>
      <c r="K464" s="479">
        <v>1</v>
      </c>
      <c r="L464" s="480" t="e">
        <f t="shared" si="187"/>
        <v>#NAME?</v>
      </c>
      <c r="M464" s="480" t="e">
        <f t="shared" si="180"/>
        <v>#NAME?</v>
      </c>
      <c r="N464" s="481" t="e">
        <f t="shared" si="181"/>
        <v>#NAME?</v>
      </c>
      <c r="O464" s="482" t="e">
        <f t="shared" si="182"/>
        <v>#NAME?</v>
      </c>
      <c r="P464" s="464" t="s">
        <v>88</v>
      </c>
      <c r="Q464" s="483" t="e">
        <f ca="1">VLOOKUP(VLOOKUP(I451,Worksheet!$A$18:$B$31,2),'1Test Data'!$O$30:$AH$49,20,0)</f>
        <v>#N/A</v>
      </c>
      <c r="R464" s="484" t="e">
        <f t="shared" si="188"/>
        <v>#NAME?</v>
      </c>
      <c r="S464" s="465" t="e">
        <f t="shared" si="189"/>
        <v>#NAME?</v>
      </c>
      <c r="T464" s="465" t="e">
        <f>IF(OR(E464="",B464=0),"",ABS(L464/S466))</f>
        <v>#NAME?</v>
      </c>
      <c r="U464" s="485"/>
    </row>
    <row r="465" spans="1:21" s="440" customFormat="1" ht="27">
      <c r="A465" s="470">
        <v>12</v>
      </c>
      <c r="B465" s="471" t="e">
        <f>$B$15</f>
        <v>#NAME?</v>
      </c>
      <c r="C465" s="496" t="s">
        <v>410</v>
      </c>
      <c r="D465" s="471" t="s">
        <v>395</v>
      </c>
      <c r="E465" s="473" t="e">
        <f>E464</f>
        <v>#NAME?</v>
      </c>
      <c r="F465" s="474" t="e">
        <f>IF(OR(E465="",B465=0),"",$F$4)</f>
        <v>#NAME?</v>
      </c>
      <c r="G465" s="475" t="e">
        <f t="shared" si="183"/>
        <v>#NAME?</v>
      </c>
      <c r="H465" s="476" t="e">
        <f t="shared" si="184"/>
        <v>#NAME?</v>
      </c>
      <c r="I465" s="477">
        <f t="shared" si="185"/>
        <v>100</v>
      </c>
      <c r="J465" s="478" t="e">
        <f t="shared" si="186"/>
        <v>#NAME?</v>
      </c>
      <c r="K465" s="479">
        <v>1</v>
      </c>
      <c r="L465" s="480" t="e">
        <f t="shared" si="187"/>
        <v>#NAME?</v>
      </c>
      <c r="M465" s="480" t="e">
        <f t="shared" si="180"/>
        <v>#NAME?</v>
      </c>
      <c r="N465" s="481" t="e">
        <f t="shared" si="181"/>
        <v>#NAME?</v>
      </c>
      <c r="O465" s="482" t="e">
        <f t="shared" si="182"/>
        <v>#NAME?</v>
      </c>
      <c r="P465" s="464" t="s">
        <v>411</v>
      </c>
      <c r="Q465" s="483" t="e">
        <f ca="1">ABS(Q461*F451^3+Q462*F451^2+Q463*F451+Q464)</f>
        <v>#N/A</v>
      </c>
      <c r="R465" s="484" t="e">
        <f t="shared" si="188"/>
        <v>#NAME?</v>
      </c>
      <c r="S465" s="465" t="e">
        <f t="shared" si="189"/>
        <v>#NAME?</v>
      </c>
      <c r="T465" s="465" t="e">
        <f>IF(OR(E465="",B465=0),"",ABS(L465/S466))</f>
        <v>#NAME?</v>
      </c>
      <c r="U465" s="485"/>
    </row>
    <row r="466" spans="1:21" s="440" customFormat="1" ht="25.5">
      <c r="A466" s="497"/>
      <c r="B466" s="498"/>
      <c r="C466" s="448"/>
      <c r="D466" s="448"/>
      <c r="E466" s="448"/>
      <c r="F466" s="448"/>
      <c r="G466" s="448"/>
      <c r="H466" s="448"/>
      <c r="I466" s="484"/>
      <c r="J466" s="448"/>
      <c r="K466" s="448"/>
      <c r="L466" s="499" t="s">
        <v>412</v>
      </c>
      <c r="M466" s="499" t="e">
        <f ca="1">SUM(M454:M465)</f>
        <v>#N/A</v>
      </c>
      <c r="N466" s="500" t="e">
        <f ca="1">SUM(N454:N465)</f>
        <v>#N/A</v>
      </c>
      <c r="O466" s="501" t="e">
        <f ca="1">SUM(O454:O465)</f>
        <v>#N/A</v>
      </c>
      <c r="P466" s="464" t="s">
        <v>413</v>
      </c>
      <c r="Q466" s="483" t="e">
        <f ca="1">VLOOKUP(VLOOKUP(I451,Worksheet!$A$18:$B$31,2),'1Test Data'!$O$30:$AJ$49,22,0)</f>
        <v>#N/A</v>
      </c>
      <c r="R466" s="453"/>
      <c r="S466" s="465" t="e">
        <f ca="1">SUM(S454:S465)</f>
        <v>#N/A</v>
      </c>
      <c r="T466" s="465" t="e">
        <f ca="1">SUM(T454:T465)</f>
        <v>#N/A</v>
      </c>
      <c r="U466" s="455"/>
    </row>
    <row r="467" spans="1:21" s="440" customFormat="1">
      <c r="A467" s="504"/>
      <c r="B467" s="448"/>
      <c r="C467" s="498" t="s">
        <v>414</v>
      </c>
      <c r="D467" s="448"/>
      <c r="E467" s="448"/>
      <c r="F467" s="448"/>
      <c r="G467" s="448"/>
      <c r="H467" s="448"/>
      <c r="I467" s="448"/>
      <c r="J467" s="448"/>
      <c r="K467" s="448"/>
      <c r="L467" s="505"/>
      <c r="M467" s="505"/>
      <c r="N467" s="505"/>
      <c r="O467" s="505"/>
      <c r="P467" s="464" t="s">
        <v>394</v>
      </c>
      <c r="Q467" s="483" t="e">
        <f ca="1">VLOOKUP(VLOOKUP(I451,Worksheet!$A$18:$B$31,2),'1Test Data'!$O$30:$AK$49,23,0)</f>
        <v>#N/A</v>
      </c>
      <c r="R467" s="453"/>
      <c r="S467" s="453"/>
      <c r="T467" s="453"/>
      <c r="U467" s="455"/>
    </row>
    <row r="468" spans="1:21" s="440" customFormat="1" ht="13.5" customHeight="1">
      <c r="A468" s="504"/>
      <c r="B468" s="448"/>
      <c r="C468" s="1090" t="s">
        <v>415</v>
      </c>
      <c r="D468" s="1091"/>
      <c r="E468" s="1091"/>
      <c r="F468" s="1091"/>
      <c r="G468" s="1092"/>
      <c r="H468" s="448"/>
      <c r="I468" s="448"/>
      <c r="J468" s="448"/>
      <c r="K468" s="448"/>
      <c r="L468" s="506" t="s">
        <v>416</v>
      </c>
      <c r="M468" s="507" t="e">
        <f ca="1">M466^0.5</f>
        <v>#N/A</v>
      </c>
      <c r="N468" s="508" t="str">
        <f>Uncert!$F$4</f>
        <v>ABS kPa</v>
      </c>
      <c r="O468" s="505" t="e">
        <f ca="1">(M466-M457-M462-M464-M465)^0.5</f>
        <v>#N/A</v>
      </c>
      <c r="P468" s="464" t="s">
        <v>396</v>
      </c>
      <c r="Q468" s="483" t="e">
        <f ca="1">VLOOKUP(VLOOKUP(I451,Worksheet!$A$18:$B$31,2),'1Test Data'!$O$30:$AL$49,24,0)</f>
        <v>#N/A</v>
      </c>
      <c r="R468" s="453"/>
      <c r="S468" s="453"/>
      <c r="T468" s="453"/>
      <c r="U468" s="455"/>
    </row>
    <row r="469" spans="1:21" s="440" customFormat="1">
      <c r="A469" s="504"/>
      <c r="B469" s="448"/>
      <c r="C469" s="1093"/>
      <c r="D469" s="1094"/>
      <c r="E469" s="1094"/>
      <c r="F469" s="1094"/>
      <c r="G469" s="1095"/>
      <c r="H469" s="448"/>
      <c r="I469" s="448"/>
      <c r="J469" s="448"/>
      <c r="K469" s="448"/>
      <c r="L469" s="506" t="s">
        <v>417</v>
      </c>
      <c r="M469" s="507" t="e">
        <f ca="1">M468^4/N466</f>
        <v>#N/A</v>
      </c>
      <c r="N469" s="509"/>
      <c r="O469" s="510" t="e">
        <f ca="1">O468^4/(N466-N457-N462-N464-N465)</f>
        <v>#N/A</v>
      </c>
      <c r="P469" s="464" t="s">
        <v>201</v>
      </c>
      <c r="Q469" s="483" t="e">
        <f ca="1">VLOOKUP(VLOOKUP(I451,Worksheet!$A$18:$B$31,2),'1Test Data'!$O$30:$AM$49,25,0)</f>
        <v>#N/A</v>
      </c>
      <c r="R469" s="453"/>
      <c r="S469" s="453"/>
      <c r="T469" s="453"/>
      <c r="U469" s="455"/>
    </row>
    <row r="470" spans="1:21" s="440" customFormat="1">
      <c r="A470" s="504"/>
      <c r="B470" s="448"/>
      <c r="C470" s="1093"/>
      <c r="D470" s="1094"/>
      <c r="E470" s="1094"/>
      <c r="F470" s="1094"/>
      <c r="G470" s="1095"/>
      <c r="H470" s="448"/>
      <c r="I470" s="448"/>
      <c r="J470" s="448"/>
      <c r="K470" s="448"/>
      <c r="L470" s="506" t="s">
        <v>418</v>
      </c>
      <c r="M470" s="507" t="e">
        <f ca="1">TINV(0.05,M469)</f>
        <v>#N/A</v>
      </c>
      <c r="N470" s="508"/>
      <c r="O470" s="507" t="e">
        <f ca="1">TINV(0.05,O469)</f>
        <v>#N/A</v>
      </c>
      <c r="P470" s="464" t="s">
        <v>88</v>
      </c>
      <c r="Q470" s="483" t="e">
        <f ca="1">VLOOKUP(VLOOKUP(I451,Worksheet!$A$18:$B$31,2),'1Test Data'!$O$30:$AN$49,26,0)</f>
        <v>#N/A</v>
      </c>
      <c r="R470" s="453"/>
      <c r="S470" s="453"/>
      <c r="T470" s="453"/>
      <c r="U470" s="455"/>
    </row>
    <row r="471" spans="1:21" s="440" customFormat="1">
      <c r="A471" s="504"/>
      <c r="B471" s="448"/>
      <c r="C471" s="1093"/>
      <c r="D471" s="1094"/>
      <c r="E471" s="1094"/>
      <c r="F471" s="1094"/>
      <c r="G471" s="1095"/>
      <c r="H471" s="448"/>
      <c r="I471" s="448"/>
      <c r="J471" s="448"/>
      <c r="K471" s="448"/>
      <c r="L471" s="506" t="s">
        <v>419</v>
      </c>
      <c r="M471" s="507" t="e">
        <f ca="1">M468*M470</f>
        <v>#N/A</v>
      </c>
      <c r="N471" s="508" t="str">
        <f>Uncert!$F$4</f>
        <v>ABS kPa</v>
      </c>
      <c r="O471" s="507" t="e">
        <f ca="1">O468*O470</f>
        <v>#N/A</v>
      </c>
      <c r="P471" s="464" t="s">
        <v>420</v>
      </c>
      <c r="Q471" s="483" t="e">
        <f ca="1">ABS(Q467*F451^3+Q468*F451^2+Q469*F451+Q470)</f>
        <v>#N/A</v>
      </c>
      <c r="R471" s="453"/>
      <c r="S471" s="453"/>
      <c r="T471" s="453"/>
      <c r="U471" s="455"/>
    </row>
    <row r="472" spans="1:21" s="440" customFormat="1">
      <c r="A472" s="497"/>
      <c r="B472" s="498"/>
      <c r="C472" s="1096"/>
      <c r="D472" s="1097"/>
      <c r="E472" s="1097"/>
      <c r="F472" s="1097"/>
      <c r="G472" s="1098"/>
      <c r="H472" s="448"/>
      <c r="I472" s="448"/>
      <c r="J472" s="511"/>
      <c r="K472" s="511"/>
      <c r="L472" s="512" t="s">
        <v>421</v>
      </c>
      <c r="M472" s="513" t="e">
        <f ca="1">M471</f>
        <v>#N/A</v>
      </c>
      <c r="N472" s="514" t="str">
        <f>Uncert!$F$4</f>
        <v>ABS kPa</v>
      </c>
      <c r="O472" s="513" t="e">
        <f ca="1">O471</f>
        <v>#N/A</v>
      </c>
      <c r="P472" s="464" t="s">
        <v>422</v>
      </c>
      <c r="Q472" s="483" t="e">
        <f ca="1">VLOOKUP(VLOOKUP(I451,Worksheet!$A$18:$B$31,2),'1Test Data'!$O$30:$AP$49,28,0)</f>
        <v>#N/A</v>
      </c>
      <c r="R472" s="453"/>
      <c r="S472" s="453"/>
      <c r="T472" s="453"/>
      <c r="U472" s="455"/>
    </row>
    <row r="473" spans="1:21" s="440" customFormat="1">
      <c r="A473" s="497"/>
      <c r="B473" s="498"/>
      <c r="C473" s="498" t="s">
        <v>423</v>
      </c>
      <c r="D473" s="448"/>
      <c r="E473" s="448"/>
      <c r="F473" s="448"/>
      <c r="G473" s="448"/>
      <c r="H473" s="515" t="e">
        <f>"N " &amp; ReadoutType</f>
        <v>#NAME?</v>
      </c>
      <c r="I473" s="516" t="e">
        <f ca="1">($O474/$K462)</f>
        <v>#N/A</v>
      </c>
      <c r="J473" s="448"/>
      <c r="K473" s="448"/>
      <c r="L473" s="505"/>
      <c r="M473" s="517" t="e">
        <f ca="1">(M472/F451)*100</f>
        <v>#N/A</v>
      </c>
      <c r="N473" s="518" t="s">
        <v>78</v>
      </c>
      <c r="O473" s="517"/>
      <c r="P473" s="519"/>
      <c r="Q473" s="519"/>
      <c r="R473" s="453"/>
      <c r="S473" s="453"/>
      <c r="T473" s="453"/>
      <c r="U473" s="455"/>
    </row>
    <row r="474" spans="1:21" s="440" customFormat="1">
      <c r="A474" s="497"/>
      <c r="B474" s="498"/>
      <c r="C474" s="520" t="s">
        <v>33</v>
      </c>
      <c r="D474" s="521" t="str">
        <f ca="1">Gravity</f>
        <v/>
      </c>
      <c r="E474" s="520" t="s">
        <v>36</v>
      </c>
      <c r="F474" s="522"/>
      <c r="G474" s="523"/>
      <c r="H474" s="524" t="e">
        <f>ReadoutType</f>
        <v>#NAME?</v>
      </c>
      <c r="I474" s="516" t="e">
        <f ca="1">($M474/$K462)</f>
        <v>#N/A</v>
      </c>
      <c r="J474" s="1103" t="s">
        <v>424</v>
      </c>
      <c r="K474" s="1104"/>
      <c r="L474" s="1104"/>
      <c r="M474" s="525" t="e">
        <f ca="1">IF(NATA="Y",IF(M472&lt;Scopekpa,IF(Scopekpa&lt;((F451/100)*ScopeReading),((F451/100)*ScopeReading),Scopekpa),IF(M472&lt;((F451/100)*ScopeReading),((F451/100)*ScopeReading),M472)),Uncert!M472)</f>
        <v>#N/A</v>
      </c>
      <c r="N474" s="522" t="s">
        <v>425</v>
      </c>
      <c r="O474" s="525" t="e">
        <f ca="1">IF(NATA="Y",IF(O472&lt;Scopekpa,IF(Scopekpa&lt;((F451/100)*ScopeReading),((F451/100)*ScopeReading),Scopekpa),IF(O472&lt;((F451/100)*ScopeReading),((F451/100)*ScopeReading),O472)),Uncert!O472)</f>
        <v>#N/A</v>
      </c>
      <c r="P474" s="522"/>
      <c r="Q474" s="522"/>
      <c r="R474" s="453"/>
      <c r="S474" s="453"/>
      <c r="T474" s="453"/>
      <c r="U474" s="455"/>
    </row>
    <row r="475" spans="1:21" s="440" customFormat="1" ht="14.25" thickBot="1">
      <c r="A475" s="526" t="str">
        <f>"Worksheet!A" &amp; 17+(ROW()/25)</f>
        <v>Worksheet!A36</v>
      </c>
      <c r="B475" s="527"/>
      <c r="C475" s="527"/>
      <c r="D475" s="528">
        <f>ROW()/25</f>
        <v>19</v>
      </c>
      <c r="E475" s="529"/>
      <c r="F475" s="529"/>
      <c r="G475" s="529"/>
      <c r="H475" s="529"/>
      <c r="I475" s="530"/>
      <c r="J475" s="1105" t="s">
        <v>424</v>
      </c>
      <c r="K475" s="1105"/>
      <c r="L475" s="1105"/>
      <c r="M475" s="531" t="e">
        <f ca="1">IF(NATA="Y",IF(M473&lt;ScopeReading,ScopeReading,M473),M473)</f>
        <v>#N/A</v>
      </c>
      <c r="N475" s="532" t="s">
        <v>78</v>
      </c>
      <c r="O475" s="531"/>
      <c r="P475" s="532"/>
      <c r="Q475" s="527"/>
      <c r="R475" s="527"/>
      <c r="S475" s="527"/>
      <c r="T475" s="527"/>
      <c r="U475" s="533"/>
    </row>
    <row r="476" spans="1:21" s="440" customFormat="1">
      <c r="A476" s="1099" t="e">
        <f ca="1">"Uncertainty Budget: Digital Pressure Gauge (" &amp; Q476&amp; ", "&amp; Q477 &amp; H476 &amp;" x " &amp; Division   &amp;H476 &amp; " )" &amp; " Test Point "&amp;D500</f>
        <v>#N/A</v>
      </c>
      <c r="B476" s="1100"/>
      <c r="C476" s="1100"/>
      <c r="D476" s="1100"/>
      <c r="E476" s="1100"/>
      <c r="F476" s="1101">
        <f ca="1">ABS(I476*UnitConvert)</f>
        <v>0</v>
      </c>
      <c r="G476" s="1102"/>
      <c r="H476" s="428" t="s">
        <v>371</v>
      </c>
      <c r="I476" s="429">
        <f ca="1">INDIRECT(A500)</f>
        <v>0</v>
      </c>
      <c r="J476" s="430" t="str">
        <f>_xlfn.SINGLE(Units)</f>
        <v>mm</v>
      </c>
      <c r="K476" s="431" t="e">
        <f ca="1">IF(C479="","","Uncertainty (U) = ±"&amp;TEXT(M497,"0.0")&amp;$F$4&amp;",  &amp;  (k="&amp;TEXT(M495,"0.00")&amp;", confidence level=95%)")</f>
        <v>#N/A</v>
      </c>
      <c r="L476" s="432"/>
      <c r="M476" s="432"/>
      <c r="N476" s="432"/>
      <c r="O476" s="433"/>
      <c r="P476" s="434" t="s">
        <v>372</v>
      </c>
      <c r="Q476" s="435" t="e">
        <f ca="1">VLOOKUP(VLOOKUP(I476,Worksheet!$A$18:$B$31,2),'1Test Data'!$M$6:$O$10,2,0)</f>
        <v>#N/A</v>
      </c>
      <c r="R476" s="436"/>
      <c r="S476" s="436"/>
      <c r="T476" s="437" t="str">
        <f ca="1">"TEX Ver "&amp;Mods!$A$1</f>
        <v>TEX Ver TAS-SST001v1</v>
      </c>
      <c r="U476" s="438"/>
    </row>
    <row r="477" spans="1:21" s="440" customFormat="1">
      <c r="A477" s="442" t="s">
        <v>373</v>
      </c>
      <c r="B477" s="443"/>
      <c r="C477" s="444"/>
      <c r="D477" s="445" t="s">
        <v>374</v>
      </c>
      <c r="E477" s="446" t="e">
        <f ca="1">Q477</f>
        <v>#N/A</v>
      </c>
      <c r="F477" s="447"/>
      <c r="G477" s="447" t="e">
        <f ca="1">ROUND(M497/(F476/100),2)&amp;"% of Full Scale"</f>
        <v>#N/A</v>
      </c>
      <c r="H477" s="448"/>
      <c r="I477" s="448"/>
      <c r="J477" s="449" t="e">
        <f ca="1">M498</f>
        <v>#N/A</v>
      </c>
      <c r="K477" s="448"/>
      <c r="L477" s="450"/>
      <c r="M477" s="450"/>
      <c r="N477" s="450"/>
      <c r="O477" s="433"/>
      <c r="P477" s="451" t="s">
        <v>375</v>
      </c>
      <c r="Q477" s="452" t="e">
        <f ca="1">VLOOKUP(VLOOKUP(I476,Worksheet!$A$18:$B$31,2),'1Test Data'!$O$30:$T$49,6,0)</f>
        <v>#N/A</v>
      </c>
      <c r="R477" s="453">
        <v>0</v>
      </c>
      <c r="S477" s="453"/>
      <c r="T477" s="454">
        <f ca="1">Mods!$A$4</f>
        <v>45809.486168981479</v>
      </c>
      <c r="U477" s="455"/>
    </row>
    <row r="478" spans="1:21" s="440" customFormat="1" ht="38.25">
      <c r="A478" s="458" t="s">
        <v>376</v>
      </c>
      <c r="B478" s="459" t="s">
        <v>377</v>
      </c>
      <c r="C478" s="460" t="s">
        <v>378</v>
      </c>
      <c r="D478" s="460" t="s">
        <v>379</v>
      </c>
      <c r="E478" s="460" t="s">
        <v>380</v>
      </c>
      <c r="F478" s="460" t="s">
        <v>381</v>
      </c>
      <c r="G478" s="460" t="s">
        <v>178</v>
      </c>
      <c r="H478" s="461" t="s">
        <v>382</v>
      </c>
      <c r="I478" s="461" t="s">
        <v>383</v>
      </c>
      <c r="J478" s="462" t="s">
        <v>384</v>
      </c>
      <c r="K478" s="463" t="s">
        <v>385</v>
      </c>
      <c r="L478" s="461" t="s">
        <v>386</v>
      </c>
      <c r="M478" s="461" t="s">
        <v>387</v>
      </c>
      <c r="N478" s="461" t="s">
        <v>388</v>
      </c>
      <c r="O478" s="461" t="s">
        <v>389</v>
      </c>
      <c r="P478" s="464" t="s">
        <v>390</v>
      </c>
      <c r="Q478" s="452" t="e">
        <f ca="1">VLOOKUP(VLOOKUP(I476,Worksheet!$A$18:$B$31,2),'1Test Data'!$O$30:$V$49,8,0)</f>
        <v>#N/A</v>
      </c>
      <c r="R478" s="465" t="s">
        <v>391</v>
      </c>
      <c r="S478" s="465" t="s">
        <v>391</v>
      </c>
      <c r="T478" s="466" t="s">
        <v>392</v>
      </c>
      <c r="U478" s="467"/>
    </row>
    <row r="479" spans="1:21" s="440" customFormat="1" ht="18" customHeight="1">
      <c r="A479" s="470">
        <v>1</v>
      </c>
      <c r="B479" s="471">
        <f>$B$4</f>
        <v>1</v>
      </c>
      <c r="C479" s="472" t="e">
        <f ca="1">"Reference Device  ("&amp;Q477&amp;" Druck Transducer) + Sey
Uncertainty from Calibration Report - "&amp;Q476</f>
        <v>#N/A</v>
      </c>
      <c r="D479" s="471" t="s">
        <v>393</v>
      </c>
      <c r="E479" s="473" t="e">
        <f ca="1">Q483+Q484</f>
        <v>#N/A</v>
      </c>
      <c r="F479" s="474" t="str">
        <f>H476</f>
        <v>ABS kPa</v>
      </c>
      <c r="G479" s="475" t="str">
        <f>IF(OR(D479="",B479=0),"",IF(D479="ESDM","A","B"))</f>
        <v>B</v>
      </c>
      <c r="H479" s="476" t="e">
        <f ca="1">IF(OR(E479="",B479=0),"",IF(D479="ESDM",1,IF(D479="N95",2,IF(D479="Rect",(3^0.5)))))</f>
        <v>#N/A</v>
      </c>
      <c r="I479" s="477">
        <f>IF(D479="N95",60,100)</f>
        <v>60</v>
      </c>
      <c r="J479" s="478" t="e">
        <f ca="1">IF(OR(E479="",B479=0),"",(E479/H479))</f>
        <v>#N/A</v>
      </c>
      <c r="K479" s="479">
        <v>1</v>
      </c>
      <c r="L479" s="480" t="e">
        <f ca="1">IF(OR(E479="",B479=0),"",K479*J479)</f>
        <v>#N/A</v>
      </c>
      <c r="M479" s="480" t="e">
        <f t="shared" ref="M479:M490" ca="1" si="190">IF(OR(E479="",B479=0),"0",L479^2)</f>
        <v>#N/A</v>
      </c>
      <c r="N479" s="481" t="e">
        <f t="shared" ref="N479:N490" ca="1" si="191">IF(OR(D479="",B479=0),"0",(L479)^4/I479)</f>
        <v>#N/A</v>
      </c>
      <c r="O479" s="482" t="e">
        <f t="shared" ref="O479:O490" ca="1" si="192">T479</f>
        <v>#N/A</v>
      </c>
      <c r="P479" s="464" t="s">
        <v>394</v>
      </c>
      <c r="Q479" s="483" t="e">
        <f ca="1">VLOOKUP(VLOOKUP(I476,Worksheet!$A$18:$B$31,2),'1Test Data'!$O$30:$Y$49,11,0)</f>
        <v>#N/A</v>
      </c>
      <c r="R479" s="484" t="e">
        <f ca="1">IF(OR(E479="",B479=0),"",K479*J479)</f>
        <v>#N/A</v>
      </c>
      <c r="S479" s="465" t="e">
        <f ca="1">IF(OR(E479="",B479=0),"",ABS(R479))</f>
        <v>#N/A</v>
      </c>
      <c r="T479" s="465" t="e">
        <f ca="1">IF(OR(E479="",B479=0),"",ABS(L479/S491))</f>
        <v>#N/A</v>
      </c>
      <c r="U479" s="485"/>
    </row>
    <row r="480" spans="1:21" s="440" customFormat="1" ht="27" customHeight="1">
      <c r="A480" s="470">
        <v>2</v>
      </c>
      <c r="B480" s="471">
        <f>$B$5</f>
        <v>1</v>
      </c>
      <c r="C480" s="472" t="e">
        <f ca="1">"Reference Device  Specs +Sey
(" &amp; Q477 &amp; H476 &amp; " Druck Transducer)
"&amp;Q478 &amp; "% of F.S. from Calibration Report - " &amp; Q476</f>
        <v>#N/A</v>
      </c>
      <c r="D480" s="471" t="s">
        <v>395</v>
      </c>
      <c r="E480" s="473" t="e">
        <f ca="1">Q496+Q497</f>
        <v>#N/A</v>
      </c>
      <c r="F480" s="474" t="e">
        <f ca="1">IF(OR(E480="",B480=0),"",$F$4)</f>
        <v>#N/A</v>
      </c>
      <c r="G480" s="475" t="str">
        <f t="shared" ref="G480:G490" si="193">IF(OR(D480="",B480=0),"",IF(D480="ESDM","A","B"))</f>
        <v>B</v>
      </c>
      <c r="H480" s="476" t="e">
        <f t="shared" ref="H480:H490" ca="1" si="194">IF(OR(E480="",B480=0),"",IF(D480="ESDM",1,IF(D480="N95",2,IF(D480="Rect",(3^0.5)))))</f>
        <v>#N/A</v>
      </c>
      <c r="I480" s="477">
        <f t="shared" ref="I480:I490" si="195">IF(D480="N95",60,100)</f>
        <v>100</v>
      </c>
      <c r="J480" s="478" t="e">
        <f t="shared" ref="J480:J490" ca="1" si="196">IF(OR(E480="",B480=0),"",(E480/H480))</f>
        <v>#N/A</v>
      </c>
      <c r="K480" s="479">
        <v>1</v>
      </c>
      <c r="L480" s="480" t="e">
        <f t="shared" ref="L480:L490" ca="1" si="197">IF(OR(E480="",B480=0),"",K480*J480)</f>
        <v>#N/A</v>
      </c>
      <c r="M480" s="480" t="e">
        <f t="shared" ca="1" si="190"/>
        <v>#N/A</v>
      </c>
      <c r="N480" s="481" t="e">
        <f t="shared" ca="1" si="191"/>
        <v>#N/A</v>
      </c>
      <c r="O480" s="482" t="e">
        <f t="shared" ca="1" si="192"/>
        <v>#N/A</v>
      </c>
      <c r="P480" s="464" t="s">
        <v>396</v>
      </c>
      <c r="Q480" s="483" t="e">
        <f ca="1">VLOOKUP(VLOOKUP(I476,Worksheet!$A$18:$B$31,2),'1Test Data'!$O$30:$Z$49,12,0)</f>
        <v>#N/A</v>
      </c>
      <c r="R480" s="484" t="e">
        <f t="shared" ref="R480:R490" ca="1" si="198">IF(OR(E480="",B480=0),"",K480*J480)</f>
        <v>#N/A</v>
      </c>
      <c r="S480" s="465" t="e">
        <f t="shared" ref="S480:S490" ca="1" si="199">IF(OR(E480="",B480=0),"",ABS(R480))</f>
        <v>#N/A</v>
      </c>
      <c r="T480" s="465" t="e">
        <f ca="1">IF(OR(E480="",B480=0),"",ABS(L480/S491))</f>
        <v>#N/A</v>
      </c>
      <c r="U480" s="485"/>
    </row>
    <row r="481" spans="1:21 1170:1255" s="440" customFormat="1" ht="18" customHeight="1">
      <c r="A481" s="470">
        <v>3</v>
      </c>
      <c r="B481" s="471">
        <f>$B$6</f>
        <v>1</v>
      </c>
      <c r="C481" s="472" t="s">
        <v>397</v>
      </c>
      <c r="D481" s="471" t="s">
        <v>395</v>
      </c>
      <c r="E481" s="473" t="e">
        <f ca="1">Q485*F476/100</f>
        <v>#N/A</v>
      </c>
      <c r="F481" s="474" t="e">
        <f ca="1">IF(OR(E481="",B481=0),"",$F$4)</f>
        <v>#N/A</v>
      </c>
      <c r="G481" s="475" t="str">
        <f t="shared" si="193"/>
        <v>B</v>
      </c>
      <c r="H481" s="476" t="e">
        <f t="shared" ca="1" si="194"/>
        <v>#N/A</v>
      </c>
      <c r="I481" s="477">
        <f t="shared" si="195"/>
        <v>100</v>
      </c>
      <c r="J481" s="478" t="e">
        <f t="shared" ca="1" si="196"/>
        <v>#N/A</v>
      </c>
      <c r="K481" s="479">
        <v>1</v>
      </c>
      <c r="L481" s="480" t="e">
        <f t="shared" ca="1" si="197"/>
        <v>#N/A</v>
      </c>
      <c r="M481" s="480" t="e">
        <f t="shared" ca="1" si="190"/>
        <v>#N/A</v>
      </c>
      <c r="N481" s="481" t="e">
        <f t="shared" ca="1" si="191"/>
        <v>#N/A</v>
      </c>
      <c r="O481" s="482" t="e">
        <f t="shared" ca="1" si="192"/>
        <v>#N/A</v>
      </c>
      <c r="P481" s="464" t="s">
        <v>201</v>
      </c>
      <c r="Q481" s="483" t="e">
        <f ca="1">VLOOKUP(VLOOKUP(I476,Worksheet!$A$18:$B$31,2),'1Test Data'!$O$30:$AA$49,13,0)</f>
        <v>#N/A</v>
      </c>
      <c r="R481" s="484" t="e">
        <f t="shared" ca="1" si="198"/>
        <v>#N/A</v>
      </c>
      <c r="S481" s="465" t="e">
        <f t="shared" ca="1" si="199"/>
        <v>#N/A</v>
      </c>
      <c r="T481" s="465" t="e">
        <f ca="1">IF(OR(E481="",B481=0),"",ABS(L481/S491))</f>
        <v>#N/A</v>
      </c>
      <c r="U481" s="485"/>
    </row>
    <row r="482" spans="1:21 1170:1255" s="440" customFormat="1" ht="18" customHeight="1">
      <c r="A482" s="470">
        <v>4</v>
      </c>
      <c r="B482" s="471" t="e">
        <f>$B$7</f>
        <v>#NAME?</v>
      </c>
      <c r="C482" s="472" t="s">
        <v>398</v>
      </c>
      <c r="D482" s="471" t="s">
        <v>395</v>
      </c>
      <c r="E482" s="473">
        <f>EDMS*UnitConvert</f>
        <v>0</v>
      </c>
      <c r="F482" s="474" t="e">
        <f>IF(OR(E482="",B482=0),"",$F$4)</f>
        <v>#NAME?</v>
      </c>
      <c r="G482" s="475" t="e">
        <f t="shared" si="193"/>
        <v>#NAME?</v>
      </c>
      <c r="H482" s="476" t="e">
        <f t="shared" si="194"/>
        <v>#NAME?</v>
      </c>
      <c r="I482" s="477">
        <f t="shared" si="195"/>
        <v>100</v>
      </c>
      <c r="J482" s="478" t="e">
        <f t="shared" si="196"/>
        <v>#NAME?</v>
      </c>
      <c r="K482" s="479">
        <v>1</v>
      </c>
      <c r="L482" s="480" t="e">
        <f t="shared" si="197"/>
        <v>#NAME?</v>
      </c>
      <c r="M482" s="480" t="e">
        <f t="shared" si="190"/>
        <v>#NAME?</v>
      </c>
      <c r="N482" s="481" t="e">
        <f t="shared" si="191"/>
        <v>#NAME?</v>
      </c>
      <c r="O482" s="482" t="e">
        <f t="shared" si="192"/>
        <v>#NAME?</v>
      </c>
      <c r="P482" s="464" t="s">
        <v>88</v>
      </c>
      <c r="Q482" s="483" t="e">
        <f ca="1">VLOOKUP(VLOOKUP(I476,Worksheet!$A$18:$B$31,2),'1Test Data'!$O$30:$AB$49,14,0)</f>
        <v>#N/A</v>
      </c>
      <c r="R482" s="484" t="e">
        <f t="shared" si="198"/>
        <v>#NAME?</v>
      </c>
      <c r="S482" s="465" t="e">
        <f t="shared" si="199"/>
        <v>#NAME?</v>
      </c>
      <c r="T482" s="465" t="e">
        <f>IF(OR(E482="",B482=0),"",ABS(L482/S491))</f>
        <v>#NAME?</v>
      </c>
      <c r="U482" s="485"/>
    </row>
    <row r="483" spans="1:21 1170:1255" s="440" customFormat="1" ht="27">
      <c r="A483" s="470">
        <v>5</v>
      </c>
      <c r="B483" s="471">
        <f>$B$8</f>
        <v>0</v>
      </c>
      <c r="C483" s="472" t="s">
        <v>426</v>
      </c>
      <c r="D483" s="471" t="s">
        <v>395</v>
      </c>
      <c r="E483" s="473">
        <v>1E-3</v>
      </c>
      <c r="F483" s="474" t="s">
        <v>400</v>
      </c>
      <c r="G483" s="475" t="str">
        <f t="shared" si="193"/>
        <v/>
      </c>
      <c r="H483" s="476" t="str">
        <f t="shared" si="194"/>
        <v/>
      </c>
      <c r="I483" s="477">
        <f t="shared" si="195"/>
        <v>100</v>
      </c>
      <c r="J483" s="478" t="str">
        <f t="shared" si="196"/>
        <v/>
      </c>
      <c r="K483" s="479">
        <f ca="1">F476*E483</f>
        <v>0</v>
      </c>
      <c r="L483" s="480" t="str">
        <f t="shared" si="197"/>
        <v/>
      </c>
      <c r="M483" s="480" t="str">
        <f t="shared" si="190"/>
        <v>0</v>
      </c>
      <c r="N483" s="481" t="str">
        <f t="shared" si="191"/>
        <v>0</v>
      </c>
      <c r="O483" s="482" t="str">
        <f t="shared" si="192"/>
        <v/>
      </c>
      <c r="P483" s="492" t="s">
        <v>401</v>
      </c>
      <c r="Q483" s="493" t="e">
        <f ca="1">ABS(Q479*F476^3+Q480*F476^2+Q481*F476+Q482)</f>
        <v>#N/A</v>
      </c>
      <c r="R483" s="484" t="str">
        <f t="shared" si="198"/>
        <v/>
      </c>
      <c r="S483" s="465" t="str">
        <f t="shared" si="199"/>
        <v/>
      </c>
      <c r="T483" s="465" t="str">
        <f>IF(OR(E483="",B483=0),"",ABS(L483/S491))</f>
        <v/>
      </c>
      <c r="U483" s="485"/>
    </row>
    <row r="484" spans="1:21 1170:1255" s="440" customFormat="1" ht="27">
      <c r="A484" s="470">
        <v>6</v>
      </c>
      <c r="B484" s="471">
        <f>$B$9</f>
        <v>0</v>
      </c>
      <c r="C484" s="472" t="s">
        <v>402</v>
      </c>
      <c r="D484" s="471" t="s">
        <v>395</v>
      </c>
      <c r="E484" s="473">
        <v>2</v>
      </c>
      <c r="F484" s="474" t="s">
        <v>403</v>
      </c>
      <c r="G484" s="475" t="str">
        <f t="shared" si="193"/>
        <v/>
      </c>
      <c r="H484" s="476" t="str">
        <f t="shared" si="194"/>
        <v/>
      </c>
      <c r="I484" s="477">
        <f t="shared" si="195"/>
        <v>100</v>
      </c>
      <c r="J484" s="478" t="str">
        <f t="shared" si="196"/>
        <v/>
      </c>
      <c r="K484" s="479">
        <f ca="1">F476*-0.000022</f>
        <v>0</v>
      </c>
      <c r="L484" s="480" t="str">
        <f t="shared" si="197"/>
        <v/>
      </c>
      <c r="M484" s="480" t="str">
        <f t="shared" si="190"/>
        <v>0</v>
      </c>
      <c r="N484" s="481" t="str">
        <f t="shared" si="191"/>
        <v>0</v>
      </c>
      <c r="O484" s="482" t="str">
        <f t="shared" si="192"/>
        <v/>
      </c>
      <c r="P484" s="494" t="s">
        <v>404</v>
      </c>
      <c r="Q484" s="483" t="e">
        <f ca="1">VLOOKUP(VLOOKUP(I476,Worksheet!$A$18:$B$31,2),'1Test Data'!$O$30:$AD$49,14,0)</f>
        <v>#N/A</v>
      </c>
      <c r="R484" s="484" t="str">
        <f t="shared" si="198"/>
        <v/>
      </c>
      <c r="S484" s="465" t="str">
        <f t="shared" si="199"/>
        <v/>
      </c>
      <c r="T484" s="465" t="str">
        <f>IF(OR(E484="",B484=0),"",ABS(L484/S491))</f>
        <v/>
      </c>
      <c r="U484" s="485"/>
    </row>
    <row r="485" spans="1:21 1170:1255" s="440" customFormat="1" ht="27">
      <c r="A485" s="470">
        <v>7</v>
      </c>
      <c r="B485" s="471">
        <f>$B$10</f>
        <v>0</v>
      </c>
      <c r="C485" s="472" t="s">
        <v>405</v>
      </c>
      <c r="D485" s="471" t="s">
        <v>395</v>
      </c>
      <c r="E485" s="473">
        <v>0.5</v>
      </c>
      <c r="F485" s="474" t="s">
        <v>406</v>
      </c>
      <c r="G485" s="475" t="str">
        <f t="shared" si="193"/>
        <v/>
      </c>
      <c r="H485" s="476" t="str">
        <f t="shared" si="194"/>
        <v/>
      </c>
      <c r="I485" s="477">
        <f t="shared" si="195"/>
        <v>100</v>
      </c>
      <c r="J485" s="478" t="str">
        <f t="shared" si="196"/>
        <v/>
      </c>
      <c r="K485" s="479">
        <f ca="1">(0.098*F476)/1000</f>
        <v>0</v>
      </c>
      <c r="L485" s="480" t="str">
        <f t="shared" si="197"/>
        <v/>
      </c>
      <c r="M485" s="480" t="str">
        <f t="shared" si="190"/>
        <v>0</v>
      </c>
      <c r="N485" s="481" t="str">
        <f t="shared" si="191"/>
        <v>0</v>
      </c>
      <c r="O485" s="482" t="str">
        <f t="shared" si="192"/>
        <v/>
      </c>
      <c r="P485" s="464" t="s">
        <v>407</v>
      </c>
      <c r="Q485" s="452" t="e">
        <f ca="1">VLOOKUP(VLOOKUP(I476,Worksheet!$A$18:$B$31,2),'1Test Data'!$O$30:$X$49,10,0)</f>
        <v>#N/A</v>
      </c>
      <c r="R485" s="484" t="str">
        <f t="shared" si="198"/>
        <v/>
      </c>
      <c r="S485" s="465" t="str">
        <f t="shared" si="199"/>
        <v/>
      </c>
      <c r="T485" s="465" t="str">
        <f>IF(OR(E485="",B485=0),"",ABS(L485/S491))</f>
        <v/>
      </c>
      <c r="U485" s="485"/>
    </row>
    <row r="486" spans="1:21 1170:1255" s="440" customFormat="1" ht="27">
      <c r="A486" s="470">
        <v>8</v>
      </c>
      <c r="B486" s="471">
        <f>$B$11</f>
        <v>0</v>
      </c>
      <c r="C486" s="472" t="s">
        <v>408</v>
      </c>
      <c r="D486" s="471" t="s">
        <v>395</v>
      </c>
      <c r="E486" s="473">
        <v>0.05</v>
      </c>
      <c r="F486" s="474" t="s">
        <v>406</v>
      </c>
      <c r="G486" s="475" t="str">
        <f t="shared" si="193"/>
        <v/>
      </c>
      <c r="H486" s="476" t="str">
        <f t="shared" si="194"/>
        <v/>
      </c>
      <c r="I486" s="477">
        <f t="shared" si="195"/>
        <v>100</v>
      </c>
      <c r="J486" s="478" t="str">
        <f t="shared" si="196"/>
        <v/>
      </c>
      <c r="K486" s="479">
        <f ca="1">F476/8000</f>
        <v>0</v>
      </c>
      <c r="L486" s="480" t="str">
        <f t="shared" si="197"/>
        <v/>
      </c>
      <c r="M486" s="480" t="str">
        <f t="shared" si="190"/>
        <v>0</v>
      </c>
      <c r="N486" s="481" t="str">
        <f t="shared" si="191"/>
        <v>0</v>
      </c>
      <c r="O486" s="482" t="str">
        <f t="shared" si="192"/>
        <v/>
      </c>
      <c r="P486" s="464" t="s">
        <v>394</v>
      </c>
      <c r="Q486" s="483" t="e">
        <f ca="1">VLOOKUP(VLOOKUP(I476,Worksheet!$A$18:$B$31,2),'1Test Data'!$O$30:$AE$49,17,0)</f>
        <v>#N/A</v>
      </c>
      <c r="R486" s="484" t="str">
        <f t="shared" si="198"/>
        <v/>
      </c>
      <c r="S486" s="465" t="str">
        <f t="shared" si="199"/>
        <v/>
      </c>
      <c r="T486" s="465" t="str">
        <f>IF(OR(E486="",B486=0),"",ABS(L486/S491))</f>
        <v/>
      </c>
      <c r="U486" s="485"/>
    </row>
    <row r="487" spans="1:21 1170:1255" s="440" customFormat="1" ht="13.5" customHeight="1">
      <c r="A487" s="470">
        <v>9</v>
      </c>
      <c r="B487" s="471" t="e">
        <f>$B$12</f>
        <v>#NAME?</v>
      </c>
      <c r="C487" s="472" t="str">
        <f>"Electrical reference devise" &amp; '1Test Data'!$O$3 &amp;  CHAR(10) &amp; "SN: " &amp; '1Test Data'!$P$3 &amp; ", Cert No: " &amp; '1Test Data'!$Q$3</f>
        <v>Electrical reference devisea
SN: b, Cert No: c</v>
      </c>
      <c r="D487" s="471" t="s">
        <v>395</v>
      </c>
      <c r="E487" s="473">
        <f>ElectUncert</f>
        <v>2E-3</v>
      </c>
      <c r="F487" s="474" t="e">
        <f>IF(OR(E487="",B487=0),"",ReadoutType)</f>
        <v>#NAME?</v>
      </c>
      <c r="G487" s="475" t="e">
        <f t="shared" si="193"/>
        <v>#NAME?</v>
      </c>
      <c r="H487" s="476" t="e">
        <f t="shared" si="194"/>
        <v>#NAME?</v>
      </c>
      <c r="I487" s="477">
        <f t="shared" si="195"/>
        <v>100</v>
      </c>
      <c r="J487" s="478" t="e">
        <f t="shared" si="196"/>
        <v>#NAME?</v>
      </c>
      <c r="K487" s="479" t="e">
        <f>Capacity/(Upper-Lower)</f>
        <v>#NAME?</v>
      </c>
      <c r="L487" s="480" t="e">
        <f t="shared" si="197"/>
        <v>#NAME?</v>
      </c>
      <c r="M487" s="480" t="e">
        <f t="shared" si="190"/>
        <v>#NAME?</v>
      </c>
      <c r="N487" s="481" t="e">
        <f t="shared" si="191"/>
        <v>#NAME?</v>
      </c>
      <c r="O487" s="482" t="e">
        <f t="shared" si="192"/>
        <v>#NAME?</v>
      </c>
      <c r="P487" s="464" t="s">
        <v>396</v>
      </c>
      <c r="Q487" s="483" t="e">
        <f ca="1">VLOOKUP(VLOOKUP(I476,Worksheet!$A$18:$B$31,2),'1Test Data'!$O$30:$AF$49,18,0)</f>
        <v>#N/A</v>
      </c>
      <c r="R487" s="484" t="e">
        <f t="shared" si="198"/>
        <v>#NAME?</v>
      </c>
      <c r="S487" s="465" t="e">
        <f t="shared" si="199"/>
        <v>#NAME?</v>
      </c>
      <c r="T487" s="465" t="e">
        <f>IF(OR(E487="",B487=0),"",ABS(L487/S491))</f>
        <v>#NAME?</v>
      </c>
      <c r="U487" s="485"/>
    </row>
    <row r="488" spans="1:21 1170:1255" s="440" customFormat="1" ht="18" customHeight="1">
      <c r="A488" s="470">
        <v>10</v>
      </c>
      <c r="B488" s="471">
        <f>$B$13</f>
        <v>1</v>
      </c>
      <c r="C488" s="472" t="s">
        <v>409</v>
      </c>
      <c r="D488" s="471" t="s">
        <v>395</v>
      </c>
      <c r="E488" s="473">
        <f>Worksheet!D31*UnitConvert</f>
        <v>0</v>
      </c>
      <c r="F488" s="474" t="str">
        <f>IF(OR(E488="",B488=0),"",$F$4)</f>
        <v>ABS kPa</v>
      </c>
      <c r="G488" s="475" t="str">
        <f t="shared" si="193"/>
        <v>B</v>
      </c>
      <c r="H488" s="476">
        <f t="shared" si="194"/>
        <v>1.7320508075688772</v>
      </c>
      <c r="I488" s="477">
        <f t="shared" si="195"/>
        <v>100</v>
      </c>
      <c r="J488" s="478">
        <f t="shared" si="196"/>
        <v>0</v>
      </c>
      <c r="K488" s="479">
        <v>1</v>
      </c>
      <c r="L488" s="480">
        <f t="shared" si="197"/>
        <v>0</v>
      </c>
      <c r="M488" s="480">
        <f t="shared" si="190"/>
        <v>0</v>
      </c>
      <c r="N488" s="481">
        <f t="shared" si="191"/>
        <v>0</v>
      </c>
      <c r="O488" s="482" t="e">
        <f t="shared" ca="1" si="192"/>
        <v>#N/A</v>
      </c>
      <c r="P488" s="464" t="s">
        <v>201</v>
      </c>
      <c r="Q488" s="483" t="e">
        <f ca="1">VLOOKUP(VLOOKUP(I476,Worksheet!$A$18:$B$31,2),'1Test Data'!$O$30:$AG$49,19,0)</f>
        <v>#N/A</v>
      </c>
      <c r="R488" s="484">
        <f t="shared" si="198"/>
        <v>0</v>
      </c>
      <c r="S488" s="465">
        <f t="shared" si="199"/>
        <v>0</v>
      </c>
      <c r="T488" s="465" t="e">
        <f ca="1">IF(OR(E488="",B488=0),"",ABS(L488/S491))</f>
        <v>#N/A</v>
      </c>
      <c r="U488" s="485"/>
    </row>
    <row r="489" spans="1:21 1170:1255" s="440" customFormat="1" ht="13.5" customHeight="1">
      <c r="A489" s="470">
        <v>11</v>
      </c>
      <c r="B489" s="471" t="e">
        <f>$B$14</f>
        <v>#NAME?</v>
      </c>
      <c r="C489" s="496" t="e">
        <f>"DUT Type " &amp;ReadoutType&amp; " Resolution "&amp;Readability &amp; "kPa
Digital - Type B - Rect - 1/2 of  least count with D of F = 100 &amp; (k=1.73)
Analogue - Type B - N95 - Best scale readability with D of F = 60 &amp; k=2.00"</f>
        <v>#NAME?</v>
      </c>
      <c r="D489" s="471" t="e">
        <f>IF(ReadoutType="Digital","Rect","N95")</f>
        <v>#NAME?</v>
      </c>
      <c r="E489" s="473" t="e">
        <f>IF(Elect=1,($K487)/1000,IF(ReadoutType="Digital",Readability/2,Readability)*UnitConvert)</f>
        <v>#NAME?</v>
      </c>
      <c r="F489" s="474" t="e">
        <f>IF(OR(E489="",B489=0),"",$F$4)</f>
        <v>#NAME?</v>
      </c>
      <c r="G489" s="475" t="e">
        <f t="shared" si="193"/>
        <v>#NAME?</v>
      </c>
      <c r="H489" s="476" t="e">
        <f t="shared" si="194"/>
        <v>#NAME?</v>
      </c>
      <c r="I489" s="477" t="e">
        <f t="shared" si="195"/>
        <v>#NAME?</v>
      </c>
      <c r="J489" s="478" t="e">
        <f t="shared" si="196"/>
        <v>#NAME?</v>
      </c>
      <c r="K489" s="479">
        <v>1</v>
      </c>
      <c r="L489" s="480" t="e">
        <f t="shared" si="197"/>
        <v>#NAME?</v>
      </c>
      <c r="M489" s="480" t="e">
        <f t="shared" si="190"/>
        <v>#NAME?</v>
      </c>
      <c r="N489" s="481" t="e">
        <f t="shared" si="191"/>
        <v>#NAME?</v>
      </c>
      <c r="O489" s="482" t="e">
        <f t="shared" si="192"/>
        <v>#NAME?</v>
      </c>
      <c r="P489" s="464" t="s">
        <v>88</v>
      </c>
      <c r="Q489" s="483" t="e">
        <f ca="1">VLOOKUP(VLOOKUP(I476,Worksheet!$A$18:$B$31,2),'1Test Data'!$O$30:$AH$49,20,0)</f>
        <v>#N/A</v>
      </c>
      <c r="R489" s="484" t="e">
        <f t="shared" si="198"/>
        <v>#NAME?</v>
      </c>
      <c r="S489" s="465" t="e">
        <f t="shared" si="199"/>
        <v>#NAME?</v>
      </c>
      <c r="T489" s="465" t="e">
        <f>IF(OR(E489="",B489=0),"",ABS(L489/S491))</f>
        <v>#NAME?</v>
      </c>
      <c r="U489" s="485"/>
    </row>
    <row r="490" spans="1:21 1170:1255" s="440" customFormat="1" ht="27">
      <c r="A490" s="470">
        <v>12</v>
      </c>
      <c r="B490" s="471" t="e">
        <f>$B$15</f>
        <v>#NAME?</v>
      </c>
      <c r="C490" s="496" t="s">
        <v>410</v>
      </c>
      <c r="D490" s="471" t="s">
        <v>395</v>
      </c>
      <c r="E490" s="473" t="e">
        <f>E489</f>
        <v>#NAME?</v>
      </c>
      <c r="F490" s="474" t="e">
        <f>IF(OR(E490="",B490=0),"",$F$4)</f>
        <v>#NAME?</v>
      </c>
      <c r="G490" s="475" t="e">
        <f t="shared" si="193"/>
        <v>#NAME?</v>
      </c>
      <c r="H490" s="476" t="e">
        <f t="shared" si="194"/>
        <v>#NAME?</v>
      </c>
      <c r="I490" s="477">
        <f t="shared" si="195"/>
        <v>100</v>
      </c>
      <c r="J490" s="478" t="e">
        <f t="shared" si="196"/>
        <v>#NAME?</v>
      </c>
      <c r="K490" s="479">
        <v>1</v>
      </c>
      <c r="L490" s="480" t="e">
        <f t="shared" si="197"/>
        <v>#NAME?</v>
      </c>
      <c r="M490" s="480" t="e">
        <f t="shared" si="190"/>
        <v>#NAME?</v>
      </c>
      <c r="N490" s="481" t="e">
        <f t="shared" si="191"/>
        <v>#NAME?</v>
      </c>
      <c r="O490" s="482" t="e">
        <f t="shared" si="192"/>
        <v>#NAME?</v>
      </c>
      <c r="P490" s="464" t="s">
        <v>411</v>
      </c>
      <c r="Q490" s="483" t="e">
        <f ca="1">ABS(Q486*F476^3+Q487*F476^2+Q488*F476+Q489)</f>
        <v>#N/A</v>
      </c>
      <c r="R490" s="484" t="e">
        <f t="shared" si="198"/>
        <v>#NAME?</v>
      </c>
      <c r="S490" s="465" t="e">
        <f t="shared" si="199"/>
        <v>#NAME?</v>
      </c>
      <c r="T490" s="465" t="e">
        <f>IF(OR(E490="",B490=0),"",ABS(L490/S491))</f>
        <v>#NAME?</v>
      </c>
      <c r="U490" s="485"/>
    </row>
    <row r="491" spans="1:21 1170:1255" s="440" customFormat="1" ht="25.5">
      <c r="A491" s="497"/>
      <c r="B491" s="498"/>
      <c r="C491" s="448"/>
      <c r="D491" s="448"/>
      <c r="E491" s="448"/>
      <c r="F491" s="448"/>
      <c r="G491" s="448"/>
      <c r="H491" s="448"/>
      <c r="I491" s="484"/>
      <c r="J491" s="448"/>
      <c r="K491" s="448"/>
      <c r="L491" s="499" t="s">
        <v>412</v>
      </c>
      <c r="M491" s="499" t="e">
        <f ca="1">SUM(M479:M490)</f>
        <v>#N/A</v>
      </c>
      <c r="N491" s="500" t="e">
        <f ca="1">SUM(N479:N490)</f>
        <v>#N/A</v>
      </c>
      <c r="O491" s="501" t="e">
        <f ca="1">SUM(O479:O490)</f>
        <v>#N/A</v>
      </c>
      <c r="P491" s="464" t="s">
        <v>413</v>
      </c>
      <c r="Q491" s="483" t="e">
        <f ca="1">VLOOKUP(VLOOKUP(I476,Worksheet!$A$18:$B$31,2),'1Test Data'!$O$30:$AJ$49,22,0)</f>
        <v>#N/A</v>
      </c>
      <c r="R491" s="453"/>
      <c r="S491" s="465" t="e">
        <f ca="1">SUM(S479:S490)</f>
        <v>#N/A</v>
      </c>
      <c r="T491" s="465" t="e">
        <f ca="1">SUM(T479:T490)</f>
        <v>#N/A</v>
      </c>
      <c r="U491" s="455"/>
    </row>
    <row r="492" spans="1:21 1170:1255" s="440" customFormat="1">
      <c r="A492" s="504"/>
      <c r="B492" s="448"/>
      <c r="C492" s="498" t="s">
        <v>414</v>
      </c>
      <c r="D492" s="448"/>
      <c r="E492" s="448"/>
      <c r="F492" s="448"/>
      <c r="G492" s="448"/>
      <c r="H492" s="448"/>
      <c r="I492" s="448"/>
      <c r="J492" s="448"/>
      <c r="K492" s="448"/>
      <c r="L492" s="505"/>
      <c r="M492" s="505"/>
      <c r="N492" s="505"/>
      <c r="O492" s="505"/>
      <c r="P492" s="464" t="s">
        <v>394</v>
      </c>
      <c r="Q492" s="483" t="e">
        <f ca="1">VLOOKUP(VLOOKUP(I476,Worksheet!$A$18:$B$31,2),'1Test Data'!$O$30:$AK$49,23,0)</f>
        <v>#N/A</v>
      </c>
      <c r="R492" s="453"/>
      <c r="S492" s="453"/>
      <c r="T492" s="453"/>
      <c r="U492" s="455"/>
    </row>
    <row r="493" spans="1:21 1170:1255" s="440" customFormat="1" ht="13.5" customHeight="1">
      <c r="A493" s="504"/>
      <c r="B493" s="448"/>
      <c r="C493" s="1090" t="s">
        <v>415</v>
      </c>
      <c r="D493" s="1091"/>
      <c r="E493" s="1091"/>
      <c r="F493" s="1091"/>
      <c r="G493" s="1092"/>
      <c r="H493" s="448"/>
      <c r="I493" s="448"/>
      <c r="J493" s="448"/>
      <c r="K493" s="448"/>
      <c r="L493" s="506" t="s">
        <v>416</v>
      </c>
      <c r="M493" s="507" t="e">
        <f ca="1">M491^0.5</f>
        <v>#N/A</v>
      </c>
      <c r="N493" s="508" t="str">
        <f>Uncert!$F$4</f>
        <v>ABS kPa</v>
      </c>
      <c r="O493" s="505" t="e">
        <f ca="1">(M491-M482-M487-M489-M490)^0.5</f>
        <v>#N/A</v>
      </c>
      <c r="P493" s="464" t="s">
        <v>396</v>
      </c>
      <c r="Q493" s="483" t="e">
        <f ca="1">VLOOKUP(VLOOKUP(I476,Worksheet!$A$18:$B$31,2),'1Test Data'!$O$30:$AL$49,24,0)</f>
        <v>#N/A</v>
      </c>
      <c r="R493" s="453"/>
      <c r="S493" s="453"/>
      <c r="T493" s="453"/>
      <c r="U493" s="455"/>
    </row>
    <row r="494" spans="1:21 1170:1255" s="440" customFormat="1">
      <c r="A494" s="504"/>
      <c r="B494" s="448"/>
      <c r="C494" s="1093"/>
      <c r="D494" s="1094"/>
      <c r="E494" s="1094"/>
      <c r="F494" s="1094"/>
      <c r="G494" s="1095"/>
      <c r="H494" s="448"/>
      <c r="I494" s="448"/>
      <c r="J494" s="448"/>
      <c r="K494" s="448"/>
      <c r="L494" s="506" t="s">
        <v>417</v>
      </c>
      <c r="M494" s="507" t="e">
        <f ca="1">M493^4/N491</f>
        <v>#N/A</v>
      </c>
      <c r="N494" s="509"/>
      <c r="O494" s="510" t="e">
        <f ca="1">O493^4/(N491-N482-N487-N489-N490)</f>
        <v>#N/A</v>
      </c>
      <c r="P494" s="464" t="s">
        <v>201</v>
      </c>
      <c r="Q494" s="483" t="e">
        <f ca="1">VLOOKUP(VLOOKUP(I476,Worksheet!$A$18:$B$31,2),'1Test Data'!$O$30:$AM$49,25,0)</f>
        <v>#N/A</v>
      </c>
      <c r="R494" s="453"/>
      <c r="S494" s="453"/>
      <c r="T494" s="453"/>
      <c r="U494" s="455"/>
    </row>
    <row r="495" spans="1:21 1170:1255" s="440" customFormat="1">
      <c r="A495" s="504"/>
      <c r="B495" s="448"/>
      <c r="C495" s="1093"/>
      <c r="D495" s="1094"/>
      <c r="E495" s="1094"/>
      <c r="F495" s="1094"/>
      <c r="G495" s="1095"/>
      <c r="H495" s="448"/>
      <c r="I495" s="448"/>
      <c r="J495" s="448"/>
      <c r="K495" s="448"/>
      <c r="L495" s="506" t="s">
        <v>418</v>
      </c>
      <c r="M495" s="507" t="e">
        <f ca="1">TINV(0.05,M494)</f>
        <v>#N/A</v>
      </c>
      <c r="N495" s="508"/>
      <c r="O495" s="507" t="e">
        <f ca="1">TINV(0.05,O494)</f>
        <v>#N/A</v>
      </c>
      <c r="P495" s="464" t="s">
        <v>88</v>
      </c>
      <c r="Q495" s="483" t="e">
        <f ca="1">VLOOKUP(VLOOKUP(I476,Worksheet!$A$18:$B$31,2),'1Test Data'!$O$30:$AN$49,26,0)</f>
        <v>#N/A</v>
      </c>
      <c r="R495" s="453"/>
      <c r="S495" s="453"/>
      <c r="T495" s="453"/>
      <c r="U495" s="455"/>
    </row>
    <row r="496" spans="1:21 1170:1255">
      <c r="A496" s="504"/>
      <c r="B496" s="448"/>
      <c r="C496" s="1093"/>
      <c r="D496" s="1094"/>
      <c r="E496" s="1094"/>
      <c r="F496" s="1094"/>
      <c r="G496" s="1095"/>
      <c r="H496" s="448"/>
      <c r="I496" s="448"/>
      <c r="J496" s="448"/>
      <c r="K496" s="448"/>
      <c r="L496" s="506" t="s">
        <v>419</v>
      </c>
      <c r="M496" s="507" t="e">
        <f ca="1">M493*M495</f>
        <v>#N/A</v>
      </c>
      <c r="N496" s="508" t="str">
        <f>Uncert!$F$4</f>
        <v>ABS kPa</v>
      </c>
      <c r="O496" s="507" t="e">
        <f ca="1">O493*O495</f>
        <v>#N/A</v>
      </c>
      <c r="P496" s="464" t="s">
        <v>420</v>
      </c>
      <c r="Q496" s="483" t="e">
        <f ca="1">ABS(Q492*F476^3+Q493*F476^2+Q494*F476+Q495)</f>
        <v>#N/A</v>
      </c>
      <c r="R496" s="453"/>
      <c r="S496" s="453"/>
      <c r="T496" s="453"/>
      <c r="U496" s="455"/>
      <c r="ARZ496" s="441"/>
      <c r="ASA496" s="441"/>
      <c r="ASB496" s="441"/>
      <c r="ASC496" s="441"/>
      <c r="ASD496" s="441"/>
      <c r="ASE496" s="441"/>
      <c r="ASF496" s="441"/>
      <c r="ASG496" s="441"/>
      <c r="ASH496" s="441"/>
      <c r="ASI496" s="441"/>
      <c r="ASJ496" s="441"/>
      <c r="ASK496" s="441"/>
      <c r="ASL496" s="441"/>
      <c r="ASM496" s="441"/>
      <c r="ASN496" s="441"/>
      <c r="ASO496" s="441"/>
      <c r="ASP496" s="441"/>
      <c r="ASQ496" s="441"/>
      <c r="ASR496" s="441"/>
      <c r="ASS496" s="441"/>
      <c r="AST496" s="441"/>
      <c r="ASU496" s="441"/>
      <c r="ASV496" s="441"/>
      <c r="ASW496" s="441"/>
      <c r="ASX496" s="441"/>
      <c r="ASY496" s="441"/>
      <c r="ASZ496" s="441"/>
      <c r="ATA496" s="441"/>
      <c r="ATB496" s="441"/>
      <c r="ATC496" s="441"/>
      <c r="ATD496" s="441"/>
      <c r="ATE496" s="441"/>
      <c r="ATF496" s="441"/>
      <c r="ATG496" s="441"/>
      <c r="ATH496" s="441"/>
      <c r="ATI496" s="441"/>
      <c r="ATJ496" s="441"/>
      <c r="ATK496" s="441"/>
      <c r="ATL496" s="441"/>
      <c r="ATM496" s="441"/>
      <c r="ATN496" s="441"/>
      <c r="ATO496" s="441"/>
      <c r="ATP496" s="441"/>
      <c r="ATQ496" s="441"/>
      <c r="ATR496" s="441"/>
      <c r="ATS496" s="441"/>
      <c r="ATT496" s="441"/>
      <c r="ATU496" s="441"/>
      <c r="ATV496" s="441"/>
      <c r="ATW496" s="441"/>
      <c r="ATX496" s="441"/>
      <c r="ATY496" s="441"/>
      <c r="ATZ496" s="441"/>
      <c r="AUA496" s="441"/>
      <c r="AUB496" s="441"/>
      <c r="AUC496" s="441"/>
      <c r="AUD496" s="441"/>
      <c r="AUE496" s="441"/>
      <c r="AUF496" s="441"/>
      <c r="AUG496" s="441"/>
      <c r="AUH496" s="441"/>
      <c r="AUI496" s="441"/>
      <c r="AUJ496" s="441"/>
      <c r="AUK496" s="441"/>
      <c r="AUL496" s="441"/>
      <c r="AUM496" s="441"/>
      <c r="AUN496" s="441"/>
      <c r="AUO496" s="441"/>
      <c r="AUP496" s="441"/>
      <c r="AUQ496" s="441"/>
      <c r="AUR496" s="441"/>
      <c r="AUS496" s="441"/>
      <c r="AUT496" s="441"/>
      <c r="AUU496" s="441"/>
      <c r="AUV496" s="441"/>
      <c r="AUW496" s="441"/>
      <c r="AUX496" s="441"/>
      <c r="AUY496" s="441"/>
      <c r="AUZ496" s="441"/>
      <c r="AVA496" s="441"/>
      <c r="AVB496" s="441"/>
      <c r="AVC496" s="441"/>
      <c r="AVD496" s="441"/>
      <c r="AVE496" s="441"/>
      <c r="AVF496" s="441"/>
      <c r="AVG496" s="441"/>
    </row>
    <row r="497" spans="1:21 1170:1255">
      <c r="A497" s="497"/>
      <c r="B497" s="498"/>
      <c r="C497" s="1096"/>
      <c r="D497" s="1097"/>
      <c r="E497" s="1097"/>
      <c r="F497" s="1097"/>
      <c r="G497" s="1098"/>
      <c r="H497" s="448"/>
      <c r="I497" s="448"/>
      <c r="J497" s="511"/>
      <c r="K497" s="511"/>
      <c r="L497" s="512" t="s">
        <v>421</v>
      </c>
      <c r="M497" s="513" t="e">
        <f ca="1">M496</f>
        <v>#N/A</v>
      </c>
      <c r="N497" s="514" t="str">
        <f>Uncert!$F$4</f>
        <v>ABS kPa</v>
      </c>
      <c r="O497" s="513" t="e">
        <f ca="1">O496</f>
        <v>#N/A</v>
      </c>
      <c r="P497" s="464" t="s">
        <v>422</v>
      </c>
      <c r="Q497" s="483" t="e">
        <f ca="1">VLOOKUP(VLOOKUP(I476,Worksheet!$A$18:$B$31,2),'1Test Data'!$O$30:$AP$49,28,0)</f>
        <v>#N/A</v>
      </c>
      <c r="R497" s="453"/>
      <c r="S497" s="453"/>
      <c r="T497" s="453"/>
      <c r="U497" s="455"/>
      <c r="ARZ497" s="441"/>
      <c r="ASA497" s="441"/>
      <c r="ASB497" s="441"/>
      <c r="ASC497" s="441"/>
      <c r="ASD497" s="441"/>
      <c r="ASE497" s="441"/>
      <c r="ASF497" s="441"/>
      <c r="ASG497" s="441"/>
      <c r="ASH497" s="441"/>
      <c r="ASI497" s="441"/>
      <c r="ASJ497" s="441"/>
      <c r="ASK497" s="441"/>
      <c r="ASL497" s="441"/>
      <c r="ASM497" s="441"/>
      <c r="ASN497" s="441"/>
      <c r="ASO497" s="441"/>
      <c r="ASP497" s="441"/>
      <c r="ASQ497" s="441"/>
      <c r="ASR497" s="441"/>
      <c r="ASS497" s="441"/>
      <c r="AST497" s="441"/>
      <c r="ASU497" s="441"/>
      <c r="ASV497" s="441"/>
      <c r="ASW497" s="441"/>
      <c r="ASX497" s="441"/>
      <c r="ASY497" s="441"/>
      <c r="ASZ497" s="441"/>
      <c r="ATA497" s="441"/>
      <c r="ATB497" s="441"/>
      <c r="ATC497" s="441"/>
      <c r="ATD497" s="441"/>
      <c r="ATE497" s="441"/>
      <c r="ATF497" s="441"/>
      <c r="ATG497" s="441"/>
      <c r="ATH497" s="441"/>
      <c r="ATI497" s="441"/>
      <c r="ATJ497" s="441"/>
      <c r="ATK497" s="441"/>
      <c r="ATL497" s="441"/>
      <c r="ATM497" s="441"/>
      <c r="ATN497" s="441"/>
      <c r="ATO497" s="441"/>
      <c r="ATP497" s="441"/>
      <c r="ATQ497" s="441"/>
      <c r="ATR497" s="441"/>
      <c r="ATS497" s="441"/>
      <c r="ATT497" s="441"/>
      <c r="ATU497" s="441"/>
      <c r="ATV497" s="441"/>
      <c r="ATW497" s="441"/>
      <c r="ATX497" s="441"/>
      <c r="ATY497" s="441"/>
      <c r="ATZ497" s="441"/>
      <c r="AUA497" s="441"/>
      <c r="AUB497" s="441"/>
      <c r="AUC497" s="441"/>
      <c r="AUD497" s="441"/>
      <c r="AUE497" s="441"/>
      <c r="AUF497" s="441"/>
      <c r="AUG497" s="441"/>
      <c r="AUH497" s="441"/>
      <c r="AUI497" s="441"/>
      <c r="AUJ497" s="441"/>
      <c r="AUK497" s="441"/>
      <c r="AUL497" s="441"/>
      <c r="AUM497" s="441"/>
      <c r="AUN497" s="441"/>
      <c r="AUO497" s="441"/>
      <c r="AUP497" s="441"/>
      <c r="AUQ497" s="441"/>
      <c r="AUR497" s="441"/>
      <c r="AUS497" s="441"/>
      <c r="AUT497" s="441"/>
      <c r="AUU497" s="441"/>
      <c r="AUV497" s="441"/>
      <c r="AUW497" s="441"/>
      <c r="AUX497" s="441"/>
      <c r="AUY497" s="441"/>
      <c r="AUZ497" s="441"/>
      <c r="AVA497" s="441"/>
      <c r="AVB497" s="441"/>
      <c r="AVC497" s="441"/>
      <c r="AVD497" s="441"/>
      <c r="AVE497" s="441"/>
      <c r="AVF497" s="441"/>
      <c r="AVG497" s="441"/>
    </row>
    <row r="498" spans="1:21 1170:1255">
      <c r="A498" s="497"/>
      <c r="B498" s="498"/>
      <c r="C498" s="498" t="s">
        <v>423</v>
      </c>
      <c r="D498" s="448"/>
      <c r="E498" s="448"/>
      <c r="F498" s="448"/>
      <c r="G498" s="448"/>
      <c r="H498" s="515" t="e">
        <f>"N " &amp; ReadoutType</f>
        <v>#NAME?</v>
      </c>
      <c r="I498" s="516" t="e">
        <f ca="1">($O499/$K487)</f>
        <v>#N/A</v>
      </c>
      <c r="J498" s="448"/>
      <c r="K498" s="448"/>
      <c r="L498" s="505"/>
      <c r="M498" s="517" t="e">
        <f ca="1">(M497/F476)*100</f>
        <v>#N/A</v>
      </c>
      <c r="N498" s="518" t="s">
        <v>78</v>
      </c>
      <c r="O498" s="517"/>
      <c r="P498" s="519"/>
      <c r="Q498" s="519"/>
      <c r="R498" s="453"/>
      <c r="S498" s="453"/>
      <c r="T498" s="453"/>
      <c r="U498" s="455"/>
      <c r="ARZ498" s="441"/>
      <c r="ASA498" s="441"/>
      <c r="ASB498" s="441"/>
      <c r="ASC498" s="441"/>
      <c r="ASD498" s="441"/>
      <c r="ASE498" s="441"/>
      <c r="ASF498" s="441"/>
      <c r="ASG498" s="441"/>
      <c r="ASH498" s="441"/>
      <c r="ASI498" s="441"/>
      <c r="ASJ498" s="441"/>
      <c r="ASK498" s="441"/>
      <c r="ASL498" s="441"/>
      <c r="ASM498" s="441"/>
      <c r="ASN498" s="441"/>
      <c r="ASO498" s="441"/>
      <c r="ASP498" s="441"/>
      <c r="ASQ498" s="441"/>
      <c r="ASR498" s="441"/>
      <c r="ASS498" s="441"/>
      <c r="AST498" s="441"/>
      <c r="ASU498" s="441"/>
      <c r="ASV498" s="441"/>
      <c r="ASW498" s="441"/>
      <c r="ASX498" s="441"/>
      <c r="ASY498" s="441"/>
      <c r="ASZ498" s="441"/>
      <c r="ATA498" s="441"/>
      <c r="ATB498" s="441"/>
      <c r="ATC498" s="441"/>
      <c r="ATD498" s="441"/>
      <c r="ATE498" s="441"/>
      <c r="ATF498" s="441"/>
      <c r="ATG498" s="441"/>
      <c r="ATH498" s="441"/>
      <c r="ATI498" s="441"/>
      <c r="ATJ498" s="441"/>
      <c r="ATK498" s="441"/>
      <c r="ATL498" s="441"/>
      <c r="ATM498" s="441"/>
      <c r="ATN498" s="441"/>
      <c r="ATO498" s="441"/>
      <c r="ATP498" s="441"/>
      <c r="ATQ498" s="441"/>
      <c r="ATR498" s="441"/>
      <c r="ATS498" s="441"/>
      <c r="ATT498" s="441"/>
      <c r="ATU498" s="441"/>
      <c r="ATV498" s="441"/>
      <c r="ATW498" s="441"/>
      <c r="ATX498" s="441"/>
      <c r="ATY498" s="441"/>
      <c r="ATZ498" s="441"/>
      <c r="AUA498" s="441"/>
      <c r="AUB498" s="441"/>
      <c r="AUC498" s="441"/>
      <c r="AUD498" s="441"/>
      <c r="AUE498" s="441"/>
      <c r="AUF498" s="441"/>
      <c r="AUG498" s="441"/>
      <c r="AUH498" s="441"/>
      <c r="AUI498" s="441"/>
      <c r="AUJ498" s="441"/>
      <c r="AUK498" s="441"/>
      <c r="AUL498" s="441"/>
      <c r="AUM498" s="441"/>
      <c r="AUN498" s="441"/>
      <c r="AUO498" s="441"/>
      <c r="AUP498" s="441"/>
      <c r="AUQ498" s="441"/>
      <c r="AUR498" s="441"/>
      <c r="AUS498" s="441"/>
      <c r="AUT498" s="441"/>
      <c r="AUU498" s="441"/>
      <c r="AUV498" s="441"/>
      <c r="AUW498" s="441"/>
      <c r="AUX498" s="441"/>
      <c r="AUY498" s="441"/>
      <c r="AUZ498" s="441"/>
      <c r="AVA498" s="441"/>
      <c r="AVB498" s="441"/>
      <c r="AVC498" s="441"/>
      <c r="AVD498" s="441"/>
      <c r="AVE498" s="441"/>
      <c r="AVF498" s="441"/>
      <c r="AVG498" s="441"/>
    </row>
    <row r="499" spans="1:21 1170:1255">
      <c r="A499" s="497"/>
      <c r="B499" s="498"/>
      <c r="C499" s="520" t="s">
        <v>33</v>
      </c>
      <c r="D499" s="521" t="str">
        <f ca="1">Gravity</f>
        <v/>
      </c>
      <c r="E499" s="520" t="s">
        <v>36</v>
      </c>
      <c r="F499" s="522"/>
      <c r="G499" s="523"/>
      <c r="H499" s="524" t="e">
        <f>ReadoutType</f>
        <v>#NAME?</v>
      </c>
      <c r="I499" s="516" t="e">
        <f ca="1">($M499/$K487)</f>
        <v>#N/A</v>
      </c>
      <c r="J499" s="1103" t="s">
        <v>424</v>
      </c>
      <c r="K499" s="1104"/>
      <c r="L499" s="1104"/>
      <c r="M499" s="525" t="e">
        <f ca="1">IF(NATA="Y",IF(M497&lt;Scopekpa,IF(Scopekpa&lt;((F476/100)*ScopeReading),((F476/100)*ScopeReading),Scopekpa),IF(M497&lt;((F476/100)*ScopeReading),((F476/100)*ScopeReading),M497)),Uncert!M497)</f>
        <v>#N/A</v>
      </c>
      <c r="N499" s="522" t="s">
        <v>425</v>
      </c>
      <c r="O499" s="525" t="e">
        <f ca="1">IF(NATA="Y",IF(O497&lt;Scopekpa,IF(Scopekpa&lt;((F476/100)*ScopeReading),((F476/100)*ScopeReading),Scopekpa),IF(O497&lt;((F476/100)*ScopeReading),((F476/100)*ScopeReading),O497)),Uncert!O497)</f>
        <v>#N/A</v>
      </c>
      <c r="P499" s="522"/>
      <c r="Q499" s="522"/>
      <c r="R499" s="453"/>
      <c r="S499" s="453"/>
      <c r="T499" s="453"/>
      <c r="U499" s="455"/>
      <c r="ARZ499" s="441"/>
      <c r="ASA499" s="441"/>
      <c r="ASB499" s="441"/>
      <c r="ASC499" s="441"/>
      <c r="ASD499" s="441"/>
      <c r="ASE499" s="441"/>
      <c r="ASF499" s="441"/>
      <c r="ASG499" s="441"/>
      <c r="ASH499" s="441"/>
      <c r="ASI499" s="441"/>
      <c r="ASJ499" s="441"/>
      <c r="ASK499" s="441"/>
      <c r="ASL499" s="441"/>
      <c r="ASM499" s="441"/>
      <c r="ASN499" s="441"/>
      <c r="ASO499" s="441"/>
      <c r="ASP499" s="441"/>
      <c r="ASQ499" s="441"/>
      <c r="ASR499" s="441"/>
      <c r="ASS499" s="441"/>
      <c r="AST499" s="441"/>
      <c r="ASU499" s="441"/>
      <c r="ASV499" s="441"/>
      <c r="ASW499" s="441"/>
      <c r="ASX499" s="441"/>
      <c r="ASY499" s="441"/>
      <c r="ASZ499" s="441"/>
      <c r="ATA499" s="441"/>
      <c r="ATB499" s="441"/>
      <c r="ATC499" s="441"/>
      <c r="ATD499" s="441"/>
      <c r="ATE499" s="441"/>
      <c r="ATF499" s="441"/>
      <c r="ATG499" s="441"/>
      <c r="ATH499" s="441"/>
      <c r="ATI499" s="441"/>
      <c r="ATJ499" s="441"/>
      <c r="ATK499" s="441"/>
      <c r="ATL499" s="441"/>
      <c r="ATM499" s="441"/>
      <c r="ATN499" s="441"/>
      <c r="ATO499" s="441"/>
      <c r="ATP499" s="441"/>
      <c r="ATQ499" s="441"/>
      <c r="ATR499" s="441"/>
      <c r="ATS499" s="441"/>
      <c r="ATT499" s="441"/>
      <c r="ATU499" s="441"/>
      <c r="ATV499" s="441"/>
      <c r="ATW499" s="441"/>
      <c r="ATX499" s="441"/>
      <c r="ATY499" s="441"/>
      <c r="ATZ499" s="441"/>
      <c r="AUA499" s="441"/>
      <c r="AUB499" s="441"/>
      <c r="AUC499" s="441"/>
      <c r="AUD499" s="441"/>
      <c r="AUE499" s="441"/>
      <c r="AUF499" s="441"/>
      <c r="AUG499" s="441"/>
      <c r="AUH499" s="441"/>
      <c r="AUI499" s="441"/>
      <c r="AUJ499" s="441"/>
      <c r="AUK499" s="441"/>
      <c r="AUL499" s="441"/>
      <c r="AUM499" s="441"/>
      <c r="AUN499" s="441"/>
      <c r="AUO499" s="441"/>
      <c r="AUP499" s="441"/>
      <c r="AUQ499" s="441"/>
      <c r="AUR499" s="441"/>
      <c r="AUS499" s="441"/>
      <c r="AUT499" s="441"/>
      <c r="AUU499" s="441"/>
      <c r="AUV499" s="441"/>
      <c r="AUW499" s="441"/>
      <c r="AUX499" s="441"/>
      <c r="AUY499" s="441"/>
      <c r="AUZ499" s="441"/>
      <c r="AVA499" s="441"/>
      <c r="AVB499" s="441"/>
      <c r="AVC499" s="441"/>
      <c r="AVD499" s="441"/>
      <c r="AVE499" s="441"/>
      <c r="AVF499" s="441"/>
      <c r="AVG499" s="441"/>
    </row>
    <row r="500" spans="1:21 1170:1255" ht="14.25" thickBot="1">
      <c r="A500" s="526" t="str">
        <f>"Worksheet!A" &amp; 17+(ROW()/25)</f>
        <v>Worksheet!A37</v>
      </c>
      <c r="B500" s="527"/>
      <c r="C500" s="527"/>
      <c r="D500" s="528">
        <f>ROW()/25</f>
        <v>20</v>
      </c>
      <c r="E500" s="529"/>
      <c r="F500" s="529"/>
      <c r="G500" s="529"/>
      <c r="H500" s="529"/>
      <c r="I500" s="530"/>
      <c r="J500" s="1105" t="s">
        <v>424</v>
      </c>
      <c r="K500" s="1105"/>
      <c r="L500" s="1105"/>
      <c r="M500" s="531" t="e">
        <f ca="1">IF(NATA="Y",IF(M498&lt;ScopeReading,ScopeReading,M498),M498)</f>
        <v>#N/A</v>
      </c>
      <c r="N500" s="532" t="s">
        <v>78</v>
      </c>
      <c r="O500" s="531"/>
      <c r="P500" s="532"/>
      <c r="Q500" s="527"/>
      <c r="R500" s="527"/>
      <c r="S500" s="527"/>
      <c r="T500" s="527"/>
      <c r="U500" s="533"/>
      <c r="ARZ500" s="441"/>
      <c r="ASA500" s="441"/>
      <c r="ASB500" s="441"/>
      <c r="ASC500" s="441"/>
      <c r="ASD500" s="441"/>
      <c r="ASE500" s="441"/>
      <c r="ASF500" s="441"/>
      <c r="ASG500" s="441"/>
      <c r="ASH500" s="441"/>
      <c r="ASI500" s="441"/>
      <c r="ASJ500" s="441"/>
      <c r="ASK500" s="441"/>
      <c r="ASL500" s="441"/>
      <c r="ASM500" s="441"/>
      <c r="ASN500" s="441"/>
      <c r="ASO500" s="441"/>
      <c r="ASP500" s="441"/>
      <c r="ASQ500" s="441"/>
      <c r="ASR500" s="441"/>
      <c r="ASS500" s="441"/>
      <c r="AST500" s="441"/>
      <c r="ASU500" s="441"/>
      <c r="ASV500" s="441"/>
      <c r="ASW500" s="441"/>
      <c r="ASX500" s="441"/>
      <c r="ASY500" s="441"/>
      <c r="ASZ500" s="441"/>
      <c r="ATA500" s="441"/>
      <c r="ATB500" s="441"/>
      <c r="ATC500" s="441"/>
      <c r="ATD500" s="441"/>
      <c r="ATE500" s="441"/>
      <c r="ATF500" s="441"/>
      <c r="ATG500" s="441"/>
      <c r="ATH500" s="441"/>
      <c r="ATI500" s="441"/>
      <c r="ATJ500" s="441"/>
      <c r="ATK500" s="441"/>
      <c r="ATL500" s="441"/>
      <c r="ATM500" s="441"/>
      <c r="ATN500" s="441"/>
      <c r="ATO500" s="441"/>
      <c r="ATP500" s="441"/>
      <c r="ATQ500" s="441"/>
      <c r="ATR500" s="441"/>
      <c r="ATS500" s="441"/>
      <c r="ATT500" s="441"/>
      <c r="ATU500" s="441"/>
      <c r="ATV500" s="441"/>
      <c r="ATW500" s="441"/>
      <c r="ATX500" s="441"/>
      <c r="ATY500" s="441"/>
      <c r="ATZ500" s="441"/>
      <c r="AUA500" s="441"/>
      <c r="AUB500" s="441"/>
      <c r="AUC500" s="441"/>
      <c r="AUD500" s="441"/>
      <c r="AUE500" s="441"/>
      <c r="AUF500" s="441"/>
      <c r="AUG500" s="441"/>
      <c r="AUH500" s="441"/>
      <c r="AUI500" s="441"/>
      <c r="AUJ500" s="441"/>
      <c r="AUK500" s="441"/>
      <c r="AUL500" s="441"/>
      <c r="AUM500" s="441"/>
      <c r="AUN500" s="441"/>
      <c r="AUO500" s="441"/>
      <c r="AUP500" s="441"/>
      <c r="AUQ500" s="441"/>
      <c r="AUR500" s="441"/>
      <c r="AUS500" s="441"/>
      <c r="AUT500" s="441"/>
      <c r="AUU500" s="441"/>
      <c r="AUV500" s="441"/>
      <c r="AUW500" s="441"/>
      <c r="AUX500" s="441"/>
      <c r="AUY500" s="441"/>
      <c r="AUZ500" s="441"/>
      <c r="AVA500" s="441"/>
      <c r="AVB500" s="441"/>
      <c r="AVC500" s="441"/>
      <c r="AVD500" s="441"/>
      <c r="AVE500" s="441"/>
      <c r="AVF500" s="441"/>
      <c r="AVG500" s="441"/>
    </row>
    <row r="501" spans="1:21 1170:1255">
      <c r="A501" s="440"/>
      <c r="B501" s="440"/>
      <c r="C501" s="440"/>
      <c r="D501" s="440"/>
      <c r="E501" s="440"/>
      <c r="F501" s="440"/>
      <c r="G501" s="440"/>
      <c r="H501" s="440"/>
      <c r="I501" s="440"/>
      <c r="J501" s="440"/>
      <c r="K501" s="440"/>
      <c r="L501" s="440"/>
      <c r="M501" s="440"/>
      <c r="N501" s="440"/>
      <c r="O501" s="440"/>
      <c r="P501" s="440"/>
      <c r="Q501" s="440"/>
      <c r="R501" s="440"/>
      <c r="S501" s="440"/>
      <c r="T501" s="440"/>
      <c r="U501" s="440"/>
      <c r="AUK501" s="441"/>
      <c r="AUL501" s="441"/>
      <c r="AUM501" s="441"/>
      <c r="AUN501" s="441"/>
      <c r="AUO501" s="441"/>
      <c r="AUP501" s="441"/>
      <c r="AUQ501" s="441"/>
      <c r="AUR501" s="441"/>
      <c r="AUS501" s="441"/>
      <c r="AUT501" s="441"/>
      <c r="AUU501" s="441"/>
      <c r="AUV501" s="441"/>
      <c r="AUW501" s="441"/>
      <c r="AUX501" s="441"/>
      <c r="AUY501" s="441"/>
      <c r="AUZ501" s="441"/>
      <c r="AVA501" s="441"/>
      <c r="AVB501" s="441"/>
      <c r="AVC501" s="441"/>
      <c r="AVD501" s="441"/>
      <c r="AVE501" s="441"/>
      <c r="AVF501" s="441"/>
      <c r="AVG501" s="441"/>
    </row>
    <row r="502" spans="1:21 1170:1255">
      <c r="A502" s="440"/>
      <c r="B502" s="440"/>
      <c r="C502" s="440"/>
      <c r="D502" s="440"/>
      <c r="E502" s="440"/>
      <c r="F502" s="440"/>
      <c r="G502" s="440"/>
      <c r="H502" s="440"/>
      <c r="I502" s="440"/>
      <c r="J502" s="440"/>
      <c r="K502" s="440"/>
      <c r="L502" s="440"/>
      <c r="M502" s="440"/>
      <c r="N502" s="440"/>
      <c r="O502" s="440"/>
      <c r="P502" s="440"/>
      <c r="Q502" s="440"/>
      <c r="R502" s="440"/>
      <c r="S502" s="440"/>
      <c r="T502" s="440"/>
      <c r="U502" s="440"/>
      <c r="AUK502" s="441"/>
      <c r="AUL502" s="441"/>
      <c r="AUM502" s="441"/>
      <c r="AUN502" s="441"/>
      <c r="AUO502" s="441"/>
      <c r="AUP502" s="441"/>
      <c r="AUQ502" s="441"/>
      <c r="AUR502" s="441"/>
      <c r="AUS502" s="441"/>
      <c r="AUT502" s="441"/>
      <c r="AUU502" s="441"/>
      <c r="AUV502" s="441"/>
      <c r="AUW502" s="441"/>
      <c r="AUX502" s="441"/>
      <c r="AUY502" s="441"/>
      <c r="AUZ502" s="441"/>
      <c r="AVA502" s="441"/>
      <c r="AVB502" s="441"/>
      <c r="AVC502" s="441"/>
      <c r="AVD502" s="441"/>
      <c r="AVE502" s="441"/>
      <c r="AVF502" s="441"/>
      <c r="AVG502" s="441"/>
    </row>
    <row r="503" spans="1:21 1170:1255">
      <c r="A503" s="440"/>
      <c r="B503" s="440"/>
      <c r="C503" s="440"/>
      <c r="D503" s="440"/>
      <c r="E503" s="440"/>
      <c r="F503" s="440"/>
      <c r="G503" s="440"/>
      <c r="H503" s="440"/>
      <c r="I503" s="440"/>
      <c r="J503" s="440"/>
      <c r="K503" s="440"/>
      <c r="L503" s="440"/>
      <c r="M503" s="440"/>
      <c r="N503" s="440"/>
      <c r="O503" s="440"/>
      <c r="P503" s="440"/>
      <c r="Q503" s="440"/>
      <c r="R503" s="440"/>
      <c r="S503" s="440"/>
      <c r="T503" s="440"/>
      <c r="U503" s="440"/>
      <c r="AUK503" s="441"/>
      <c r="AUL503" s="441"/>
      <c r="AUM503" s="441"/>
      <c r="AUN503" s="441"/>
      <c r="AUO503" s="441"/>
      <c r="AUP503" s="441"/>
      <c r="AUQ503" s="441"/>
      <c r="AUR503" s="441"/>
      <c r="AUS503" s="441"/>
      <c r="AUT503" s="441"/>
      <c r="AUU503" s="441"/>
      <c r="AUV503" s="441"/>
      <c r="AUW503" s="441"/>
      <c r="AUX503" s="441"/>
      <c r="AUY503" s="441"/>
      <c r="AUZ503" s="441"/>
      <c r="AVA503" s="441"/>
      <c r="AVB503" s="441"/>
      <c r="AVC503" s="441"/>
      <c r="AVD503" s="441"/>
      <c r="AVE503" s="441"/>
      <c r="AVF503" s="441"/>
      <c r="AVG503" s="441"/>
    </row>
    <row r="504" spans="1:21 1170:1255">
      <c r="A504" s="440"/>
      <c r="B504" s="440"/>
      <c r="C504" s="440"/>
      <c r="D504" s="440"/>
      <c r="E504" s="440"/>
      <c r="F504" s="440"/>
      <c r="G504" s="440"/>
      <c r="H504" s="440"/>
      <c r="I504" s="440"/>
      <c r="J504" s="440"/>
      <c r="K504" s="440"/>
      <c r="L504" s="440"/>
      <c r="M504" s="440"/>
      <c r="N504" s="440"/>
      <c r="O504" s="440"/>
      <c r="P504" s="440"/>
      <c r="Q504" s="440"/>
      <c r="R504" s="440"/>
      <c r="S504" s="440"/>
      <c r="T504" s="440"/>
      <c r="U504" s="440"/>
      <c r="AUK504" s="441"/>
      <c r="AUL504" s="441"/>
      <c r="AUM504" s="441"/>
      <c r="AUN504" s="441"/>
      <c r="AUO504" s="441"/>
      <c r="AUP504" s="441"/>
      <c r="AUQ504" s="441"/>
      <c r="AUR504" s="441"/>
      <c r="AUS504" s="441"/>
      <c r="AUT504" s="441"/>
      <c r="AUU504" s="441"/>
      <c r="AUV504" s="441"/>
      <c r="AUW504" s="441"/>
      <c r="AUX504" s="441"/>
      <c r="AUY504" s="441"/>
      <c r="AUZ504" s="441"/>
      <c r="AVA504" s="441"/>
      <c r="AVB504" s="441"/>
      <c r="AVC504" s="441"/>
      <c r="AVD504" s="441"/>
      <c r="AVE504" s="441"/>
      <c r="AVF504" s="441"/>
      <c r="AVG504" s="441"/>
    </row>
    <row r="505" spans="1:21 1170:1255">
      <c r="A505" s="440"/>
      <c r="B505" s="440"/>
      <c r="C505" s="440"/>
      <c r="D505" s="440"/>
      <c r="E505" s="440"/>
      <c r="F505" s="440"/>
      <c r="G505" s="440"/>
      <c r="H505" s="440"/>
      <c r="I505" s="440"/>
      <c r="J505" s="440"/>
      <c r="K505" s="440"/>
      <c r="L505" s="440"/>
      <c r="M505" s="440"/>
      <c r="N505" s="440"/>
      <c r="O505" s="440"/>
      <c r="P505" s="440"/>
      <c r="Q505" s="440"/>
      <c r="R505" s="440"/>
      <c r="S505" s="440"/>
      <c r="T505" s="440"/>
      <c r="U505" s="440"/>
      <c r="AUK505" s="441"/>
      <c r="AUL505" s="441"/>
      <c r="AUM505" s="441"/>
      <c r="AUN505" s="441"/>
      <c r="AUO505" s="441"/>
      <c r="AUP505" s="441"/>
      <c r="AUQ505" s="441"/>
      <c r="AUR505" s="441"/>
      <c r="AUS505" s="441"/>
      <c r="AUT505" s="441"/>
      <c r="AUU505" s="441"/>
      <c r="AUV505" s="441"/>
      <c r="AUW505" s="441"/>
      <c r="AUX505" s="441"/>
      <c r="AUY505" s="441"/>
      <c r="AUZ505" s="441"/>
      <c r="AVA505" s="441"/>
      <c r="AVB505" s="441"/>
      <c r="AVC505" s="441"/>
      <c r="AVD505" s="441"/>
      <c r="AVE505" s="441"/>
      <c r="AVF505" s="441"/>
      <c r="AVG505" s="441"/>
    </row>
    <row r="506" spans="1:21 1170:1255">
      <c r="A506" s="440"/>
      <c r="B506" s="440"/>
      <c r="C506" s="440"/>
      <c r="D506" s="440"/>
      <c r="E506" s="440"/>
      <c r="F506" s="440"/>
      <c r="G506" s="440"/>
      <c r="H506" s="440"/>
      <c r="I506" s="440"/>
      <c r="J506" s="440"/>
      <c r="K506" s="440"/>
      <c r="L506" s="440"/>
      <c r="M506" s="440"/>
      <c r="N506" s="440"/>
      <c r="O506" s="440"/>
      <c r="P506" s="440"/>
      <c r="Q506" s="440"/>
      <c r="R506" s="440"/>
      <c r="S506" s="440"/>
      <c r="T506" s="440"/>
      <c r="U506" s="440"/>
      <c r="AUK506" s="441"/>
      <c r="AUL506" s="441"/>
      <c r="AUM506" s="441"/>
      <c r="AUN506" s="441"/>
      <c r="AUO506" s="441"/>
      <c r="AUP506" s="441"/>
      <c r="AUQ506" s="441"/>
      <c r="AUR506" s="441"/>
      <c r="AUS506" s="441"/>
      <c r="AUT506" s="441"/>
      <c r="AUU506" s="441"/>
      <c r="AUV506" s="441"/>
      <c r="AUW506" s="441"/>
      <c r="AUX506" s="441"/>
      <c r="AUY506" s="441"/>
      <c r="AUZ506" s="441"/>
      <c r="AVA506" s="441"/>
      <c r="AVB506" s="441"/>
      <c r="AVC506" s="441"/>
      <c r="AVD506" s="441"/>
      <c r="AVE506" s="441"/>
      <c r="AVF506" s="441"/>
      <c r="AVG506" s="441"/>
    </row>
    <row r="507" spans="1:21 1170:1255">
      <c r="A507" s="440"/>
      <c r="B507" s="440"/>
      <c r="C507" s="440"/>
      <c r="D507" s="440"/>
      <c r="E507" s="440"/>
      <c r="F507" s="440"/>
      <c r="G507" s="440"/>
      <c r="H507" s="440"/>
      <c r="I507" s="440"/>
      <c r="J507" s="440"/>
      <c r="K507" s="440"/>
      <c r="L507" s="440"/>
      <c r="M507" s="440"/>
      <c r="N507" s="440"/>
      <c r="O507" s="440"/>
      <c r="P507" s="440"/>
      <c r="Q507" s="440"/>
      <c r="R507" s="440"/>
      <c r="S507" s="440"/>
      <c r="T507" s="440"/>
      <c r="U507" s="440"/>
      <c r="AUK507" s="441"/>
      <c r="AUL507" s="441"/>
      <c r="AUM507" s="441"/>
      <c r="AUN507" s="441"/>
      <c r="AUO507" s="441"/>
      <c r="AUP507" s="441"/>
      <c r="AUQ507" s="441"/>
      <c r="AUR507" s="441"/>
      <c r="AUS507" s="441"/>
      <c r="AUT507" s="441"/>
      <c r="AUU507" s="441"/>
      <c r="AUV507" s="441"/>
      <c r="AUW507" s="441"/>
      <c r="AUX507" s="441"/>
      <c r="AUY507" s="441"/>
      <c r="AUZ507" s="441"/>
      <c r="AVA507" s="441"/>
      <c r="AVB507" s="441"/>
      <c r="AVC507" s="441"/>
      <c r="AVD507" s="441"/>
      <c r="AVE507" s="441"/>
      <c r="AVF507" s="441"/>
      <c r="AVG507" s="441"/>
    </row>
    <row r="508" spans="1:21 1170:1255">
      <c r="A508" s="440"/>
      <c r="B508" s="440"/>
      <c r="C508" s="440"/>
      <c r="D508" s="440"/>
      <c r="E508" s="440"/>
      <c r="F508" s="440"/>
      <c r="G508" s="440"/>
      <c r="H508" s="440"/>
      <c r="I508" s="440"/>
      <c r="J508" s="440"/>
      <c r="K508" s="440"/>
      <c r="L508" s="440"/>
      <c r="M508" s="440"/>
      <c r="N508" s="440"/>
      <c r="O508" s="440"/>
      <c r="P508" s="440"/>
      <c r="Q508" s="440"/>
      <c r="R508" s="440"/>
      <c r="S508" s="440"/>
      <c r="T508" s="440"/>
      <c r="U508" s="440"/>
      <c r="AUK508" s="441"/>
      <c r="AUL508" s="441"/>
      <c r="AUM508" s="441"/>
      <c r="AUN508" s="441"/>
      <c r="AUO508" s="441"/>
      <c r="AUP508" s="441"/>
      <c r="AUQ508" s="441"/>
      <c r="AUR508" s="441"/>
      <c r="AUS508" s="441"/>
      <c r="AUT508" s="441"/>
      <c r="AUU508" s="441"/>
      <c r="AUV508" s="441"/>
      <c r="AUW508" s="441"/>
      <c r="AUX508" s="441"/>
      <c r="AUY508" s="441"/>
      <c r="AUZ508" s="441"/>
      <c r="AVA508" s="441"/>
      <c r="AVB508" s="441"/>
      <c r="AVC508" s="441"/>
      <c r="AVD508" s="441"/>
      <c r="AVE508" s="441"/>
      <c r="AVF508" s="441"/>
      <c r="AVG508" s="441"/>
    </row>
    <row r="509" spans="1:21 1170:1255">
      <c r="A509" s="440"/>
      <c r="B509" s="440"/>
      <c r="C509" s="440"/>
      <c r="D509" s="440"/>
      <c r="E509" s="440"/>
      <c r="F509" s="440"/>
      <c r="G509" s="440"/>
      <c r="H509" s="440"/>
      <c r="I509" s="440"/>
      <c r="J509" s="440"/>
      <c r="K509" s="440"/>
      <c r="L509" s="440"/>
      <c r="M509" s="440"/>
      <c r="N509" s="440"/>
      <c r="O509" s="440"/>
      <c r="P509" s="440"/>
      <c r="Q509" s="440"/>
      <c r="R509" s="440"/>
      <c r="S509" s="440"/>
      <c r="T509" s="440"/>
      <c r="U509" s="440"/>
      <c r="AUK509" s="441"/>
      <c r="AUL509" s="441"/>
      <c r="AUM509" s="441"/>
      <c r="AUN509" s="441"/>
      <c r="AUO509" s="441"/>
      <c r="AUP509" s="441"/>
      <c r="AUQ509" s="441"/>
      <c r="AUR509" s="441"/>
      <c r="AUS509" s="441"/>
      <c r="AUT509" s="441"/>
      <c r="AUU509" s="441"/>
      <c r="AUV509" s="441"/>
      <c r="AUW509" s="441"/>
      <c r="AUX509" s="441"/>
      <c r="AUY509" s="441"/>
      <c r="AUZ509" s="441"/>
      <c r="AVA509" s="441"/>
      <c r="AVB509" s="441"/>
      <c r="AVC509" s="441"/>
      <c r="AVD509" s="441"/>
      <c r="AVE509" s="441"/>
      <c r="AVF509" s="441"/>
      <c r="AVG509" s="441"/>
    </row>
    <row r="510" spans="1:21 1170:1255">
      <c r="A510" s="440"/>
      <c r="B510" s="440"/>
      <c r="C510" s="440"/>
      <c r="D510" s="440"/>
      <c r="E510" s="440"/>
      <c r="F510" s="440"/>
      <c r="G510" s="440"/>
      <c r="H510" s="440"/>
      <c r="I510" s="440"/>
      <c r="J510" s="440"/>
      <c r="K510" s="440"/>
      <c r="L510" s="440"/>
      <c r="M510" s="440"/>
      <c r="N510" s="440"/>
      <c r="O510" s="440"/>
      <c r="P510" s="440"/>
      <c r="Q510" s="440"/>
      <c r="R510" s="440"/>
      <c r="S510" s="440"/>
      <c r="T510" s="440"/>
      <c r="U510" s="440"/>
      <c r="AUK510" s="441"/>
      <c r="AUL510" s="441"/>
      <c r="AUM510" s="441"/>
      <c r="AUN510" s="441"/>
      <c r="AUO510" s="441"/>
      <c r="AUP510" s="441"/>
      <c r="AUQ510" s="441"/>
      <c r="AUR510" s="441"/>
      <c r="AUS510" s="441"/>
      <c r="AUT510" s="441"/>
      <c r="AUU510" s="441"/>
      <c r="AUV510" s="441"/>
      <c r="AUW510" s="441"/>
      <c r="AUX510" s="441"/>
      <c r="AUY510" s="441"/>
      <c r="AUZ510" s="441"/>
      <c r="AVA510" s="441"/>
      <c r="AVB510" s="441"/>
      <c r="AVC510" s="441"/>
      <c r="AVD510" s="441"/>
      <c r="AVE510" s="441"/>
      <c r="AVF510" s="441"/>
      <c r="AVG510" s="441"/>
    </row>
    <row r="511" spans="1:21 1170:1255">
      <c r="A511" s="440"/>
      <c r="B511" s="440"/>
      <c r="C511" s="440"/>
      <c r="D511" s="440"/>
      <c r="E511" s="440"/>
      <c r="F511" s="440"/>
      <c r="G511" s="440"/>
      <c r="H511" s="440"/>
      <c r="I511" s="440"/>
      <c r="J511" s="440"/>
      <c r="K511" s="440"/>
      <c r="L511" s="440"/>
      <c r="M511" s="440"/>
      <c r="N511" s="440"/>
      <c r="O511" s="440"/>
      <c r="P511" s="440"/>
      <c r="Q511" s="440"/>
      <c r="R511" s="440"/>
      <c r="S511" s="440"/>
      <c r="T511" s="440"/>
      <c r="U511" s="440"/>
      <c r="AUK511" s="441"/>
      <c r="AUL511" s="441"/>
      <c r="AUM511" s="441"/>
      <c r="AUN511" s="441"/>
      <c r="AUO511" s="441"/>
      <c r="AUP511" s="441"/>
      <c r="AUQ511" s="441"/>
      <c r="AUR511" s="441"/>
      <c r="AUS511" s="441"/>
      <c r="AUT511" s="441"/>
      <c r="AUU511" s="441"/>
      <c r="AUV511" s="441"/>
      <c r="AUW511" s="441"/>
      <c r="AUX511" s="441"/>
      <c r="AUY511" s="441"/>
      <c r="AUZ511" s="441"/>
      <c r="AVA511" s="441"/>
      <c r="AVB511" s="441"/>
      <c r="AVC511" s="441"/>
      <c r="AVD511" s="441"/>
      <c r="AVE511" s="441"/>
      <c r="AVF511" s="441"/>
      <c r="AVG511" s="441"/>
    </row>
    <row r="512" spans="1:21 1170:1255">
      <c r="A512" s="440"/>
      <c r="B512" s="440"/>
      <c r="C512" s="440"/>
      <c r="D512" s="440"/>
      <c r="E512" s="440"/>
      <c r="F512" s="440"/>
      <c r="G512" s="440"/>
      <c r="H512" s="440"/>
      <c r="I512" s="440"/>
      <c r="J512" s="440"/>
      <c r="K512" s="440"/>
      <c r="L512" s="440"/>
      <c r="M512" s="440"/>
      <c r="N512" s="440"/>
      <c r="O512" s="440"/>
      <c r="P512" s="440"/>
      <c r="Q512" s="440"/>
      <c r="R512" s="440"/>
      <c r="S512" s="440"/>
      <c r="T512" s="440"/>
      <c r="U512" s="440"/>
      <c r="AUK512" s="441"/>
      <c r="AUL512" s="441"/>
      <c r="AUM512" s="441"/>
      <c r="AUN512" s="441"/>
      <c r="AUO512" s="441"/>
      <c r="AUP512" s="441"/>
      <c r="AUQ512" s="441"/>
      <c r="AUR512" s="441"/>
      <c r="AUS512" s="441"/>
      <c r="AUT512" s="441"/>
      <c r="AUU512" s="441"/>
      <c r="AUV512" s="441"/>
      <c r="AUW512" s="441"/>
      <c r="AUX512" s="441"/>
      <c r="AUY512" s="441"/>
      <c r="AUZ512" s="441"/>
      <c r="AVA512" s="441"/>
      <c r="AVB512" s="441"/>
      <c r="AVC512" s="441"/>
      <c r="AVD512" s="441"/>
      <c r="AVE512" s="441"/>
      <c r="AVF512" s="441"/>
      <c r="AVG512" s="441"/>
    </row>
    <row r="513" spans="1:21 1233:1255">
      <c r="A513" s="440"/>
      <c r="B513" s="440"/>
      <c r="C513" s="440"/>
      <c r="D513" s="440"/>
      <c r="E513" s="440"/>
      <c r="F513" s="440"/>
      <c r="G513" s="440"/>
      <c r="H513" s="440"/>
      <c r="I513" s="440"/>
      <c r="J513" s="440"/>
      <c r="K513" s="440"/>
      <c r="L513" s="440"/>
      <c r="M513" s="440"/>
      <c r="N513" s="440"/>
      <c r="O513" s="440"/>
      <c r="P513" s="440"/>
      <c r="Q513" s="440"/>
      <c r="R513" s="440"/>
      <c r="S513" s="440"/>
      <c r="T513" s="440"/>
      <c r="U513" s="440"/>
      <c r="AUK513" s="441"/>
      <c r="AUL513" s="441"/>
      <c r="AUM513" s="441"/>
      <c r="AUN513" s="441"/>
      <c r="AUO513" s="441"/>
      <c r="AUP513" s="441"/>
      <c r="AUQ513" s="441"/>
      <c r="AUR513" s="441"/>
      <c r="AUS513" s="441"/>
      <c r="AUT513" s="441"/>
      <c r="AUU513" s="441"/>
      <c r="AUV513" s="441"/>
      <c r="AUW513" s="441"/>
      <c r="AUX513" s="441"/>
      <c r="AUY513" s="441"/>
      <c r="AUZ513" s="441"/>
      <c r="AVA513" s="441"/>
      <c r="AVB513" s="441"/>
      <c r="AVC513" s="441"/>
      <c r="AVD513" s="441"/>
      <c r="AVE513" s="441"/>
      <c r="AVF513" s="441"/>
      <c r="AVG513" s="441"/>
    </row>
    <row r="514" spans="1:21 1233:1255">
      <c r="A514" s="440"/>
      <c r="B514" s="440"/>
      <c r="C514" s="440"/>
      <c r="D514" s="440"/>
      <c r="E514" s="440"/>
      <c r="F514" s="440"/>
      <c r="G514" s="440"/>
      <c r="H514" s="440"/>
      <c r="I514" s="440"/>
      <c r="J514" s="440"/>
      <c r="K514" s="440"/>
      <c r="L514" s="440"/>
      <c r="M514" s="440"/>
      <c r="N514" s="440"/>
      <c r="O514" s="440"/>
      <c r="P514" s="440"/>
      <c r="Q514" s="440"/>
      <c r="R514" s="440"/>
      <c r="S514" s="440"/>
      <c r="T514" s="440"/>
      <c r="U514" s="440"/>
      <c r="AUK514" s="441"/>
      <c r="AUL514" s="441"/>
      <c r="AUM514" s="441"/>
      <c r="AUN514" s="441"/>
      <c r="AUO514" s="441"/>
      <c r="AUP514" s="441"/>
      <c r="AUQ514" s="441"/>
      <c r="AUR514" s="441"/>
      <c r="AUS514" s="441"/>
      <c r="AUT514" s="441"/>
      <c r="AUU514" s="441"/>
      <c r="AUV514" s="441"/>
      <c r="AUW514" s="441"/>
      <c r="AUX514" s="441"/>
      <c r="AUY514" s="441"/>
      <c r="AUZ514" s="441"/>
      <c r="AVA514" s="441"/>
      <c r="AVB514" s="441"/>
      <c r="AVC514" s="441"/>
      <c r="AVD514" s="441"/>
      <c r="AVE514" s="441"/>
      <c r="AVF514" s="441"/>
      <c r="AVG514" s="441"/>
    </row>
    <row r="515" spans="1:21 1233:1255">
      <c r="A515" s="440"/>
      <c r="B515" s="440"/>
      <c r="C515" s="440"/>
      <c r="D515" s="440"/>
      <c r="E515" s="440"/>
      <c r="F515" s="440"/>
      <c r="G515" s="440"/>
      <c r="H515" s="440"/>
      <c r="I515" s="440"/>
      <c r="J515" s="440"/>
      <c r="K515" s="440"/>
      <c r="L515" s="440"/>
      <c r="M515" s="440"/>
      <c r="N515" s="440"/>
      <c r="O515" s="440"/>
      <c r="P515" s="440"/>
      <c r="Q515" s="440"/>
      <c r="R515" s="440"/>
      <c r="S515" s="440"/>
      <c r="T515" s="440"/>
      <c r="U515" s="440"/>
      <c r="AUK515" s="441"/>
      <c r="AUL515" s="441"/>
      <c r="AUM515" s="441"/>
      <c r="AUN515" s="441"/>
      <c r="AUO515" s="441"/>
      <c r="AUP515" s="441"/>
      <c r="AUQ515" s="441"/>
      <c r="AUR515" s="441"/>
      <c r="AUS515" s="441"/>
      <c r="AUT515" s="441"/>
      <c r="AUU515" s="441"/>
      <c r="AUV515" s="441"/>
      <c r="AUW515" s="441"/>
      <c r="AUX515" s="441"/>
      <c r="AUY515" s="441"/>
      <c r="AUZ515" s="441"/>
      <c r="AVA515" s="441"/>
      <c r="AVB515" s="441"/>
      <c r="AVC515" s="441"/>
      <c r="AVD515" s="441"/>
      <c r="AVE515" s="441"/>
      <c r="AVF515" s="441"/>
      <c r="AVG515" s="441"/>
    </row>
    <row r="516" spans="1:21 1233:1255">
      <c r="A516" s="440"/>
      <c r="B516" s="440"/>
      <c r="C516" s="440"/>
      <c r="D516" s="440"/>
      <c r="E516" s="440"/>
      <c r="F516" s="440"/>
      <c r="G516" s="440"/>
      <c r="H516" s="440"/>
      <c r="I516" s="440"/>
      <c r="J516" s="440"/>
      <c r="K516" s="440"/>
      <c r="L516" s="440"/>
      <c r="M516" s="440"/>
      <c r="N516" s="440"/>
      <c r="O516" s="440"/>
      <c r="P516" s="440"/>
      <c r="Q516" s="440"/>
      <c r="R516" s="440"/>
      <c r="S516" s="440"/>
      <c r="T516" s="440"/>
      <c r="U516" s="440"/>
      <c r="AUK516" s="441"/>
      <c r="AUL516" s="441"/>
      <c r="AUM516" s="441"/>
      <c r="AUN516" s="441"/>
      <c r="AUO516" s="441"/>
      <c r="AUP516" s="441"/>
      <c r="AUQ516" s="441"/>
      <c r="AUR516" s="441"/>
      <c r="AUS516" s="441"/>
      <c r="AUT516" s="441"/>
      <c r="AUU516" s="441"/>
      <c r="AUV516" s="441"/>
      <c r="AUW516" s="441"/>
      <c r="AUX516" s="441"/>
      <c r="AUY516" s="441"/>
      <c r="AUZ516" s="441"/>
      <c r="AVA516" s="441"/>
      <c r="AVB516" s="441"/>
      <c r="AVC516" s="441"/>
      <c r="AVD516" s="441"/>
      <c r="AVE516" s="441"/>
      <c r="AVF516" s="441"/>
      <c r="AVG516" s="441"/>
    </row>
    <row r="517" spans="1:21 1233:1255">
      <c r="A517" s="440"/>
      <c r="B517" s="440"/>
      <c r="C517" s="440"/>
      <c r="D517" s="440"/>
      <c r="E517" s="440"/>
      <c r="F517" s="440"/>
      <c r="G517" s="440"/>
      <c r="H517" s="440"/>
      <c r="I517" s="440"/>
      <c r="J517" s="440"/>
      <c r="K517" s="440"/>
      <c r="L517" s="440"/>
      <c r="M517" s="440"/>
      <c r="N517" s="440"/>
      <c r="O517" s="440"/>
      <c r="P517" s="440"/>
      <c r="Q517" s="440"/>
      <c r="R517" s="440"/>
      <c r="S517" s="440"/>
      <c r="T517" s="440"/>
      <c r="U517" s="440"/>
      <c r="AUK517" s="441"/>
      <c r="AUL517" s="441"/>
      <c r="AUM517" s="441"/>
      <c r="AUN517" s="441"/>
      <c r="AUO517" s="441"/>
      <c r="AUP517" s="441"/>
      <c r="AUQ517" s="441"/>
      <c r="AUR517" s="441"/>
      <c r="AUS517" s="441"/>
      <c r="AUT517" s="441"/>
      <c r="AUU517" s="441"/>
      <c r="AUV517" s="441"/>
      <c r="AUW517" s="441"/>
      <c r="AUX517" s="441"/>
      <c r="AUY517" s="441"/>
      <c r="AUZ517" s="441"/>
      <c r="AVA517" s="441"/>
      <c r="AVB517" s="441"/>
      <c r="AVC517" s="441"/>
      <c r="AVD517" s="441"/>
      <c r="AVE517" s="441"/>
      <c r="AVF517" s="441"/>
      <c r="AVG517" s="441"/>
    </row>
    <row r="518" spans="1:21 1233:1255">
      <c r="A518" s="440"/>
      <c r="B518" s="440"/>
      <c r="C518" s="440"/>
      <c r="D518" s="440"/>
      <c r="E518" s="440"/>
      <c r="F518" s="440"/>
      <c r="G518" s="440"/>
      <c r="H518" s="440"/>
      <c r="I518" s="440"/>
      <c r="J518" s="440"/>
      <c r="K518" s="440"/>
      <c r="L518" s="440"/>
      <c r="M518" s="440"/>
      <c r="N518" s="440"/>
      <c r="O518" s="440"/>
      <c r="P518" s="440"/>
      <c r="Q518" s="440"/>
      <c r="R518" s="440"/>
      <c r="S518" s="440"/>
      <c r="T518" s="440"/>
      <c r="U518" s="440"/>
      <c r="AUK518" s="441"/>
      <c r="AUL518" s="441"/>
      <c r="AUM518" s="441"/>
      <c r="AUN518" s="441"/>
      <c r="AUO518" s="441"/>
      <c r="AUP518" s="441"/>
      <c r="AUQ518" s="441"/>
      <c r="AUR518" s="441"/>
      <c r="AUS518" s="441"/>
      <c r="AUT518" s="441"/>
      <c r="AUU518" s="441"/>
      <c r="AUV518" s="441"/>
      <c r="AUW518" s="441"/>
      <c r="AUX518" s="441"/>
      <c r="AUY518" s="441"/>
      <c r="AUZ518" s="441"/>
      <c r="AVA518" s="441"/>
      <c r="AVB518" s="441"/>
      <c r="AVC518" s="441"/>
      <c r="AVD518" s="441"/>
      <c r="AVE518" s="441"/>
      <c r="AVF518" s="441"/>
      <c r="AVG518" s="441"/>
    </row>
    <row r="519" spans="1:21 1233:1255">
      <c r="A519" s="440"/>
      <c r="B519" s="440"/>
      <c r="C519" s="440"/>
      <c r="D519" s="440"/>
      <c r="E519" s="440"/>
      <c r="F519" s="440"/>
      <c r="G519" s="440"/>
      <c r="H519" s="440"/>
      <c r="I519" s="440"/>
      <c r="J519" s="440"/>
      <c r="K519" s="440"/>
      <c r="L519" s="440"/>
      <c r="M519" s="440"/>
      <c r="N519" s="440"/>
      <c r="O519" s="440"/>
      <c r="P519" s="440"/>
      <c r="Q519" s="440"/>
      <c r="R519" s="440"/>
      <c r="S519" s="440"/>
      <c r="T519" s="440"/>
      <c r="U519" s="440"/>
      <c r="AUK519" s="441"/>
      <c r="AUL519" s="441"/>
      <c r="AUM519" s="441"/>
      <c r="AUN519" s="441"/>
      <c r="AUO519" s="441"/>
      <c r="AUP519" s="441"/>
      <c r="AUQ519" s="441"/>
      <c r="AUR519" s="441"/>
      <c r="AUS519" s="441"/>
      <c r="AUT519" s="441"/>
      <c r="AUU519" s="441"/>
      <c r="AUV519" s="441"/>
      <c r="AUW519" s="441"/>
      <c r="AUX519" s="441"/>
      <c r="AUY519" s="441"/>
      <c r="AUZ519" s="441"/>
      <c r="AVA519" s="441"/>
      <c r="AVB519" s="441"/>
      <c r="AVC519" s="441"/>
      <c r="AVD519" s="441"/>
      <c r="AVE519" s="441"/>
      <c r="AVF519" s="441"/>
      <c r="AVG519" s="441"/>
    </row>
    <row r="520" spans="1:21 1233:1255">
      <c r="A520" s="440"/>
      <c r="B520" s="440"/>
      <c r="C520" s="440"/>
      <c r="D520" s="440"/>
      <c r="E520" s="440"/>
      <c r="F520" s="440"/>
      <c r="G520" s="440"/>
      <c r="H520" s="440"/>
      <c r="I520" s="440"/>
      <c r="J520" s="440"/>
      <c r="K520" s="440"/>
      <c r="L520" s="440"/>
      <c r="M520" s="440"/>
      <c r="N520" s="440"/>
      <c r="O520" s="440"/>
      <c r="P520" s="440"/>
      <c r="Q520" s="440"/>
      <c r="R520" s="440"/>
      <c r="S520" s="440"/>
      <c r="T520" s="440"/>
      <c r="U520" s="440"/>
      <c r="AUK520" s="441"/>
      <c r="AUL520" s="441"/>
      <c r="AUM520" s="441"/>
      <c r="AUN520" s="441"/>
      <c r="AUO520" s="441"/>
      <c r="AUP520" s="441"/>
      <c r="AUQ520" s="441"/>
      <c r="AUR520" s="441"/>
      <c r="AUS520" s="441"/>
      <c r="AUT520" s="441"/>
      <c r="AUU520" s="441"/>
      <c r="AUV520" s="441"/>
      <c r="AUW520" s="441"/>
      <c r="AUX520" s="441"/>
      <c r="AUY520" s="441"/>
      <c r="AUZ520" s="441"/>
      <c r="AVA520" s="441"/>
      <c r="AVB520" s="441"/>
      <c r="AVC520" s="441"/>
      <c r="AVD520" s="441"/>
      <c r="AVE520" s="441"/>
      <c r="AVF520" s="441"/>
      <c r="AVG520" s="441"/>
    </row>
    <row r="521" spans="1:21 1233:1255">
      <c r="A521" s="440"/>
      <c r="B521" s="440"/>
      <c r="C521" s="440"/>
      <c r="D521" s="440"/>
      <c r="E521" s="440"/>
      <c r="F521" s="440"/>
      <c r="G521" s="440"/>
      <c r="H521" s="440"/>
      <c r="I521" s="440"/>
      <c r="J521" s="440"/>
      <c r="K521" s="440"/>
      <c r="L521" s="440"/>
      <c r="M521" s="440"/>
      <c r="N521" s="440"/>
      <c r="O521" s="440"/>
      <c r="P521" s="440"/>
      <c r="Q521" s="440"/>
      <c r="R521" s="440"/>
      <c r="S521" s="440"/>
      <c r="T521" s="440"/>
      <c r="U521" s="440"/>
      <c r="AUK521" s="441"/>
      <c r="AUL521" s="441"/>
      <c r="AUM521" s="441"/>
      <c r="AUN521" s="441"/>
      <c r="AUO521" s="441"/>
      <c r="AUP521" s="441"/>
      <c r="AUQ521" s="441"/>
      <c r="AUR521" s="441"/>
      <c r="AUS521" s="441"/>
      <c r="AUT521" s="441"/>
      <c r="AUU521" s="441"/>
      <c r="AUV521" s="441"/>
      <c r="AUW521" s="441"/>
      <c r="AUX521" s="441"/>
      <c r="AUY521" s="441"/>
      <c r="AUZ521" s="441"/>
      <c r="AVA521" s="441"/>
      <c r="AVB521" s="441"/>
      <c r="AVC521" s="441"/>
      <c r="AVD521" s="441"/>
      <c r="AVE521" s="441"/>
      <c r="AVF521" s="441"/>
      <c r="AVG521" s="441"/>
    </row>
    <row r="522" spans="1:21 1233:1255">
      <c r="A522" s="440"/>
      <c r="B522" s="440"/>
      <c r="C522" s="440"/>
      <c r="D522" s="440"/>
      <c r="E522" s="440"/>
      <c r="F522" s="440"/>
      <c r="G522" s="440"/>
      <c r="H522" s="440"/>
      <c r="I522" s="440"/>
      <c r="J522" s="440"/>
      <c r="K522" s="440"/>
      <c r="L522" s="440"/>
      <c r="M522" s="440"/>
      <c r="N522" s="440"/>
      <c r="O522" s="440"/>
      <c r="P522" s="440"/>
      <c r="Q522" s="440"/>
      <c r="R522" s="440"/>
      <c r="S522" s="440"/>
      <c r="T522" s="440"/>
      <c r="U522" s="440"/>
      <c r="AUK522" s="441"/>
      <c r="AUL522" s="441"/>
      <c r="AUM522" s="441"/>
      <c r="AUN522" s="441"/>
      <c r="AUO522" s="441"/>
      <c r="AUP522" s="441"/>
      <c r="AUQ522" s="441"/>
      <c r="AUR522" s="441"/>
      <c r="AUS522" s="441"/>
      <c r="AUT522" s="441"/>
      <c r="AUU522" s="441"/>
      <c r="AUV522" s="441"/>
      <c r="AUW522" s="441"/>
      <c r="AUX522" s="441"/>
      <c r="AUY522" s="441"/>
      <c r="AUZ522" s="441"/>
      <c r="AVA522" s="441"/>
      <c r="AVB522" s="441"/>
      <c r="AVC522" s="441"/>
      <c r="AVD522" s="441"/>
      <c r="AVE522" s="441"/>
      <c r="AVF522" s="441"/>
      <c r="AVG522" s="441"/>
    </row>
    <row r="523" spans="1:21 1233:1255">
      <c r="A523" s="440"/>
      <c r="B523" s="440"/>
      <c r="C523" s="440"/>
      <c r="D523" s="440"/>
      <c r="E523" s="440"/>
      <c r="F523" s="440"/>
      <c r="G523" s="440"/>
      <c r="H523" s="440"/>
      <c r="I523" s="440"/>
      <c r="J523" s="440"/>
      <c r="K523" s="440"/>
      <c r="L523" s="440"/>
      <c r="M523" s="440"/>
      <c r="N523" s="440"/>
      <c r="O523" s="440"/>
      <c r="P523" s="440"/>
      <c r="Q523" s="440"/>
      <c r="R523" s="440"/>
      <c r="S523" s="440"/>
      <c r="T523" s="440"/>
      <c r="U523" s="440"/>
      <c r="AUK523" s="441"/>
      <c r="AUL523" s="441"/>
      <c r="AUM523" s="441"/>
      <c r="AUN523" s="441"/>
      <c r="AUO523" s="441"/>
      <c r="AUP523" s="441"/>
      <c r="AUQ523" s="441"/>
      <c r="AUR523" s="441"/>
      <c r="AUS523" s="441"/>
      <c r="AUT523" s="441"/>
      <c r="AUU523" s="441"/>
      <c r="AUV523" s="441"/>
      <c r="AUW523" s="441"/>
      <c r="AUX523" s="441"/>
      <c r="AUY523" s="441"/>
      <c r="AUZ523" s="441"/>
      <c r="AVA523" s="441"/>
      <c r="AVB523" s="441"/>
      <c r="AVC523" s="441"/>
      <c r="AVD523" s="441"/>
      <c r="AVE523" s="441"/>
      <c r="AVF523" s="441"/>
      <c r="AVG523" s="441"/>
    </row>
    <row r="524" spans="1:21 1233:1255">
      <c r="A524" s="440"/>
      <c r="B524" s="440"/>
      <c r="C524" s="440"/>
      <c r="D524" s="440"/>
      <c r="E524" s="440"/>
      <c r="F524" s="440"/>
      <c r="G524" s="440"/>
      <c r="H524" s="440"/>
      <c r="I524" s="440"/>
      <c r="J524" s="440"/>
      <c r="K524" s="440"/>
      <c r="L524" s="440"/>
      <c r="M524" s="440"/>
      <c r="N524" s="440"/>
      <c r="O524" s="440"/>
      <c r="P524" s="440"/>
      <c r="Q524" s="440"/>
      <c r="R524" s="440"/>
      <c r="S524" s="440"/>
      <c r="T524" s="440"/>
      <c r="U524" s="440"/>
      <c r="AUK524" s="441"/>
      <c r="AUL524" s="441"/>
      <c r="AUM524" s="441"/>
      <c r="AUN524" s="441"/>
      <c r="AUO524" s="441"/>
      <c r="AUP524" s="441"/>
      <c r="AUQ524" s="441"/>
      <c r="AUR524" s="441"/>
      <c r="AUS524" s="441"/>
      <c r="AUT524" s="441"/>
      <c r="AUU524" s="441"/>
      <c r="AUV524" s="441"/>
      <c r="AUW524" s="441"/>
      <c r="AUX524" s="441"/>
      <c r="AUY524" s="441"/>
      <c r="AUZ524" s="441"/>
      <c r="AVA524" s="441"/>
      <c r="AVB524" s="441"/>
      <c r="AVC524" s="441"/>
      <c r="AVD524" s="441"/>
      <c r="AVE524" s="441"/>
      <c r="AVF524" s="441"/>
      <c r="AVG524" s="441"/>
    </row>
    <row r="525" spans="1:21 1233:1255">
      <c r="A525" s="440"/>
      <c r="B525" s="440"/>
      <c r="C525" s="440"/>
      <c r="D525" s="440"/>
      <c r="E525" s="440"/>
      <c r="F525" s="440"/>
      <c r="G525" s="440"/>
      <c r="H525" s="440"/>
      <c r="I525" s="440"/>
      <c r="J525" s="440"/>
      <c r="K525" s="440"/>
      <c r="L525" s="440"/>
      <c r="M525" s="440"/>
      <c r="N525" s="440"/>
      <c r="O525" s="440"/>
      <c r="P525" s="440"/>
      <c r="Q525" s="440"/>
      <c r="R525" s="440"/>
      <c r="S525" s="440"/>
      <c r="T525" s="440"/>
      <c r="U525" s="440"/>
      <c r="AUK525" s="441"/>
      <c r="AUL525" s="441"/>
      <c r="AUM525" s="441"/>
      <c r="AUN525" s="441"/>
      <c r="AUO525" s="441"/>
      <c r="AUP525" s="441"/>
      <c r="AUQ525" s="441"/>
      <c r="AUR525" s="441"/>
      <c r="AUS525" s="441"/>
      <c r="AUT525" s="441"/>
      <c r="AUU525" s="441"/>
      <c r="AUV525" s="441"/>
      <c r="AUW525" s="441"/>
      <c r="AUX525" s="441"/>
      <c r="AUY525" s="441"/>
      <c r="AUZ525" s="441"/>
      <c r="AVA525" s="441"/>
      <c r="AVB525" s="441"/>
      <c r="AVC525" s="441"/>
      <c r="AVD525" s="441"/>
      <c r="AVE525" s="441"/>
      <c r="AVF525" s="441"/>
      <c r="AVG525" s="441"/>
    </row>
    <row r="526" spans="1:21 1233:1255">
      <c r="A526" s="440"/>
      <c r="B526" s="440"/>
      <c r="C526" s="440"/>
      <c r="D526" s="440"/>
      <c r="E526" s="440"/>
      <c r="F526" s="440"/>
      <c r="G526" s="440"/>
      <c r="H526" s="440"/>
      <c r="I526" s="440"/>
      <c r="J526" s="440"/>
      <c r="K526" s="440"/>
      <c r="L526" s="440"/>
      <c r="M526" s="440"/>
      <c r="N526" s="440"/>
      <c r="O526" s="440"/>
      <c r="P526" s="440"/>
      <c r="Q526" s="440"/>
      <c r="R526" s="440"/>
      <c r="S526" s="440"/>
      <c r="T526" s="440"/>
      <c r="U526" s="440"/>
      <c r="AUK526" s="441"/>
      <c r="AUL526" s="441"/>
      <c r="AUM526" s="441"/>
      <c r="AUN526" s="441"/>
      <c r="AUO526" s="441"/>
      <c r="AUP526" s="441"/>
      <c r="AUQ526" s="441"/>
      <c r="AUR526" s="441"/>
      <c r="AUS526" s="441"/>
      <c r="AUT526" s="441"/>
      <c r="AUU526" s="441"/>
      <c r="AUV526" s="441"/>
      <c r="AUW526" s="441"/>
      <c r="AUX526" s="441"/>
      <c r="AUY526" s="441"/>
      <c r="AUZ526" s="441"/>
      <c r="AVA526" s="441"/>
      <c r="AVB526" s="441"/>
      <c r="AVC526" s="441"/>
      <c r="AVD526" s="441"/>
      <c r="AVE526" s="441"/>
      <c r="AVF526" s="441"/>
      <c r="AVG526" s="441"/>
    </row>
    <row r="527" spans="1:21 1233:1255">
      <c r="A527" s="440"/>
      <c r="B527" s="440"/>
      <c r="C527" s="440"/>
      <c r="D527" s="440"/>
      <c r="E527" s="440"/>
      <c r="F527" s="440"/>
      <c r="G527" s="440"/>
      <c r="H527" s="440"/>
      <c r="I527" s="440"/>
      <c r="J527" s="440"/>
      <c r="K527" s="440"/>
      <c r="L527" s="440"/>
      <c r="M527" s="440"/>
      <c r="N527" s="440"/>
      <c r="O527" s="440"/>
      <c r="P527" s="440"/>
      <c r="Q527" s="440"/>
      <c r="R527" s="440"/>
      <c r="S527" s="440"/>
      <c r="T527" s="440"/>
      <c r="U527" s="440"/>
      <c r="AUK527" s="441"/>
      <c r="AUL527" s="441"/>
      <c r="AUM527" s="441"/>
      <c r="AUN527" s="441"/>
      <c r="AUO527" s="441"/>
      <c r="AUP527" s="441"/>
      <c r="AUQ527" s="441"/>
      <c r="AUR527" s="441"/>
      <c r="AUS527" s="441"/>
      <c r="AUT527" s="441"/>
      <c r="AUU527" s="441"/>
      <c r="AUV527" s="441"/>
      <c r="AUW527" s="441"/>
      <c r="AUX527" s="441"/>
      <c r="AUY527" s="441"/>
      <c r="AUZ527" s="441"/>
      <c r="AVA527" s="441"/>
      <c r="AVB527" s="441"/>
      <c r="AVC527" s="441"/>
      <c r="AVD527" s="441"/>
      <c r="AVE527" s="441"/>
      <c r="AVF527" s="441"/>
      <c r="AVG527" s="441"/>
    </row>
    <row r="528" spans="1:21 1233:1255">
      <c r="A528" s="440"/>
      <c r="B528" s="440"/>
      <c r="C528" s="440"/>
      <c r="D528" s="440"/>
      <c r="E528" s="440"/>
      <c r="F528" s="440"/>
      <c r="G528" s="440"/>
      <c r="H528" s="440"/>
      <c r="I528" s="440"/>
      <c r="J528" s="440"/>
      <c r="K528" s="440"/>
      <c r="L528" s="440"/>
      <c r="M528" s="440"/>
      <c r="N528" s="440"/>
      <c r="O528" s="440"/>
      <c r="P528" s="440"/>
      <c r="Q528" s="440"/>
      <c r="R528" s="440"/>
      <c r="S528" s="440"/>
      <c r="T528" s="440"/>
      <c r="U528" s="440"/>
      <c r="AUK528" s="441"/>
      <c r="AUL528" s="441"/>
      <c r="AUM528" s="441"/>
      <c r="AUN528" s="441"/>
      <c r="AUO528" s="441"/>
      <c r="AUP528" s="441"/>
      <c r="AUQ528" s="441"/>
      <c r="AUR528" s="441"/>
      <c r="AUS528" s="441"/>
      <c r="AUT528" s="441"/>
      <c r="AUU528" s="441"/>
      <c r="AUV528" s="441"/>
      <c r="AUW528" s="441"/>
      <c r="AUX528" s="441"/>
      <c r="AUY528" s="441"/>
      <c r="AUZ528" s="441"/>
      <c r="AVA528" s="441"/>
      <c r="AVB528" s="441"/>
      <c r="AVC528" s="441"/>
      <c r="AVD528" s="441"/>
      <c r="AVE528" s="441"/>
      <c r="AVF528" s="441"/>
      <c r="AVG528" s="441"/>
    </row>
    <row r="529" spans="1:21 1233:1255">
      <c r="A529" s="440"/>
      <c r="B529" s="440"/>
      <c r="C529" s="440"/>
      <c r="D529" s="440"/>
      <c r="E529" s="440"/>
      <c r="F529" s="440"/>
      <c r="G529" s="440"/>
      <c r="H529" s="440"/>
      <c r="I529" s="440"/>
      <c r="J529" s="440"/>
      <c r="K529" s="440"/>
      <c r="L529" s="440"/>
      <c r="M529" s="440"/>
      <c r="N529" s="440"/>
      <c r="O529" s="440"/>
      <c r="P529" s="440"/>
      <c r="Q529" s="440"/>
      <c r="R529" s="440"/>
      <c r="S529" s="440"/>
      <c r="T529" s="440"/>
      <c r="U529" s="440"/>
      <c r="AUK529" s="441"/>
      <c r="AUL529" s="441"/>
      <c r="AUM529" s="441"/>
      <c r="AUN529" s="441"/>
      <c r="AUO529" s="441"/>
      <c r="AUP529" s="441"/>
      <c r="AUQ529" s="441"/>
      <c r="AUR529" s="441"/>
      <c r="AUS529" s="441"/>
      <c r="AUT529" s="441"/>
      <c r="AUU529" s="441"/>
      <c r="AUV529" s="441"/>
      <c r="AUW529" s="441"/>
      <c r="AUX529" s="441"/>
      <c r="AUY529" s="441"/>
      <c r="AUZ529" s="441"/>
      <c r="AVA529" s="441"/>
      <c r="AVB529" s="441"/>
      <c r="AVC529" s="441"/>
      <c r="AVD529" s="441"/>
      <c r="AVE529" s="441"/>
      <c r="AVF529" s="441"/>
      <c r="AVG529" s="441"/>
    </row>
    <row r="530" spans="1:21 1233:1255">
      <c r="A530" s="440"/>
      <c r="B530" s="440"/>
      <c r="C530" s="440"/>
      <c r="D530" s="440"/>
      <c r="E530" s="440"/>
      <c r="F530" s="440"/>
      <c r="G530" s="440"/>
      <c r="H530" s="440"/>
      <c r="I530" s="440"/>
      <c r="J530" s="440"/>
      <c r="K530" s="440"/>
      <c r="L530" s="440"/>
      <c r="M530" s="440"/>
      <c r="N530" s="440"/>
      <c r="O530" s="440"/>
      <c r="P530" s="440"/>
      <c r="Q530" s="440"/>
      <c r="R530" s="440"/>
      <c r="S530" s="440"/>
      <c r="T530" s="440"/>
      <c r="U530" s="440"/>
      <c r="AUK530" s="441"/>
      <c r="AUL530" s="441"/>
      <c r="AUM530" s="441"/>
      <c r="AUN530" s="441"/>
      <c r="AUO530" s="441"/>
      <c r="AUP530" s="441"/>
      <c r="AUQ530" s="441"/>
      <c r="AUR530" s="441"/>
      <c r="AUS530" s="441"/>
      <c r="AUT530" s="441"/>
      <c r="AUU530" s="441"/>
      <c r="AUV530" s="441"/>
      <c r="AUW530" s="441"/>
      <c r="AUX530" s="441"/>
      <c r="AUY530" s="441"/>
      <c r="AUZ530" s="441"/>
      <c r="AVA530" s="441"/>
      <c r="AVB530" s="441"/>
      <c r="AVC530" s="441"/>
      <c r="AVD530" s="441"/>
      <c r="AVE530" s="441"/>
      <c r="AVF530" s="441"/>
      <c r="AVG530" s="441"/>
    </row>
    <row r="531" spans="1:21 1233:1255">
      <c r="A531" s="440"/>
      <c r="B531" s="440"/>
      <c r="C531" s="440"/>
      <c r="D531" s="440"/>
      <c r="E531" s="440"/>
      <c r="F531" s="440"/>
      <c r="G531" s="440"/>
      <c r="H531" s="440"/>
      <c r="I531" s="440"/>
      <c r="J531" s="440"/>
      <c r="K531" s="440"/>
      <c r="L531" s="440"/>
      <c r="M531" s="440"/>
      <c r="N531" s="440"/>
      <c r="O531" s="440"/>
      <c r="P531" s="440"/>
      <c r="Q531" s="440"/>
      <c r="R531" s="440"/>
      <c r="S531" s="440"/>
      <c r="T531" s="440"/>
      <c r="U531" s="440"/>
      <c r="AUK531" s="441"/>
      <c r="AUL531" s="441"/>
      <c r="AUM531" s="441"/>
      <c r="AUN531" s="441"/>
      <c r="AUO531" s="441"/>
      <c r="AUP531" s="441"/>
      <c r="AUQ531" s="441"/>
      <c r="AUR531" s="441"/>
      <c r="AUS531" s="441"/>
      <c r="AUT531" s="441"/>
      <c r="AUU531" s="441"/>
      <c r="AUV531" s="441"/>
      <c r="AUW531" s="441"/>
      <c r="AUX531" s="441"/>
      <c r="AUY531" s="441"/>
      <c r="AUZ531" s="441"/>
      <c r="AVA531" s="441"/>
      <c r="AVB531" s="441"/>
      <c r="AVC531" s="441"/>
      <c r="AVD531" s="441"/>
      <c r="AVE531" s="441"/>
      <c r="AVF531" s="441"/>
      <c r="AVG531" s="441"/>
    </row>
    <row r="532" spans="1:21 1233:1255">
      <c r="A532" s="440"/>
      <c r="B532" s="440"/>
      <c r="C532" s="440"/>
      <c r="D532" s="440"/>
      <c r="E532" s="440"/>
      <c r="F532" s="440"/>
      <c r="G532" s="440"/>
      <c r="H532" s="440"/>
      <c r="I532" s="440"/>
      <c r="J532" s="440"/>
      <c r="K532" s="440"/>
      <c r="L532" s="440"/>
      <c r="M532" s="440"/>
      <c r="N532" s="440"/>
      <c r="O532" s="440"/>
      <c r="P532" s="440"/>
      <c r="Q532" s="440"/>
      <c r="R532" s="440"/>
      <c r="S532" s="440"/>
      <c r="T532" s="440"/>
      <c r="U532" s="440"/>
      <c r="AUK532" s="441"/>
      <c r="AUL532" s="441"/>
      <c r="AUM532" s="441"/>
      <c r="AUN532" s="441"/>
      <c r="AUO532" s="441"/>
      <c r="AUP532" s="441"/>
      <c r="AUQ532" s="441"/>
      <c r="AUR532" s="441"/>
      <c r="AUS532" s="441"/>
      <c r="AUT532" s="441"/>
      <c r="AUU532" s="441"/>
      <c r="AUV532" s="441"/>
      <c r="AUW532" s="441"/>
      <c r="AUX532" s="441"/>
      <c r="AUY532" s="441"/>
      <c r="AUZ532" s="441"/>
      <c r="AVA532" s="441"/>
      <c r="AVB532" s="441"/>
      <c r="AVC532" s="441"/>
      <c r="AVD532" s="441"/>
      <c r="AVE532" s="441"/>
      <c r="AVF532" s="441"/>
      <c r="AVG532" s="441"/>
    </row>
    <row r="533" spans="1:21 1233:1255">
      <c r="A533" s="440"/>
      <c r="B533" s="440"/>
      <c r="C533" s="440"/>
      <c r="D533" s="440"/>
      <c r="E533" s="440"/>
      <c r="F533" s="440"/>
      <c r="G533" s="440"/>
      <c r="H533" s="440"/>
      <c r="I533" s="440"/>
      <c r="J533" s="440"/>
      <c r="K533" s="440"/>
      <c r="L533" s="440"/>
      <c r="M533" s="440"/>
      <c r="N533" s="440"/>
      <c r="O533" s="440"/>
      <c r="P533" s="440"/>
      <c r="Q533" s="440"/>
      <c r="R533" s="440"/>
      <c r="S533" s="440"/>
      <c r="T533" s="440"/>
      <c r="U533" s="440"/>
      <c r="AUK533" s="441"/>
      <c r="AUL533" s="441"/>
      <c r="AUM533" s="441"/>
      <c r="AUN533" s="441"/>
      <c r="AUO533" s="441"/>
      <c r="AUP533" s="441"/>
      <c r="AUQ533" s="441"/>
      <c r="AUR533" s="441"/>
      <c r="AUS533" s="441"/>
      <c r="AUT533" s="441"/>
      <c r="AUU533" s="441"/>
      <c r="AUV533" s="441"/>
      <c r="AUW533" s="441"/>
      <c r="AUX533" s="441"/>
      <c r="AUY533" s="441"/>
      <c r="AUZ533" s="441"/>
      <c r="AVA533" s="441"/>
      <c r="AVB533" s="441"/>
      <c r="AVC533" s="441"/>
      <c r="AVD533" s="441"/>
      <c r="AVE533" s="441"/>
      <c r="AVF533" s="441"/>
      <c r="AVG533" s="441"/>
    </row>
    <row r="534" spans="1:21 1233:1255">
      <c r="A534" s="440"/>
      <c r="B534" s="440"/>
      <c r="C534" s="440"/>
      <c r="D534" s="440"/>
      <c r="E534" s="440"/>
      <c r="F534" s="440"/>
      <c r="G534" s="440"/>
      <c r="H534" s="440"/>
      <c r="I534" s="440"/>
      <c r="J534" s="440"/>
      <c r="K534" s="440"/>
      <c r="L534" s="440"/>
      <c r="M534" s="440"/>
      <c r="N534" s="440"/>
      <c r="O534" s="440"/>
      <c r="P534" s="440"/>
      <c r="Q534" s="440"/>
      <c r="R534" s="440"/>
      <c r="S534" s="440"/>
      <c r="T534" s="440"/>
      <c r="U534" s="440"/>
      <c r="AUK534" s="441"/>
      <c r="AUL534" s="441"/>
      <c r="AUM534" s="441"/>
      <c r="AUN534" s="441"/>
      <c r="AUO534" s="441"/>
      <c r="AUP534" s="441"/>
      <c r="AUQ534" s="441"/>
      <c r="AUR534" s="441"/>
      <c r="AUS534" s="441"/>
      <c r="AUT534" s="441"/>
      <c r="AUU534" s="441"/>
      <c r="AUV534" s="441"/>
      <c r="AUW534" s="441"/>
      <c r="AUX534" s="441"/>
      <c r="AUY534" s="441"/>
      <c r="AUZ534" s="441"/>
      <c r="AVA534" s="441"/>
      <c r="AVB534" s="441"/>
      <c r="AVC534" s="441"/>
      <c r="AVD534" s="441"/>
      <c r="AVE534" s="441"/>
      <c r="AVF534" s="441"/>
      <c r="AVG534" s="441"/>
    </row>
    <row r="535" spans="1:21 1233:1255">
      <c r="A535" s="440"/>
      <c r="B535" s="440"/>
      <c r="C535" s="440"/>
      <c r="D535" s="440"/>
      <c r="E535" s="440"/>
      <c r="F535" s="440"/>
      <c r="G535" s="440"/>
      <c r="H535" s="440"/>
      <c r="I535" s="440"/>
      <c r="J535" s="440"/>
      <c r="K535" s="440"/>
      <c r="L535" s="440"/>
      <c r="M535" s="440"/>
      <c r="N535" s="440"/>
      <c r="O535" s="440"/>
      <c r="P535" s="440"/>
      <c r="Q535" s="440"/>
      <c r="R535" s="440"/>
      <c r="S535" s="440"/>
      <c r="T535" s="440"/>
      <c r="U535" s="440"/>
      <c r="AUK535" s="441"/>
      <c r="AUL535" s="441"/>
      <c r="AUM535" s="441"/>
      <c r="AUN535" s="441"/>
      <c r="AUO535" s="441"/>
      <c r="AUP535" s="441"/>
      <c r="AUQ535" s="441"/>
      <c r="AUR535" s="441"/>
      <c r="AUS535" s="441"/>
      <c r="AUT535" s="441"/>
      <c r="AUU535" s="441"/>
      <c r="AUV535" s="441"/>
      <c r="AUW535" s="441"/>
      <c r="AUX535" s="441"/>
      <c r="AUY535" s="441"/>
      <c r="AUZ535" s="441"/>
      <c r="AVA535" s="441"/>
      <c r="AVB535" s="441"/>
      <c r="AVC535" s="441"/>
      <c r="AVD535" s="441"/>
      <c r="AVE535" s="441"/>
      <c r="AVF535" s="441"/>
      <c r="AVG535" s="441"/>
    </row>
    <row r="536" spans="1:21 1233:1255">
      <c r="A536" s="440"/>
      <c r="B536" s="440"/>
      <c r="C536" s="440"/>
      <c r="D536" s="440"/>
      <c r="E536" s="440"/>
      <c r="F536" s="440"/>
      <c r="G536" s="440"/>
      <c r="H536" s="440"/>
      <c r="I536" s="440"/>
      <c r="J536" s="440"/>
      <c r="K536" s="440"/>
      <c r="L536" s="440"/>
      <c r="M536" s="440"/>
      <c r="N536" s="440"/>
      <c r="O536" s="440"/>
      <c r="P536" s="440"/>
      <c r="Q536" s="440"/>
      <c r="R536" s="440"/>
      <c r="S536" s="440"/>
      <c r="T536" s="440"/>
      <c r="U536" s="440"/>
      <c r="AUK536" s="441"/>
      <c r="AUL536" s="441"/>
      <c r="AUM536" s="441"/>
      <c r="AUN536" s="441"/>
      <c r="AUO536" s="441"/>
      <c r="AUP536" s="441"/>
      <c r="AUQ536" s="441"/>
      <c r="AUR536" s="441"/>
      <c r="AUS536" s="441"/>
      <c r="AUT536" s="441"/>
      <c r="AUU536" s="441"/>
      <c r="AUV536" s="441"/>
      <c r="AUW536" s="441"/>
      <c r="AUX536" s="441"/>
      <c r="AUY536" s="441"/>
      <c r="AUZ536" s="441"/>
      <c r="AVA536" s="441"/>
      <c r="AVB536" s="441"/>
      <c r="AVC536" s="441"/>
      <c r="AVD536" s="441"/>
      <c r="AVE536" s="441"/>
      <c r="AVF536" s="441"/>
      <c r="AVG536" s="441"/>
    </row>
    <row r="537" spans="1:21 1233:1255">
      <c r="A537" s="440"/>
      <c r="B537" s="440"/>
      <c r="C537" s="440"/>
      <c r="D537" s="440"/>
      <c r="E537" s="440"/>
      <c r="F537" s="440"/>
      <c r="G537" s="440"/>
      <c r="H537" s="440"/>
      <c r="I537" s="440"/>
      <c r="J537" s="440"/>
      <c r="K537" s="440"/>
      <c r="L537" s="440"/>
      <c r="M537" s="440"/>
      <c r="N537" s="440"/>
      <c r="O537" s="440"/>
      <c r="P537" s="440"/>
      <c r="Q537" s="440"/>
      <c r="R537" s="440"/>
      <c r="S537" s="440"/>
      <c r="T537" s="440"/>
      <c r="U537" s="440"/>
      <c r="AUK537" s="441"/>
      <c r="AUL537" s="441"/>
      <c r="AUM537" s="441"/>
      <c r="AUN537" s="441"/>
      <c r="AUO537" s="441"/>
      <c r="AUP537" s="441"/>
      <c r="AUQ537" s="441"/>
      <c r="AUR537" s="441"/>
      <c r="AUS537" s="441"/>
      <c r="AUT537" s="441"/>
      <c r="AUU537" s="441"/>
      <c r="AUV537" s="441"/>
      <c r="AUW537" s="441"/>
      <c r="AUX537" s="441"/>
      <c r="AUY537" s="441"/>
      <c r="AUZ537" s="441"/>
      <c r="AVA537" s="441"/>
      <c r="AVB537" s="441"/>
      <c r="AVC537" s="441"/>
      <c r="AVD537" s="441"/>
      <c r="AVE537" s="441"/>
      <c r="AVF537" s="441"/>
      <c r="AVG537" s="441"/>
    </row>
    <row r="538" spans="1:21 1233:1255">
      <c r="A538" s="440"/>
      <c r="B538" s="440"/>
      <c r="C538" s="440"/>
      <c r="D538" s="440"/>
      <c r="E538" s="440"/>
      <c r="F538" s="440"/>
      <c r="G538" s="440"/>
      <c r="H538" s="440"/>
      <c r="I538" s="440"/>
      <c r="J538" s="440"/>
      <c r="K538" s="440"/>
      <c r="L538" s="440"/>
      <c r="M538" s="440"/>
      <c r="N538" s="440"/>
      <c r="O538" s="440"/>
      <c r="P538" s="440"/>
      <c r="Q538" s="440"/>
      <c r="R538" s="440"/>
      <c r="S538" s="440"/>
      <c r="T538" s="440"/>
      <c r="U538" s="440"/>
      <c r="AUK538" s="441"/>
      <c r="AUL538" s="441"/>
      <c r="AUM538" s="441"/>
      <c r="AUN538" s="441"/>
      <c r="AUO538" s="441"/>
      <c r="AUP538" s="441"/>
      <c r="AUQ538" s="441"/>
      <c r="AUR538" s="441"/>
      <c r="AUS538" s="441"/>
      <c r="AUT538" s="441"/>
      <c r="AUU538" s="441"/>
      <c r="AUV538" s="441"/>
      <c r="AUW538" s="441"/>
      <c r="AUX538" s="441"/>
      <c r="AUY538" s="441"/>
      <c r="AUZ538" s="441"/>
      <c r="AVA538" s="441"/>
      <c r="AVB538" s="441"/>
      <c r="AVC538" s="441"/>
      <c r="AVD538" s="441"/>
      <c r="AVE538" s="441"/>
      <c r="AVF538" s="441"/>
      <c r="AVG538" s="441"/>
    </row>
    <row r="539" spans="1:21 1233:1255">
      <c r="A539" s="440"/>
      <c r="B539" s="440"/>
      <c r="C539" s="440"/>
      <c r="D539" s="440"/>
      <c r="E539" s="440"/>
      <c r="F539" s="440"/>
      <c r="G539" s="440"/>
      <c r="H539" s="440"/>
      <c r="I539" s="440"/>
      <c r="J539" s="440"/>
      <c r="K539" s="440"/>
      <c r="L539" s="440"/>
      <c r="M539" s="440"/>
      <c r="N539" s="440"/>
      <c r="O539" s="440"/>
      <c r="P539" s="440"/>
      <c r="Q539" s="440"/>
      <c r="R539" s="440"/>
      <c r="S539" s="440"/>
      <c r="T539" s="440"/>
      <c r="U539" s="440"/>
      <c r="AUK539" s="441"/>
      <c r="AUL539" s="441"/>
      <c r="AUM539" s="441"/>
      <c r="AUN539" s="441"/>
      <c r="AUO539" s="441"/>
      <c r="AUP539" s="441"/>
      <c r="AUQ539" s="441"/>
      <c r="AUR539" s="441"/>
      <c r="AUS539" s="441"/>
      <c r="AUT539" s="441"/>
      <c r="AUU539" s="441"/>
      <c r="AUV539" s="441"/>
      <c r="AUW539" s="441"/>
      <c r="AUX539" s="441"/>
      <c r="AUY539" s="441"/>
      <c r="AUZ539" s="441"/>
      <c r="AVA539" s="441"/>
      <c r="AVB539" s="441"/>
      <c r="AVC539" s="441"/>
      <c r="AVD539" s="441"/>
      <c r="AVE539" s="441"/>
      <c r="AVF539" s="441"/>
      <c r="AVG539" s="441"/>
    </row>
    <row r="540" spans="1:21 1233:1255">
      <c r="A540" s="440"/>
      <c r="B540" s="440"/>
      <c r="C540" s="440"/>
      <c r="D540" s="440"/>
      <c r="E540" s="440"/>
      <c r="F540" s="440"/>
      <c r="G540" s="440"/>
      <c r="H540" s="440"/>
      <c r="I540" s="440"/>
      <c r="J540" s="440"/>
      <c r="K540" s="440"/>
      <c r="L540" s="440"/>
      <c r="M540" s="440"/>
      <c r="N540" s="440"/>
      <c r="O540" s="440"/>
      <c r="P540" s="440"/>
      <c r="Q540" s="440"/>
      <c r="R540" s="440"/>
      <c r="S540" s="440"/>
      <c r="T540" s="440"/>
      <c r="U540" s="440"/>
      <c r="AUK540" s="441"/>
      <c r="AUL540" s="441"/>
      <c r="AUM540" s="441"/>
      <c r="AUN540" s="441"/>
      <c r="AUO540" s="441"/>
      <c r="AUP540" s="441"/>
      <c r="AUQ540" s="441"/>
      <c r="AUR540" s="441"/>
      <c r="AUS540" s="441"/>
      <c r="AUT540" s="441"/>
      <c r="AUU540" s="441"/>
      <c r="AUV540" s="441"/>
      <c r="AUW540" s="441"/>
      <c r="AUX540" s="441"/>
      <c r="AUY540" s="441"/>
      <c r="AUZ540" s="441"/>
      <c r="AVA540" s="441"/>
      <c r="AVB540" s="441"/>
      <c r="AVC540" s="441"/>
      <c r="AVD540" s="441"/>
      <c r="AVE540" s="441"/>
      <c r="AVF540" s="441"/>
      <c r="AVG540" s="441"/>
    </row>
    <row r="541" spans="1:21 1233:1255">
      <c r="A541" s="440"/>
      <c r="B541" s="440"/>
      <c r="C541" s="440"/>
      <c r="D541" s="440"/>
      <c r="E541" s="440"/>
      <c r="F541" s="440"/>
      <c r="G541" s="440"/>
      <c r="H541" s="440"/>
      <c r="I541" s="440"/>
      <c r="J541" s="440"/>
      <c r="K541" s="440"/>
      <c r="L541" s="440"/>
      <c r="M541" s="440"/>
      <c r="N541" s="440"/>
      <c r="O541" s="440"/>
      <c r="P541" s="440"/>
      <c r="Q541" s="440"/>
      <c r="R541" s="440"/>
      <c r="S541" s="440"/>
      <c r="T541" s="440"/>
      <c r="U541" s="440"/>
      <c r="AUK541" s="441"/>
      <c r="AUL541" s="441"/>
      <c r="AUM541" s="441"/>
      <c r="AUN541" s="441"/>
      <c r="AUO541" s="441"/>
      <c r="AUP541" s="441"/>
      <c r="AUQ541" s="441"/>
      <c r="AUR541" s="441"/>
      <c r="AUS541" s="441"/>
      <c r="AUT541" s="441"/>
      <c r="AUU541" s="441"/>
      <c r="AUV541" s="441"/>
      <c r="AUW541" s="441"/>
      <c r="AUX541" s="441"/>
      <c r="AUY541" s="441"/>
      <c r="AUZ541" s="441"/>
      <c r="AVA541" s="441"/>
      <c r="AVB541" s="441"/>
      <c r="AVC541" s="441"/>
      <c r="AVD541" s="441"/>
      <c r="AVE541" s="441"/>
      <c r="AVF541" s="441"/>
      <c r="AVG541" s="441"/>
    </row>
    <row r="542" spans="1:21 1233:1255">
      <c r="A542" s="440"/>
      <c r="B542" s="440"/>
      <c r="C542" s="440"/>
      <c r="D542" s="440"/>
      <c r="E542" s="440"/>
      <c r="F542" s="440"/>
      <c r="G542" s="440"/>
      <c r="H542" s="440"/>
      <c r="I542" s="440"/>
      <c r="J542" s="440"/>
      <c r="K542" s="440"/>
      <c r="L542" s="440"/>
      <c r="M542" s="440"/>
      <c r="N542" s="440"/>
      <c r="O542" s="440"/>
      <c r="P542" s="440"/>
      <c r="Q542" s="440"/>
      <c r="R542" s="440"/>
      <c r="S542" s="440"/>
      <c r="T542" s="440"/>
      <c r="U542" s="440"/>
      <c r="AUK542" s="441"/>
      <c r="AUL542" s="441"/>
      <c r="AUM542" s="441"/>
      <c r="AUN542" s="441"/>
      <c r="AUO542" s="441"/>
      <c r="AUP542" s="441"/>
      <c r="AUQ542" s="441"/>
      <c r="AUR542" s="441"/>
      <c r="AUS542" s="441"/>
      <c r="AUT542" s="441"/>
      <c r="AUU542" s="441"/>
      <c r="AUV542" s="441"/>
      <c r="AUW542" s="441"/>
      <c r="AUX542" s="441"/>
      <c r="AUY542" s="441"/>
      <c r="AUZ542" s="441"/>
      <c r="AVA542" s="441"/>
      <c r="AVB542" s="441"/>
      <c r="AVC542" s="441"/>
      <c r="AVD542" s="441"/>
      <c r="AVE542" s="441"/>
      <c r="AVF542" s="441"/>
      <c r="AVG542" s="441"/>
    </row>
    <row r="543" spans="1:21 1233:1255">
      <c r="A543" s="440"/>
      <c r="B543" s="440"/>
      <c r="C543" s="440"/>
      <c r="D543" s="440"/>
      <c r="E543" s="440"/>
      <c r="F543" s="440"/>
      <c r="G543" s="440"/>
      <c r="H543" s="440"/>
      <c r="I543" s="440"/>
      <c r="J543" s="440"/>
      <c r="K543" s="440"/>
      <c r="L543" s="440"/>
      <c r="M543" s="440"/>
      <c r="N543" s="440"/>
      <c r="O543" s="440"/>
      <c r="P543" s="440"/>
      <c r="Q543" s="440"/>
      <c r="R543" s="440"/>
      <c r="S543" s="440"/>
      <c r="T543" s="440"/>
      <c r="U543" s="440"/>
      <c r="AUK543" s="441"/>
      <c r="AUL543" s="441"/>
      <c r="AUM543" s="441"/>
      <c r="AUN543" s="441"/>
      <c r="AUO543" s="441"/>
      <c r="AUP543" s="441"/>
      <c r="AUQ543" s="441"/>
      <c r="AUR543" s="441"/>
      <c r="AUS543" s="441"/>
      <c r="AUT543" s="441"/>
      <c r="AUU543" s="441"/>
      <c r="AUV543" s="441"/>
      <c r="AUW543" s="441"/>
      <c r="AUX543" s="441"/>
      <c r="AUY543" s="441"/>
      <c r="AUZ543" s="441"/>
      <c r="AVA543" s="441"/>
      <c r="AVB543" s="441"/>
      <c r="AVC543" s="441"/>
      <c r="AVD543" s="441"/>
      <c r="AVE543" s="441"/>
      <c r="AVF543" s="441"/>
      <c r="AVG543" s="441"/>
    </row>
    <row r="544" spans="1:21 1233:1255">
      <c r="A544" s="440"/>
      <c r="B544" s="440"/>
      <c r="C544" s="440"/>
      <c r="D544" s="440"/>
      <c r="E544" s="440"/>
      <c r="F544" s="440"/>
      <c r="G544" s="440"/>
      <c r="H544" s="440"/>
      <c r="I544" s="440"/>
      <c r="J544" s="440"/>
      <c r="K544" s="440"/>
      <c r="L544" s="440"/>
      <c r="M544" s="440"/>
      <c r="N544" s="440"/>
      <c r="O544" s="440"/>
      <c r="P544" s="440"/>
      <c r="Q544" s="440"/>
      <c r="R544" s="440"/>
      <c r="S544" s="440"/>
      <c r="T544" s="440"/>
      <c r="U544" s="440"/>
      <c r="AUK544" s="441"/>
      <c r="AUL544" s="441"/>
      <c r="AUM544" s="441"/>
      <c r="AUN544" s="441"/>
      <c r="AUO544" s="441"/>
      <c r="AUP544" s="441"/>
      <c r="AUQ544" s="441"/>
      <c r="AUR544" s="441"/>
      <c r="AUS544" s="441"/>
      <c r="AUT544" s="441"/>
      <c r="AUU544" s="441"/>
      <c r="AUV544" s="441"/>
      <c r="AUW544" s="441"/>
      <c r="AUX544" s="441"/>
      <c r="AUY544" s="441"/>
      <c r="AUZ544" s="441"/>
      <c r="AVA544" s="441"/>
      <c r="AVB544" s="441"/>
      <c r="AVC544" s="441"/>
      <c r="AVD544" s="441"/>
      <c r="AVE544" s="441"/>
      <c r="AVF544" s="441"/>
      <c r="AVG544" s="441"/>
    </row>
    <row r="545" spans="1:21 1233:1255">
      <c r="A545" s="440"/>
      <c r="B545" s="440"/>
      <c r="C545" s="440"/>
      <c r="D545" s="440"/>
      <c r="E545" s="440"/>
      <c r="F545" s="440"/>
      <c r="G545" s="440"/>
      <c r="H545" s="440"/>
      <c r="I545" s="440"/>
      <c r="J545" s="440"/>
      <c r="K545" s="440"/>
      <c r="L545" s="440"/>
      <c r="M545" s="440"/>
      <c r="N545" s="440"/>
      <c r="O545" s="440"/>
      <c r="P545" s="440"/>
      <c r="Q545" s="440"/>
      <c r="R545" s="440"/>
      <c r="S545" s="440"/>
      <c r="T545" s="440"/>
      <c r="U545" s="440"/>
      <c r="AUK545" s="441"/>
      <c r="AUL545" s="441"/>
      <c r="AUM545" s="441"/>
      <c r="AUN545" s="441"/>
      <c r="AUO545" s="441"/>
      <c r="AUP545" s="441"/>
      <c r="AUQ545" s="441"/>
      <c r="AUR545" s="441"/>
      <c r="AUS545" s="441"/>
      <c r="AUT545" s="441"/>
      <c r="AUU545" s="441"/>
      <c r="AUV545" s="441"/>
      <c r="AUW545" s="441"/>
      <c r="AUX545" s="441"/>
      <c r="AUY545" s="441"/>
      <c r="AUZ545" s="441"/>
      <c r="AVA545" s="441"/>
      <c r="AVB545" s="441"/>
      <c r="AVC545" s="441"/>
      <c r="AVD545" s="441"/>
      <c r="AVE545" s="441"/>
      <c r="AVF545" s="441"/>
      <c r="AVG545" s="441"/>
    </row>
    <row r="546" spans="1:21 1233:1255">
      <c r="A546" s="440"/>
      <c r="B546" s="440"/>
      <c r="C546" s="440"/>
      <c r="D546" s="440"/>
      <c r="E546" s="440"/>
      <c r="F546" s="440"/>
      <c r="G546" s="440"/>
      <c r="H546" s="440"/>
      <c r="I546" s="440"/>
      <c r="J546" s="440"/>
      <c r="K546" s="440"/>
      <c r="L546" s="440"/>
      <c r="M546" s="440"/>
      <c r="N546" s="440"/>
      <c r="O546" s="440"/>
      <c r="P546" s="440"/>
      <c r="Q546" s="440"/>
      <c r="R546" s="440"/>
      <c r="S546" s="440"/>
      <c r="T546" s="440"/>
      <c r="U546" s="440"/>
      <c r="AUK546" s="441"/>
      <c r="AUL546" s="441"/>
      <c r="AUM546" s="441"/>
      <c r="AUN546" s="441"/>
      <c r="AUO546" s="441"/>
      <c r="AUP546" s="441"/>
      <c r="AUQ546" s="441"/>
      <c r="AUR546" s="441"/>
      <c r="AUS546" s="441"/>
      <c r="AUT546" s="441"/>
      <c r="AUU546" s="441"/>
      <c r="AUV546" s="441"/>
      <c r="AUW546" s="441"/>
      <c r="AUX546" s="441"/>
      <c r="AUY546" s="441"/>
      <c r="AUZ546" s="441"/>
      <c r="AVA546" s="441"/>
      <c r="AVB546" s="441"/>
      <c r="AVC546" s="441"/>
      <c r="AVD546" s="441"/>
      <c r="AVE546" s="441"/>
      <c r="AVF546" s="441"/>
      <c r="AVG546" s="441"/>
    </row>
    <row r="547" spans="1:21 1233:1255">
      <c r="A547" s="440"/>
      <c r="B547" s="440"/>
      <c r="C547" s="440"/>
      <c r="D547" s="440"/>
      <c r="E547" s="440"/>
      <c r="F547" s="440"/>
      <c r="G547" s="440"/>
      <c r="H547" s="440"/>
      <c r="I547" s="440"/>
      <c r="J547" s="440"/>
      <c r="K547" s="440"/>
      <c r="L547" s="440"/>
      <c r="M547" s="440"/>
      <c r="N547" s="440"/>
      <c r="O547" s="440"/>
      <c r="P547" s="440"/>
      <c r="Q547" s="440"/>
      <c r="R547" s="440"/>
      <c r="S547" s="440"/>
      <c r="T547" s="440"/>
      <c r="U547" s="440"/>
      <c r="AUK547" s="441"/>
      <c r="AUL547" s="441"/>
      <c r="AUM547" s="441"/>
      <c r="AUN547" s="441"/>
      <c r="AUO547" s="441"/>
      <c r="AUP547" s="441"/>
      <c r="AUQ547" s="441"/>
      <c r="AUR547" s="441"/>
      <c r="AUS547" s="441"/>
      <c r="AUT547" s="441"/>
      <c r="AUU547" s="441"/>
      <c r="AUV547" s="441"/>
      <c r="AUW547" s="441"/>
      <c r="AUX547" s="441"/>
      <c r="AUY547" s="441"/>
      <c r="AUZ547" s="441"/>
      <c r="AVA547" s="441"/>
      <c r="AVB547" s="441"/>
      <c r="AVC547" s="441"/>
      <c r="AVD547" s="441"/>
      <c r="AVE547" s="441"/>
      <c r="AVF547" s="441"/>
      <c r="AVG547" s="441"/>
    </row>
    <row r="548" spans="1:21 1233:1255">
      <c r="A548" s="440"/>
      <c r="B548" s="440"/>
      <c r="C548" s="440"/>
      <c r="D548" s="440"/>
      <c r="E548" s="440"/>
      <c r="F548" s="440"/>
      <c r="G548" s="440"/>
      <c r="H548" s="440"/>
      <c r="I548" s="440"/>
      <c r="J548" s="440"/>
      <c r="K548" s="440"/>
      <c r="L548" s="440"/>
      <c r="M548" s="440"/>
      <c r="N548" s="440"/>
      <c r="O548" s="440"/>
      <c r="P548" s="440"/>
      <c r="Q548" s="440"/>
      <c r="R548" s="440"/>
      <c r="S548" s="440"/>
      <c r="T548" s="440"/>
      <c r="U548" s="440"/>
      <c r="AUK548" s="441"/>
      <c r="AUL548" s="441"/>
      <c r="AUM548" s="441"/>
      <c r="AUN548" s="441"/>
      <c r="AUO548" s="441"/>
      <c r="AUP548" s="441"/>
      <c r="AUQ548" s="441"/>
      <c r="AUR548" s="441"/>
      <c r="AUS548" s="441"/>
      <c r="AUT548" s="441"/>
      <c r="AUU548" s="441"/>
      <c r="AUV548" s="441"/>
      <c r="AUW548" s="441"/>
      <c r="AUX548" s="441"/>
      <c r="AUY548" s="441"/>
      <c r="AUZ548" s="441"/>
      <c r="AVA548" s="441"/>
      <c r="AVB548" s="441"/>
      <c r="AVC548" s="441"/>
      <c r="AVD548" s="441"/>
      <c r="AVE548" s="441"/>
      <c r="AVF548" s="441"/>
      <c r="AVG548" s="441"/>
    </row>
    <row r="549" spans="1:21 1233:1255">
      <c r="A549" s="440"/>
      <c r="B549" s="440"/>
      <c r="C549" s="440"/>
      <c r="D549" s="440"/>
      <c r="E549" s="440"/>
      <c r="F549" s="440"/>
      <c r="G549" s="440"/>
      <c r="H549" s="440"/>
      <c r="I549" s="440"/>
      <c r="J549" s="440"/>
      <c r="K549" s="440"/>
      <c r="L549" s="440"/>
      <c r="M549" s="440"/>
      <c r="N549" s="440"/>
      <c r="O549" s="440"/>
      <c r="P549" s="440"/>
      <c r="Q549" s="440"/>
      <c r="R549" s="440"/>
      <c r="S549" s="440"/>
      <c r="T549" s="440"/>
      <c r="U549" s="440"/>
      <c r="AUK549" s="441"/>
      <c r="AUL549" s="441"/>
      <c r="AUM549" s="441"/>
      <c r="AUN549" s="441"/>
      <c r="AUO549" s="441"/>
      <c r="AUP549" s="441"/>
      <c r="AUQ549" s="441"/>
      <c r="AUR549" s="441"/>
      <c r="AUS549" s="441"/>
      <c r="AUT549" s="441"/>
      <c r="AUU549" s="441"/>
      <c r="AUV549" s="441"/>
      <c r="AUW549" s="441"/>
      <c r="AUX549" s="441"/>
      <c r="AUY549" s="441"/>
      <c r="AUZ549" s="441"/>
      <c r="AVA549" s="441"/>
      <c r="AVB549" s="441"/>
      <c r="AVC549" s="441"/>
      <c r="AVD549" s="441"/>
      <c r="AVE549" s="441"/>
      <c r="AVF549" s="441"/>
      <c r="AVG549" s="441"/>
    </row>
    <row r="550" spans="1:21 1233:1255">
      <c r="A550" s="440"/>
      <c r="B550" s="440"/>
      <c r="C550" s="440"/>
      <c r="D550" s="440"/>
      <c r="E550" s="440"/>
      <c r="F550" s="440"/>
      <c r="G550" s="440"/>
      <c r="H550" s="440"/>
      <c r="I550" s="440"/>
      <c r="J550" s="440"/>
      <c r="K550" s="440"/>
      <c r="L550" s="440"/>
      <c r="M550" s="440"/>
      <c r="N550" s="440"/>
      <c r="O550" s="440"/>
      <c r="P550" s="440"/>
      <c r="Q550" s="440"/>
      <c r="R550" s="440"/>
      <c r="S550" s="440"/>
      <c r="T550" s="440"/>
      <c r="U550" s="440"/>
      <c r="AUK550" s="441"/>
      <c r="AUL550" s="441"/>
      <c r="AUM550" s="441"/>
      <c r="AUN550" s="441"/>
      <c r="AUO550" s="441"/>
      <c r="AUP550" s="441"/>
      <c r="AUQ550" s="441"/>
      <c r="AUR550" s="441"/>
      <c r="AUS550" s="441"/>
      <c r="AUT550" s="441"/>
      <c r="AUU550" s="441"/>
      <c r="AUV550" s="441"/>
      <c r="AUW550" s="441"/>
      <c r="AUX550" s="441"/>
      <c r="AUY550" s="441"/>
      <c r="AUZ550" s="441"/>
      <c r="AVA550" s="441"/>
      <c r="AVB550" s="441"/>
      <c r="AVC550" s="441"/>
      <c r="AVD550" s="441"/>
      <c r="AVE550" s="441"/>
      <c r="AVF550" s="441"/>
      <c r="AVG550" s="441"/>
    </row>
    <row r="551" spans="1:21 1233:1255">
      <c r="A551" s="440"/>
      <c r="B551" s="440"/>
      <c r="C551" s="440"/>
      <c r="D551" s="440"/>
      <c r="E551" s="440"/>
      <c r="F551" s="440"/>
      <c r="G551" s="440"/>
      <c r="H551" s="440"/>
      <c r="I551" s="440"/>
      <c r="J551" s="440"/>
      <c r="K551" s="440"/>
      <c r="L551" s="440"/>
      <c r="M551" s="440"/>
      <c r="N551" s="440"/>
      <c r="O551" s="440"/>
      <c r="P551" s="440"/>
      <c r="Q551" s="440"/>
      <c r="R551" s="440"/>
      <c r="S551" s="440"/>
      <c r="T551" s="440"/>
      <c r="U551" s="440"/>
      <c r="AUK551" s="441"/>
      <c r="AUL551" s="441"/>
      <c r="AUM551" s="441"/>
      <c r="AUN551" s="441"/>
      <c r="AUO551" s="441"/>
      <c r="AUP551" s="441"/>
      <c r="AUQ551" s="441"/>
      <c r="AUR551" s="441"/>
      <c r="AUS551" s="441"/>
      <c r="AUT551" s="441"/>
      <c r="AUU551" s="441"/>
      <c r="AUV551" s="441"/>
      <c r="AUW551" s="441"/>
      <c r="AUX551" s="441"/>
      <c r="AUY551" s="441"/>
      <c r="AUZ551" s="441"/>
      <c r="AVA551" s="441"/>
      <c r="AVB551" s="441"/>
      <c r="AVC551" s="441"/>
      <c r="AVD551" s="441"/>
      <c r="AVE551" s="441"/>
      <c r="AVF551" s="441"/>
      <c r="AVG551" s="441"/>
    </row>
    <row r="552" spans="1:21 1233:1255">
      <c r="A552" s="440"/>
      <c r="B552" s="440"/>
      <c r="C552" s="440"/>
      <c r="D552" s="440"/>
      <c r="E552" s="440"/>
      <c r="F552" s="440"/>
      <c r="G552" s="440"/>
      <c r="H552" s="440"/>
      <c r="I552" s="440"/>
      <c r="J552" s="440"/>
      <c r="K552" s="440"/>
      <c r="L552" s="440"/>
      <c r="M552" s="440"/>
      <c r="N552" s="440"/>
      <c r="O552" s="440"/>
      <c r="P552" s="440"/>
      <c r="Q552" s="440"/>
      <c r="R552" s="440"/>
      <c r="S552" s="440"/>
      <c r="T552" s="440"/>
      <c r="U552" s="440"/>
      <c r="AUK552" s="441"/>
      <c r="AUL552" s="441"/>
      <c r="AUM552" s="441"/>
      <c r="AUN552" s="441"/>
      <c r="AUO552" s="441"/>
      <c r="AUP552" s="441"/>
      <c r="AUQ552" s="441"/>
      <c r="AUR552" s="441"/>
      <c r="AUS552" s="441"/>
      <c r="AUT552" s="441"/>
      <c r="AUU552" s="441"/>
      <c r="AUV552" s="441"/>
      <c r="AUW552" s="441"/>
      <c r="AUX552" s="441"/>
      <c r="AUY552" s="441"/>
      <c r="AUZ552" s="441"/>
      <c r="AVA552" s="441"/>
      <c r="AVB552" s="441"/>
      <c r="AVC552" s="441"/>
      <c r="AVD552" s="441"/>
      <c r="AVE552" s="441"/>
      <c r="AVF552" s="441"/>
      <c r="AVG552" s="441"/>
    </row>
    <row r="553" spans="1:21 1233:1255">
      <c r="A553" s="440"/>
      <c r="B553" s="440"/>
      <c r="C553" s="440"/>
      <c r="D553" s="440"/>
      <c r="E553" s="440"/>
      <c r="F553" s="440"/>
      <c r="G553" s="440"/>
      <c r="H553" s="440"/>
      <c r="I553" s="440"/>
      <c r="J553" s="440"/>
      <c r="K553" s="440"/>
      <c r="L553" s="440"/>
      <c r="M553" s="440"/>
      <c r="N553" s="440"/>
      <c r="O553" s="440"/>
      <c r="P553" s="440"/>
      <c r="Q553" s="440"/>
      <c r="R553" s="440"/>
      <c r="S553" s="440"/>
      <c r="T553" s="440"/>
      <c r="U553" s="440"/>
      <c r="AUK553" s="441"/>
      <c r="AUL553" s="441"/>
      <c r="AUM553" s="441"/>
      <c r="AUN553" s="441"/>
      <c r="AUO553" s="441"/>
      <c r="AUP553" s="441"/>
      <c r="AUQ553" s="441"/>
      <c r="AUR553" s="441"/>
      <c r="AUS553" s="441"/>
      <c r="AUT553" s="441"/>
      <c r="AUU553" s="441"/>
      <c r="AUV553" s="441"/>
      <c r="AUW553" s="441"/>
      <c r="AUX553" s="441"/>
      <c r="AUY553" s="441"/>
      <c r="AUZ553" s="441"/>
      <c r="AVA553" s="441"/>
      <c r="AVB553" s="441"/>
      <c r="AVC553" s="441"/>
      <c r="AVD553" s="441"/>
      <c r="AVE553" s="441"/>
      <c r="AVF553" s="441"/>
      <c r="AVG553" s="441"/>
    </row>
    <row r="554" spans="1:21 1233:1255">
      <c r="A554" s="440"/>
      <c r="B554" s="440"/>
      <c r="C554" s="440"/>
      <c r="D554" s="440"/>
      <c r="E554" s="440"/>
      <c r="F554" s="440"/>
      <c r="G554" s="440"/>
      <c r="H554" s="440"/>
      <c r="I554" s="440"/>
      <c r="J554" s="440"/>
      <c r="K554" s="440"/>
      <c r="L554" s="440"/>
      <c r="M554" s="440"/>
      <c r="N554" s="440"/>
      <c r="O554" s="440"/>
      <c r="P554" s="440"/>
      <c r="Q554" s="440"/>
      <c r="R554" s="440"/>
      <c r="S554" s="440"/>
      <c r="T554" s="440"/>
      <c r="U554" s="440"/>
      <c r="AUK554" s="441"/>
      <c r="AUL554" s="441"/>
      <c r="AUM554" s="441"/>
      <c r="AUN554" s="441"/>
      <c r="AUO554" s="441"/>
      <c r="AUP554" s="441"/>
      <c r="AUQ554" s="441"/>
      <c r="AUR554" s="441"/>
      <c r="AUS554" s="441"/>
      <c r="AUT554" s="441"/>
      <c r="AUU554" s="441"/>
      <c r="AUV554" s="441"/>
      <c r="AUW554" s="441"/>
      <c r="AUX554" s="441"/>
      <c r="AUY554" s="441"/>
      <c r="AUZ554" s="441"/>
      <c r="AVA554" s="441"/>
      <c r="AVB554" s="441"/>
      <c r="AVC554" s="441"/>
      <c r="AVD554" s="441"/>
      <c r="AVE554" s="441"/>
      <c r="AVF554" s="441"/>
      <c r="AVG554" s="441"/>
    </row>
    <row r="555" spans="1:21 1233:1255">
      <c r="A555" s="440"/>
      <c r="B555" s="440"/>
      <c r="C555" s="440"/>
      <c r="D555" s="440"/>
      <c r="E555" s="440"/>
      <c r="F555" s="440"/>
      <c r="G555" s="440"/>
      <c r="H555" s="440"/>
      <c r="I555" s="440"/>
      <c r="J555" s="440"/>
      <c r="K555" s="440"/>
      <c r="L555" s="440"/>
      <c r="M555" s="440"/>
      <c r="N555" s="440"/>
      <c r="O555" s="440"/>
      <c r="P555" s="440"/>
      <c r="Q555" s="440"/>
      <c r="R555" s="440"/>
      <c r="S555" s="440"/>
      <c r="T555" s="440"/>
      <c r="U555" s="440"/>
      <c r="AUK555" s="441"/>
      <c r="AUL555" s="441"/>
      <c r="AUM555" s="441"/>
      <c r="AUN555" s="441"/>
      <c r="AUO555" s="441"/>
      <c r="AUP555" s="441"/>
      <c r="AUQ555" s="441"/>
      <c r="AUR555" s="441"/>
      <c r="AUS555" s="441"/>
      <c r="AUT555" s="441"/>
      <c r="AUU555" s="441"/>
      <c r="AUV555" s="441"/>
      <c r="AUW555" s="441"/>
      <c r="AUX555" s="441"/>
      <c r="AUY555" s="441"/>
      <c r="AUZ555" s="441"/>
      <c r="AVA555" s="441"/>
      <c r="AVB555" s="441"/>
      <c r="AVC555" s="441"/>
      <c r="AVD555" s="441"/>
      <c r="AVE555" s="441"/>
      <c r="AVF555" s="441"/>
      <c r="AVG555" s="441"/>
    </row>
    <row r="556" spans="1:21 1233:1255">
      <c r="A556" s="440"/>
      <c r="B556" s="440"/>
      <c r="C556" s="440"/>
      <c r="D556" s="440"/>
      <c r="E556" s="440"/>
      <c r="F556" s="440"/>
      <c r="G556" s="440"/>
      <c r="H556" s="440"/>
      <c r="I556" s="440"/>
      <c r="J556" s="440"/>
      <c r="K556" s="440"/>
      <c r="L556" s="440"/>
      <c r="M556" s="440"/>
      <c r="N556" s="440"/>
      <c r="O556" s="440"/>
      <c r="P556" s="440"/>
      <c r="Q556" s="440"/>
      <c r="R556" s="440"/>
      <c r="S556" s="440"/>
      <c r="T556" s="440"/>
      <c r="U556" s="440"/>
      <c r="AUK556" s="441"/>
      <c r="AUL556" s="441"/>
      <c r="AUM556" s="441"/>
      <c r="AUN556" s="441"/>
      <c r="AUO556" s="441"/>
      <c r="AUP556" s="441"/>
      <c r="AUQ556" s="441"/>
      <c r="AUR556" s="441"/>
      <c r="AUS556" s="441"/>
      <c r="AUT556" s="441"/>
      <c r="AUU556" s="441"/>
      <c r="AUV556" s="441"/>
      <c r="AUW556" s="441"/>
      <c r="AUX556" s="441"/>
      <c r="AUY556" s="441"/>
      <c r="AUZ556" s="441"/>
      <c r="AVA556" s="441"/>
      <c r="AVB556" s="441"/>
      <c r="AVC556" s="441"/>
      <c r="AVD556" s="441"/>
      <c r="AVE556" s="441"/>
      <c r="AVF556" s="441"/>
      <c r="AVG556" s="441"/>
    </row>
    <row r="557" spans="1:21 1233:1255">
      <c r="A557" s="440"/>
      <c r="B557" s="440"/>
      <c r="C557" s="440"/>
      <c r="D557" s="440"/>
      <c r="E557" s="440"/>
      <c r="F557" s="440"/>
      <c r="G557" s="440"/>
      <c r="H557" s="440"/>
      <c r="I557" s="440"/>
      <c r="J557" s="440"/>
      <c r="K557" s="440"/>
      <c r="L557" s="440"/>
      <c r="M557" s="440"/>
      <c r="N557" s="440"/>
      <c r="O557" s="440"/>
      <c r="P557" s="440"/>
      <c r="Q557" s="440"/>
      <c r="R557" s="440"/>
      <c r="S557" s="440"/>
      <c r="T557" s="440"/>
      <c r="U557" s="440"/>
      <c r="AUK557" s="441"/>
      <c r="AUL557" s="441"/>
      <c r="AUM557" s="441"/>
      <c r="AUN557" s="441"/>
      <c r="AUO557" s="441"/>
      <c r="AUP557" s="441"/>
      <c r="AUQ557" s="441"/>
      <c r="AUR557" s="441"/>
      <c r="AUS557" s="441"/>
      <c r="AUT557" s="441"/>
      <c r="AUU557" s="441"/>
      <c r="AUV557" s="441"/>
      <c r="AUW557" s="441"/>
      <c r="AUX557" s="441"/>
      <c r="AUY557" s="441"/>
      <c r="AUZ557" s="441"/>
      <c r="AVA557" s="441"/>
      <c r="AVB557" s="441"/>
      <c r="AVC557" s="441"/>
      <c r="AVD557" s="441"/>
      <c r="AVE557" s="441"/>
      <c r="AVF557" s="441"/>
      <c r="AVG557" s="441"/>
    </row>
    <row r="558" spans="1:21 1233:1255">
      <c r="A558" s="440"/>
      <c r="B558" s="440"/>
      <c r="C558" s="440"/>
      <c r="D558" s="440"/>
      <c r="E558" s="440"/>
      <c r="F558" s="440"/>
      <c r="G558" s="440"/>
      <c r="H558" s="440"/>
      <c r="I558" s="440"/>
      <c r="J558" s="440"/>
      <c r="K558" s="440"/>
      <c r="L558" s="440"/>
      <c r="M558" s="440"/>
      <c r="N558" s="440"/>
      <c r="O558" s="440"/>
      <c r="P558" s="440"/>
      <c r="Q558" s="440"/>
      <c r="R558" s="440"/>
      <c r="S558" s="440"/>
      <c r="T558" s="440"/>
      <c r="U558" s="440"/>
      <c r="AUK558" s="441"/>
      <c r="AUL558" s="441"/>
      <c r="AUM558" s="441"/>
      <c r="AUN558" s="441"/>
      <c r="AUO558" s="441"/>
      <c r="AUP558" s="441"/>
      <c r="AUQ558" s="441"/>
      <c r="AUR558" s="441"/>
      <c r="AUS558" s="441"/>
      <c r="AUT558" s="441"/>
      <c r="AUU558" s="441"/>
      <c r="AUV558" s="441"/>
      <c r="AUW558" s="441"/>
      <c r="AUX558" s="441"/>
      <c r="AUY558" s="441"/>
      <c r="AUZ558" s="441"/>
      <c r="AVA558" s="441"/>
      <c r="AVB558" s="441"/>
      <c r="AVC558" s="441"/>
      <c r="AVD558" s="441"/>
      <c r="AVE558" s="441"/>
      <c r="AVF558" s="441"/>
      <c r="AVG558" s="441"/>
    </row>
    <row r="559" spans="1:21 1233:1255">
      <c r="A559" s="440"/>
      <c r="B559" s="440"/>
      <c r="C559" s="440"/>
      <c r="D559" s="440"/>
      <c r="E559" s="440"/>
      <c r="F559" s="440"/>
      <c r="G559" s="440"/>
      <c r="H559" s="440"/>
      <c r="I559" s="440"/>
      <c r="J559" s="440"/>
      <c r="K559" s="440"/>
      <c r="L559" s="440"/>
      <c r="M559" s="440"/>
      <c r="N559" s="440"/>
      <c r="O559" s="440"/>
      <c r="P559" s="440"/>
      <c r="Q559" s="440"/>
      <c r="R559" s="440"/>
      <c r="S559" s="440"/>
      <c r="T559" s="440"/>
      <c r="U559" s="440"/>
      <c r="AUK559" s="441"/>
      <c r="AUL559" s="441"/>
      <c r="AUM559" s="441"/>
      <c r="AUN559" s="441"/>
      <c r="AUO559" s="441"/>
      <c r="AUP559" s="441"/>
      <c r="AUQ559" s="441"/>
      <c r="AUR559" s="441"/>
      <c r="AUS559" s="441"/>
      <c r="AUT559" s="441"/>
      <c r="AUU559" s="441"/>
      <c r="AUV559" s="441"/>
      <c r="AUW559" s="441"/>
      <c r="AUX559" s="441"/>
      <c r="AUY559" s="441"/>
      <c r="AUZ559" s="441"/>
      <c r="AVA559" s="441"/>
      <c r="AVB559" s="441"/>
      <c r="AVC559" s="441"/>
      <c r="AVD559" s="441"/>
      <c r="AVE559" s="441"/>
      <c r="AVF559" s="441"/>
      <c r="AVG559" s="441"/>
    </row>
    <row r="560" spans="1:21 1233:1255">
      <c r="A560" s="440"/>
      <c r="B560" s="440"/>
      <c r="C560" s="440"/>
      <c r="D560" s="440"/>
      <c r="E560" s="440"/>
      <c r="F560" s="440"/>
      <c r="G560" s="440"/>
      <c r="H560" s="440"/>
      <c r="I560" s="440"/>
      <c r="J560" s="440"/>
      <c r="K560" s="440"/>
      <c r="L560" s="440"/>
      <c r="M560" s="440"/>
      <c r="N560" s="440"/>
      <c r="O560" s="440"/>
      <c r="P560" s="440"/>
      <c r="Q560" s="440"/>
      <c r="R560" s="440"/>
      <c r="S560" s="440"/>
      <c r="T560" s="440"/>
      <c r="U560" s="440"/>
      <c r="AUK560" s="441"/>
      <c r="AUL560" s="441"/>
      <c r="AUM560" s="441"/>
      <c r="AUN560" s="441"/>
      <c r="AUO560" s="441"/>
      <c r="AUP560" s="441"/>
      <c r="AUQ560" s="441"/>
      <c r="AUR560" s="441"/>
      <c r="AUS560" s="441"/>
      <c r="AUT560" s="441"/>
      <c r="AUU560" s="441"/>
      <c r="AUV560" s="441"/>
      <c r="AUW560" s="441"/>
      <c r="AUX560" s="441"/>
      <c r="AUY560" s="441"/>
      <c r="AUZ560" s="441"/>
      <c r="AVA560" s="441"/>
      <c r="AVB560" s="441"/>
      <c r="AVC560" s="441"/>
      <c r="AVD560" s="441"/>
      <c r="AVE560" s="441"/>
      <c r="AVF560" s="441"/>
      <c r="AVG560" s="441"/>
    </row>
    <row r="561" spans="1:21 1233:1255">
      <c r="A561" s="440"/>
      <c r="B561" s="440"/>
      <c r="C561" s="440"/>
      <c r="D561" s="440"/>
      <c r="E561" s="440"/>
      <c r="F561" s="440"/>
      <c r="G561" s="440"/>
      <c r="H561" s="440"/>
      <c r="I561" s="440"/>
      <c r="J561" s="440"/>
      <c r="K561" s="440"/>
      <c r="L561" s="440"/>
      <c r="M561" s="440"/>
      <c r="N561" s="440"/>
      <c r="O561" s="440"/>
      <c r="P561" s="440"/>
      <c r="Q561" s="440"/>
      <c r="R561" s="440"/>
      <c r="S561" s="440"/>
      <c r="T561" s="440"/>
      <c r="U561" s="440"/>
      <c r="AUK561" s="441"/>
      <c r="AUL561" s="441"/>
      <c r="AUM561" s="441"/>
      <c r="AUN561" s="441"/>
      <c r="AUO561" s="441"/>
      <c r="AUP561" s="441"/>
      <c r="AUQ561" s="441"/>
      <c r="AUR561" s="441"/>
      <c r="AUS561" s="441"/>
      <c r="AUT561" s="441"/>
      <c r="AUU561" s="441"/>
      <c r="AUV561" s="441"/>
      <c r="AUW561" s="441"/>
      <c r="AUX561" s="441"/>
      <c r="AUY561" s="441"/>
      <c r="AUZ561" s="441"/>
      <c r="AVA561" s="441"/>
      <c r="AVB561" s="441"/>
      <c r="AVC561" s="441"/>
      <c r="AVD561" s="441"/>
      <c r="AVE561" s="441"/>
      <c r="AVF561" s="441"/>
      <c r="AVG561" s="441"/>
    </row>
    <row r="562" spans="1:21 1233:1255">
      <c r="A562" s="440"/>
      <c r="B562" s="440"/>
      <c r="C562" s="440"/>
      <c r="D562" s="440"/>
      <c r="E562" s="440"/>
      <c r="F562" s="440"/>
      <c r="G562" s="440"/>
      <c r="H562" s="440"/>
      <c r="I562" s="440"/>
      <c r="J562" s="440"/>
      <c r="K562" s="440"/>
      <c r="L562" s="440"/>
      <c r="M562" s="440"/>
      <c r="N562" s="440"/>
      <c r="O562" s="440"/>
      <c r="P562" s="440"/>
      <c r="Q562" s="440"/>
      <c r="R562" s="440"/>
      <c r="S562" s="440"/>
      <c r="T562" s="440"/>
      <c r="U562" s="440"/>
      <c r="AUK562" s="441"/>
      <c r="AUL562" s="441"/>
      <c r="AUM562" s="441"/>
      <c r="AUN562" s="441"/>
      <c r="AUO562" s="441"/>
      <c r="AUP562" s="441"/>
      <c r="AUQ562" s="441"/>
      <c r="AUR562" s="441"/>
      <c r="AUS562" s="441"/>
      <c r="AUT562" s="441"/>
      <c r="AUU562" s="441"/>
      <c r="AUV562" s="441"/>
      <c r="AUW562" s="441"/>
      <c r="AUX562" s="441"/>
      <c r="AUY562" s="441"/>
      <c r="AUZ562" s="441"/>
      <c r="AVA562" s="441"/>
      <c r="AVB562" s="441"/>
      <c r="AVC562" s="441"/>
      <c r="AVD562" s="441"/>
      <c r="AVE562" s="441"/>
      <c r="AVF562" s="441"/>
      <c r="AVG562" s="441"/>
    </row>
    <row r="563" spans="1:21 1233:1255">
      <c r="A563" s="440"/>
      <c r="B563" s="440"/>
      <c r="C563" s="440"/>
      <c r="D563" s="440"/>
      <c r="E563" s="440"/>
      <c r="F563" s="440"/>
      <c r="G563" s="440"/>
      <c r="H563" s="440"/>
      <c r="I563" s="440"/>
      <c r="J563" s="440"/>
      <c r="K563" s="440"/>
      <c r="L563" s="440"/>
      <c r="M563" s="440"/>
      <c r="N563" s="440"/>
      <c r="O563" s="440"/>
      <c r="P563" s="440"/>
      <c r="Q563" s="440"/>
      <c r="R563" s="440"/>
      <c r="S563" s="440"/>
      <c r="T563" s="440"/>
      <c r="U563" s="440"/>
      <c r="AUK563" s="441"/>
      <c r="AUL563" s="441"/>
      <c r="AUM563" s="441"/>
      <c r="AUN563" s="441"/>
      <c r="AUO563" s="441"/>
      <c r="AUP563" s="441"/>
      <c r="AUQ563" s="441"/>
      <c r="AUR563" s="441"/>
      <c r="AUS563" s="441"/>
      <c r="AUT563" s="441"/>
      <c r="AUU563" s="441"/>
      <c r="AUV563" s="441"/>
      <c r="AUW563" s="441"/>
      <c r="AUX563" s="441"/>
      <c r="AUY563" s="441"/>
      <c r="AUZ563" s="441"/>
      <c r="AVA563" s="441"/>
      <c r="AVB563" s="441"/>
      <c r="AVC563" s="441"/>
      <c r="AVD563" s="441"/>
      <c r="AVE563" s="441"/>
      <c r="AVF563" s="441"/>
      <c r="AVG563" s="441"/>
    </row>
    <row r="564" spans="1:21 1233:1255">
      <c r="A564" s="440"/>
      <c r="B564" s="440"/>
      <c r="C564" s="440"/>
      <c r="D564" s="440"/>
      <c r="E564" s="440"/>
      <c r="F564" s="440"/>
      <c r="G564" s="440"/>
      <c r="H564" s="440"/>
      <c r="I564" s="440"/>
      <c r="J564" s="440"/>
      <c r="K564" s="440"/>
      <c r="L564" s="440"/>
      <c r="M564" s="440"/>
      <c r="N564" s="440"/>
      <c r="O564" s="440"/>
      <c r="P564" s="440"/>
      <c r="Q564" s="440"/>
      <c r="R564" s="440"/>
      <c r="S564" s="440"/>
      <c r="T564" s="440"/>
      <c r="U564" s="440"/>
      <c r="AUK564" s="441"/>
      <c r="AUL564" s="441"/>
      <c r="AUM564" s="441"/>
      <c r="AUN564" s="441"/>
      <c r="AUO564" s="441"/>
      <c r="AUP564" s="441"/>
      <c r="AUQ564" s="441"/>
      <c r="AUR564" s="441"/>
      <c r="AUS564" s="441"/>
      <c r="AUT564" s="441"/>
      <c r="AUU564" s="441"/>
      <c r="AUV564" s="441"/>
      <c r="AUW564" s="441"/>
      <c r="AUX564" s="441"/>
      <c r="AUY564" s="441"/>
      <c r="AUZ564" s="441"/>
      <c r="AVA564" s="441"/>
      <c r="AVB564" s="441"/>
      <c r="AVC564" s="441"/>
      <c r="AVD564" s="441"/>
      <c r="AVE564" s="441"/>
      <c r="AVF564" s="441"/>
      <c r="AVG564" s="441"/>
    </row>
    <row r="565" spans="1:21 1233:1255">
      <c r="A565" s="440"/>
      <c r="B565" s="440"/>
      <c r="C565" s="440"/>
      <c r="D565" s="440"/>
      <c r="E565" s="440"/>
      <c r="F565" s="440"/>
      <c r="G565" s="440"/>
      <c r="H565" s="440"/>
      <c r="I565" s="440"/>
      <c r="J565" s="440"/>
      <c r="K565" s="440"/>
      <c r="L565" s="440"/>
      <c r="M565" s="440"/>
      <c r="N565" s="440"/>
      <c r="O565" s="440"/>
      <c r="P565" s="440"/>
      <c r="Q565" s="440"/>
      <c r="R565" s="440"/>
      <c r="S565" s="440"/>
      <c r="T565" s="440"/>
      <c r="U565" s="440"/>
      <c r="AUK565" s="441"/>
      <c r="AUL565" s="441"/>
      <c r="AUM565" s="441"/>
      <c r="AUN565" s="441"/>
      <c r="AUO565" s="441"/>
      <c r="AUP565" s="441"/>
      <c r="AUQ565" s="441"/>
      <c r="AUR565" s="441"/>
      <c r="AUS565" s="441"/>
      <c r="AUT565" s="441"/>
      <c r="AUU565" s="441"/>
      <c r="AUV565" s="441"/>
      <c r="AUW565" s="441"/>
      <c r="AUX565" s="441"/>
      <c r="AUY565" s="441"/>
      <c r="AUZ565" s="441"/>
      <c r="AVA565" s="441"/>
      <c r="AVB565" s="441"/>
      <c r="AVC565" s="441"/>
      <c r="AVD565" s="441"/>
      <c r="AVE565" s="441"/>
      <c r="AVF565" s="441"/>
      <c r="AVG565" s="441"/>
    </row>
    <row r="566" spans="1:21 1233:1255">
      <c r="A566" s="440"/>
      <c r="B566" s="440"/>
      <c r="C566" s="440"/>
      <c r="D566" s="440"/>
      <c r="E566" s="440"/>
      <c r="F566" s="440"/>
      <c r="G566" s="440"/>
      <c r="H566" s="440"/>
      <c r="I566" s="440"/>
      <c r="J566" s="440"/>
      <c r="K566" s="440"/>
      <c r="L566" s="440"/>
      <c r="M566" s="440"/>
      <c r="N566" s="440"/>
      <c r="O566" s="440"/>
      <c r="P566" s="440"/>
      <c r="Q566" s="440"/>
      <c r="R566" s="440"/>
      <c r="S566" s="440"/>
      <c r="T566" s="440"/>
      <c r="U566" s="440"/>
      <c r="AUK566" s="441"/>
      <c r="AUL566" s="441"/>
      <c r="AUM566" s="441"/>
      <c r="AUN566" s="441"/>
      <c r="AUO566" s="441"/>
      <c r="AUP566" s="441"/>
      <c r="AUQ566" s="441"/>
      <c r="AUR566" s="441"/>
      <c r="AUS566" s="441"/>
      <c r="AUT566" s="441"/>
      <c r="AUU566" s="441"/>
      <c r="AUV566" s="441"/>
      <c r="AUW566" s="441"/>
      <c r="AUX566" s="441"/>
      <c r="AUY566" s="441"/>
      <c r="AUZ566" s="441"/>
      <c r="AVA566" s="441"/>
      <c r="AVB566" s="441"/>
      <c r="AVC566" s="441"/>
      <c r="AVD566" s="441"/>
      <c r="AVE566" s="441"/>
      <c r="AVF566" s="441"/>
      <c r="AVG566" s="441"/>
    </row>
    <row r="567" spans="1:21 1233:1255">
      <c r="A567" s="440"/>
      <c r="B567" s="440"/>
      <c r="C567" s="440"/>
      <c r="D567" s="440"/>
      <c r="E567" s="440"/>
      <c r="F567" s="440"/>
      <c r="G567" s="440"/>
      <c r="H567" s="440"/>
      <c r="I567" s="440"/>
      <c r="J567" s="440"/>
      <c r="K567" s="440"/>
      <c r="L567" s="440"/>
      <c r="M567" s="440"/>
      <c r="N567" s="440"/>
      <c r="O567" s="440"/>
      <c r="P567" s="440"/>
      <c r="Q567" s="440"/>
      <c r="R567" s="440"/>
      <c r="S567" s="440"/>
      <c r="T567" s="440"/>
      <c r="U567" s="440"/>
      <c r="AUK567" s="441"/>
      <c r="AUL567" s="441"/>
      <c r="AUM567" s="441"/>
      <c r="AUN567" s="441"/>
      <c r="AUO567" s="441"/>
      <c r="AUP567" s="441"/>
      <c r="AUQ567" s="441"/>
      <c r="AUR567" s="441"/>
      <c r="AUS567" s="441"/>
      <c r="AUT567" s="441"/>
      <c r="AUU567" s="441"/>
      <c r="AUV567" s="441"/>
      <c r="AUW567" s="441"/>
      <c r="AUX567" s="441"/>
      <c r="AUY567" s="441"/>
      <c r="AUZ567" s="441"/>
      <c r="AVA567" s="441"/>
      <c r="AVB567" s="441"/>
      <c r="AVC567" s="441"/>
      <c r="AVD567" s="441"/>
      <c r="AVE567" s="441"/>
      <c r="AVF567" s="441"/>
      <c r="AVG567" s="441"/>
    </row>
    <row r="568" spans="1:21 1233:1255">
      <c r="A568" s="440"/>
      <c r="B568" s="440"/>
      <c r="C568" s="440"/>
      <c r="D568" s="440"/>
      <c r="E568" s="440"/>
      <c r="F568" s="440"/>
      <c r="G568" s="440"/>
      <c r="H568" s="440"/>
      <c r="I568" s="440"/>
      <c r="J568" s="440"/>
      <c r="K568" s="440"/>
      <c r="L568" s="440"/>
      <c r="M568" s="440"/>
      <c r="N568" s="440"/>
      <c r="O568" s="440"/>
      <c r="P568" s="440"/>
      <c r="Q568" s="440"/>
      <c r="R568" s="440"/>
      <c r="S568" s="440"/>
      <c r="T568" s="440"/>
      <c r="U568" s="440"/>
      <c r="AUK568" s="441"/>
      <c r="AUL568" s="441"/>
      <c r="AUM568" s="441"/>
      <c r="AUN568" s="441"/>
      <c r="AUO568" s="441"/>
      <c r="AUP568" s="441"/>
      <c r="AUQ568" s="441"/>
      <c r="AUR568" s="441"/>
      <c r="AUS568" s="441"/>
      <c r="AUT568" s="441"/>
      <c r="AUU568" s="441"/>
      <c r="AUV568" s="441"/>
      <c r="AUW568" s="441"/>
      <c r="AUX568" s="441"/>
      <c r="AUY568" s="441"/>
      <c r="AUZ568" s="441"/>
      <c r="AVA568" s="441"/>
      <c r="AVB568" s="441"/>
      <c r="AVC568" s="441"/>
      <c r="AVD568" s="441"/>
      <c r="AVE568" s="441"/>
      <c r="AVF568" s="441"/>
      <c r="AVG568" s="441"/>
    </row>
    <row r="569" spans="1:21 1233:1255">
      <c r="A569" s="440"/>
      <c r="B569" s="440"/>
      <c r="C569" s="440"/>
      <c r="D569" s="440"/>
      <c r="E569" s="440"/>
      <c r="F569" s="440"/>
      <c r="G569" s="440"/>
      <c r="H569" s="440"/>
      <c r="I569" s="440"/>
      <c r="J569" s="440"/>
      <c r="K569" s="440"/>
      <c r="L569" s="440"/>
      <c r="M569" s="440"/>
      <c r="N569" s="440"/>
      <c r="O569" s="440"/>
      <c r="P569" s="440"/>
      <c r="Q569" s="440"/>
      <c r="R569" s="440"/>
      <c r="S569" s="440"/>
      <c r="T569" s="440"/>
      <c r="U569" s="440"/>
      <c r="AUK569" s="441"/>
      <c r="AUL569" s="441"/>
      <c r="AUM569" s="441"/>
      <c r="AUN569" s="441"/>
      <c r="AUO569" s="441"/>
      <c r="AUP569" s="441"/>
      <c r="AUQ569" s="441"/>
      <c r="AUR569" s="441"/>
      <c r="AUS569" s="441"/>
      <c r="AUT569" s="441"/>
      <c r="AUU569" s="441"/>
      <c r="AUV569" s="441"/>
      <c r="AUW569" s="441"/>
      <c r="AUX569" s="441"/>
      <c r="AUY569" s="441"/>
      <c r="AUZ569" s="441"/>
      <c r="AVA569" s="441"/>
      <c r="AVB569" s="441"/>
      <c r="AVC569" s="441"/>
      <c r="AVD569" s="441"/>
      <c r="AVE569" s="441"/>
      <c r="AVF569" s="441"/>
      <c r="AVG569" s="441"/>
    </row>
    <row r="570" spans="1:21 1233:1255">
      <c r="A570" s="440"/>
      <c r="B570" s="440"/>
      <c r="C570" s="440"/>
      <c r="D570" s="440"/>
      <c r="E570" s="440"/>
      <c r="F570" s="440"/>
      <c r="G570" s="440"/>
      <c r="H570" s="440"/>
      <c r="I570" s="440"/>
      <c r="J570" s="440"/>
      <c r="K570" s="440"/>
      <c r="L570" s="440"/>
      <c r="M570" s="440"/>
      <c r="N570" s="440"/>
      <c r="O570" s="440"/>
      <c r="P570" s="440"/>
      <c r="Q570" s="440"/>
      <c r="R570" s="440"/>
      <c r="S570" s="440"/>
      <c r="T570" s="440"/>
      <c r="U570" s="440"/>
      <c r="AUK570" s="441"/>
      <c r="AUL570" s="441"/>
      <c r="AUM570" s="441"/>
      <c r="AUN570" s="441"/>
      <c r="AUO570" s="441"/>
      <c r="AUP570" s="441"/>
      <c r="AUQ570" s="441"/>
      <c r="AUR570" s="441"/>
      <c r="AUS570" s="441"/>
      <c r="AUT570" s="441"/>
      <c r="AUU570" s="441"/>
      <c r="AUV570" s="441"/>
      <c r="AUW570" s="441"/>
      <c r="AUX570" s="441"/>
      <c r="AUY570" s="441"/>
      <c r="AUZ570" s="441"/>
      <c r="AVA570" s="441"/>
      <c r="AVB570" s="441"/>
      <c r="AVC570" s="441"/>
      <c r="AVD570" s="441"/>
      <c r="AVE570" s="441"/>
      <c r="AVF570" s="441"/>
      <c r="AVG570" s="441"/>
    </row>
    <row r="571" spans="1:21 1233:1255">
      <c r="A571" s="440"/>
      <c r="B571" s="440"/>
      <c r="C571" s="440"/>
      <c r="D571" s="440"/>
      <c r="E571" s="440"/>
      <c r="F571" s="440"/>
      <c r="G571" s="440"/>
      <c r="H571" s="440"/>
      <c r="I571" s="440"/>
      <c r="J571" s="440"/>
      <c r="K571" s="440"/>
      <c r="L571" s="440"/>
      <c r="M571" s="440"/>
      <c r="N571" s="440"/>
      <c r="O571" s="440"/>
      <c r="P571" s="440"/>
      <c r="Q571" s="440"/>
      <c r="R571" s="440"/>
      <c r="S571" s="440"/>
      <c r="T571" s="440"/>
      <c r="U571" s="440"/>
      <c r="AUK571" s="441"/>
      <c r="AUL571" s="441"/>
      <c r="AUM571" s="441"/>
      <c r="AUN571" s="441"/>
      <c r="AUO571" s="441"/>
      <c r="AUP571" s="441"/>
      <c r="AUQ571" s="441"/>
      <c r="AUR571" s="441"/>
      <c r="AUS571" s="441"/>
      <c r="AUT571" s="441"/>
      <c r="AUU571" s="441"/>
      <c r="AUV571" s="441"/>
      <c r="AUW571" s="441"/>
      <c r="AUX571" s="441"/>
      <c r="AUY571" s="441"/>
      <c r="AUZ571" s="441"/>
      <c r="AVA571" s="441"/>
      <c r="AVB571" s="441"/>
      <c r="AVC571" s="441"/>
      <c r="AVD571" s="441"/>
      <c r="AVE571" s="441"/>
      <c r="AVF571" s="441"/>
      <c r="AVG571" s="441"/>
    </row>
    <row r="572" spans="1:21 1233:1255">
      <c r="A572" s="440"/>
      <c r="B572" s="440"/>
      <c r="C572" s="440"/>
      <c r="D572" s="440"/>
      <c r="E572" s="440"/>
      <c r="F572" s="440"/>
      <c r="G572" s="440"/>
      <c r="H572" s="440"/>
      <c r="I572" s="440"/>
      <c r="J572" s="440"/>
      <c r="K572" s="440"/>
      <c r="L572" s="440"/>
      <c r="M572" s="440"/>
      <c r="N572" s="440"/>
      <c r="O572" s="440"/>
      <c r="P572" s="440"/>
      <c r="Q572" s="440"/>
      <c r="R572" s="440"/>
      <c r="S572" s="440"/>
      <c r="T572" s="440"/>
      <c r="U572" s="440"/>
      <c r="AUK572" s="441"/>
      <c r="AUL572" s="441"/>
      <c r="AUM572" s="441"/>
      <c r="AUN572" s="441"/>
      <c r="AUO572" s="441"/>
      <c r="AUP572" s="441"/>
      <c r="AUQ572" s="441"/>
      <c r="AUR572" s="441"/>
      <c r="AUS572" s="441"/>
      <c r="AUT572" s="441"/>
      <c r="AUU572" s="441"/>
      <c r="AUV572" s="441"/>
      <c r="AUW572" s="441"/>
      <c r="AUX572" s="441"/>
      <c r="AUY572" s="441"/>
      <c r="AUZ572" s="441"/>
      <c r="AVA572" s="441"/>
      <c r="AVB572" s="441"/>
      <c r="AVC572" s="441"/>
      <c r="AVD572" s="441"/>
      <c r="AVE572" s="441"/>
      <c r="AVF572" s="441"/>
      <c r="AVG572" s="441"/>
    </row>
    <row r="573" spans="1:21 1233:1255">
      <c r="A573" s="440"/>
      <c r="B573" s="440"/>
      <c r="C573" s="440"/>
      <c r="D573" s="440"/>
      <c r="E573" s="440"/>
      <c r="F573" s="440"/>
      <c r="G573" s="440"/>
      <c r="H573" s="440"/>
      <c r="I573" s="440"/>
      <c r="J573" s="440"/>
      <c r="K573" s="440"/>
      <c r="L573" s="440"/>
      <c r="M573" s="440"/>
      <c r="N573" s="440"/>
      <c r="O573" s="440"/>
      <c r="P573" s="440"/>
      <c r="Q573" s="440"/>
      <c r="R573" s="440"/>
      <c r="S573" s="440"/>
      <c r="T573" s="440"/>
      <c r="U573" s="440"/>
      <c r="AUK573" s="441"/>
      <c r="AUL573" s="441"/>
      <c r="AUM573" s="441"/>
      <c r="AUN573" s="441"/>
      <c r="AUO573" s="441"/>
      <c r="AUP573" s="441"/>
      <c r="AUQ573" s="441"/>
      <c r="AUR573" s="441"/>
      <c r="AUS573" s="441"/>
      <c r="AUT573" s="441"/>
      <c r="AUU573" s="441"/>
      <c r="AUV573" s="441"/>
      <c r="AUW573" s="441"/>
      <c r="AUX573" s="441"/>
      <c r="AUY573" s="441"/>
      <c r="AUZ573" s="441"/>
      <c r="AVA573" s="441"/>
      <c r="AVB573" s="441"/>
      <c r="AVC573" s="441"/>
      <c r="AVD573" s="441"/>
      <c r="AVE573" s="441"/>
      <c r="AVF573" s="441"/>
      <c r="AVG573" s="441"/>
    </row>
    <row r="574" spans="1:21 1233:1255">
      <c r="A574" s="440"/>
      <c r="B574" s="440"/>
      <c r="C574" s="440"/>
      <c r="D574" s="440"/>
      <c r="E574" s="440"/>
      <c r="F574" s="440"/>
      <c r="G574" s="440"/>
      <c r="H574" s="440"/>
      <c r="I574" s="440"/>
      <c r="J574" s="440"/>
      <c r="K574" s="440"/>
      <c r="L574" s="440"/>
      <c r="M574" s="440"/>
      <c r="N574" s="440"/>
      <c r="O574" s="440"/>
      <c r="P574" s="440"/>
      <c r="Q574" s="440"/>
      <c r="R574" s="440"/>
      <c r="S574" s="440"/>
      <c r="T574" s="440"/>
      <c r="U574" s="440"/>
      <c r="AUK574" s="441"/>
      <c r="AUL574" s="441"/>
      <c r="AUM574" s="441"/>
      <c r="AUN574" s="441"/>
      <c r="AUO574" s="441"/>
      <c r="AUP574" s="441"/>
      <c r="AUQ574" s="441"/>
      <c r="AUR574" s="441"/>
      <c r="AUS574" s="441"/>
      <c r="AUT574" s="441"/>
      <c r="AUU574" s="441"/>
      <c r="AUV574" s="441"/>
      <c r="AUW574" s="441"/>
      <c r="AUX574" s="441"/>
      <c r="AUY574" s="441"/>
      <c r="AUZ574" s="441"/>
      <c r="AVA574" s="441"/>
      <c r="AVB574" s="441"/>
      <c r="AVC574" s="441"/>
      <c r="AVD574" s="441"/>
      <c r="AVE574" s="441"/>
      <c r="AVF574" s="441"/>
      <c r="AVG574" s="441"/>
    </row>
    <row r="575" spans="1:21 1233:1255">
      <c r="A575" s="440"/>
      <c r="B575" s="440"/>
      <c r="C575" s="440"/>
      <c r="D575" s="440"/>
      <c r="E575" s="440"/>
      <c r="F575" s="440"/>
      <c r="G575" s="440"/>
      <c r="H575" s="440"/>
      <c r="I575" s="440"/>
      <c r="J575" s="440"/>
      <c r="K575" s="440"/>
      <c r="L575" s="440"/>
      <c r="M575" s="440"/>
      <c r="N575" s="440"/>
      <c r="O575" s="440"/>
      <c r="P575" s="440"/>
      <c r="Q575" s="440"/>
      <c r="R575" s="440"/>
      <c r="S575" s="440"/>
      <c r="T575" s="440"/>
      <c r="U575" s="440"/>
      <c r="AUK575" s="441"/>
      <c r="AUL575" s="441"/>
      <c r="AUM575" s="441"/>
      <c r="AUN575" s="441"/>
      <c r="AUO575" s="441"/>
      <c r="AUP575" s="441"/>
      <c r="AUQ575" s="441"/>
      <c r="AUR575" s="441"/>
      <c r="AUS575" s="441"/>
      <c r="AUT575" s="441"/>
      <c r="AUU575" s="441"/>
      <c r="AUV575" s="441"/>
      <c r="AUW575" s="441"/>
      <c r="AUX575" s="441"/>
      <c r="AUY575" s="441"/>
      <c r="AUZ575" s="441"/>
      <c r="AVA575" s="441"/>
      <c r="AVB575" s="441"/>
      <c r="AVC575" s="441"/>
      <c r="AVD575" s="441"/>
      <c r="AVE575" s="441"/>
      <c r="AVF575" s="441"/>
      <c r="AVG575" s="441"/>
    </row>
    <row r="576" spans="1:21 1233:1255">
      <c r="A576" s="440"/>
      <c r="B576" s="440"/>
      <c r="C576" s="440"/>
      <c r="D576" s="440"/>
      <c r="E576" s="440"/>
      <c r="F576" s="440"/>
      <c r="G576" s="440"/>
      <c r="H576" s="440"/>
      <c r="I576" s="440"/>
      <c r="J576" s="440"/>
      <c r="K576" s="440"/>
      <c r="L576" s="440"/>
      <c r="M576" s="440"/>
      <c r="N576" s="440"/>
      <c r="O576" s="440"/>
      <c r="P576" s="440"/>
      <c r="Q576" s="440"/>
      <c r="R576" s="440"/>
      <c r="S576" s="440"/>
      <c r="T576" s="440"/>
      <c r="U576" s="440"/>
      <c r="AUK576" s="441"/>
      <c r="AUL576" s="441"/>
      <c r="AUM576" s="441"/>
      <c r="AUN576" s="441"/>
      <c r="AUO576" s="441"/>
      <c r="AUP576" s="441"/>
      <c r="AUQ576" s="441"/>
      <c r="AUR576" s="441"/>
      <c r="AUS576" s="441"/>
      <c r="AUT576" s="441"/>
      <c r="AUU576" s="441"/>
      <c r="AUV576" s="441"/>
      <c r="AUW576" s="441"/>
      <c r="AUX576" s="441"/>
      <c r="AUY576" s="441"/>
      <c r="AUZ576" s="441"/>
      <c r="AVA576" s="441"/>
      <c r="AVB576" s="441"/>
      <c r="AVC576" s="441"/>
      <c r="AVD576" s="441"/>
      <c r="AVE576" s="441"/>
      <c r="AVF576" s="441"/>
      <c r="AVG576" s="441"/>
    </row>
    <row r="577" spans="1:21 1233:1255">
      <c r="A577" s="440"/>
      <c r="B577" s="440"/>
      <c r="C577" s="440"/>
      <c r="D577" s="440"/>
      <c r="E577" s="440"/>
      <c r="F577" s="440"/>
      <c r="G577" s="440"/>
      <c r="H577" s="440"/>
      <c r="I577" s="440"/>
      <c r="J577" s="440"/>
      <c r="K577" s="440"/>
      <c r="L577" s="440"/>
      <c r="M577" s="440"/>
      <c r="N577" s="440"/>
      <c r="O577" s="440"/>
      <c r="P577" s="440"/>
      <c r="Q577" s="440"/>
      <c r="R577" s="440"/>
      <c r="S577" s="440"/>
      <c r="T577" s="440"/>
      <c r="U577" s="440"/>
      <c r="AUK577" s="441"/>
      <c r="AUL577" s="441"/>
      <c r="AUM577" s="441"/>
      <c r="AUN577" s="441"/>
      <c r="AUO577" s="441"/>
      <c r="AUP577" s="441"/>
      <c r="AUQ577" s="441"/>
      <c r="AUR577" s="441"/>
      <c r="AUS577" s="441"/>
      <c r="AUT577" s="441"/>
      <c r="AUU577" s="441"/>
      <c r="AUV577" s="441"/>
      <c r="AUW577" s="441"/>
      <c r="AUX577" s="441"/>
      <c r="AUY577" s="441"/>
      <c r="AUZ577" s="441"/>
      <c r="AVA577" s="441"/>
      <c r="AVB577" s="441"/>
      <c r="AVC577" s="441"/>
      <c r="AVD577" s="441"/>
      <c r="AVE577" s="441"/>
      <c r="AVF577" s="441"/>
      <c r="AVG577" s="441"/>
    </row>
    <row r="578" spans="1:21 1233:1255">
      <c r="A578" s="440"/>
      <c r="B578" s="440"/>
      <c r="C578" s="440"/>
      <c r="D578" s="440"/>
      <c r="E578" s="440"/>
      <c r="F578" s="440"/>
      <c r="G578" s="440"/>
      <c r="H578" s="440"/>
      <c r="I578" s="440"/>
      <c r="J578" s="440"/>
      <c r="K578" s="440"/>
      <c r="L578" s="440"/>
      <c r="M578" s="440"/>
      <c r="N578" s="440"/>
      <c r="O578" s="440"/>
      <c r="P578" s="440"/>
      <c r="Q578" s="440"/>
      <c r="R578" s="440"/>
      <c r="S578" s="440"/>
      <c r="T578" s="440"/>
      <c r="U578" s="440"/>
      <c r="AUK578" s="441"/>
      <c r="AUL578" s="441"/>
      <c r="AUM578" s="441"/>
      <c r="AUN578" s="441"/>
      <c r="AUO578" s="441"/>
      <c r="AUP578" s="441"/>
      <c r="AUQ578" s="441"/>
      <c r="AUR578" s="441"/>
      <c r="AUS578" s="441"/>
      <c r="AUT578" s="441"/>
      <c r="AUU578" s="441"/>
      <c r="AUV578" s="441"/>
      <c r="AUW578" s="441"/>
      <c r="AUX578" s="441"/>
      <c r="AUY578" s="441"/>
      <c r="AUZ578" s="441"/>
      <c r="AVA578" s="441"/>
      <c r="AVB578" s="441"/>
      <c r="AVC578" s="441"/>
      <c r="AVD578" s="441"/>
      <c r="AVE578" s="441"/>
      <c r="AVF578" s="441"/>
      <c r="AVG578" s="441"/>
    </row>
    <row r="579" spans="1:21 1233:1255">
      <c r="A579" s="440"/>
      <c r="B579" s="440"/>
      <c r="C579" s="440"/>
      <c r="D579" s="440"/>
      <c r="E579" s="440"/>
      <c r="F579" s="440"/>
      <c r="G579" s="440"/>
      <c r="H579" s="440"/>
      <c r="I579" s="440"/>
      <c r="J579" s="440"/>
      <c r="K579" s="440"/>
      <c r="L579" s="440"/>
      <c r="M579" s="440"/>
      <c r="N579" s="440"/>
      <c r="O579" s="440"/>
      <c r="P579" s="440"/>
      <c r="Q579" s="440"/>
      <c r="R579" s="440"/>
      <c r="S579" s="440"/>
      <c r="T579" s="440"/>
      <c r="U579" s="440"/>
      <c r="AUK579" s="441"/>
      <c r="AUL579" s="441"/>
      <c r="AUM579" s="441"/>
      <c r="AUN579" s="441"/>
      <c r="AUO579" s="441"/>
      <c r="AUP579" s="441"/>
      <c r="AUQ579" s="441"/>
      <c r="AUR579" s="441"/>
      <c r="AUS579" s="441"/>
      <c r="AUT579" s="441"/>
      <c r="AUU579" s="441"/>
      <c r="AUV579" s="441"/>
      <c r="AUW579" s="441"/>
      <c r="AUX579" s="441"/>
      <c r="AUY579" s="441"/>
      <c r="AUZ579" s="441"/>
      <c r="AVA579" s="441"/>
      <c r="AVB579" s="441"/>
      <c r="AVC579" s="441"/>
      <c r="AVD579" s="441"/>
      <c r="AVE579" s="441"/>
      <c r="AVF579" s="441"/>
      <c r="AVG579" s="441"/>
    </row>
    <row r="580" spans="1:21 1233:1255">
      <c r="A580" s="440"/>
      <c r="B580" s="440"/>
      <c r="C580" s="440"/>
      <c r="D580" s="440"/>
      <c r="E580" s="440"/>
      <c r="F580" s="440"/>
      <c r="G580" s="440"/>
      <c r="H580" s="440"/>
      <c r="I580" s="440"/>
      <c r="J580" s="440"/>
      <c r="K580" s="440"/>
      <c r="L580" s="440"/>
      <c r="M580" s="440"/>
      <c r="N580" s="440"/>
      <c r="O580" s="440"/>
      <c r="P580" s="440"/>
      <c r="Q580" s="440"/>
      <c r="R580" s="440"/>
      <c r="S580" s="440"/>
      <c r="T580" s="440"/>
      <c r="U580" s="440"/>
      <c r="AUK580" s="441"/>
      <c r="AUL580" s="441"/>
      <c r="AUM580" s="441"/>
      <c r="AUN580" s="441"/>
      <c r="AUO580" s="441"/>
      <c r="AUP580" s="441"/>
      <c r="AUQ580" s="441"/>
      <c r="AUR580" s="441"/>
      <c r="AUS580" s="441"/>
      <c r="AUT580" s="441"/>
      <c r="AUU580" s="441"/>
      <c r="AUV580" s="441"/>
      <c r="AUW580" s="441"/>
      <c r="AUX580" s="441"/>
      <c r="AUY580" s="441"/>
      <c r="AUZ580" s="441"/>
      <c r="AVA580" s="441"/>
      <c r="AVB580" s="441"/>
      <c r="AVC580" s="441"/>
      <c r="AVD580" s="441"/>
      <c r="AVE580" s="441"/>
      <c r="AVF580" s="441"/>
      <c r="AVG580" s="441"/>
    </row>
    <row r="581" spans="1:21 1233:1255">
      <c r="A581" s="440"/>
      <c r="B581" s="440"/>
      <c r="C581" s="440"/>
      <c r="D581" s="440"/>
      <c r="E581" s="440"/>
      <c r="F581" s="440"/>
      <c r="G581" s="440"/>
      <c r="H581" s="440"/>
      <c r="I581" s="440"/>
      <c r="J581" s="440"/>
      <c r="K581" s="440"/>
      <c r="L581" s="440"/>
      <c r="M581" s="440"/>
      <c r="N581" s="440"/>
      <c r="O581" s="440"/>
      <c r="P581" s="440"/>
      <c r="Q581" s="440"/>
      <c r="R581" s="440"/>
      <c r="S581" s="440"/>
      <c r="T581" s="440"/>
      <c r="U581" s="440"/>
      <c r="AUK581" s="441"/>
      <c r="AUL581" s="441"/>
      <c r="AUM581" s="441"/>
      <c r="AUN581" s="441"/>
      <c r="AUO581" s="441"/>
      <c r="AUP581" s="441"/>
      <c r="AUQ581" s="441"/>
      <c r="AUR581" s="441"/>
      <c r="AUS581" s="441"/>
      <c r="AUT581" s="441"/>
      <c r="AUU581" s="441"/>
      <c r="AUV581" s="441"/>
      <c r="AUW581" s="441"/>
      <c r="AUX581" s="441"/>
      <c r="AUY581" s="441"/>
      <c r="AUZ581" s="441"/>
      <c r="AVA581" s="441"/>
      <c r="AVB581" s="441"/>
      <c r="AVC581" s="441"/>
      <c r="AVD581" s="441"/>
      <c r="AVE581" s="441"/>
      <c r="AVF581" s="441"/>
      <c r="AVG581" s="441"/>
    </row>
    <row r="582" spans="1:21 1233:1255">
      <c r="A582" s="440"/>
      <c r="B582" s="440"/>
      <c r="C582" s="440"/>
      <c r="D582" s="440"/>
      <c r="E582" s="440"/>
      <c r="F582" s="440"/>
      <c r="G582" s="440"/>
      <c r="H582" s="440"/>
      <c r="I582" s="440"/>
      <c r="J582" s="440"/>
      <c r="K582" s="440"/>
      <c r="L582" s="440"/>
      <c r="M582" s="440"/>
      <c r="N582" s="440"/>
      <c r="O582" s="440"/>
      <c r="P582" s="440"/>
      <c r="Q582" s="440"/>
      <c r="R582" s="440"/>
      <c r="S582" s="440"/>
      <c r="T582" s="440"/>
      <c r="U582" s="440"/>
      <c r="AUK582" s="441"/>
      <c r="AUL582" s="441"/>
      <c r="AUM582" s="441"/>
      <c r="AUN582" s="441"/>
      <c r="AUO582" s="441"/>
      <c r="AUP582" s="441"/>
      <c r="AUQ582" s="441"/>
      <c r="AUR582" s="441"/>
      <c r="AUS582" s="441"/>
      <c r="AUT582" s="441"/>
      <c r="AUU582" s="441"/>
      <c r="AUV582" s="441"/>
      <c r="AUW582" s="441"/>
      <c r="AUX582" s="441"/>
      <c r="AUY582" s="441"/>
      <c r="AUZ582" s="441"/>
      <c r="AVA582" s="441"/>
      <c r="AVB582" s="441"/>
      <c r="AVC582" s="441"/>
      <c r="AVD582" s="441"/>
      <c r="AVE582" s="441"/>
      <c r="AVF582" s="441"/>
      <c r="AVG582" s="441"/>
    </row>
    <row r="583" spans="1:21 1233:1255">
      <c r="A583" s="440"/>
      <c r="B583" s="440"/>
      <c r="C583" s="440"/>
      <c r="D583" s="440"/>
      <c r="E583" s="440"/>
      <c r="F583" s="440"/>
      <c r="G583" s="440"/>
      <c r="H583" s="440"/>
      <c r="I583" s="440"/>
      <c r="J583" s="440"/>
      <c r="K583" s="440"/>
      <c r="L583" s="440"/>
      <c r="M583" s="440"/>
      <c r="N583" s="440"/>
      <c r="O583" s="440"/>
      <c r="P583" s="440"/>
      <c r="Q583" s="440"/>
      <c r="R583" s="440"/>
      <c r="S583" s="440"/>
      <c r="T583" s="440"/>
      <c r="U583" s="440"/>
      <c r="AUK583" s="441"/>
      <c r="AUL583" s="441"/>
      <c r="AUM583" s="441"/>
      <c r="AUN583" s="441"/>
      <c r="AUO583" s="441"/>
      <c r="AUP583" s="441"/>
      <c r="AUQ583" s="441"/>
      <c r="AUR583" s="441"/>
      <c r="AUS583" s="441"/>
      <c r="AUT583" s="441"/>
      <c r="AUU583" s="441"/>
      <c r="AUV583" s="441"/>
      <c r="AUW583" s="441"/>
      <c r="AUX583" s="441"/>
      <c r="AUY583" s="441"/>
      <c r="AUZ583" s="441"/>
      <c r="AVA583" s="441"/>
      <c r="AVB583" s="441"/>
      <c r="AVC583" s="441"/>
      <c r="AVD583" s="441"/>
      <c r="AVE583" s="441"/>
      <c r="AVF583" s="441"/>
      <c r="AVG583" s="441"/>
    </row>
    <row r="584" spans="1:21 1233:1255">
      <c r="A584" s="440"/>
      <c r="B584" s="440"/>
      <c r="C584" s="440"/>
      <c r="D584" s="440"/>
      <c r="E584" s="440"/>
      <c r="F584" s="440"/>
      <c r="G584" s="440"/>
      <c r="H584" s="440"/>
      <c r="I584" s="440"/>
      <c r="J584" s="440"/>
      <c r="K584" s="440"/>
      <c r="L584" s="440"/>
      <c r="M584" s="440"/>
      <c r="N584" s="440"/>
      <c r="O584" s="440"/>
      <c r="P584" s="440"/>
      <c r="Q584" s="440"/>
      <c r="R584" s="440"/>
      <c r="S584" s="440"/>
      <c r="T584" s="440"/>
      <c r="U584" s="440"/>
      <c r="AUK584" s="441"/>
      <c r="AUL584" s="441"/>
      <c r="AUM584" s="441"/>
      <c r="AUN584" s="441"/>
      <c r="AUO584" s="441"/>
      <c r="AUP584" s="441"/>
      <c r="AUQ584" s="441"/>
      <c r="AUR584" s="441"/>
      <c r="AUS584" s="441"/>
      <c r="AUT584" s="441"/>
      <c r="AUU584" s="441"/>
      <c r="AUV584" s="441"/>
      <c r="AUW584" s="441"/>
      <c r="AUX584" s="441"/>
      <c r="AUY584" s="441"/>
      <c r="AUZ584" s="441"/>
      <c r="AVA584" s="441"/>
      <c r="AVB584" s="441"/>
      <c r="AVC584" s="441"/>
      <c r="AVD584" s="441"/>
      <c r="AVE584" s="441"/>
      <c r="AVF584" s="441"/>
      <c r="AVG584" s="441"/>
    </row>
    <row r="585" spans="1:21 1233:1255">
      <c r="A585" s="440"/>
      <c r="B585" s="440"/>
      <c r="C585" s="440"/>
      <c r="D585" s="440"/>
      <c r="E585" s="440"/>
      <c r="F585" s="440"/>
      <c r="G585" s="440"/>
      <c r="H585" s="440"/>
      <c r="I585" s="440"/>
      <c r="J585" s="440"/>
      <c r="K585" s="440"/>
      <c r="L585" s="440"/>
      <c r="M585" s="440"/>
      <c r="N585" s="440"/>
      <c r="O585" s="440"/>
      <c r="P585" s="440"/>
      <c r="Q585" s="440"/>
      <c r="R585" s="440"/>
      <c r="S585" s="440"/>
      <c r="T585" s="440"/>
      <c r="U585" s="440"/>
      <c r="AUK585" s="441"/>
      <c r="AUL585" s="441"/>
      <c r="AUM585" s="441"/>
      <c r="AUN585" s="441"/>
      <c r="AUO585" s="441"/>
      <c r="AUP585" s="441"/>
      <c r="AUQ585" s="441"/>
      <c r="AUR585" s="441"/>
      <c r="AUS585" s="441"/>
      <c r="AUT585" s="441"/>
      <c r="AUU585" s="441"/>
      <c r="AUV585" s="441"/>
      <c r="AUW585" s="441"/>
      <c r="AUX585" s="441"/>
      <c r="AUY585" s="441"/>
      <c r="AUZ585" s="441"/>
      <c r="AVA585" s="441"/>
      <c r="AVB585" s="441"/>
      <c r="AVC585" s="441"/>
      <c r="AVD585" s="441"/>
      <c r="AVE585" s="441"/>
      <c r="AVF585" s="441"/>
      <c r="AVG585" s="441"/>
    </row>
    <row r="586" spans="1:21 1233:1255">
      <c r="A586" s="440"/>
      <c r="B586" s="440"/>
      <c r="C586" s="440"/>
      <c r="D586" s="440"/>
      <c r="E586" s="440"/>
      <c r="F586" s="440"/>
      <c r="G586" s="440"/>
      <c r="H586" s="440"/>
      <c r="I586" s="440"/>
      <c r="J586" s="440"/>
      <c r="K586" s="440"/>
      <c r="L586" s="440"/>
      <c r="M586" s="440"/>
      <c r="N586" s="440"/>
      <c r="O586" s="440"/>
      <c r="P586" s="440"/>
      <c r="Q586" s="440"/>
      <c r="R586" s="440"/>
      <c r="S586" s="440"/>
      <c r="T586" s="440"/>
      <c r="U586" s="440"/>
      <c r="AUK586" s="441"/>
      <c r="AUL586" s="441"/>
      <c r="AUM586" s="441"/>
      <c r="AUN586" s="441"/>
      <c r="AUO586" s="441"/>
      <c r="AUP586" s="441"/>
      <c r="AUQ586" s="441"/>
      <c r="AUR586" s="441"/>
      <c r="AUS586" s="441"/>
      <c r="AUT586" s="441"/>
      <c r="AUU586" s="441"/>
      <c r="AUV586" s="441"/>
      <c r="AUW586" s="441"/>
      <c r="AUX586" s="441"/>
      <c r="AUY586" s="441"/>
      <c r="AUZ586" s="441"/>
      <c r="AVA586" s="441"/>
      <c r="AVB586" s="441"/>
      <c r="AVC586" s="441"/>
      <c r="AVD586" s="441"/>
      <c r="AVE586" s="441"/>
      <c r="AVF586" s="441"/>
      <c r="AVG586" s="441"/>
    </row>
    <row r="587" spans="1:21 1233:1255">
      <c r="A587" s="440"/>
      <c r="B587" s="440"/>
      <c r="C587" s="440"/>
      <c r="D587" s="440"/>
      <c r="E587" s="440"/>
      <c r="F587" s="440"/>
      <c r="G587" s="440"/>
      <c r="H587" s="440"/>
      <c r="I587" s="440"/>
      <c r="J587" s="440"/>
      <c r="K587" s="440"/>
      <c r="L587" s="440"/>
      <c r="M587" s="440"/>
      <c r="N587" s="440"/>
      <c r="O587" s="440"/>
      <c r="P587" s="440"/>
      <c r="Q587" s="440"/>
      <c r="R587" s="440"/>
      <c r="S587" s="440"/>
      <c r="T587" s="440"/>
      <c r="U587" s="440"/>
      <c r="AUK587" s="441"/>
      <c r="AUL587" s="441"/>
      <c r="AUM587" s="441"/>
      <c r="AUN587" s="441"/>
      <c r="AUO587" s="441"/>
      <c r="AUP587" s="441"/>
      <c r="AUQ587" s="441"/>
      <c r="AUR587" s="441"/>
      <c r="AUS587" s="441"/>
      <c r="AUT587" s="441"/>
      <c r="AUU587" s="441"/>
      <c r="AUV587" s="441"/>
      <c r="AUW587" s="441"/>
      <c r="AUX587" s="441"/>
      <c r="AUY587" s="441"/>
      <c r="AUZ587" s="441"/>
      <c r="AVA587" s="441"/>
      <c r="AVB587" s="441"/>
      <c r="AVC587" s="441"/>
      <c r="AVD587" s="441"/>
      <c r="AVE587" s="441"/>
      <c r="AVF587" s="441"/>
      <c r="AVG587" s="441"/>
    </row>
    <row r="588" spans="1:21 1233:1255">
      <c r="A588" s="440"/>
      <c r="B588" s="440"/>
      <c r="C588" s="440"/>
      <c r="D588" s="440"/>
      <c r="E588" s="440"/>
      <c r="F588" s="440"/>
      <c r="G588" s="440"/>
      <c r="H588" s="440"/>
      <c r="I588" s="440"/>
      <c r="J588" s="440"/>
      <c r="K588" s="440"/>
      <c r="L588" s="440"/>
      <c r="M588" s="440"/>
      <c r="N588" s="440"/>
      <c r="O588" s="440"/>
      <c r="P588" s="440"/>
      <c r="Q588" s="440"/>
      <c r="R588" s="440"/>
      <c r="S588" s="440"/>
      <c r="T588" s="440"/>
      <c r="U588" s="440"/>
      <c r="AUK588" s="441"/>
      <c r="AUL588" s="441"/>
      <c r="AUM588" s="441"/>
      <c r="AUN588" s="441"/>
      <c r="AUO588" s="441"/>
      <c r="AUP588" s="441"/>
      <c r="AUQ588" s="441"/>
      <c r="AUR588" s="441"/>
      <c r="AUS588" s="441"/>
      <c r="AUT588" s="441"/>
      <c r="AUU588" s="441"/>
      <c r="AUV588" s="441"/>
      <c r="AUW588" s="441"/>
      <c r="AUX588" s="441"/>
      <c r="AUY588" s="441"/>
      <c r="AUZ588" s="441"/>
      <c r="AVA588" s="441"/>
      <c r="AVB588" s="441"/>
      <c r="AVC588" s="441"/>
      <c r="AVD588" s="441"/>
      <c r="AVE588" s="441"/>
      <c r="AVF588" s="441"/>
      <c r="AVG588" s="441"/>
    </row>
    <row r="589" spans="1:21 1233:1255">
      <c r="A589" s="440"/>
      <c r="B589" s="440"/>
      <c r="C589" s="440"/>
      <c r="D589" s="440"/>
      <c r="E589" s="440"/>
      <c r="F589" s="440"/>
      <c r="G589" s="440"/>
      <c r="H589" s="440"/>
      <c r="I589" s="440"/>
      <c r="J589" s="440"/>
      <c r="K589" s="440"/>
      <c r="L589" s="440"/>
      <c r="M589" s="440"/>
      <c r="N589" s="440"/>
      <c r="O589" s="440"/>
      <c r="P589" s="440"/>
      <c r="Q589" s="440"/>
      <c r="R589" s="440"/>
      <c r="S589" s="440"/>
      <c r="T589" s="440"/>
      <c r="U589" s="440"/>
      <c r="AUK589" s="441"/>
      <c r="AUL589" s="441"/>
      <c r="AUM589" s="441"/>
      <c r="AUN589" s="441"/>
      <c r="AUO589" s="441"/>
      <c r="AUP589" s="441"/>
      <c r="AUQ589" s="441"/>
      <c r="AUR589" s="441"/>
      <c r="AUS589" s="441"/>
      <c r="AUT589" s="441"/>
      <c r="AUU589" s="441"/>
      <c r="AUV589" s="441"/>
      <c r="AUW589" s="441"/>
      <c r="AUX589" s="441"/>
      <c r="AUY589" s="441"/>
      <c r="AUZ589" s="441"/>
      <c r="AVA589" s="441"/>
      <c r="AVB589" s="441"/>
      <c r="AVC589" s="441"/>
      <c r="AVD589" s="441"/>
      <c r="AVE589" s="441"/>
      <c r="AVF589" s="441"/>
      <c r="AVG589" s="441"/>
    </row>
    <row r="590" spans="1:21 1233:1255">
      <c r="A590" s="440"/>
      <c r="B590" s="440"/>
      <c r="C590" s="440"/>
      <c r="D590" s="440"/>
      <c r="E590" s="440"/>
      <c r="F590" s="440"/>
      <c r="G590" s="440"/>
      <c r="H590" s="440"/>
      <c r="I590" s="440"/>
      <c r="J590" s="440"/>
      <c r="K590" s="440"/>
      <c r="L590" s="440"/>
      <c r="M590" s="440"/>
      <c r="N590" s="440"/>
      <c r="O590" s="440"/>
      <c r="P590" s="440"/>
      <c r="Q590" s="440"/>
      <c r="R590" s="440"/>
      <c r="S590" s="440"/>
      <c r="T590" s="440"/>
      <c r="U590" s="440"/>
      <c r="AUK590" s="441"/>
      <c r="AUL590" s="441"/>
      <c r="AUM590" s="441"/>
      <c r="AUN590" s="441"/>
      <c r="AUO590" s="441"/>
      <c r="AUP590" s="441"/>
      <c r="AUQ590" s="441"/>
      <c r="AUR590" s="441"/>
      <c r="AUS590" s="441"/>
      <c r="AUT590" s="441"/>
      <c r="AUU590" s="441"/>
      <c r="AUV590" s="441"/>
      <c r="AUW590" s="441"/>
      <c r="AUX590" s="441"/>
      <c r="AUY590" s="441"/>
      <c r="AUZ590" s="441"/>
      <c r="AVA590" s="441"/>
      <c r="AVB590" s="441"/>
      <c r="AVC590" s="441"/>
      <c r="AVD590" s="441"/>
      <c r="AVE590" s="441"/>
      <c r="AVF590" s="441"/>
      <c r="AVG590" s="441"/>
    </row>
    <row r="591" spans="1:21 1233:1255">
      <c r="A591" s="440"/>
      <c r="B591" s="440"/>
      <c r="C591" s="440"/>
      <c r="D591" s="440"/>
      <c r="E591" s="440"/>
      <c r="F591" s="440"/>
      <c r="G591" s="440"/>
      <c r="H591" s="440"/>
      <c r="I591" s="440"/>
      <c r="J591" s="440"/>
      <c r="K591" s="440"/>
      <c r="L591" s="440"/>
      <c r="M591" s="440"/>
      <c r="N591" s="440"/>
      <c r="O591" s="440"/>
      <c r="P591" s="440"/>
      <c r="Q591" s="440"/>
      <c r="R591" s="440"/>
      <c r="S591" s="440"/>
      <c r="T591" s="440"/>
      <c r="U591" s="440"/>
      <c r="AUK591" s="441"/>
      <c r="AUL591" s="441"/>
      <c r="AUM591" s="441"/>
      <c r="AUN591" s="441"/>
      <c r="AUO591" s="441"/>
      <c r="AUP591" s="441"/>
      <c r="AUQ591" s="441"/>
      <c r="AUR591" s="441"/>
      <c r="AUS591" s="441"/>
      <c r="AUT591" s="441"/>
      <c r="AUU591" s="441"/>
      <c r="AUV591" s="441"/>
      <c r="AUW591" s="441"/>
      <c r="AUX591" s="441"/>
      <c r="AUY591" s="441"/>
      <c r="AUZ591" s="441"/>
      <c r="AVA591" s="441"/>
      <c r="AVB591" s="441"/>
      <c r="AVC591" s="441"/>
      <c r="AVD591" s="441"/>
      <c r="AVE591" s="441"/>
      <c r="AVF591" s="441"/>
      <c r="AVG591" s="441"/>
    </row>
    <row r="592" spans="1:21 1233:1255">
      <c r="A592" s="440"/>
      <c r="B592" s="440"/>
      <c r="C592" s="440"/>
      <c r="D592" s="440"/>
      <c r="E592" s="440"/>
      <c r="F592" s="440"/>
      <c r="G592" s="440"/>
      <c r="H592" s="440"/>
      <c r="I592" s="440"/>
      <c r="J592" s="440"/>
      <c r="K592" s="440"/>
      <c r="L592" s="440"/>
      <c r="M592" s="440"/>
      <c r="N592" s="440"/>
      <c r="O592" s="440"/>
      <c r="P592" s="440"/>
      <c r="Q592" s="440"/>
      <c r="R592" s="440"/>
      <c r="S592" s="440"/>
      <c r="T592" s="440"/>
      <c r="U592" s="440"/>
      <c r="AUK592" s="441"/>
      <c r="AUL592" s="441"/>
      <c r="AUM592" s="441"/>
      <c r="AUN592" s="441"/>
      <c r="AUO592" s="441"/>
      <c r="AUP592" s="441"/>
      <c r="AUQ592" s="441"/>
      <c r="AUR592" s="441"/>
      <c r="AUS592" s="441"/>
      <c r="AUT592" s="441"/>
      <c r="AUU592" s="441"/>
      <c r="AUV592" s="441"/>
      <c r="AUW592" s="441"/>
      <c r="AUX592" s="441"/>
      <c r="AUY592" s="441"/>
      <c r="AUZ592" s="441"/>
      <c r="AVA592" s="441"/>
      <c r="AVB592" s="441"/>
      <c r="AVC592" s="441"/>
      <c r="AVD592" s="441"/>
      <c r="AVE592" s="441"/>
      <c r="AVF592" s="441"/>
      <c r="AVG592" s="441"/>
    </row>
    <row r="593" spans="1:21 1233:1255">
      <c r="A593" s="440"/>
      <c r="B593" s="440"/>
      <c r="C593" s="440"/>
      <c r="D593" s="440"/>
      <c r="E593" s="440"/>
      <c r="F593" s="440"/>
      <c r="G593" s="440"/>
      <c r="H593" s="440"/>
      <c r="I593" s="440"/>
      <c r="J593" s="440"/>
      <c r="K593" s="440"/>
      <c r="L593" s="440"/>
      <c r="M593" s="440"/>
      <c r="N593" s="440"/>
      <c r="O593" s="440"/>
      <c r="P593" s="440"/>
      <c r="Q593" s="440"/>
      <c r="R593" s="440"/>
      <c r="S593" s="440"/>
      <c r="T593" s="440"/>
      <c r="U593" s="440"/>
      <c r="AUK593" s="441"/>
      <c r="AUL593" s="441"/>
      <c r="AUM593" s="441"/>
      <c r="AUN593" s="441"/>
      <c r="AUO593" s="441"/>
      <c r="AUP593" s="441"/>
      <c r="AUQ593" s="441"/>
      <c r="AUR593" s="441"/>
      <c r="AUS593" s="441"/>
      <c r="AUT593" s="441"/>
      <c r="AUU593" s="441"/>
      <c r="AUV593" s="441"/>
      <c r="AUW593" s="441"/>
      <c r="AUX593" s="441"/>
      <c r="AUY593" s="441"/>
      <c r="AUZ593" s="441"/>
      <c r="AVA593" s="441"/>
      <c r="AVB593" s="441"/>
      <c r="AVC593" s="441"/>
      <c r="AVD593" s="441"/>
      <c r="AVE593" s="441"/>
      <c r="AVF593" s="441"/>
      <c r="AVG593" s="441"/>
    </row>
    <row r="594" spans="1:21 1233:1255">
      <c r="A594" s="440"/>
      <c r="B594" s="440"/>
      <c r="C594" s="440"/>
      <c r="D594" s="440"/>
      <c r="E594" s="440"/>
      <c r="F594" s="440"/>
      <c r="G594" s="440"/>
      <c r="H594" s="440"/>
      <c r="I594" s="440"/>
      <c r="J594" s="440"/>
      <c r="K594" s="440"/>
      <c r="L594" s="440"/>
      <c r="M594" s="440"/>
      <c r="N594" s="440"/>
      <c r="O594" s="440"/>
      <c r="P594" s="440"/>
      <c r="Q594" s="440"/>
      <c r="R594" s="440"/>
      <c r="S594" s="440"/>
      <c r="T594" s="440"/>
      <c r="U594" s="440"/>
      <c r="AUK594" s="441"/>
      <c r="AUL594" s="441"/>
      <c r="AUM594" s="441"/>
      <c r="AUN594" s="441"/>
      <c r="AUO594" s="441"/>
      <c r="AUP594" s="441"/>
      <c r="AUQ594" s="441"/>
      <c r="AUR594" s="441"/>
      <c r="AUS594" s="441"/>
      <c r="AUT594" s="441"/>
      <c r="AUU594" s="441"/>
      <c r="AUV594" s="441"/>
      <c r="AUW594" s="441"/>
      <c r="AUX594" s="441"/>
      <c r="AUY594" s="441"/>
      <c r="AUZ594" s="441"/>
      <c r="AVA594" s="441"/>
      <c r="AVB594" s="441"/>
      <c r="AVC594" s="441"/>
      <c r="AVD594" s="441"/>
      <c r="AVE594" s="441"/>
      <c r="AVF594" s="441"/>
      <c r="AVG594" s="441"/>
    </row>
    <row r="595" spans="1:21 1233:1255">
      <c r="A595" s="440"/>
      <c r="B595" s="440"/>
      <c r="C595" s="440"/>
      <c r="D595" s="440"/>
      <c r="E595" s="440"/>
      <c r="F595" s="440"/>
      <c r="G595" s="440"/>
      <c r="H595" s="440"/>
      <c r="I595" s="440"/>
      <c r="J595" s="440"/>
      <c r="K595" s="440"/>
      <c r="L595" s="440"/>
      <c r="M595" s="440"/>
      <c r="N595" s="440"/>
      <c r="O595" s="440"/>
      <c r="P595" s="440"/>
      <c r="Q595" s="440"/>
      <c r="R595" s="440"/>
      <c r="S595" s="440"/>
      <c r="T595" s="440"/>
      <c r="U595" s="440"/>
      <c r="AUK595" s="441"/>
      <c r="AUL595" s="441"/>
      <c r="AUM595" s="441"/>
      <c r="AUN595" s="441"/>
      <c r="AUO595" s="441"/>
      <c r="AUP595" s="441"/>
      <c r="AUQ595" s="441"/>
      <c r="AUR595" s="441"/>
      <c r="AUS595" s="441"/>
      <c r="AUT595" s="441"/>
      <c r="AUU595" s="441"/>
      <c r="AUV595" s="441"/>
      <c r="AUW595" s="441"/>
      <c r="AUX595" s="441"/>
      <c r="AUY595" s="441"/>
      <c r="AUZ595" s="441"/>
      <c r="AVA595" s="441"/>
      <c r="AVB595" s="441"/>
      <c r="AVC595" s="441"/>
      <c r="AVD595" s="441"/>
      <c r="AVE595" s="441"/>
      <c r="AVF595" s="441"/>
      <c r="AVG595" s="441"/>
    </row>
    <row r="596" spans="1:21 1233:1255">
      <c r="A596" s="440"/>
      <c r="B596" s="440"/>
      <c r="C596" s="440"/>
      <c r="D596" s="440"/>
      <c r="E596" s="440"/>
      <c r="F596" s="440"/>
      <c r="G596" s="440"/>
      <c r="H596" s="440"/>
      <c r="I596" s="440"/>
      <c r="J596" s="440"/>
      <c r="K596" s="440"/>
      <c r="L596" s="440"/>
      <c r="M596" s="440"/>
      <c r="N596" s="440"/>
      <c r="O596" s="440"/>
      <c r="P596" s="440"/>
      <c r="Q596" s="440"/>
      <c r="R596" s="440"/>
      <c r="S596" s="440"/>
      <c r="T596" s="440"/>
      <c r="U596" s="440"/>
      <c r="AUK596" s="441"/>
      <c r="AUL596" s="441"/>
      <c r="AUM596" s="441"/>
      <c r="AUN596" s="441"/>
      <c r="AUO596" s="441"/>
      <c r="AUP596" s="441"/>
      <c r="AUQ596" s="441"/>
      <c r="AUR596" s="441"/>
      <c r="AUS596" s="441"/>
      <c r="AUT596" s="441"/>
      <c r="AUU596" s="441"/>
      <c r="AUV596" s="441"/>
      <c r="AUW596" s="441"/>
      <c r="AUX596" s="441"/>
      <c r="AUY596" s="441"/>
      <c r="AUZ596" s="441"/>
      <c r="AVA596" s="441"/>
      <c r="AVB596" s="441"/>
      <c r="AVC596" s="441"/>
      <c r="AVD596" s="441"/>
      <c r="AVE596" s="441"/>
      <c r="AVF596" s="441"/>
      <c r="AVG596" s="441"/>
    </row>
    <row r="597" spans="1:21 1233:1255">
      <c r="A597" s="440"/>
      <c r="B597" s="440"/>
      <c r="C597" s="440"/>
      <c r="D597" s="440"/>
      <c r="E597" s="440"/>
      <c r="F597" s="440"/>
      <c r="G597" s="440"/>
      <c r="H597" s="440"/>
      <c r="I597" s="440"/>
      <c r="J597" s="440"/>
      <c r="K597" s="440"/>
      <c r="L597" s="440"/>
      <c r="M597" s="440"/>
      <c r="N597" s="440"/>
      <c r="O597" s="440"/>
      <c r="P597" s="440"/>
      <c r="Q597" s="440"/>
      <c r="R597" s="440"/>
      <c r="S597" s="440"/>
      <c r="T597" s="440"/>
      <c r="U597" s="440"/>
      <c r="AUK597" s="441"/>
      <c r="AUL597" s="441"/>
      <c r="AUM597" s="441"/>
      <c r="AUN597" s="441"/>
      <c r="AUO597" s="441"/>
      <c r="AUP597" s="441"/>
      <c r="AUQ597" s="441"/>
      <c r="AUR597" s="441"/>
      <c r="AUS597" s="441"/>
      <c r="AUT597" s="441"/>
      <c r="AUU597" s="441"/>
      <c r="AUV597" s="441"/>
      <c r="AUW597" s="441"/>
      <c r="AUX597" s="441"/>
      <c r="AUY597" s="441"/>
      <c r="AUZ597" s="441"/>
      <c r="AVA597" s="441"/>
      <c r="AVB597" s="441"/>
      <c r="AVC597" s="441"/>
      <c r="AVD597" s="441"/>
      <c r="AVE597" s="441"/>
      <c r="AVF597" s="441"/>
      <c r="AVG597" s="441"/>
    </row>
    <row r="598" spans="1:21 1233:1255">
      <c r="A598" s="440"/>
      <c r="B598" s="440"/>
      <c r="C598" s="440"/>
      <c r="D598" s="440"/>
      <c r="E598" s="440"/>
      <c r="F598" s="440"/>
      <c r="G598" s="440"/>
      <c r="H598" s="440"/>
      <c r="I598" s="440"/>
      <c r="J598" s="440"/>
      <c r="K598" s="440"/>
      <c r="L598" s="440"/>
      <c r="M598" s="440"/>
      <c r="N598" s="440"/>
      <c r="O598" s="440"/>
      <c r="P598" s="440"/>
      <c r="Q598" s="440"/>
      <c r="R598" s="440"/>
      <c r="S598" s="440"/>
      <c r="T598" s="440"/>
      <c r="U598" s="440"/>
      <c r="AUK598" s="441"/>
      <c r="AUL598" s="441"/>
      <c r="AUM598" s="441"/>
      <c r="AUN598" s="441"/>
      <c r="AUO598" s="441"/>
      <c r="AUP598" s="441"/>
      <c r="AUQ598" s="441"/>
      <c r="AUR598" s="441"/>
      <c r="AUS598" s="441"/>
      <c r="AUT598" s="441"/>
      <c r="AUU598" s="441"/>
      <c r="AUV598" s="441"/>
      <c r="AUW598" s="441"/>
      <c r="AUX598" s="441"/>
      <c r="AUY598" s="441"/>
      <c r="AUZ598" s="441"/>
      <c r="AVA598" s="441"/>
      <c r="AVB598" s="441"/>
      <c r="AVC598" s="441"/>
      <c r="AVD598" s="441"/>
      <c r="AVE598" s="441"/>
      <c r="AVF598" s="441"/>
      <c r="AVG598" s="441"/>
    </row>
    <row r="599" spans="1:21 1233:1255">
      <c r="A599" s="440"/>
      <c r="B599" s="440"/>
      <c r="C599" s="440"/>
      <c r="D599" s="440"/>
      <c r="E599" s="440"/>
      <c r="F599" s="440"/>
      <c r="G599" s="440"/>
      <c r="H599" s="440"/>
      <c r="I599" s="440"/>
      <c r="J599" s="440"/>
      <c r="K599" s="440"/>
      <c r="L599" s="440"/>
      <c r="M599" s="440"/>
      <c r="N599" s="440"/>
      <c r="O599" s="440"/>
      <c r="P599" s="440"/>
      <c r="Q599" s="440"/>
      <c r="R599" s="440"/>
      <c r="S599" s="440"/>
      <c r="T599" s="440"/>
      <c r="U599" s="440"/>
      <c r="AUK599" s="441"/>
      <c r="AUL599" s="441"/>
      <c r="AUM599" s="441"/>
      <c r="AUN599" s="441"/>
      <c r="AUO599" s="441"/>
      <c r="AUP599" s="441"/>
      <c r="AUQ599" s="441"/>
      <c r="AUR599" s="441"/>
      <c r="AUS599" s="441"/>
      <c r="AUT599" s="441"/>
      <c r="AUU599" s="441"/>
      <c r="AUV599" s="441"/>
      <c r="AUW599" s="441"/>
      <c r="AUX599" s="441"/>
      <c r="AUY599" s="441"/>
      <c r="AUZ599" s="441"/>
      <c r="AVA599" s="441"/>
      <c r="AVB599" s="441"/>
      <c r="AVC599" s="441"/>
      <c r="AVD599" s="441"/>
      <c r="AVE599" s="441"/>
      <c r="AVF599" s="441"/>
      <c r="AVG599" s="441"/>
    </row>
    <row r="600" spans="1:21 1233:1255">
      <c r="A600" s="440"/>
      <c r="B600" s="440"/>
      <c r="C600" s="440"/>
      <c r="D600" s="440"/>
      <c r="E600" s="440"/>
      <c r="F600" s="440"/>
      <c r="G600" s="440"/>
      <c r="H600" s="440"/>
      <c r="I600" s="440"/>
      <c r="J600" s="440"/>
      <c r="K600" s="440"/>
      <c r="L600" s="440"/>
      <c r="M600" s="440"/>
      <c r="N600" s="440"/>
      <c r="O600" s="440"/>
      <c r="P600" s="440"/>
      <c r="Q600" s="440"/>
      <c r="R600" s="440"/>
      <c r="S600" s="440"/>
      <c r="T600" s="440"/>
      <c r="U600" s="440"/>
      <c r="AUK600" s="441"/>
      <c r="AUL600" s="441"/>
      <c r="AUM600" s="441"/>
      <c r="AUN600" s="441"/>
      <c r="AUO600" s="441"/>
      <c r="AUP600" s="441"/>
      <c r="AUQ600" s="441"/>
      <c r="AUR600" s="441"/>
      <c r="AUS600" s="441"/>
      <c r="AUT600" s="441"/>
      <c r="AUU600" s="441"/>
      <c r="AUV600" s="441"/>
      <c r="AUW600" s="441"/>
      <c r="AUX600" s="441"/>
      <c r="AUY600" s="441"/>
      <c r="AUZ600" s="441"/>
      <c r="AVA600" s="441"/>
      <c r="AVB600" s="441"/>
      <c r="AVC600" s="441"/>
      <c r="AVD600" s="441"/>
      <c r="AVE600" s="441"/>
      <c r="AVF600" s="441"/>
      <c r="AVG600" s="441"/>
    </row>
    <row r="601" spans="1:21 1233:1255">
      <c r="A601" s="440"/>
      <c r="B601" s="440"/>
      <c r="C601" s="440"/>
      <c r="D601" s="440"/>
      <c r="E601" s="440"/>
      <c r="F601" s="440"/>
      <c r="G601" s="440"/>
      <c r="H601" s="440"/>
      <c r="I601" s="440"/>
      <c r="J601" s="440"/>
      <c r="K601" s="440"/>
      <c r="L601" s="440"/>
      <c r="M601" s="440"/>
      <c r="N601" s="440"/>
      <c r="O601" s="440"/>
      <c r="P601" s="440"/>
      <c r="Q601" s="440"/>
      <c r="R601" s="440"/>
      <c r="S601" s="440"/>
      <c r="T601" s="440"/>
      <c r="U601" s="440"/>
      <c r="AUK601" s="441"/>
      <c r="AUL601" s="441"/>
      <c r="AUM601" s="441"/>
      <c r="AUN601" s="441"/>
      <c r="AUO601" s="441"/>
      <c r="AUP601" s="441"/>
      <c r="AUQ601" s="441"/>
      <c r="AUR601" s="441"/>
      <c r="AUS601" s="441"/>
      <c r="AUT601" s="441"/>
      <c r="AUU601" s="441"/>
      <c r="AUV601" s="441"/>
      <c r="AUW601" s="441"/>
      <c r="AUX601" s="441"/>
      <c r="AUY601" s="441"/>
      <c r="AUZ601" s="441"/>
      <c r="AVA601" s="441"/>
      <c r="AVB601" s="441"/>
      <c r="AVC601" s="441"/>
      <c r="AVD601" s="441"/>
      <c r="AVE601" s="441"/>
      <c r="AVF601" s="441"/>
      <c r="AVG601" s="441"/>
    </row>
    <row r="602" spans="1:21 1233:1255">
      <c r="A602" s="440"/>
      <c r="B602" s="440"/>
      <c r="C602" s="440"/>
      <c r="D602" s="440"/>
      <c r="E602" s="440"/>
      <c r="F602" s="440"/>
      <c r="G602" s="440"/>
      <c r="H602" s="440"/>
      <c r="I602" s="440"/>
      <c r="J602" s="440"/>
      <c r="K602" s="440"/>
      <c r="L602" s="440"/>
      <c r="M602" s="440"/>
      <c r="N602" s="440"/>
      <c r="O602" s="440"/>
      <c r="P602" s="440"/>
      <c r="Q602" s="440"/>
      <c r="R602" s="440"/>
      <c r="S602" s="440"/>
      <c r="T602" s="440"/>
      <c r="U602" s="440"/>
      <c r="AUK602" s="441"/>
      <c r="AUL602" s="441"/>
      <c r="AUM602" s="441"/>
      <c r="AUN602" s="441"/>
      <c r="AUO602" s="441"/>
      <c r="AUP602" s="441"/>
      <c r="AUQ602" s="441"/>
      <c r="AUR602" s="441"/>
      <c r="AUS602" s="441"/>
      <c r="AUT602" s="441"/>
      <c r="AUU602" s="441"/>
      <c r="AUV602" s="441"/>
      <c r="AUW602" s="441"/>
      <c r="AUX602" s="441"/>
      <c r="AUY602" s="441"/>
      <c r="AUZ602" s="441"/>
      <c r="AVA602" s="441"/>
      <c r="AVB602" s="441"/>
      <c r="AVC602" s="441"/>
      <c r="AVD602" s="441"/>
      <c r="AVE602" s="441"/>
      <c r="AVF602" s="441"/>
      <c r="AVG602" s="441"/>
    </row>
    <row r="603" spans="1:21 1233:1255">
      <c r="A603" s="440"/>
      <c r="B603" s="440"/>
      <c r="C603" s="440"/>
      <c r="D603" s="440"/>
      <c r="E603" s="440"/>
      <c r="F603" s="440"/>
      <c r="G603" s="440"/>
      <c r="H603" s="440"/>
      <c r="I603" s="440"/>
      <c r="J603" s="440"/>
      <c r="K603" s="440"/>
      <c r="L603" s="440"/>
      <c r="M603" s="440"/>
      <c r="N603" s="440"/>
      <c r="O603" s="440"/>
      <c r="P603" s="440"/>
      <c r="Q603" s="440"/>
      <c r="R603" s="440"/>
      <c r="S603" s="440"/>
      <c r="T603" s="440"/>
      <c r="U603" s="440"/>
      <c r="AUK603" s="441"/>
      <c r="AUL603" s="441"/>
      <c r="AUM603" s="441"/>
      <c r="AUN603" s="441"/>
      <c r="AUO603" s="441"/>
      <c r="AUP603" s="441"/>
      <c r="AUQ603" s="441"/>
      <c r="AUR603" s="441"/>
      <c r="AUS603" s="441"/>
      <c r="AUT603" s="441"/>
      <c r="AUU603" s="441"/>
      <c r="AUV603" s="441"/>
      <c r="AUW603" s="441"/>
      <c r="AUX603" s="441"/>
      <c r="AUY603" s="441"/>
      <c r="AUZ603" s="441"/>
      <c r="AVA603" s="441"/>
      <c r="AVB603" s="441"/>
      <c r="AVC603" s="441"/>
      <c r="AVD603" s="441"/>
      <c r="AVE603" s="441"/>
      <c r="AVF603" s="441"/>
      <c r="AVG603" s="441"/>
    </row>
    <row r="604" spans="1:21 1233:1255">
      <c r="A604" s="440"/>
      <c r="B604" s="440"/>
      <c r="C604" s="440"/>
      <c r="D604" s="440"/>
      <c r="E604" s="440"/>
      <c r="F604" s="440"/>
      <c r="G604" s="440"/>
      <c r="H604" s="440"/>
      <c r="I604" s="440"/>
      <c r="J604" s="440"/>
      <c r="K604" s="440"/>
      <c r="L604" s="440"/>
      <c r="M604" s="440"/>
      <c r="N604" s="440"/>
      <c r="O604" s="440"/>
      <c r="P604" s="440"/>
      <c r="Q604" s="440"/>
      <c r="R604" s="440"/>
      <c r="S604" s="440"/>
      <c r="T604" s="440"/>
      <c r="U604" s="440"/>
      <c r="AUK604" s="441"/>
      <c r="AUL604" s="441"/>
      <c r="AUM604" s="441"/>
      <c r="AUN604" s="441"/>
      <c r="AUO604" s="441"/>
      <c r="AUP604" s="441"/>
      <c r="AUQ604" s="441"/>
      <c r="AUR604" s="441"/>
      <c r="AUS604" s="441"/>
      <c r="AUT604" s="441"/>
      <c r="AUU604" s="441"/>
      <c r="AUV604" s="441"/>
      <c r="AUW604" s="441"/>
      <c r="AUX604" s="441"/>
      <c r="AUY604" s="441"/>
      <c r="AUZ604" s="441"/>
      <c r="AVA604" s="441"/>
      <c r="AVB604" s="441"/>
      <c r="AVC604" s="441"/>
      <c r="AVD604" s="441"/>
      <c r="AVE604" s="441"/>
      <c r="AVF604" s="441"/>
      <c r="AVG604" s="441"/>
    </row>
    <row r="605" spans="1:21 1233:1255">
      <c r="A605" s="440"/>
      <c r="B605" s="440"/>
      <c r="C605" s="440"/>
      <c r="D605" s="440"/>
      <c r="E605" s="440"/>
      <c r="F605" s="440"/>
      <c r="G605" s="440"/>
      <c r="H605" s="440"/>
      <c r="I605" s="440"/>
      <c r="J605" s="440"/>
      <c r="K605" s="440"/>
      <c r="L605" s="440"/>
      <c r="M605" s="440"/>
      <c r="N605" s="440"/>
      <c r="O605" s="440"/>
      <c r="P605" s="440"/>
      <c r="Q605" s="440"/>
      <c r="R605" s="440"/>
      <c r="S605" s="440"/>
      <c r="T605" s="440"/>
      <c r="U605" s="440"/>
      <c r="AUK605" s="441"/>
      <c r="AUL605" s="441"/>
      <c r="AUM605" s="441"/>
      <c r="AUN605" s="441"/>
      <c r="AUO605" s="441"/>
      <c r="AUP605" s="441"/>
      <c r="AUQ605" s="441"/>
      <c r="AUR605" s="441"/>
      <c r="AUS605" s="441"/>
      <c r="AUT605" s="441"/>
      <c r="AUU605" s="441"/>
      <c r="AUV605" s="441"/>
      <c r="AUW605" s="441"/>
      <c r="AUX605" s="441"/>
      <c r="AUY605" s="441"/>
      <c r="AUZ605" s="441"/>
      <c r="AVA605" s="441"/>
      <c r="AVB605" s="441"/>
      <c r="AVC605" s="441"/>
      <c r="AVD605" s="441"/>
      <c r="AVE605" s="441"/>
      <c r="AVF605" s="441"/>
      <c r="AVG605" s="441"/>
    </row>
    <row r="606" spans="1:21 1233:1255">
      <c r="A606" s="440"/>
      <c r="B606" s="440"/>
      <c r="C606" s="440"/>
      <c r="D606" s="440"/>
      <c r="E606" s="440"/>
      <c r="F606" s="440"/>
      <c r="G606" s="440"/>
      <c r="H606" s="440"/>
      <c r="I606" s="440"/>
      <c r="J606" s="440"/>
      <c r="K606" s="440"/>
      <c r="L606" s="440"/>
      <c r="M606" s="440"/>
      <c r="N606" s="440"/>
      <c r="O606" s="440"/>
      <c r="P606" s="440"/>
      <c r="Q606" s="440"/>
      <c r="R606" s="440"/>
      <c r="S606" s="440"/>
      <c r="T606" s="440"/>
      <c r="U606" s="440"/>
      <c r="AUK606" s="441"/>
      <c r="AUL606" s="441"/>
      <c r="AUM606" s="441"/>
      <c r="AUN606" s="441"/>
      <c r="AUO606" s="441"/>
      <c r="AUP606" s="441"/>
      <c r="AUQ606" s="441"/>
      <c r="AUR606" s="441"/>
      <c r="AUS606" s="441"/>
      <c r="AUT606" s="441"/>
      <c r="AUU606" s="441"/>
      <c r="AUV606" s="441"/>
      <c r="AUW606" s="441"/>
      <c r="AUX606" s="441"/>
      <c r="AUY606" s="441"/>
      <c r="AUZ606" s="441"/>
      <c r="AVA606" s="441"/>
      <c r="AVB606" s="441"/>
      <c r="AVC606" s="441"/>
      <c r="AVD606" s="441"/>
      <c r="AVE606" s="441"/>
      <c r="AVF606" s="441"/>
      <c r="AVG606" s="441"/>
    </row>
    <row r="607" spans="1:21 1233:1255">
      <c r="A607" s="440"/>
      <c r="B607" s="440"/>
      <c r="C607" s="440"/>
      <c r="D607" s="440"/>
      <c r="E607" s="440"/>
      <c r="F607" s="440"/>
      <c r="G607" s="440"/>
      <c r="H607" s="440"/>
      <c r="I607" s="440"/>
      <c r="J607" s="440"/>
      <c r="K607" s="440"/>
      <c r="L607" s="440"/>
      <c r="M607" s="440"/>
      <c r="N607" s="440"/>
      <c r="O607" s="440"/>
      <c r="P607" s="440"/>
      <c r="Q607" s="440"/>
      <c r="R607" s="440"/>
      <c r="S607" s="440"/>
      <c r="T607" s="440"/>
      <c r="U607" s="440"/>
      <c r="AUK607" s="441"/>
      <c r="AUL607" s="441"/>
      <c r="AUM607" s="441"/>
      <c r="AUN607" s="441"/>
      <c r="AUO607" s="441"/>
      <c r="AUP607" s="441"/>
      <c r="AUQ607" s="441"/>
      <c r="AUR607" s="441"/>
      <c r="AUS607" s="441"/>
      <c r="AUT607" s="441"/>
      <c r="AUU607" s="441"/>
      <c r="AUV607" s="441"/>
      <c r="AUW607" s="441"/>
      <c r="AUX607" s="441"/>
      <c r="AUY607" s="441"/>
      <c r="AUZ607" s="441"/>
      <c r="AVA607" s="441"/>
      <c r="AVB607" s="441"/>
      <c r="AVC607" s="441"/>
      <c r="AVD607" s="441"/>
      <c r="AVE607" s="441"/>
      <c r="AVF607" s="441"/>
      <c r="AVG607" s="441"/>
    </row>
    <row r="608" spans="1:21 1233:1255">
      <c r="A608" s="440"/>
      <c r="B608" s="440"/>
      <c r="C608" s="440"/>
      <c r="D608" s="440"/>
      <c r="E608" s="440"/>
      <c r="F608" s="440"/>
      <c r="G608" s="440"/>
      <c r="H608" s="440"/>
      <c r="I608" s="440"/>
      <c r="J608" s="440"/>
      <c r="K608" s="440"/>
      <c r="L608" s="440"/>
      <c r="M608" s="440"/>
      <c r="N608" s="440"/>
      <c r="O608" s="440"/>
      <c r="P608" s="440"/>
      <c r="Q608" s="440"/>
      <c r="R608" s="440"/>
      <c r="S608" s="440"/>
      <c r="T608" s="440"/>
      <c r="U608" s="440"/>
      <c r="AUK608" s="441"/>
      <c r="AUL608" s="441"/>
      <c r="AUM608" s="441"/>
      <c r="AUN608" s="441"/>
      <c r="AUO608" s="441"/>
      <c r="AUP608" s="441"/>
      <c r="AUQ608" s="441"/>
      <c r="AUR608" s="441"/>
      <c r="AUS608" s="441"/>
      <c r="AUT608" s="441"/>
      <c r="AUU608" s="441"/>
      <c r="AUV608" s="441"/>
      <c r="AUW608" s="441"/>
      <c r="AUX608" s="441"/>
      <c r="AUY608" s="441"/>
      <c r="AUZ608" s="441"/>
      <c r="AVA608" s="441"/>
      <c r="AVB608" s="441"/>
      <c r="AVC608" s="441"/>
      <c r="AVD608" s="441"/>
      <c r="AVE608" s="441"/>
      <c r="AVF608" s="441"/>
      <c r="AVG608" s="441"/>
    </row>
    <row r="609" spans="1:21 1233:1255">
      <c r="A609" s="440"/>
      <c r="B609" s="440"/>
      <c r="C609" s="440"/>
      <c r="D609" s="440"/>
      <c r="E609" s="440"/>
      <c r="F609" s="440"/>
      <c r="G609" s="440"/>
      <c r="H609" s="440"/>
      <c r="I609" s="440"/>
      <c r="J609" s="440"/>
      <c r="K609" s="440"/>
      <c r="L609" s="440"/>
      <c r="M609" s="440"/>
      <c r="N609" s="440"/>
      <c r="O609" s="440"/>
      <c r="P609" s="440"/>
      <c r="Q609" s="440"/>
      <c r="R609" s="440"/>
      <c r="S609" s="440"/>
      <c r="T609" s="440"/>
      <c r="U609" s="440"/>
      <c r="AUK609" s="441"/>
      <c r="AUL609" s="441"/>
      <c r="AUM609" s="441"/>
      <c r="AUN609" s="441"/>
      <c r="AUO609" s="441"/>
      <c r="AUP609" s="441"/>
      <c r="AUQ609" s="441"/>
      <c r="AUR609" s="441"/>
      <c r="AUS609" s="441"/>
      <c r="AUT609" s="441"/>
      <c r="AUU609" s="441"/>
      <c r="AUV609" s="441"/>
      <c r="AUW609" s="441"/>
      <c r="AUX609" s="441"/>
      <c r="AUY609" s="441"/>
      <c r="AUZ609" s="441"/>
      <c r="AVA609" s="441"/>
      <c r="AVB609" s="441"/>
      <c r="AVC609" s="441"/>
      <c r="AVD609" s="441"/>
      <c r="AVE609" s="441"/>
      <c r="AVF609" s="441"/>
      <c r="AVG609" s="441"/>
    </row>
    <row r="610" spans="1:21 1233:1255">
      <c r="A610" s="440"/>
      <c r="B610" s="440"/>
      <c r="C610" s="440"/>
      <c r="D610" s="440"/>
      <c r="E610" s="440"/>
      <c r="F610" s="440"/>
      <c r="G610" s="440"/>
      <c r="H610" s="440"/>
      <c r="I610" s="440"/>
      <c r="J610" s="440"/>
      <c r="K610" s="440"/>
      <c r="L610" s="440"/>
      <c r="M610" s="440"/>
      <c r="N610" s="440"/>
      <c r="O610" s="440"/>
      <c r="P610" s="440"/>
      <c r="Q610" s="440"/>
      <c r="R610" s="440"/>
      <c r="S610" s="440"/>
      <c r="T610" s="440"/>
      <c r="U610" s="440"/>
      <c r="AUK610" s="441"/>
      <c r="AUL610" s="441"/>
      <c r="AUM610" s="441"/>
      <c r="AUN610" s="441"/>
      <c r="AUO610" s="441"/>
      <c r="AUP610" s="441"/>
      <c r="AUQ610" s="441"/>
      <c r="AUR610" s="441"/>
      <c r="AUS610" s="441"/>
      <c r="AUT610" s="441"/>
      <c r="AUU610" s="441"/>
      <c r="AUV610" s="441"/>
      <c r="AUW610" s="441"/>
      <c r="AUX610" s="441"/>
      <c r="AUY610" s="441"/>
      <c r="AUZ610" s="441"/>
      <c r="AVA610" s="441"/>
      <c r="AVB610" s="441"/>
      <c r="AVC610" s="441"/>
      <c r="AVD610" s="441"/>
      <c r="AVE610" s="441"/>
      <c r="AVF610" s="441"/>
      <c r="AVG610" s="441"/>
    </row>
    <row r="611" spans="1:21 1233:1255">
      <c r="A611" s="440"/>
      <c r="B611" s="440"/>
      <c r="C611" s="440"/>
      <c r="D611" s="440"/>
      <c r="E611" s="440"/>
      <c r="F611" s="440"/>
      <c r="G611" s="440"/>
      <c r="H611" s="440"/>
      <c r="I611" s="440"/>
      <c r="J611" s="440"/>
      <c r="K611" s="440"/>
      <c r="L611" s="440"/>
      <c r="M611" s="440"/>
      <c r="N611" s="440"/>
      <c r="O611" s="440"/>
      <c r="P611" s="440"/>
      <c r="Q611" s="440"/>
      <c r="R611" s="440"/>
      <c r="S611" s="440"/>
      <c r="T611" s="440"/>
      <c r="U611" s="440"/>
      <c r="AUK611" s="441"/>
      <c r="AUL611" s="441"/>
      <c r="AUM611" s="441"/>
      <c r="AUN611" s="441"/>
      <c r="AUO611" s="441"/>
      <c r="AUP611" s="441"/>
      <c r="AUQ611" s="441"/>
      <c r="AUR611" s="441"/>
      <c r="AUS611" s="441"/>
      <c r="AUT611" s="441"/>
      <c r="AUU611" s="441"/>
      <c r="AUV611" s="441"/>
      <c r="AUW611" s="441"/>
      <c r="AUX611" s="441"/>
      <c r="AUY611" s="441"/>
      <c r="AUZ611" s="441"/>
      <c r="AVA611" s="441"/>
      <c r="AVB611" s="441"/>
      <c r="AVC611" s="441"/>
      <c r="AVD611" s="441"/>
      <c r="AVE611" s="441"/>
      <c r="AVF611" s="441"/>
      <c r="AVG611" s="441"/>
    </row>
    <row r="612" spans="1:21 1233:1255">
      <c r="A612" s="440"/>
      <c r="B612" s="440"/>
      <c r="C612" s="440"/>
      <c r="D612" s="440"/>
      <c r="E612" s="440"/>
      <c r="F612" s="440"/>
      <c r="G612" s="440"/>
      <c r="H612" s="440"/>
      <c r="I612" s="440"/>
      <c r="J612" s="440"/>
      <c r="K612" s="440"/>
      <c r="L612" s="440"/>
      <c r="M612" s="440"/>
      <c r="N612" s="440"/>
      <c r="O612" s="440"/>
      <c r="P612" s="440"/>
      <c r="Q612" s="440"/>
      <c r="R612" s="440"/>
      <c r="S612" s="440"/>
      <c r="T612" s="440"/>
      <c r="U612" s="440"/>
      <c r="AUK612" s="441"/>
      <c r="AUL612" s="441"/>
      <c r="AUM612" s="441"/>
      <c r="AUN612" s="441"/>
      <c r="AUO612" s="441"/>
      <c r="AUP612" s="441"/>
      <c r="AUQ612" s="441"/>
      <c r="AUR612" s="441"/>
      <c r="AUS612" s="441"/>
      <c r="AUT612" s="441"/>
      <c r="AUU612" s="441"/>
      <c r="AUV612" s="441"/>
      <c r="AUW612" s="441"/>
      <c r="AUX612" s="441"/>
      <c r="AUY612" s="441"/>
      <c r="AUZ612" s="441"/>
      <c r="AVA612" s="441"/>
      <c r="AVB612" s="441"/>
      <c r="AVC612" s="441"/>
      <c r="AVD612" s="441"/>
      <c r="AVE612" s="441"/>
      <c r="AVF612" s="441"/>
      <c r="AVG612" s="441"/>
    </row>
    <row r="613" spans="1:21 1233:1255">
      <c r="A613" s="440"/>
      <c r="B613" s="440"/>
      <c r="C613" s="440"/>
      <c r="D613" s="440"/>
      <c r="E613" s="440"/>
      <c r="F613" s="440"/>
      <c r="G613" s="440"/>
      <c r="H613" s="440"/>
      <c r="I613" s="440"/>
      <c r="J613" s="440"/>
      <c r="K613" s="440"/>
      <c r="L613" s="440"/>
      <c r="M613" s="440"/>
      <c r="N613" s="440"/>
      <c r="O613" s="440"/>
      <c r="P613" s="440"/>
      <c r="Q613" s="440"/>
      <c r="R613" s="440"/>
      <c r="S613" s="440"/>
      <c r="T613" s="440"/>
      <c r="U613" s="440"/>
      <c r="AUK613" s="441"/>
      <c r="AUL613" s="441"/>
      <c r="AUM613" s="441"/>
      <c r="AUN613" s="441"/>
      <c r="AUO613" s="441"/>
      <c r="AUP613" s="441"/>
      <c r="AUQ613" s="441"/>
      <c r="AUR613" s="441"/>
      <c r="AUS613" s="441"/>
      <c r="AUT613" s="441"/>
      <c r="AUU613" s="441"/>
      <c r="AUV613" s="441"/>
      <c r="AUW613" s="441"/>
      <c r="AUX613" s="441"/>
      <c r="AUY613" s="441"/>
      <c r="AUZ613" s="441"/>
      <c r="AVA613" s="441"/>
      <c r="AVB613" s="441"/>
      <c r="AVC613" s="441"/>
      <c r="AVD613" s="441"/>
      <c r="AVE613" s="441"/>
      <c r="AVF613" s="441"/>
      <c r="AVG613" s="441"/>
    </row>
    <row r="614" spans="1:21 1233:1255">
      <c r="A614" s="440"/>
      <c r="B614" s="440"/>
      <c r="C614" s="440"/>
      <c r="D614" s="440"/>
      <c r="E614" s="440"/>
      <c r="F614" s="440"/>
      <c r="G614" s="440"/>
      <c r="H614" s="440"/>
      <c r="I614" s="440"/>
      <c r="J614" s="440"/>
      <c r="K614" s="440"/>
      <c r="L614" s="440"/>
      <c r="M614" s="440"/>
      <c r="N614" s="440"/>
      <c r="O614" s="440"/>
      <c r="P614" s="440"/>
      <c r="Q614" s="440"/>
      <c r="R614" s="440"/>
      <c r="S614" s="440"/>
      <c r="T614" s="440"/>
      <c r="U614" s="440"/>
      <c r="AUK614" s="441"/>
      <c r="AUL614" s="441"/>
      <c r="AUM614" s="441"/>
      <c r="AUN614" s="441"/>
      <c r="AUO614" s="441"/>
      <c r="AUP614" s="441"/>
      <c r="AUQ614" s="441"/>
      <c r="AUR614" s="441"/>
      <c r="AUS614" s="441"/>
      <c r="AUT614" s="441"/>
      <c r="AUU614" s="441"/>
      <c r="AUV614" s="441"/>
      <c r="AUW614" s="441"/>
      <c r="AUX614" s="441"/>
      <c r="AUY614" s="441"/>
      <c r="AUZ614" s="441"/>
      <c r="AVA614" s="441"/>
      <c r="AVB614" s="441"/>
      <c r="AVC614" s="441"/>
      <c r="AVD614" s="441"/>
      <c r="AVE614" s="441"/>
      <c r="AVF614" s="441"/>
      <c r="AVG614" s="441"/>
    </row>
    <row r="615" spans="1:21 1233:1255">
      <c r="A615" s="440"/>
      <c r="B615" s="440"/>
      <c r="C615" s="440"/>
      <c r="D615" s="440"/>
      <c r="E615" s="440"/>
      <c r="F615" s="440"/>
      <c r="G615" s="440"/>
      <c r="H615" s="440"/>
      <c r="I615" s="440"/>
      <c r="J615" s="440"/>
      <c r="K615" s="440"/>
      <c r="L615" s="440"/>
      <c r="M615" s="440"/>
      <c r="N615" s="440"/>
      <c r="O615" s="440"/>
      <c r="P615" s="440"/>
      <c r="Q615" s="440"/>
      <c r="R615" s="440"/>
      <c r="S615" s="440"/>
      <c r="T615" s="440"/>
      <c r="U615" s="440"/>
      <c r="AUK615" s="441"/>
      <c r="AUL615" s="441"/>
      <c r="AUM615" s="441"/>
      <c r="AUN615" s="441"/>
      <c r="AUO615" s="441"/>
      <c r="AUP615" s="441"/>
      <c r="AUQ615" s="441"/>
      <c r="AUR615" s="441"/>
      <c r="AUS615" s="441"/>
      <c r="AUT615" s="441"/>
      <c r="AUU615" s="441"/>
      <c r="AUV615" s="441"/>
      <c r="AUW615" s="441"/>
      <c r="AUX615" s="441"/>
      <c r="AUY615" s="441"/>
      <c r="AUZ615" s="441"/>
      <c r="AVA615" s="441"/>
      <c r="AVB615" s="441"/>
      <c r="AVC615" s="441"/>
      <c r="AVD615" s="441"/>
      <c r="AVE615" s="441"/>
      <c r="AVF615" s="441"/>
      <c r="AVG615" s="441"/>
    </row>
    <row r="616" spans="1:21 1233:1255">
      <c r="A616" s="440"/>
      <c r="B616" s="440"/>
      <c r="C616" s="440"/>
      <c r="D616" s="440"/>
      <c r="E616" s="440"/>
      <c r="F616" s="440"/>
      <c r="G616" s="440"/>
      <c r="H616" s="440"/>
      <c r="I616" s="440"/>
      <c r="J616" s="440"/>
      <c r="K616" s="440"/>
      <c r="L616" s="440"/>
      <c r="M616" s="440"/>
      <c r="N616" s="440"/>
      <c r="O616" s="440"/>
      <c r="P616" s="440"/>
      <c r="Q616" s="440"/>
      <c r="R616" s="440"/>
      <c r="S616" s="440"/>
      <c r="T616" s="440"/>
      <c r="U616" s="440"/>
      <c r="AUK616" s="441"/>
      <c r="AUL616" s="441"/>
      <c r="AUM616" s="441"/>
      <c r="AUN616" s="441"/>
      <c r="AUO616" s="441"/>
      <c r="AUP616" s="441"/>
      <c r="AUQ616" s="441"/>
      <c r="AUR616" s="441"/>
      <c r="AUS616" s="441"/>
      <c r="AUT616" s="441"/>
      <c r="AUU616" s="441"/>
      <c r="AUV616" s="441"/>
      <c r="AUW616" s="441"/>
      <c r="AUX616" s="441"/>
      <c r="AUY616" s="441"/>
      <c r="AUZ616" s="441"/>
      <c r="AVA616" s="441"/>
      <c r="AVB616" s="441"/>
      <c r="AVC616" s="441"/>
      <c r="AVD616" s="441"/>
      <c r="AVE616" s="441"/>
      <c r="AVF616" s="441"/>
      <c r="AVG616" s="441"/>
    </row>
    <row r="617" spans="1:21 1233:1255">
      <c r="A617" s="440"/>
      <c r="B617" s="440"/>
      <c r="C617" s="440"/>
      <c r="D617" s="440"/>
      <c r="E617" s="440"/>
      <c r="F617" s="440"/>
      <c r="G617" s="440"/>
      <c r="H617" s="440"/>
      <c r="I617" s="440"/>
      <c r="J617" s="440"/>
      <c r="K617" s="440"/>
      <c r="L617" s="440"/>
      <c r="M617" s="440"/>
      <c r="N617" s="440"/>
      <c r="O617" s="440"/>
      <c r="P617" s="440"/>
      <c r="Q617" s="440"/>
      <c r="R617" s="440"/>
      <c r="S617" s="440"/>
      <c r="T617" s="440"/>
      <c r="U617" s="440"/>
      <c r="AUK617" s="441"/>
      <c r="AUL617" s="441"/>
      <c r="AUM617" s="441"/>
      <c r="AUN617" s="441"/>
      <c r="AUO617" s="441"/>
      <c r="AUP617" s="441"/>
      <c r="AUQ617" s="441"/>
      <c r="AUR617" s="441"/>
      <c r="AUS617" s="441"/>
      <c r="AUT617" s="441"/>
      <c r="AUU617" s="441"/>
      <c r="AUV617" s="441"/>
      <c r="AUW617" s="441"/>
      <c r="AUX617" s="441"/>
      <c r="AUY617" s="441"/>
      <c r="AUZ617" s="441"/>
      <c r="AVA617" s="441"/>
      <c r="AVB617" s="441"/>
      <c r="AVC617" s="441"/>
      <c r="AVD617" s="441"/>
      <c r="AVE617" s="441"/>
      <c r="AVF617" s="441"/>
      <c r="AVG617" s="441"/>
    </row>
    <row r="618" spans="1:21 1233:1255">
      <c r="A618" s="440"/>
      <c r="B618" s="440"/>
      <c r="C618" s="440"/>
      <c r="D618" s="440"/>
      <c r="E618" s="440"/>
      <c r="F618" s="440"/>
      <c r="G618" s="440"/>
      <c r="H618" s="440"/>
      <c r="I618" s="440"/>
      <c r="J618" s="440"/>
      <c r="K618" s="440"/>
      <c r="L618" s="440"/>
      <c r="M618" s="440"/>
      <c r="N618" s="440"/>
      <c r="O618" s="440"/>
      <c r="P618" s="440"/>
      <c r="Q618" s="440"/>
      <c r="R618" s="440"/>
      <c r="S618" s="440"/>
      <c r="T618" s="440"/>
      <c r="U618" s="440"/>
      <c r="AUK618" s="441"/>
      <c r="AUL618" s="441"/>
      <c r="AUM618" s="441"/>
      <c r="AUN618" s="441"/>
      <c r="AUO618" s="441"/>
      <c r="AUP618" s="441"/>
      <c r="AUQ618" s="441"/>
      <c r="AUR618" s="441"/>
      <c r="AUS618" s="441"/>
      <c r="AUT618" s="441"/>
      <c r="AUU618" s="441"/>
      <c r="AUV618" s="441"/>
      <c r="AUW618" s="441"/>
      <c r="AUX618" s="441"/>
      <c r="AUY618" s="441"/>
      <c r="AUZ618" s="441"/>
      <c r="AVA618" s="441"/>
      <c r="AVB618" s="441"/>
      <c r="AVC618" s="441"/>
      <c r="AVD618" s="441"/>
      <c r="AVE618" s="441"/>
      <c r="AVF618" s="441"/>
      <c r="AVG618" s="441"/>
    </row>
    <row r="619" spans="1:21 1233:1255">
      <c r="A619" s="440"/>
      <c r="B619" s="440"/>
      <c r="C619" s="440"/>
      <c r="D619" s="440"/>
      <c r="E619" s="440"/>
      <c r="F619" s="440"/>
      <c r="G619" s="440"/>
      <c r="H619" s="440"/>
      <c r="I619" s="440"/>
      <c r="J619" s="440"/>
      <c r="K619" s="440"/>
      <c r="L619" s="440"/>
      <c r="M619" s="440"/>
      <c r="N619" s="440"/>
      <c r="O619" s="440"/>
      <c r="P619" s="440"/>
      <c r="Q619" s="440"/>
      <c r="R619" s="440"/>
      <c r="S619" s="440"/>
      <c r="T619" s="440"/>
      <c r="U619" s="440"/>
      <c r="AUK619" s="441"/>
      <c r="AUL619" s="441"/>
      <c r="AUM619" s="441"/>
      <c r="AUN619" s="441"/>
      <c r="AUO619" s="441"/>
      <c r="AUP619" s="441"/>
      <c r="AUQ619" s="441"/>
      <c r="AUR619" s="441"/>
      <c r="AUS619" s="441"/>
      <c r="AUT619" s="441"/>
      <c r="AUU619" s="441"/>
      <c r="AUV619" s="441"/>
      <c r="AUW619" s="441"/>
      <c r="AUX619" s="441"/>
      <c r="AUY619" s="441"/>
      <c r="AUZ619" s="441"/>
      <c r="AVA619" s="441"/>
      <c r="AVB619" s="441"/>
      <c r="AVC619" s="441"/>
      <c r="AVD619" s="441"/>
      <c r="AVE619" s="441"/>
      <c r="AVF619" s="441"/>
      <c r="AVG619" s="441"/>
    </row>
    <row r="620" spans="1:21 1233:1255">
      <c r="A620" s="440"/>
      <c r="B620" s="440"/>
      <c r="C620" s="440"/>
      <c r="D620" s="440"/>
      <c r="E620" s="440"/>
      <c r="F620" s="440"/>
      <c r="G620" s="440"/>
      <c r="H620" s="440"/>
      <c r="I620" s="440"/>
      <c r="J620" s="440"/>
      <c r="K620" s="440"/>
      <c r="L620" s="440"/>
      <c r="M620" s="440"/>
      <c r="N620" s="440"/>
      <c r="O620" s="440"/>
      <c r="P620" s="440"/>
      <c r="Q620" s="440"/>
      <c r="R620" s="440"/>
      <c r="S620" s="440"/>
      <c r="T620" s="440"/>
      <c r="U620" s="440"/>
      <c r="AUK620" s="441"/>
      <c r="AUL620" s="441"/>
      <c r="AUM620" s="441"/>
      <c r="AUN620" s="441"/>
      <c r="AUO620" s="441"/>
      <c r="AUP620" s="441"/>
      <c r="AUQ620" s="441"/>
      <c r="AUR620" s="441"/>
      <c r="AUS620" s="441"/>
      <c r="AUT620" s="441"/>
      <c r="AUU620" s="441"/>
      <c r="AUV620" s="441"/>
      <c r="AUW620" s="441"/>
      <c r="AUX620" s="441"/>
      <c r="AUY620" s="441"/>
      <c r="AUZ620" s="441"/>
      <c r="AVA620" s="441"/>
      <c r="AVB620" s="441"/>
      <c r="AVC620" s="441"/>
      <c r="AVD620" s="441"/>
      <c r="AVE620" s="441"/>
      <c r="AVF620" s="441"/>
      <c r="AVG620" s="441"/>
    </row>
    <row r="621" spans="1:21 1233:1255">
      <c r="A621" s="440"/>
      <c r="B621" s="440"/>
      <c r="C621" s="440"/>
      <c r="D621" s="440"/>
      <c r="E621" s="440"/>
      <c r="F621" s="440"/>
      <c r="G621" s="440"/>
      <c r="H621" s="440"/>
      <c r="I621" s="440"/>
      <c r="J621" s="440"/>
      <c r="K621" s="440"/>
      <c r="L621" s="440"/>
      <c r="M621" s="440"/>
      <c r="N621" s="440"/>
      <c r="O621" s="440"/>
      <c r="P621" s="440"/>
      <c r="Q621" s="440"/>
      <c r="R621" s="440"/>
      <c r="S621" s="440"/>
      <c r="T621" s="440"/>
      <c r="U621" s="440"/>
      <c r="AUK621" s="441"/>
      <c r="AUL621" s="441"/>
      <c r="AUM621" s="441"/>
      <c r="AUN621" s="441"/>
      <c r="AUO621" s="441"/>
      <c r="AUP621" s="441"/>
      <c r="AUQ621" s="441"/>
      <c r="AUR621" s="441"/>
      <c r="AUS621" s="441"/>
      <c r="AUT621" s="441"/>
      <c r="AUU621" s="441"/>
      <c r="AUV621" s="441"/>
      <c r="AUW621" s="441"/>
      <c r="AUX621" s="441"/>
      <c r="AUY621" s="441"/>
      <c r="AUZ621" s="441"/>
      <c r="AVA621" s="441"/>
      <c r="AVB621" s="441"/>
      <c r="AVC621" s="441"/>
      <c r="AVD621" s="441"/>
      <c r="AVE621" s="441"/>
      <c r="AVF621" s="441"/>
      <c r="AVG621" s="441"/>
    </row>
    <row r="622" spans="1:21 1233:1255">
      <c r="A622" s="440"/>
      <c r="B622" s="440"/>
      <c r="C622" s="440"/>
      <c r="D622" s="440"/>
      <c r="E622" s="440"/>
      <c r="F622" s="440"/>
      <c r="G622" s="440"/>
      <c r="H622" s="440"/>
      <c r="I622" s="440"/>
      <c r="J622" s="440"/>
      <c r="K622" s="440"/>
      <c r="L622" s="440"/>
      <c r="M622" s="440"/>
      <c r="N622" s="440"/>
      <c r="O622" s="440"/>
      <c r="P622" s="440"/>
      <c r="Q622" s="440"/>
      <c r="R622" s="440"/>
      <c r="S622" s="440"/>
      <c r="T622" s="440"/>
      <c r="U622" s="440"/>
      <c r="AUK622" s="441"/>
      <c r="AUL622" s="441"/>
      <c r="AUM622" s="441"/>
      <c r="AUN622" s="441"/>
      <c r="AUO622" s="441"/>
      <c r="AUP622" s="441"/>
      <c r="AUQ622" s="441"/>
      <c r="AUR622" s="441"/>
      <c r="AUS622" s="441"/>
      <c r="AUT622" s="441"/>
      <c r="AUU622" s="441"/>
      <c r="AUV622" s="441"/>
      <c r="AUW622" s="441"/>
      <c r="AUX622" s="441"/>
      <c r="AUY622" s="441"/>
      <c r="AUZ622" s="441"/>
      <c r="AVA622" s="441"/>
      <c r="AVB622" s="441"/>
      <c r="AVC622" s="441"/>
      <c r="AVD622" s="441"/>
      <c r="AVE622" s="441"/>
      <c r="AVF622" s="441"/>
      <c r="AVG622" s="441"/>
    </row>
    <row r="623" spans="1:21 1233:1255">
      <c r="A623" s="440"/>
      <c r="B623" s="440"/>
      <c r="C623" s="440"/>
      <c r="D623" s="440"/>
      <c r="E623" s="440"/>
      <c r="F623" s="440"/>
      <c r="G623" s="440"/>
      <c r="H623" s="440"/>
      <c r="I623" s="440"/>
      <c r="J623" s="440"/>
      <c r="K623" s="440"/>
      <c r="L623" s="440"/>
      <c r="M623" s="440"/>
      <c r="N623" s="440"/>
      <c r="O623" s="440"/>
      <c r="P623" s="440"/>
      <c r="Q623" s="440"/>
      <c r="R623" s="440"/>
      <c r="S623" s="440"/>
      <c r="T623" s="440"/>
      <c r="U623" s="440"/>
      <c r="AUK623" s="441"/>
      <c r="AUL623" s="441"/>
      <c r="AUM623" s="441"/>
      <c r="AUN623" s="441"/>
      <c r="AUO623" s="441"/>
      <c r="AUP623" s="441"/>
      <c r="AUQ623" s="441"/>
      <c r="AUR623" s="441"/>
      <c r="AUS623" s="441"/>
      <c r="AUT623" s="441"/>
      <c r="AUU623" s="441"/>
      <c r="AUV623" s="441"/>
      <c r="AUW623" s="441"/>
      <c r="AUX623" s="441"/>
      <c r="AUY623" s="441"/>
      <c r="AUZ623" s="441"/>
      <c r="AVA623" s="441"/>
      <c r="AVB623" s="441"/>
      <c r="AVC623" s="441"/>
      <c r="AVD623" s="441"/>
      <c r="AVE623" s="441"/>
      <c r="AVF623" s="441"/>
      <c r="AVG623" s="441"/>
    </row>
    <row r="624" spans="1:21 1233:1255">
      <c r="A624" s="440"/>
      <c r="B624" s="440"/>
      <c r="C624" s="440"/>
      <c r="D624" s="440"/>
      <c r="E624" s="440"/>
      <c r="F624" s="440"/>
      <c r="G624" s="440"/>
      <c r="H624" s="440"/>
      <c r="I624" s="440"/>
      <c r="J624" s="440"/>
      <c r="K624" s="440"/>
      <c r="L624" s="440"/>
      <c r="M624" s="440"/>
      <c r="N624" s="440"/>
      <c r="O624" s="440"/>
      <c r="P624" s="440"/>
      <c r="Q624" s="440"/>
      <c r="R624" s="440"/>
      <c r="S624" s="440"/>
      <c r="T624" s="440"/>
      <c r="U624" s="440"/>
      <c r="AUK624" s="441"/>
      <c r="AUL624" s="441"/>
      <c r="AUM624" s="441"/>
      <c r="AUN624" s="441"/>
      <c r="AUO624" s="441"/>
      <c r="AUP624" s="441"/>
      <c r="AUQ624" s="441"/>
      <c r="AUR624" s="441"/>
      <c r="AUS624" s="441"/>
      <c r="AUT624" s="441"/>
      <c r="AUU624" s="441"/>
      <c r="AUV624" s="441"/>
      <c r="AUW624" s="441"/>
      <c r="AUX624" s="441"/>
      <c r="AUY624" s="441"/>
      <c r="AUZ624" s="441"/>
      <c r="AVA624" s="441"/>
      <c r="AVB624" s="441"/>
      <c r="AVC624" s="441"/>
      <c r="AVD624" s="441"/>
      <c r="AVE624" s="441"/>
      <c r="AVF624" s="441"/>
      <c r="AVG624" s="441"/>
    </row>
    <row r="625" spans="1:21 1233:1255">
      <c r="A625" s="440"/>
      <c r="B625" s="440"/>
      <c r="C625" s="440"/>
      <c r="D625" s="440"/>
      <c r="E625" s="440"/>
      <c r="F625" s="440"/>
      <c r="G625" s="440"/>
      <c r="H625" s="440"/>
      <c r="I625" s="440"/>
      <c r="J625" s="440"/>
      <c r="K625" s="440"/>
      <c r="L625" s="440"/>
      <c r="M625" s="440"/>
      <c r="N625" s="440"/>
      <c r="O625" s="440"/>
      <c r="P625" s="440"/>
      <c r="Q625" s="440"/>
      <c r="R625" s="440"/>
      <c r="S625" s="440"/>
      <c r="T625" s="440"/>
      <c r="U625" s="440"/>
      <c r="AUK625" s="441"/>
      <c r="AUL625" s="441"/>
      <c r="AUM625" s="441"/>
      <c r="AUN625" s="441"/>
      <c r="AUO625" s="441"/>
      <c r="AUP625" s="441"/>
      <c r="AUQ625" s="441"/>
      <c r="AUR625" s="441"/>
      <c r="AUS625" s="441"/>
      <c r="AUT625" s="441"/>
      <c r="AUU625" s="441"/>
      <c r="AUV625" s="441"/>
      <c r="AUW625" s="441"/>
      <c r="AUX625" s="441"/>
      <c r="AUY625" s="441"/>
      <c r="AUZ625" s="441"/>
      <c r="AVA625" s="441"/>
      <c r="AVB625" s="441"/>
      <c r="AVC625" s="441"/>
      <c r="AVD625" s="441"/>
      <c r="AVE625" s="441"/>
      <c r="AVF625" s="441"/>
      <c r="AVG625" s="441"/>
    </row>
    <row r="626" spans="1:21 1233:1255">
      <c r="A626" s="440"/>
      <c r="B626" s="440"/>
      <c r="C626" s="440"/>
      <c r="D626" s="440"/>
      <c r="E626" s="440"/>
      <c r="F626" s="440"/>
      <c r="G626" s="440"/>
      <c r="H626" s="440"/>
      <c r="I626" s="440"/>
      <c r="J626" s="440"/>
      <c r="K626" s="440"/>
      <c r="L626" s="440"/>
      <c r="M626" s="440"/>
      <c r="N626" s="440"/>
      <c r="O626" s="440"/>
      <c r="P626" s="440"/>
      <c r="Q626" s="440"/>
      <c r="R626" s="440"/>
      <c r="S626" s="440"/>
      <c r="T626" s="440"/>
      <c r="U626" s="440"/>
      <c r="AUK626" s="441"/>
      <c r="AUL626" s="441"/>
      <c r="AUM626" s="441"/>
      <c r="AUN626" s="441"/>
      <c r="AUO626" s="441"/>
      <c r="AUP626" s="441"/>
      <c r="AUQ626" s="441"/>
      <c r="AUR626" s="441"/>
      <c r="AUS626" s="441"/>
      <c r="AUT626" s="441"/>
      <c r="AUU626" s="441"/>
      <c r="AUV626" s="441"/>
      <c r="AUW626" s="441"/>
      <c r="AUX626" s="441"/>
      <c r="AUY626" s="441"/>
      <c r="AUZ626" s="441"/>
      <c r="AVA626" s="441"/>
      <c r="AVB626" s="441"/>
      <c r="AVC626" s="441"/>
      <c r="AVD626" s="441"/>
      <c r="AVE626" s="441"/>
      <c r="AVF626" s="441"/>
      <c r="AVG626" s="441"/>
    </row>
    <row r="627" spans="1:21 1233:1255">
      <c r="A627" s="440"/>
      <c r="B627" s="440"/>
      <c r="C627" s="440"/>
      <c r="D627" s="440"/>
      <c r="E627" s="440"/>
      <c r="F627" s="440"/>
      <c r="G627" s="440"/>
      <c r="H627" s="440"/>
      <c r="I627" s="440"/>
      <c r="J627" s="440"/>
      <c r="K627" s="440"/>
      <c r="L627" s="440"/>
      <c r="M627" s="440"/>
      <c r="N627" s="440"/>
      <c r="O627" s="440"/>
      <c r="P627" s="440"/>
      <c r="Q627" s="440"/>
      <c r="R627" s="440"/>
      <c r="S627" s="440"/>
      <c r="T627" s="440"/>
      <c r="U627" s="440"/>
      <c r="AUK627" s="441"/>
      <c r="AUL627" s="441"/>
      <c r="AUM627" s="441"/>
      <c r="AUN627" s="441"/>
      <c r="AUO627" s="441"/>
      <c r="AUP627" s="441"/>
      <c r="AUQ627" s="441"/>
      <c r="AUR627" s="441"/>
      <c r="AUS627" s="441"/>
      <c r="AUT627" s="441"/>
      <c r="AUU627" s="441"/>
      <c r="AUV627" s="441"/>
      <c r="AUW627" s="441"/>
      <c r="AUX627" s="441"/>
      <c r="AUY627" s="441"/>
      <c r="AUZ627" s="441"/>
      <c r="AVA627" s="441"/>
      <c r="AVB627" s="441"/>
      <c r="AVC627" s="441"/>
      <c r="AVD627" s="441"/>
      <c r="AVE627" s="441"/>
      <c r="AVF627" s="441"/>
      <c r="AVG627" s="441"/>
    </row>
    <row r="628" spans="1:21 1233:1255">
      <c r="A628" s="440"/>
      <c r="B628" s="440"/>
      <c r="C628" s="440"/>
      <c r="D628" s="440"/>
      <c r="E628" s="440"/>
      <c r="F628" s="440"/>
      <c r="G628" s="440"/>
      <c r="H628" s="440"/>
      <c r="I628" s="440"/>
      <c r="J628" s="440"/>
      <c r="K628" s="440"/>
      <c r="L628" s="440"/>
      <c r="M628" s="440"/>
      <c r="N628" s="440"/>
      <c r="O628" s="440"/>
      <c r="P628" s="440"/>
      <c r="Q628" s="440"/>
      <c r="R628" s="440"/>
      <c r="S628" s="440"/>
      <c r="T628" s="440"/>
      <c r="U628" s="440"/>
      <c r="AUK628" s="441"/>
      <c r="AUL628" s="441"/>
      <c r="AUM628" s="441"/>
      <c r="AUN628" s="441"/>
      <c r="AUO628" s="441"/>
      <c r="AUP628" s="441"/>
      <c r="AUQ628" s="441"/>
      <c r="AUR628" s="441"/>
      <c r="AUS628" s="441"/>
      <c r="AUT628" s="441"/>
      <c r="AUU628" s="441"/>
      <c r="AUV628" s="441"/>
      <c r="AUW628" s="441"/>
      <c r="AUX628" s="441"/>
      <c r="AUY628" s="441"/>
      <c r="AUZ628" s="441"/>
      <c r="AVA628" s="441"/>
      <c r="AVB628" s="441"/>
      <c r="AVC628" s="441"/>
      <c r="AVD628" s="441"/>
      <c r="AVE628" s="441"/>
      <c r="AVF628" s="441"/>
      <c r="AVG628" s="441"/>
    </row>
    <row r="629" spans="1:21 1233:1255">
      <c r="A629" s="440"/>
      <c r="B629" s="440"/>
      <c r="C629" s="440"/>
      <c r="D629" s="440"/>
      <c r="E629" s="440"/>
      <c r="F629" s="440"/>
      <c r="G629" s="440"/>
      <c r="H629" s="440"/>
      <c r="I629" s="440"/>
      <c r="J629" s="440"/>
      <c r="K629" s="440"/>
      <c r="L629" s="440"/>
      <c r="M629" s="440"/>
      <c r="N629" s="440"/>
      <c r="O629" s="440"/>
      <c r="P629" s="440"/>
      <c r="Q629" s="440"/>
      <c r="R629" s="440"/>
      <c r="S629" s="440"/>
      <c r="T629" s="440"/>
      <c r="U629" s="440"/>
      <c r="AUK629" s="441"/>
      <c r="AUL629" s="441"/>
      <c r="AUM629" s="441"/>
      <c r="AUN629" s="441"/>
      <c r="AUO629" s="441"/>
      <c r="AUP629" s="441"/>
      <c r="AUQ629" s="441"/>
      <c r="AUR629" s="441"/>
      <c r="AUS629" s="441"/>
      <c r="AUT629" s="441"/>
      <c r="AUU629" s="441"/>
      <c r="AUV629" s="441"/>
      <c r="AUW629" s="441"/>
      <c r="AUX629" s="441"/>
      <c r="AUY629" s="441"/>
      <c r="AUZ629" s="441"/>
      <c r="AVA629" s="441"/>
      <c r="AVB629" s="441"/>
      <c r="AVC629" s="441"/>
      <c r="AVD629" s="441"/>
      <c r="AVE629" s="441"/>
      <c r="AVF629" s="441"/>
      <c r="AVG629" s="441"/>
    </row>
    <row r="630" spans="1:21 1233:1255">
      <c r="A630" s="440"/>
      <c r="B630" s="440"/>
      <c r="C630" s="440"/>
      <c r="D630" s="440"/>
      <c r="E630" s="440"/>
      <c r="F630" s="440"/>
      <c r="G630" s="440"/>
      <c r="H630" s="440"/>
      <c r="I630" s="440"/>
      <c r="J630" s="440"/>
      <c r="K630" s="440"/>
      <c r="L630" s="440"/>
      <c r="M630" s="440"/>
      <c r="N630" s="440"/>
      <c r="O630" s="440"/>
      <c r="P630" s="440"/>
      <c r="Q630" s="440"/>
      <c r="R630" s="440"/>
      <c r="S630" s="440"/>
      <c r="T630" s="440"/>
      <c r="U630" s="440"/>
      <c r="AUK630" s="441"/>
      <c r="AUL630" s="441"/>
      <c r="AUM630" s="441"/>
      <c r="AUN630" s="441"/>
      <c r="AUO630" s="441"/>
      <c r="AUP630" s="441"/>
      <c r="AUQ630" s="441"/>
      <c r="AUR630" s="441"/>
      <c r="AUS630" s="441"/>
      <c r="AUT630" s="441"/>
      <c r="AUU630" s="441"/>
      <c r="AUV630" s="441"/>
      <c r="AUW630" s="441"/>
      <c r="AUX630" s="441"/>
      <c r="AUY630" s="441"/>
      <c r="AUZ630" s="441"/>
      <c r="AVA630" s="441"/>
      <c r="AVB630" s="441"/>
      <c r="AVC630" s="441"/>
      <c r="AVD630" s="441"/>
      <c r="AVE630" s="441"/>
      <c r="AVF630" s="441"/>
      <c r="AVG630" s="441"/>
    </row>
    <row r="631" spans="1:21 1233:1255">
      <c r="A631" s="440"/>
      <c r="B631" s="440"/>
      <c r="C631" s="440"/>
      <c r="D631" s="440"/>
      <c r="E631" s="440"/>
      <c r="F631" s="440"/>
      <c r="G631" s="440"/>
      <c r="H631" s="440"/>
      <c r="I631" s="440"/>
      <c r="J631" s="440"/>
      <c r="K631" s="440"/>
      <c r="L631" s="440"/>
      <c r="M631" s="440"/>
      <c r="N631" s="440"/>
      <c r="O631" s="440"/>
      <c r="P631" s="440"/>
      <c r="Q631" s="440"/>
      <c r="R631" s="440"/>
      <c r="S631" s="440"/>
      <c r="T631" s="440"/>
      <c r="U631" s="440"/>
      <c r="AUK631" s="441"/>
      <c r="AUL631" s="441"/>
      <c r="AUM631" s="441"/>
      <c r="AUN631" s="441"/>
      <c r="AUO631" s="441"/>
      <c r="AUP631" s="441"/>
      <c r="AUQ631" s="441"/>
      <c r="AUR631" s="441"/>
      <c r="AUS631" s="441"/>
      <c r="AUT631" s="441"/>
      <c r="AUU631" s="441"/>
      <c r="AUV631" s="441"/>
      <c r="AUW631" s="441"/>
      <c r="AUX631" s="441"/>
      <c r="AUY631" s="441"/>
      <c r="AUZ631" s="441"/>
      <c r="AVA631" s="441"/>
      <c r="AVB631" s="441"/>
      <c r="AVC631" s="441"/>
      <c r="AVD631" s="441"/>
      <c r="AVE631" s="441"/>
      <c r="AVF631" s="441"/>
      <c r="AVG631" s="441"/>
    </row>
    <row r="632" spans="1:21 1233:1255">
      <c r="A632" s="440"/>
      <c r="B632" s="440"/>
      <c r="C632" s="440"/>
      <c r="D632" s="440"/>
      <c r="E632" s="440"/>
      <c r="F632" s="440"/>
      <c r="G632" s="440"/>
      <c r="H632" s="440"/>
      <c r="I632" s="440"/>
      <c r="J632" s="440"/>
      <c r="K632" s="440"/>
      <c r="L632" s="440"/>
      <c r="M632" s="440"/>
      <c r="N632" s="440"/>
      <c r="O632" s="440"/>
      <c r="P632" s="440"/>
      <c r="Q632" s="440"/>
      <c r="R632" s="440"/>
      <c r="S632" s="440"/>
      <c r="T632" s="440"/>
      <c r="U632" s="440"/>
      <c r="AUK632" s="441"/>
      <c r="AUL632" s="441"/>
      <c r="AUM632" s="441"/>
      <c r="AUN632" s="441"/>
      <c r="AUO632" s="441"/>
      <c r="AUP632" s="441"/>
      <c r="AUQ632" s="441"/>
      <c r="AUR632" s="441"/>
      <c r="AUS632" s="441"/>
      <c r="AUT632" s="441"/>
      <c r="AUU632" s="441"/>
      <c r="AUV632" s="441"/>
      <c r="AUW632" s="441"/>
      <c r="AUX632" s="441"/>
      <c r="AUY632" s="441"/>
      <c r="AUZ632" s="441"/>
      <c r="AVA632" s="441"/>
      <c r="AVB632" s="441"/>
      <c r="AVC632" s="441"/>
      <c r="AVD632" s="441"/>
      <c r="AVE632" s="441"/>
      <c r="AVF632" s="441"/>
      <c r="AVG632" s="441"/>
    </row>
    <row r="633" spans="1:21 1233:1255">
      <c r="A633" s="440"/>
      <c r="B633" s="440"/>
      <c r="C633" s="440"/>
      <c r="D633" s="440"/>
      <c r="E633" s="440"/>
      <c r="F633" s="440"/>
      <c r="G633" s="440"/>
      <c r="H633" s="440"/>
      <c r="I633" s="440"/>
      <c r="J633" s="440"/>
      <c r="K633" s="440"/>
      <c r="L633" s="440"/>
      <c r="M633" s="440"/>
      <c r="N633" s="440"/>
      <c r="O633" s="440"/>
      <c r="P633" s="440"/>
      <c r="Q633" s="440"/>
      <c r="R633" s="440"/>
      <c r="S633" s="440"/>
      <c r="T633" s="440"/>
      <c r="U633" s="440"/>
      <c r="AUK633" s="441"/>
      <c r="AUL633" s="441"/>
      <c r="AUM633" s="441"/>
      <c r="AUN633" s="441"/>
      <c r="AUO633" s="441"/>
      <c r="AUP633" s="441"/>
      <c r="AUQ633" s="441"/>
      <c r="AUR633" s="441"/>
      <c r="AUS633" s="441"/>
      <c r="AUT633" s="441"/>
      <c r="AUU633" s="441"/>
      <c r="AUV633" s="441"/>
      <c r="AUW633" s="441"/>
      <c r="AUX633" s="441"/>
      <c r="AUY633" s="441"/>
      <c r="AUZ633" s="441"/>
      <c r="AVA633" s="441"/>
      <c r="AVB633" s="441"/>
      <c r="AVC633" s="441"/>
      <c r="AVD633" s="441"/>
      <c r="AVE633" s="441"/>
      <c r="AVF633" s="441"/>
      <c r="AVG633" s="441"/>
    </row>
    <row r="634" spans="1:21 1233:1255">
      <c r="A634" s="440"/>
      <c r="B634" s="440"/>
      <c r="C634" s="440"/>
      <c r="D634" s="440"/>
      <c r="E634" s="440"/>
      <c r="F634" s="440"/>
      <c r="G634" s="440"/>
      <c r="H634" s="440"/>
      <c r="I634" s="440"/>
      <c r="J634" s="440"/>
      <c r="K634" s="440"/>
      <c r="L634" s="440"/>
      <c r="M634" s="440"/>
      <c r="N634" s="440"/>
      <c r="O634" s="440"/>
      <c r="P634" s="440"/>
      <c r="Q634" s="440"/>
      <c r="R634" s="440"/>
      <c r="S634" s="440"/>
      <c r="T634" s="440"/>
      <c r="U634" s="440"/>
      <c r="AUK634" s="441"/>
      <c r="AUL634" s="441"/>
      <c r="AUM634" s="441"/>
      <c r="AUN634" s="441"/>
      <c r="AUO634" s="441"/>
      <c r="AUP634" s="441"/>
      <c r="AUQ634" s="441"/>
      <c r="AUR634" s="441"/>
      <c r="AUS634" s="441"/>
      <c r="AUT634" s="441"/>
      <c r="AUU634" s="441"/>
      <c r="AUV634" s="441"/>
      <c r="AUW634" s="441"/>
      <c r="AUX634" s="441"/>
      <c r="AUY634" s="441"/>
      <c r="AUZ634" s="441"/>
      <c r="AVA634" s="441"/>
      <c r="AVB634" s="441"/>
      <c r="AVC634" s="441"/>
      <c r="AVD634" s="441"/>
      <c r="AVE634" s="441"/>
      <c r="AVF634" s="441"/>
      <c r="AVG634" s="441"/>
    </row>
    <row r="635" spans="1:21 1233:1255">
      <c r="A635" s="440"/>
      <c r="B635" s="440"/>
      <c r="C635" s="440"/>
      <c r="D635" s="440"/>
      <c r="E635" s="440"/>
      <c r="F635" s="440"/>
      <c r="G635" s="440"/>
      <c r="H635" s="440"/>
      <c r="I635" s="440"/>
      <c r="J635" s="440"/>
      <c r="K635" s="440"/>
      <c r="L635" s="440"/>
      <c r="M635" s="440"/>
      <c r="N635" s="440"/>
      <c r="O635" s="440"/>
      <c r="P635" s="440"/>
      <c r="Q635" s="440"/>
      <c r="R635" s="440"/>
      <c r="S635" s="440"/>
      <c r="T635" s="440"/>
      <c r="U635" s="440"/>
      <c r="AUK635" s="441"/>
      <c r="AUL635" s="441"/>
      <c r="AUM635" s="441"/>
      <c r="AUN635" s="441"/>
      <c r="AUO635" s="441"/>
      <c r="AUP635" s="441"/>
      <c r="AUQ635" s="441"/>
      <c r="AUR635" s="441"/>
      <c r="AUS635" s="441"/>
      <c r="AUT635" s="441"/>
      <c r="AUU635" s="441"/>
      <c r="AUV635" s="441"/>
      <c r="AUW635" s="441"/>
      <c r="AUX635" s="441"/>
      <c r="AUY635" s="441"/>
      <c r="AUZ635" s="441"/>
      <c r="AVA635" s="441"/>
      <c r="AVB635" s="441"/>
      <c r="AVC635" s="441"/>
      <c r="AVD635" s="441"/>
      <c r="AVE635" s="441"/>
      <c r="AVF635" s="441"/>
      <c r="AVG635" s="441"/>
    </row>
    <row r="636" spans="1:21 1233:1255">
      <c r="A636" s="440"/>
      <c r="B636" s="440"/>
      <c r="C636" s="440"/>
      <c r="D636" s="440"/>
      <c r="E636" s="440"/>
      <c r="F636" s="440"/>
      <c r="G636" s="440"/>
      <c r="H636" s="440"/>
      <c r="I636" s="440"/>
      <c r="J636" s="440"/>
      <c r="K636" s="440"/>
      <c r="L636" s="440"/>
      <c r="M636" s="440"/>
      <c r="N636" s="440"/>
      <c r="O636" s="440"/>
      <c r="P636" s="440"/>
      <c r="Q636" s="440"/>
      <c r="R636" s="440"/>
      <c r="S636" s="440"/>
      <c r="T636" s="440"/>
      <c r="U636" s="440"/>
      <c r="AUK636" s="441"/>
      <c r="AUL636" s="441"/>
      <c r="AUM636" s="441"/>
      <c r="AUN636" s="441"/>
      <c r="AUO636" s="441"/>
      <c r="AUP636" s="441"/>
      <c r="AUQ636" s="441"/>
      <c r="AUR636" s="441"/>
      <c r="AUS636" s="441"/>
      <c r="AUT636" s="441"/>
      <c r="AUU636" s="441"/>
      <c r="AUV636" s="441"/>
      <c r="AUW636" s="441"/>
      <c r="AUX636" s="441"/>
      <c r="AUY636" s="441"/>
      <c r="AUZ636" s="441"/>
      <c r="AVA636" s="441"/>
      <c r="AVB636" s="441"/>
      <c r="AVC636" s="441"/>
      <c r="AVD636" s="441"/>
      <c r="AVE636" s="441"/>
      <c r="AVF636" s="441"/>
      <c r="AVG636" s="441"/>
    </row>
    <row r="637" spans="1:21 1233:1255">
      <c r="A637" s="440"/>
      <c r="B637" s="440"/>
      <c r="C637" s="440"/>
      <c r="D637" s="440"/>
      <c r="E637" s="440"/>
      <c r="F637" s="440"/>
      <c r="G637" s="440"/>
      <c r="H637" s="440"/>
      <c r="I637" s="440"/>
      <c r="J637" s="440"/>
      <c r="K637" s="440"/>
      <c r="L637" s="440"/>
      <c r="M637" s="440"/>
      <c r="N637" s="440"/>
      <c r="O637" s="440"/>
      <c r="P637" s="440"/>
      <c r="Q637" s="440"/>
      <c r="R637" s="440"/>
      <c r="S637" s="440"/>
      <c r="T637" s="440"/>
      <c r="U637" s="440"/>
      <c r="AUK637" s="441"/>
      <c r="AUL637" s="441"/>
      <c r="AUM637" s="441"/>
      <c r="AUN637" s="441"/>
      <c r="AUO637" s="441"/>
      <c r="AUP637" s="441"/>
      <c r="AUQ637" s="441"/>
      <c r="AUR637" s="441"/>
      <c r="AUS637" s="441"/>
      <c r="AUT637" s="441"/>
      <c r="AUU637" s="441"/>
      <c r="AUV637" s="441"/>
      <c r="AUW637" s="441"/>
      <c r="AUX637" s="441"/>
      <c r="AUY637" s="441"/>
      <c r="AUZ637" s="441"/>
      <c r="AVA637" s="441"/>
      <c r="AVB637" s="441"/>
      <c r="AVC637" s="441"/>
      <c r="AVD637" s="441"/>
      <c r="AVE637" s="441"/>
      <c r="AVF637" s="441"/>
      <c r="AVG637" s="441"/>
    </row>
    <row r="638" spans="1:21 1233:1255">
      <c r="A638" s="440"/>
      <c r="B638" s="440"/>
      <c r="C638" s="440"/>
      <c r="D638" s="440"/>
      <c r="E638" s="440"/>
      <c r="F638" s="440"/>
      <c r="G638" s="440"/>
      <c r="H638" s="440"/>
      <c r="I638" s="440"/>
      <c r="J638" s="440"/>
      <c r="K638" s="440"/>
      <c r="L638" s="440"/>
      <c r="M638" s="440"/>
      <c r="N638" s="440"/>
      <c r="O638" s="440"/>
      <c r="P638" s="440"/>
      <c r="Q638" s="440"/>
      <c r="R638" s="440"/>
      <c r="S638" s="440"/>
      <c r="T638" s="440"/>
      <c r="U638" s="440"/>
      <c r="AUK638" s="441"/>
      <c r="AUL638" s="441"/>
      <c r="AUM638" s="441"/>
      <c r="AUN638" s="441"/>
      <c r="AUO638" s="441"/>
      <c r="AUP638" s="441"/>
      <c r="AUQ638" s="441"/>
      <c r="AUR638" s="441"/>
      <c r="AUS638" s="441"/>
      <c r="AUT638" s="441"/>
      <c r="AUU638" s="441"/>
      <c r="AUV638" s="441"/>
      <c r="AUW638" s="441"/>
      <c r="AUX638" s="441"/>
      <c r="AUY638" s="441"/>
      <c r="AUZ638" s="441"/>
      <c r="AVA638" s="441"/>
      <c r="AVB638" s="441"/>
      <c r="AVC638" s="441"/>
      <c r="AVD638" s="441"/>
      <c r="AVE638" s="441"/>
      <c r="AVF638" s="441"/>
      <c r="AVG638" s="441"/>
    </row>
    <row r="639" spans="1:21 1233:1255">
      <c r="A639" s="440"/>
      <c r="B639" s="440"/>
      <c r="C639" s="440"/>
      <c r="D639" s="440"/>
      <c r="E639" s="440"/>
      <c r="F639" s="440"/>
      <c r="G639" s="440"/>
      <c r="H639" s="440"/>
      <c r="I639" s="440"/>
      <c r="J639" s="440"/>
      <c r="K639" s="440"/>
      <c r="L639" s="440"/>
      <c r="M639" s="440"/>
      <c r="N639" s="440"/>
      <c r="O639" s="440"/>
      <c r="P639" s="440"/>
      <c r="Q639" s="440"/>
      <c r="R639" s="440"/>
      <c r="S639" s="440"/>
      <c r="T639" s="440"/>
      <c r="U639" s="440"/>
      <c r="AUK639" s="441"/>
      <c r="AUL639" s="441"/>
      <c r="AUM639" s="441"/>
      <c r="AUN639" s="441"/>
      <c r="AUO639" s="441"/>
      <c r="AUP639" s="441"/>
      <c r="AUQ639" s="441"/>
      <c r="AUR639" s="441"/>
      <c r="AUS639" s="441"/>
      <c r="AUT639" s="441"/>
      <c r="AUU639" s="441"/>
      <c r="AUV639" s="441"/>
      <c r="AUW639" s="441"/>
      <c r="AUX639" s="441"/>
      <c r="AUY639" s="441"/>
      <c r="AUZ639" s="441"/>
      <c r="AVA639" s="441"/>
      <c r="AVB639" s="441"/>
      <c r="AVC639" s="441"/>
      <c r="AVD639" s="441"/>
      <c r="AVE639" s="441"/>
      <c r="AVF639" s="441"/>
      <c r="AVG639" s="441"/>
    </row>
    <row r="640" spans="1:21 1233:1255">
      <c r="A640" s="440"/>
      <c r="B640" s="440"/>
      <c r="C640" s="440"/>
      <c r="D640" s="440"/>
      <c r="E640" s="440"/>
      <c r="F640" s="440"/>
      <c r="G640" s="440"/>
      <c r="H640" s="440"/>
      <c r="I640" s="440"/>
      <c r="J640" s="440"/>
      <c r="K640" s="440"/>
      <c r="L640" s="440"/>
      <c r="M640" s="440"/>
      <c r="N640" s="440"/>
      <c r="O640" s="440"/>
      <c r="P640" s="440"/>
      <c r="Q640" s="440"/>
      <c r="R640" s="440"/>
      <c r="S640" s="440"/>
      <c r="T640" s="440"/>
      <c r="U640" s="440"/>
      <c r="AUK640" s="441"/>
      <c r="AUL640" s="441"/>
      <c r="AUM640" s="441"/>
      <c r="AUN640" s="441"/>
      <c r="AUO640" s="441"/>
      <c r="AUP640" s="441"/>
      <c r="AUQ640" s="441"/>
      <c r="AUR640" s="441"/>
      <c r="AUS640" s="441"/>
      <c r="AUT640" s="441"/>
      <c r="AUU640" s="441"/>
      <c r="AUV640" s="441"/>
      <c r="AUW640" s="441"/>
      <c r="AUX640" s="441"/>
      <c r="AUY640" s="441"/>
      <c r="AUZ640" s="441"/>
      <c r="AVA640" s="441"/>
      <c r="AVB640" s="441"/>
      <c r="AVC640" s="441"/>
      <c r="AVD640" s="441"/>
      <c r="AVE640" s="441"/>
      <c r="AVF640" s="441"/>
      <c r="AVG640" s="441"/>
    </row>
    <row r="641" spans="1:21 1233:1255">
      <c r="A641" s="440"/>
      <c r="B641" s="440"/>
      <c r="C641" s="440"/>
      <c r="D641" s="440"/>
      <c r="E641" s="440"/>
      <c r="F641" s="440"/>
      <c r="G641" s="440"/>
      <c r="H641" s="440"/>
      <c r="I641" s="440"/>
      <c r="J641" s="440"/>
      <c r="K641" s="440"/>
      <c r="L641" s="440"/>
      <c r="M641" s="440"/>
      <c r="N641" s="440"/>
      <c r="O641" s="440"/>
      <c r="P641" s="440"/>
      <c r="Q641" s="440"/>
      <c r="R641" s="440"/>
      <c r="S641" s="440"/>
      <c r="T641" s="440"/>
      <c r="U641" s="440"/>
      <c r="AUK641" s="441"/>
      <c r="AUL641" s="441"/>
      <c r="AUM641" s="441"/>
      <c r="AUN641" s="441"/>
      <c r="AUO641" s="441"/>
      <c r="AUP641" s="441"/>
      <c r="AUQ641" s="441"/>
      <c r="AUR641" s="441"/>
      <c r="AUS641" s="441"/>
      <c r="AUT641" s="441"/>
      <c r="AUU641" s="441"/>
      <c r="AUV641" s="441"/>
      <c r="AUW641" s="441"/>
      <c r="AUX641" s="441"/>
      <c r="AUY641" s="441"/>
      <c r="AUZ641" s="441"/>
      <c r="AVA641" s="441"/>
      <c r="AVB641" s="441"/>
      <c r="AVC641" s="441"/>
      <c r="AVD641" s="441"/>
      <c r="AVE641" s="441"/>
      <c r="AVF641" s="441"/>
      <c r="AVG641" s="441"/>
    </row>
    <row r="642" spans="1:21 1233:1255">
      <c r="A642" s="440"/>
      <c r="B642" s="440"/>
      <c r="C642" s="440"/>
      <c r="D642" s="440"/>
      <c r="E642" s="440"/>
      <c r="F642" s="440"/>
      <c r="G642" s="440"/>
      <c r="H642" s="440"/>
      <c r="I642" s="440"/>
      <c r="J642" s="440"/>
      <c r="K642" s="440"/>
      <c r="L642" s="440"/>
      <c r="M642" s="440"/>
      <c r="N642" s="440"/>
      <c r="O642" s="440"/>
      <c r="P642" s="440"/>
      <c r="Q642" s="440"/>
      <c r="R642" s="440"/>
      <c r="S642" s="440"/>
      <c r="T642" s="440"/>
      <c r="U642" s="440"/>
      <c r="AUK642" s="441"/>
      <c r="AUL642" s="441"/>
      <c r="AUM642" s="441"/>
      <c r="AUN642" s="441"/>
      <c r="AUO642" s="441"/>
      <c r="AUP642" s="441"/>
      <c r="AUQ642" s="441"/>
      <c r="AUR642" s="441"/>
      <c r="AUS642" s="441"/>
      <c r="AUT642" s="441"/>
      <c r="AUU642" s="441"/>
      <c r="AUV642" s="441"/>
      <c r="AUW642" s="441"/>
      <c r="AUX642" s="441"/>
      <c r="AUY642" s="441"/>
      <c r="AUZ642" s="441"/>
      <c r="AVA642" s="441"/>
      <c r="AVB642" s="441"/>
      <c r="AVC642" s="441"/>
      <c r="AVD642" s="441"/>
      <c r="AVE642" s="441"/>
      <c r="AVF642" s="441"/>
      <c r="AVG642" s="441"/>
    </row>
    <row r="643" spans="1:21 1233:1255">
      <c r="A643" s="440"/>
      <c r="B643" s="440"/>
      <c r="C643" s="440"/>
      <c r="D643" s="440"/>
      <c r="E643" s="440"/>
      <c r="F643" s="440"/>
      <c r="G643" s="440"/>
      <c r="H643" s="440"/>
      <c r="I643" s="440"/>
      <c r="J643" s="440"/>
      <c r="K643" s="440"/>
      <c r="L643" s="440"/>
      <c r="M643" s="440"/>
      <c r="N643" s="440"/>
      <c r="O643" s="440"/>
      <c r="P643" s="440"/>
      <c r="Q643" s="440"/>
      <c r="R643" s="440"/>
      <c r="S643" s="440"/>
      <c r="T643" s="440"/>
      <c r="U643" s="440"/>
      <c r="AUK643" s="441"/>
      <c r="AUL643" s="441"/>
      <c r="AUM643" s="441"/>
      <c r="AUN643" s="441"/>
      <c r="AUO643" s="441"/>
      <c r="AUP643" s="441"/>
      <c r="AUQ643" s="441"/>
      <c r="AUR643" s="441"/>
      <c r="AUS643" s="441"/>
      <c r="AUT643" s="441"/>
      <c r="AUU643" s="441"/>
      <c r="AUV643" s="441"/>
      <c r="AUW643" s="441"/>
      <c r="AUX643" s="441"/>
      <c r="AUY643" s="441"/>
      <c r="AUZ643" s="441"/>
      <c r="AVA643" s="441"/>
      <c r="AVB643" s="441"/>
      <c r="AVC643" s="441"/>
      <c r="AVD643" s="441"/>
      <c r="AVE643" s="441"/>
      <c r="AVF643" s="441"/>
      <c r="AVG643" s="441"/>
    </row>
    <row r="644" spans="1:21 1233:1255">
      <c r="A644" s="440"/>
      <c r="B644" s="440"/>
      <c r="C644" s="440"/>
      <c r="D644" s="440"/>
      <c r="E644" s="440"/>
      <c r="F644" s="440"/>
      <c r="G644" s="440"/>
      <c r="H644" s="440"/>
      <c r="I644" s="440"/>
      <c r="J644" s="440"/>
      <c r="K644" s="440"/>
      <c r="L644" s="440"/>
      <c r="M644" s="440"/>
      <c r="N644" s="440"/>
      <c r="O644" s="440"/>
      <c r="P644" s="440"/>
      <c r="Q644" s="440"/>
      <c r="R644" s="440"/>
      <c r="S644" s="440"/>
      <c r="T644" s="440"/>
      <c r="U644" s="440"/>
      <c r="AUK644" s="441"/>
      <c r="AUL644" s="441"/>
      <c r="AUM644" s="441"/>
      <c r="AUN644" s="441"/>
      <c r="AUO644" s="441"/>
      <c r="AUP644" s="441"/>
      <c r="AUQ644" s="441"/>
      <c r="AUR644" s="441"/>
      <c r="AUS644" s="441"/>
      <c r="AUT644" s="441"/>
      <c r="AUU644" s="441"/>
      <c r="AUV644" s="441"/>
      <c r="AUW644" s="441"/>
      <c r="AUX644" s="441"/>
      <c r="AUY644" s="441"/>
      <c r="AUZ644" s="441"/>
      <c r="AVA644" s="441"/>
      <c r="AVB644" s="441"/>
      <c r="AVC644" s="441"/>
      <c r="AVD644" s="441"/>
      <c r="AVE644" s="441"/>
      <c r="AVF644" s="441"/>
      <c r="AVG644" s="441"/>
    </row>
    <row r="645" spans="1:21 1233:1255">
      <c r="A645" s="440"/>
      <c r="B645" s="440"/>
      <c r="C645" s="440"/>
      <c r="D645" s="440"/>
      <c r="E645" s="440"/>
      <c r="F645" s="440"/>
      <c r="G645" s="440"/>
      <c r="H645" s="440"/>
      <c r="I645" s="440"/>
      <c r="J645" s="440"/>
      <c r="K645" s="440"/>
      <c r="L645" s="440"/>
      <c r="M645" s="440"/>
      <c r="N645" s="440"/>
      <c r="O645" s="440"/>
      <c r="P645" s="440"/>
      <c r="Q645" s="440"/>
      <c r="R645" s="440"/>
      <c r="S645" s="440"/>
      <c r="T645" s="440"/>
      <c r="U645" s="440"/>
      <c r="AUK645" s="441"/>
      <c r="AUL645" s="441"/>
      <c r="AUM645" s="441"/>
      <c r="AUN645" s="441"/>
      <c r="AUO645" s="441"/>
      <c r="AUP645" s="441"/>
      <c r="AUQ645" s="441"/>
      <c r="AUR645" s="441"/>
      <c r="AUS645" s="441"/>
      <c r="AUT645" s="441"/>
      <c r="AUU645" s="441"/>
      <c r="AUV645" s="441"/>
      <c r="AUW645" s="441"/>
      <c r="AUX645" s="441"/>
      <c r="AUY645" s="441"/>
      <c r="AUZ645" s="441"/>
      <c r="AVA645" s="441"/>
      <c r="AVB645" s="441"/>
      <c r="AVC645" s="441"/>
      <c r="AVD645" s="441"/>
      <c r="AVE645" s="441"/>
      <c r="AVF645" s="441"/>
      <c r="AVG645" s="441"/>
    </row>
    <row r="646" spans="1:21 1233:1255">
      <c r="A646" s="440"/>
      <c r="B646" s="440"/>
      <c r="C646" s="440"/>
      <c r="D646" s="440"/>
      <c r="E646" s="440"/>
      <c r="F646" s="440"/>
      <c r="G646" s="440"/>
      <c r="H646" s="440"/>
      <c r="I646" s="440"/>
      <c r="J646" s="440"/>
      <c r="K646" s="440"/>
      <c r="L646" s="440"/>
      <c r="M646" s="440"/>
      <c r="N646" s="440"/>
      <c r="O646" s="440"/>
      <c r="P646" s="440"/>
      <c r="Q646" s="440"/>
      <c r="R646" s="440"/>
      <c r="S646" s="440"/>
      <c r="T646" s="440"/>
      <c r="U646" s="440"/>
      <c r="AUK646" s="441"/>
      <c r="AUL646" s="441"/>
      <c r="AUM646" s="441"/>
      <c r="AUN646" s="441"/>
      <c r="AUO646" s="441"/>
      <c r="AUP646" s="441"/>
      <c r="AUQ646" s="441"/>
      <c r="AUR646" s="441"/>
      <c r="AUS646" s="441"/>
      <c r="AUT646" s="441"/>
      <c r="AUU646" s="441"/>
      <c r="AUV646" s="441"/>
      <c r="AUW646" s="441"/>
      <c r="AUX646" s="441"/>
      <c r="AUY646" s="441"/>
      <c r="AUZ646" s="441"/>
      <c r="AVA646" s="441"/>
      <c r="AVB646" s="441"/>
      <c r="AVC646" s="441"/>
      <c r="AVD646" s="441"/>
      <c r="AVE646" s="441"/>
      <c r="AVF646" s="441"/>
      <c r="AVG646" s="441"/>
    </row>
    <row r="647" spans="1:21 1233:1255">
      <c r="A647" s="440"/>
      <c r="B647" s="440"/>
      <c r="C647" s="440"/>
      <c r="D647" s="440"/>
      <c r="E647" s="440"/>
      <c r="F647" s="440"/>
      <c r="G647" s="440"/>
      <c r="H647" s="440"/>
      <c r="I647" s="440"/>
      <c r="J647" s="440"/>
      <c r="K647" s="440"/>
      <c r="L647" s="440"/>
      <c r="M647" s="440"/>
      <c r="N647" s="440"/>
      <c r="O647" s="440"/>
      <c r="P647" s="440"/>
      <c r="Q647" s="440"/>
      <c r="R647" s="440"/>
      <c r="S647" s="440"/>
      <c r="T647" s="440"/>
      <c r="U647" s="440"/>
      <c r="AUK647" s="441"/>
      <c r="AUL647" s="441"/>
      <c r="AUM647" s="441"/>
      <c r="AUN647" s="441"/>
      <c r="AUO647" s="441"/>
      <c r="AUP647" s="441"/>
      <c r="AUQ647" s="441"/>
      <c r="AUR647" s="441"/>
      <c r="AUS647" s="441"/>
      <c r="AUT647" s="441"/>
      <c r="AUU647" s="441"/>
      <c r="AUV647" s="441"/>
      <c r="AUW647" s="441"/>
      <c r="AUX647" s="441"/>
      <c r="AUY647" s="441"/>
      <c r="AUZ647" s="441"/>
      <c r="AVA647" s="441"/>
      <c r="AVB647" s="441"/>
      <c r="AVC647" s="441"/>
      <c r="AVD647" s="441"/>
      <c r="AVE647" s="441"/>
      <c r="AVF647" s="441"/>
      <c r="AVG647" s="441"/>
    </row>
    <row r="648" spans="1:21 1233:1255">
      <c r="A648" s="440"/>
      <c r="B648" s="440"/>
      <c r="C648" s="440"/>
      <c r="D648" s="440"/>
      <c r="E648" s="440"/>
      <c r="F648" s="440"/>
      <c r="G648" s="440"/>
      <c r="H648" s="440"/>
      <c r="I648" s="440"/>
      <c r="J648" s="440"/>
      <c r="K648" s="440"/>
      <c r="L648" s="440"/>
      <c r="M648" s="440"/>
      <c r="N648" s="440"/>
      <c r="O648" s="440"/>
      <c r="P648" s="440"/>
      <c r="Q648" s="440"/>
      <c r="R648" s="440"/>
      <c r="S648" s="440"/>
      <c r="T648" s="440"/>
      <c r="U648" s="440"/>
      <c r="AUK648" s="441"/>
      <c r="AUL648" s="441"/>
      <c r="AUM648" s="441"/>
      <c r="AUN648" s="441"/>
      <c r="AUO648" s="441"/>
      <c r="AUP648" s="441"/>
      <c r="AUQ648" s="441"/>
      <c r="AUR648" s="441"/>
      <c r="AUS648" s="441"/>
      <c r="AUT648" s="441"/>
      <c r="AUU648" s="441"/>
      <c r="AUV648" s="441"/>
      <c r="AUW648" s="441"/>
      <c r="AUX648" s="441"/>
      <c r="AUY648" s="441"/>
      <c r="AUZ648" s="441"/>
      <c r="AVA648" s="441"/>
      <c r="AVB648" s="441"/>
      <c r="AVC648" s="441"/>
      <c r="AVD648" s="441"/>
      <c r="AVE648" s="441"/>
      <c r="AVF648" s="441"/>
      <c r="AVG648" s="441"/>
    </row>
    <row r="649" spans="1:21 1233:1255">
      <c r="A649" s="440"/>
      <c r="B649" s="440"/>
      <c r="C649" s="440"/>
      <c r="D649" s="440"/>
      <c r="E649" s="440"/>
      <c r="F649" s="440"/>
      <c r="G649" s="440"/>
      <c r="H649" s="440"/>
      <c r="I649" s="440"/>
      <c r="J649" s="440"/>
      <c r="K649" s="440"/>
      <c r="L649" s="440"/>
      <c r="M649" s="440"/>
      <c r="N649" s="440"/>
      <c r="O649" s="440"/>
      <c r="P649" s="440"/>
      <c r="Q649" s="440"/>
      <c r="R649" s="440"/>
      <c r="S649" s="440"/>
      <c r="T649" s="440"/>
      <c r="U649" s="440"/>
      <c r="AUK649" s="441"/>
      <c r="AUL649" s="441"/>
      <c r="AUM649" s="441"/>
      <c r="AUN649" s="441"/>
      <c r="AUO649" s="441"/>
      <c r="AUP649" s="441"/>
      <c r="AUQ649" s="441"/>
      <c r="AUR649" s="441"/>
      <c r="AUS649" s="441"/>
      <c r="AUT649" s="441"/>
      <c r="AUU649" s="441"/>
      <c r="AUV649" s="441"/>
      <c r="AUW649" s="441"/>
      <c r="AUX649" s="441"/>
      <c r="AUY649" s="441"/>
      <c r="AUZ649" s="441"/>
      <c r="AVA649" s="441"/>
      <c r="AVB649" s="441"/>
      <c r="AVC649" s="441"/>
      <c r="AVD649" s="441"/>
      <c r="AVE649" s="441"/>
      <c r="AVF649" s="441"/>
      <c r="AVG649" s="441"/>
    </row>
    <row r="650" spans="1:21 1233:1255">
      <c r="A650" s="440"/>
      <c r="B650" s="440"/>
      <c r="C650" s="440"/>
      <c r="D650" s="440"/>
      <c r="E650" s="440"/>
      <c r="F650" s="440"/>
      <c r="G650" s="440"/>
      <c r="H650" s="440"/>
      <c r="I650" s="440"/>
      <c r="J650" s="440"/>
      <c r="K650" s="440"/>
      <c r="L650" s="440"/>
      <c r="M650" s="440"/>
      <c r="N650" s="440"/>
      <c r="O650" s="440"/>
      <c r="P650" s="440"/>
      <c r="Q650" s="440"/>
      <c r="R650" s="440"/>
      <c r="S650" s="440"/>
      <c r="T650" s="440"/>
      <c r="U650" s="440"/>
      <c r="AUK650" s="441"/>
      <c r="AUL650" s="441"/>
      <c r="AUM650" s="441"/>
      <c r="AUN650" s="441"/>
      <c r="AUO650" s="441"/>
      <c r="AUP650" s="441"/>
      <c r="AUQ650" s="441"/>
      <c r="AUR650" s="441"/>
      <c r="AUS650" s="441"/>
      <c r="AUT650" s="441"/>
      <c r="AUU650" s="441"/>
      <c r="AUV650" s="441"/>
      <c r="AUW650" s="441"/>
      <c r="AUX650" s="441"/>
      <c r="AUY650" s="441"/>
      <c r="AUZ650" s="441"/>
      <c r="AVA650" s="441"/>
      <c r="AVB650" s="441"/>
      <c r="AVC650" s="441"/>
      <c r="AVD650" s="441"/>
      <c r="AVE650" s="441"/>
      <c r="AVF650" s="441"/>
      <c r="AVG650" s="441"/>
    </row>
    <row r="651" spans="1:21 1233:1255">
      <c r="A651" s="440"/>
      <c r="B651" s="440"/>
      <c r="C651" s="440"/>
      <c r="D651" s="440"/>
      <c r="E651" s="440"/>
      <c r="F651" s="440"/>
      <c r="G651" s="440"/>
      <c r="H651" s="440"/>
      <c r="I651" s="440"/>
      <c r="J651" s="440"/>
      <c r="K651" s="440"/>
      <c r="L651" s="440"/>
      <c r="M651" s="440"/>
      <c r="N651" s="440"/>
      <c r="O651" s="440"/>
      <c r="P651" s="440"/>
      <c r="Q651" s="440"/>
      <c r="R651" s="440"/>
      <c r="S651" s="440"/>
      <c r="T651" s="440"/>
      <c r="U651" s="440"/>
      <c r="AUK651" s="441"/>
      <c r="AUL651" s="441"/>
      <c r="AUM651" s="441"/>
      <c r="AUN651" s="441"/>
      <c r="AUO651" s="441"/>
      <c r="AUP651" s="441"/>
      <c r="AUQ651" s="441"/>
      <c r="AUR651" s="441"/>
      <c r="AUS651" s="441"/>
      <c r="AUT651" s="441"/>
      <c r="AUU651" s="441"/>
      <c r="AUV651" s="441"/>
      <c r="AUW651" s="441"/>
      <c r="AUX651" s="441"/>
      <c r="AUY651" s="441"/>
      <c r="AUZ651" s="441"/>
      <c r="AVA651" s="441"/>
      <c r="AVB651" s="441"/>
      <c r="AVC651" s="441"/>
      <c r="AVD651" s="441"/>
      <c r="AVE651" s="441"/>
      <c r="AVF651" s="441"/>
      <c r="AVG651" s="441"/>
    </row>
    <row r="652" spans="1:21 1233:1255">
      <c r="A652" s="440"/>
      <c r="B652" s="440"/>
      <c r="C652" s="440"/>
      <c r="D652" s="440"/>
      <c r="E652" s="440"/>
      <c r="F652" s="440"/>
      <c r="G652" s="440"/>
      <c r="H652" s="440"/>
      <c r="I652" s="440"/>
      <c r="J652" s="440"/>
      <c r="K652" s="440"/>
      <c r="L652" s="440"/>
      <c r="M652" s="440"/>
      <c r="N652" s="440"/>
      <c r="O652" s="440"/>
      <c r="P652" s="440"/>
      <c r="Q652" s="440"/>
      <c r="R652" s="440"/>
      <c r="S652" s="440"/>
      <c r="T652" s="440"/>
      <c r="U652" s="440"/>
      <c r="AUK652" s="441"/>
      <c r="AUL652" s="441"/>
      <c r="AUM652" s="441"/>
      <c r="AUN652" s="441"/>
      <c r="AUO652" s="441"/>
      <c r="AUP652" s="441"/>
      <c r="AUQ652" s="441"/>
      <c r="AUR652" s="441"/>
      <c r="AUS652" s="441"/>
      <c r="AUT652" s="441"/>
      <c r="AUU652" s="441"/>
      <c r="AUV652" s="441"/>
      <c r="AUW652" s="441"/>
      <c r="AUX652" s="441"/>
      <c r="AUY652" s="441"/>
      <c r="AUZ652" s="441"/>
      <c r="AVA652" s="441"/>
      <c r="AVB652" s="441"/>
      <c r="AVC652" s="441"/>
      <c r="AVD652" s="441"/>
      <c r="AVE652" s="441"/>
      <c r="AVF652" s="441"/>
      <c r="AVG652" s="441"/>
    </row>
    <row r="653" spans="1:21 1233:1255">
      <c r="A653" s="440"/>
      <c r="B653" s="440"/>
      <c r="C653" s="440"/>
      <c r="D653" s="440"/>
      <c r="E653" s="440"/>
      <c r="F653" s="440"/>
      <c r="G653" s="440"/>
      <c r="H653" s="440"/>
      <c r="I653" s="440"/>
      <c r="J653" s="440"/>
      <c r="K653" s="440"/>
      <c r="L653" s="440"/>
      <c r="M653" s="440"/>
      <c r="N653" s="440"/>
      <c r="O653" s="440"/>
      <c r="P653" s="440"/>
      <c r="Q653" s="440"/>
      <c r="R653" s="440"/>
      <c r="S653" s="440"/>
      <c r="T653" s="440"/>
      <c r="U653" s="440"/>
      <c r="AUK653" s="441"/>
      <c r="AUL653" s="441"/>
      <c r="AUM653" s="441"/>
      <c r="AUN653" s="441"/>
      <c r="AUO653" s="441"/>
      <c r="AUP653" s="441"/>
      <c r="AUQ653" s="441"/>
      <c r="AUR653" s="441"/>
      <c r="AUS653" s="441"/>
      <c r="AUT653" s="441"/>
      <c r="AUU653" s="441"/>
      <c r="AUV653" s="441"/>
      <c r="AUW653" s="441"/>
      <c r="AUX653" s="441"/>
      <c r="AUY653" s="441"/>
      <c r="AUZ653" s="441"/>
      <c r="AVA653" s="441"/>
      <c r="AVB653" s="441"/>
      <c r="AVC653" s="441"/>
      <c r="AVD653" s="441"/>
      <c r="AVE653" s="441"/>
      <c r="AVF653" s="441"/>
      <c r="AVG653" s="441"/>
    </row>
    <row r="654" spans="1:21 1233:1255">
      <c r="A654" s="440"/>
      <c r="B654" s="440"/>
      <c r="C654" s="440"/>
      <c r="D654" s="440"/>
      <c r="E654" s="440"/>
      <c r="F654" s="440"/>
      <c r="G654" s="440"/>
      <c r="H654" s="440"/>
      <c r="I654" s="440"/>
      <c r="J654" s="440"/>
      <c r="K654" s="440"/>
      <c r="L654" s="440"/>
      <c r="M654" s="440"/>
      <c r="N654" s="440"/>
      <c r="O654" s="440"/>
      <c r="P654" s="440"/>
      <c r="Q654" s="440"/>
      <c r="R654" s="440"/>
      <c r="S654" s="440"/>
      <c r="T654" s="440"/>
      <c r="U654" s="440"/>
      <c r="AUK654" s="441"/>
      <c r="AUL654" s="441"/>
      <c r="AUM654" s="441"/>
      <c r="AUN654" s="441"/>
      <c r="AUO654" s="441"/>
      <c r="AUP654" s="441"/>
      <c r="AUQ654" s="441"/>
      <c r="AUR654" s="441"/>
      <c r="AUS654" s="441"/>
      <c r="AUT654" s="441"/>
      <c r="AUU654" s="441"/>
      <c r="AUV654" s="441"/>
      <c r="AUW654" s="441"/>
      <c r="AUX654" s="441"/>
      <c r="AUY654" s="441"/>
      <c r="AUZ654" s="441"/>
      <c r="AVA654" s="441"/>
      <c r="AVB654" s="441"/>
      <c r="AVC654" s="441"/>
      <c r="AVD654" s="441"/>
      <c r="AVE654" s="441"/>
      <c r="AVF654" s="441"/>
      <c r="AVG654" s="441"/>
    </row>
    <row r="655" spans="1:21 1233:1255">
      <c r="A655" s="440"/>
      <c r="B655" s="440"/>
      <c r="C655" s="440"/>
      <c r="D655" s="440"/>
      <c r="E655" s="440"/>
      <c r="F655" s="440"/>
      <c r="G655" s="440"/>
      <c r="H655" s="440"/>
      <c r="I655" s="440"/>
      <c r="J655" s="440"/>
      <c r="K655" s="440"/>
      <c r="L655" s="440"/>
      <c r="M655" s="440"/>
      <c r="N655" s="440"/>
      <c r="O655" s="440"/>
      <c r="P655" s="440"/>
      <c r="Q655" s="440"/>
      <c r="R655" s="440"/>
      <c r="S655" s="440"/>
      <c r="T655" s="440"/>
      <c r="U655" s="440"/>
      <c r="AUK655" s="441"/>
      <c r="AUL655" s="441"/>
      <c r="AUM655" s="441"/>
      <c r="AUN655" s="441"/>
      <c r="AUO655" s="441"/>
      <c r="AUP655" s="441"/>
      <c r="AUQ655" s="441"/>
      <c r="AUR655" s="441"/>
      <c r="AUS655" s="441"/>
      <c r="AUT655" s="441"/>
      <c r="AUU655" s="441"/>
      <c r="AUV655" s="441"/>
      <c r="AUW655" s="441"/>
      <c r="AUX655" s="441"/>
      <c r="AUY655" s="441"/>
      <c r="AUZ655" s="441"/>
      <c r="AVA655" s="441"/>
      <c r="AVB655" s="441"/>
      <c r="AVC655" s="441"/>
      <c r="AVD655" s="441"/>
      <c r="AVE655" s="441"/>
      <c r="AVF655" s="441"/>
      <c r="AVG655" s="441"/>
    </row>
    <row r="656" spans="1:21 1233:1255">
      <c r="A656" s="440"/>
      <c r="B656" s="440"/>
      <c r="C656" s="440"/>
      <c r="D656" s="440"/>
      <c r="E656" s="440"/>
      <c r="F656" s="440"/>
      <c r="G656" s="440"/>
      <c r="H656" s="440"/>
      <c r="I656" s="440"/>
      <c r="J656" s="440"/>
      <c r="K656" s="440"/>
      <c r="L656" s="440"/>
      <c r="M656" s="440"/>
      <c r="N656" s="440"/>
      <c r="O656" s="440"/>
      <c r="P656" s="440"/>
      <c r="Q656" s="440"/>
      <c r="R656" s="440"/>
      <c r="S656" s="440"/>
      <c r="T656" s="440"/>
      <c r="U656" s="440"/>
      <c r="AUK656" s="441"/>
      <c r="AUL656" s="441"/>
      <c r="AUM656" s="441"/>
      <c r="AUN656" s="441"/>
      <c r="AUO656" s="441"/>
      <c r="AUP656" s="441"/>
      <c r="AUQ656" s="441"/>
      <c r="AUR656" s="441"/>
      <c r="AUS656" s="441"/>
      <c r="AUT656" s="441"/>
      <c r="AUU656" s="441"/>
      <c r="AUV656" s="441"/>
      <c r="AUW656" s="441"/>
      <c r="AUX656" s="441"/>
      <c r="AUY656" s="441"/>
      <c r="AUZ656" s="441"/>
      <c r="AVA656" s="441"/>
      <c r="AVB656" s="441"/>
      <c r="AVC656" s="441"/>
      <c r="AVD656" s="441"/>
      <c r="AVE656" s="441"/>
      <c r="AVF656" s="441"/>
      <c r="AVG656" s="441"/>
    </row>
    <row r="657" spans="1:21 1233:1255">
      <c r="A657" s="440"/>
      <c r="B657" s="440"/>
      <c r="C657" s="440"/>
      <c r="D657" s="440"/>
      <c r="E657" s="440"/>
      <c r="F657" s="440"/>
      <c r="G657" s="440"/>
      <c r="H657" s="440"/>
      <c r="I657" s="440"/>
      <c r="J657" s="440"/>
      <c r="K657" s="440"/>
      <c r="L657" s="440"/>
      <c r="M657" s="440"/>
      <c r="N657" s="440"/>
      <c r="O657" s="440"/>
      <c r="P657" s="440"/>
      <c r="Q657" s="440"/>
      <c r="R657" s="440"/>
      <c r="S657" s="440"/>
      <c r="T657" s="440"/>
      <c r="U657" s="440"/>
      <c r="AUK657" s="441"/>
      <c r="AUL657" s="441"/>
      <c r="AUM657" s="441"/>
      <c r="AUN657" s="441"/>
      <c r="AUO657" s="441"/>
      <c r="AUP657" s="441"/>
      <c r="AUQ657" s="441"/>
      <c r="AUR657" s="441"/>
      <c r="AUS657" s="441"/>
      <c r="AUT657" s="441"/>
      <c r="AUU657" s="441"/>
      <c r="AUV657" s="441"/>
      <c r="AUW657" s="441"/>
      <c r="AUX657" s="441"/>
      <c r="AUY657" s="441"/>
      <c r="AUZ657" s="441"/>
      <c r="AVA657" s="441"/>
      <c r="AVB657" s="441"/>
      <c r="AVC657" s="441"/>
      <c r="AVD657" s="441"/>
      <c r="AVE657" s="441"/>
      <c r="AVF657" s="441"/>
      <c r="AVG657" s="441"/>
    </row>
    <row r="658" spans="1:21 1233:1255">
      <c r="A658" s="440"/>
      <c r="B658" s="440"/>
      <c r="C658" s="440"/>
      <c r="D658" s="440"/>
      <c r="E658" s="440"/>
      <c r="F658" s="440"/>
      <c r="G658" s="440"/>
      <c r="H658" s="440"/>
      <c r="I658" s="440"/>
      <c r="J658" s="440"/>
      <c r="K658" s="440"/>
      <c r="L658" s="440"/>
      <c r="M658" s="440"/>
      <c r="N658" s="440"/>
      <c r="O658" s="440"/>
      <c r="P658" s="440"/>
      <c r="Q658" s="440"/>
      <c r="R658" s="440"/>
      <c r="S658" s="440"/>
      <c r="T658" s="440"/>
      <c r="U658" s="440"/>
      <c r="AUK658" s="441"/>
      <c r="AUL658" s="441"/>
      <c r="AUM658" s="441"/>
      <c r="AUN658" s="441"/>
      <c r="AUO658" s="441"/>
      <c r="AUP658" s="441"/>
      <c r="AUQ658" s="441"/>
      <c r="AUR658" s="441"/>
      <c r="AUS658" s="441"/>
      <c r="AUT658" s="441"/>
      <c r="AUU658" s="441"/>
      <c r="AUV658" s="441"/>
      <c r="AUW658" s="441"/>
      <c r="AUX658" s="441"/>
      <c r="AUY658" s="441"/>
      <c r="AUZ658" s="441"/>
      <c r="AVA658" s="441"/>
      <c r="AVB658" s="441"/>
      <c r="AVC658" s="441"/>
      <c r="AVD658" s="441"/>
      <c r="AVE658" s="441"/>
      <c r="AVF658" s="441"/>
      <c r="AVG658" s="441"/>
    </row>
    <row r="659" spans="1:21 1233:1255">
      <c r="A659" s="440"/>
      <c r="B659" s="440"/>
      <c r="C659" s="440"/>
      <c r="D659" s="440"/>
      <c r="E659" s="440"/>
      <c r="F659" s="440"/>
      <c r="G659" s="440"/>
      <c r="H659" s="440"/>
      <c r="I659" s="440"/>
      <c r="J659" s="440"/>
      <c r="K659" s="440"/>
      <c r="L659" s="440"/>
      <c r="M659" s="440"/>
      <c r="N659" s="440"/>
      <c r="O659" s="440"/>
      <c r="P659" s="440"/>
      <c r="Q659" s="440"/>
      <c r="R659" s="440"/>
      <c r="S659" s="440"/>
      <c r="T659" s="440"/>
      <c r="U659" s="440"/>
      <c r="AUK659" s="441"/>
      <c r="AUL659" s="441"/>
      <c r="AUM659" s="441"/>
      <c r="AUN659" s="441"/>
      <c r="AUO659" s="441"/>
      <c r="AUP659" s="441"/>
      <c r="AUQ659" s="441"/>
      <c r="AUR659" s="441"/>
      <c r="AUS659" s="441"/>
      <c r="AUT659" s="441"/>
      <c r="AUU659" s="441"/>
      <c r="AUV659" s="441"/>
      <c r="AUW659" s="441"/>
      <c r="AUX659" s="441"/>
      <c r="AUY659" s="441"/>
      <c r="AUZ659" s="441"/>
      <c r="AVA659" s="441"/>
      <c r="AVB659" s="441"/>
      <c r="AVC659" s="441"/>
      <c r="AVD659" s="441"/>
      <c r="AVE659" s="441"/>
      <c r="AVF659" s="441"/>
      <c r="AVG659" s="441"/>
    </row>
    <row r="660" spans="1:21 1233:1255">
      <c r="A660" s="440"/>
      <c r="B660" s="440"/>
      <c r="C660" s="440"/>
      <c r="D660" s="440"/>
      <c r="E660" s="440"/>
      <c r="F660" s="440"/>
      <c r="G660" s="440"/>
      <c r="H660" s="440"/>
      <c r="I660" s="440"/>
      <c r="J660" s="440"/>
      <c r="K660" s="440"/>
      <c r="L660" s="440"/>
      <c r="M660" s="440"/>
      <c r="N660" s="440"/>
      <c r="O660" s="440"/>
      <c r="P660" s="440"/>
      <c r="Q660" s="440"/>
      <c r="R660" s="440"/>
      <c r="S660" s="440"/>
      <c r="T660" s="440"/>
      <c r="U660" s="440"/>
      <c r="AUK660" s="441"/>
      <c r="AUL660" s="441"/>
      <c r="AUM660" s="441"/>
      <c r="AUN660" s="441"/>
      <c r="AUO660" s="441"/>
      <c r="AUP660" s="441"/>
      <c r="AUQ660" s="441"/>
      <c r="AUR660" s="441"/>
      <c r="AUS660" s="441"/>
      <c r="AUT660" s="441"/>
      <c r="AUU660" s="441"/>
      <c r="AUV660" s="441"/>
      <c r="AUW660" s="441"/>
      <c r="AUX660" s="441"/>
      <c r="AUY660" s="441"/>
      <c r="AUZ660" s="441"/>
      <c r="AVA660" s="441"/>
      <c r="AVB660" s="441"/>
      <c r="AVC660" s="441"/>
      <c r="AVD660" s="441"/>
      <c r="AVE660" s="441"/>
      <c r="AVF660" s="441"/>
      <c r="AVG660" s="441"/>
    </row>
    <row r="661" spans="1:21 1233:1255">
      <c r="A661" s="440"/>
      <c r="B661" s="440"/>
      <c r="C661" s="440"/>
      <c r="D661" s="440"/>
      <c r="E661" s="440"/>
      <c r="F661" s="440"/>
      <c r="G661" s="440"/>
      <c r="H661" s="440"/>
      <c r="I661" s="440"/>
      <c r="J661" s="440"/>
      <c r="K661" s="440"/>
      <c r="L661" s="440"/>
      <c r="M661" s="440"/>
      <c r="N661" s="440"/>
      <c r="O661" s="440"/>
      <c r="P661" s="440"/>
      <c r="Q661" s="440"/>
      <c r="R661" s="440"/>
      <c r="S661" s="440"/>
      <c r="T661" s="440"/>
      <c r="U661" s="440"/>
      <c r="AUK661" s="441"/>
      <c r="AUL661" s="441"/>
      <c r="AUM661" s="441"/>
      <c r="AUN661" s="441"/>
      <c r="AUO661" s="441"/>
      <c r="AUP661" s="441"/>
      <c r="AUQ661" s="441"/>
      <c r="AUR661" s="441"/>
      <c r="AUS661" s="441"/>
      <c r="AUT661" s="441"/>
      <c r="AUU661" s="441"/>
      <c r="AUV661" s="441"/>
      <c r="AUW661" s="441"/>
      <c r="AUX661" s="441"/>
      <c r="AUY661" s="441"/>
      <c r="AUZ661" s="441"/>
      <c r="AVA661" s="441"/>
      <c r="AVB661" s="441"/>
      <c r="AVC661" s="441"/>
      <c r="AVD661" s="441"/>
      <c r="AVE661" s="441"/>
      <c r="AVF661" s="441"/>
      <c r="AVG661" s="441"/>
    </row>
    <row r="662" spans="1:21 1233:1255">
      <c r="A662" s="440"/>
      <c r="B662" s="440"/>
      <c r="C662" s="440"/>
      <c r="D662" s="440"/>
      <c r="E662" s="440"/>
      <c r="F662" s="440"/>
      <c r="G662" s="440"/>
      <c r="H662" s="440"/>
      <c r="I662" s="440"/>
      <c r="J662" s="440"/>
      <c r="K662" s="440"/>
      <c r="L662" s="440"/>
      <c r="M662" s="440"/>
      <c r="N662" s="440"/>
      <c r="O662" s="440"/>
      <c r="P662" s="440"/>
      <c r="Q662" s="440"/>
      <c r="R662" s="440"/>
      <c r="S662" s="440"/>
      <c r="T662" s="440"/>
      <c r="U662" s="440"/>
      <c r="AUK662" s="441"/>
      <c r="AUL662" s="441"/>
      <c r="AUM662" s="441"/>
      <c r="AUN662" s="441"/>
      <c r="AUO662" s="441"/>
      <c r="AUP662" s="441"/>
      <c r="AUQ662" s="441"/>
      <c r="AUR662" s="441"/>
      <c r="AUS662" s="441"/>
      <c r="AUT662" s="441"/>
      <c r="AUU662" s="441"/>
      <c r="AUV662" s="441"/>
      <c r="AUW662" s="441"/>
      <c r="AUX662" s="441"/>
      <c r="AUY662" s="441"/>
      <c r="AUZ662" s="441"/>
      <c r="AVA662" s="441"/>
      <c r="AVB662" s="441"/>
      <c r="AVC662" s="441"/>
      <c r="AVD662" s="441"/>
      <c r="AVE662" s="441"/>
      <c r="AVF662" s="441"/>
      <c r="AVG662" s="441"/>
    </row>
    <row r="663" spans="1:21 1233:1255">
      <c r="A663" s="440"/>
      <c r="B663" s="440"/>
      <c r="C663" s="440"/>
      <c r="D663" s="440"/>
      <c r="E663" s="440"/>
      <c r="F663" s="440"/>
      <c r="G663" s="440"/>
      <c r="H663" s="440"/>
      <c r="I663" s="440"/>
      <c r="J663" s="440"/>
      <c r="K663" s="440"/>
      <c r="L663" s="440"/>
      <c r="M663" s="440"/>
      <c r="N663" s="440"/>
      <c r="O663" s="440"/>
      <c r="P663" s="440"/>
      <c r="Q663" s="440"/>
      <c r="R663" s="440"/>
      <c r="S663" s="440"/>
      <c r="T663" s="440"/>
      <c r="U663" s="440"/>
      <c r="AUK663" s="441"/>
      <c r="AUL663" s="441"/>
      <c r="AUM663" s="441"/>
      <c r="AUN663" s="441"/>
      <c r="AUO663" s="441"/>
      <c r="AUP663" s="441"/>
      <c r="AUQ663" s="441"/>
      <c r="AUR663" s="441"/>
      <c r="AUS663" s="441"/>
      <c r="AUT663" s="441"/>
      <c r="AUU663" s="441"/>
      <c r="AUV663" s="441"/>
      <c r="AUW663" s="441"/>
      <c r="AUX663" s="441"/>
      <c r="AUY663" s="441"/>
      <c r="AUZ663" s="441"/>
      <c r="AVA663" s="441"/>
      <c r="AVB663" s="441"/>
      <c r="AVC663" s="441"/>
      <c r="AVD663" s="441"/>
      <c r="AVE663" s="441"/>
      <c r="AVF663" s="441"/>
      <c r="AVG663" s="441"/>
    </row>
    <row r="664" spans="1:21 1233:1255">
      <c r="A664" s="440"/>
      <c r="B664" s="440"/>
      <c r="C664" s="440"/>
      <c r="D664" s="440"/>
      <c r="E664" s="440"/>
      <c r="F664" s="440"/>
      <c r="G664" s="440"/>
      <c r="H664" s="440"/>
      <c r="I664" s="440"/>
      <c r="J664" s="440"/>
      <c r="K664" s="440"/>
      <c r="L664" s="440"/>
      <c r="M664" s="440"/>
      <c r="N664" s="440"/>
      <c r="O664" s="440"/>
      <c r="P664" s="440"/>
      <c r="Q664" s="440"/>
      <c r="R664" s="440"/>
      <c r="S664" s="440"/>
      <c r="T664" s="440"/>
      <c r="U664" s="440"/>
      <c r="AUK664" s="441"/>
      <c r="AUL664" s="441"/>
      <c r="AUM664" s="441"/>
      <c r="AUN664" s="441"/>
      <c r="AUO664" s="441"/>
      <c r="AUP664" s="441"/>
      <c r="AUQ664" s="441"/>
      <c r="AUR664" s="441"/>
      <c r="AUS664" s="441"/>
      <c r="AUT664" s="441"/>
      <c r="AUU664" s="441"/>
      <c r="AUV664" s="441"/>
      <c r="AUW664" s="441"/>
      <c r="AUX664" s="441"/>
      <c r="AUY664" s="441"/>
      <c r="AUZ664" s="441"/>
      <c r="AVA664" s="441"/>
      <c r="AVB664" s="441"/>
      <c r="AVC664" s="441"/>
      <c r="AVD664" s="441"/>
      <c r="AVE664" s="441"/>
      <c r="AVF664" s="441"/>
      <c r="AVG664" s="441"/>
    </row>
    <row r="665" spans="1:21 1233:1255"/>
    <row r="666" spans="1:21 1233:1255"/>
    <row r="667" spans="1:21 1233:1255"/>
    <row r="668" spans="1:21 1233:1255"/>
    <row r="669" spans="1:21 1233:1255"/>
    <row r="670" spans="1:21 1233:1255"/>
    <row r="671" spans="1:21 1233:1255"/>
    <row r="672" spans="1:21 1233:1255"/>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1048550"/>
    <row r="1048551"/>
    <row r="1048575"/>
    <row r="1048576"/>
  </sheetData>
  <mergeCells count="100">
    <mergeCell ref="J500:L500"/>
    <mergeCell ref="J449:L449"/>
    <mergeCell ref="J450:L450"/>
    <mergeCell ref="A451:E451"/>
    <mergeCell ref="F451:G451"/>
    <mergeCell ref="C468:G472"/>
    <mergeCell ref="J474:L474"/>
    <mergeCell ref="J475:L475"/>
    <mergeCell ref="A476:E476"/>
    <mergeCell ref="F476:G476"/>
    <mergeCell ref="C493:G497"/>
    <mergeCell ref="J499:L499"/>
    <mergeCell ref="C443:G447"/>
    <mergeCell ref="A376:E376"/>
    <mergeCell ref="F376:G376"/>
    <mergeCell ref="C393:G397"/>
    <mergeCell ref="J399:L399"/>
    <mergeCell ref="J400:L400"/>
    <mergeCell ref="A401:E401"/>
    <mergeCell ref="F401:G401"/>
    <mergeCell ref="C418:G422"/>
    <mergeCell ref="J424:L424"/>
    <mergeCell ref="J425:L425"/>
    <mergeCell ref="A426:E426"/>
    <mergeCell ref="F426:G426"/>
    <mergeCell ref="J375:L375"/>
    <mergeCell ref="J324:L324"/>
    <mergeCell ref="J325:L325"/>
    <mergeCell ref="A326:E326"/>
    <mergeCell ref="F326:G326"/>
    <mergeCell ref="C343:G347"/>
    <mergeCell ref="J349:L349"/>
    <mergeCell ref="J350:L350"/>
    <mergeCell ref="A351:E351"/>
    <mergeCell ref="F351:G351"/>
    <mergeCell ref="C368:G372"/>
    <mergeCell ref="J374:L374"/>
    <mergeCell ref="C318:G322"/>
    <mergeCell ref="A251:E251"/>
    <mergeCell ref="F251:G251"/>
    <mergeCell ref="C268:G272"/>
    <mergeCell ref="J274:L274"/>
    <mergeCell ref="J275:L275"/>
    <mergeCell ref="A276:E276"/>
    <mergeCell ref="F276:G276"/>
    <mergeCell ref="C293:G297"/>
    <mergeCell ref="J299:L299"/>
    <mergeCell ref="J300:L300"/>
    <mergeCell ref="A301:E301"/>
    <mergeCell ref="F301:G301"/>
    <mergeCell ref="J250:L250"/>
    <mergeCell ref="J199:L199"/>
    <mergeCell ref="J200:L200"/>
    <mergeCell ref="A201:E201"/>
    <mergeCell ref="F201:G201"/>
    <mergeCell ref="C218:G222"/>
    <mergeCell ref="J224:L224"/>
    <mergeCell ref="J225:L225"/>
    <mergeCell ref="A226:E226"/>
    <mergeCell ref="F226:G226"/>
    <mergeCell ref="C243:G247"/>
    <mergeCell ref="J249:L249"/>
    <mergeCell ref="C193:G197"/>
    <mergeCell ref="A126:E126"/>
    <mergeCell ref="F126:G126"/>
    <mergeCell ref="C143:G147"/>
    <mergeCell ref="J149:L149"/>
    <mergeCell ref="J150:L150"/>
    <mergeCell ref="A151:E151"/>
    <mergeCell ref="F151:G151"/>
    <mergeCell ref="C168:G172"/>
    <mergeCell ref="J174:L174"/>
    <mergeCell ref="J175:L175"/>
    <mergeCell ref="A176:E176"/>
    <mergeCell ref="F176:G176"/>
    <mergeCell ref="J125:L125"/>
    <mergeCell ref="J74:L74"/>
    <mergeCell ref="J75:L75"/>
    <mergeCell ref="A76:E76"/>
    <mergeCell ref="F76:G76"/>
    <mergeCell ref="C93:G97"/>
    <mergeCell ref="J99:L99"/>
    <mergeCell ref="J100:L100"/>
    <mergeCell ref="A101:E101"/>
    <mergeCell ref="F101:G101"/>
    <mergeCell ref="C118:G122"/>
    <mergeCell ref="J124:L124"/>
    <mergeCell ref="C68:G72"/>
    <mergeCell ref="A1:E1"/>
    <mergeCell ref="F1:G1"/>
    <mergeCell ref="C18:G22"/>
    <mergeCell ref="J24:L24"/>
    <mergeCell ref="J25:L25"/>
    <mergeCell ref="A26:E26"/>
    <mergeCell ref="F26:G26"/>
    <mergeCell ref="C43:G47"/>
    <mergeCell ref="J49:L49"/>
    <mergeCell ref="J50:L50"/>
    <mergeCell ref="A51:E51"/>
    <mergeCell ref="F51:G51"/>
  </mergeCells>
  <dataValidations disablePrompts="1" count="2">
    <dataValidation type="list" allowBlank="1" showInputMessage="1" showErrorMessage="1" sqref="B90 B390 W29:W40 B415 B65 B15 B115 B290 B265 B165 B190 B183:B186 B158:B161 B140 B315 B340 B365 B440 B465 B40 B240 B333:B336 B179 B215 B208:B211 B204 B258:B261 B254 B283:B286 B279 B308:B311 B304 B329 B8:B11 B358:B361 B354 B408:B411 B404 B383:B386 B379 B433:B436 B429 B458:B461 B454 B33:B36 B29 B58:B61 B54 B83:B86 B79 B108:B111 B104 B133:B136 B129 B154 B233:B236 B4 B6 B229 B256 B281 B306 B463 B356 B406 B381 B431 B456 B31 B56 B81 B106 B131 B156 B181 B206 B231 B331 B338 B388 B363 B413 B438 B13 B38 B63 B88 B113 B138 B163 B188 B213 B238 B263 B288 B313 B490 B483:B486 B479 B481 B488" xr:uid="{314BD28E-2A16-40D9-9394-18DFAE575064}">
      <formula1>"0,1"</formula1>
    </dataValidation>
    <dataValidation type="list" allowBlank="1" sqref="D454:D465 D354:D365 D4:D15 D379:D390 D429:D440 D29:D40 D54:D65 D79:D90 D104:D115 D254:D265 D129:D140 D154:D165 D179:D190 D229:D240 D279:D290 D304:D315 D329:D340 D404:D415 D204:D215 D479:D490" xr:uid="{374D997C-898E-4AC9-A276-F3A409821283}">
      <formula1>"N95,Rect,ESDM"</formula1>
    </dataValidation>
  </dataValidations>
  <printOptions horizontalCentered="1" verticalCentered="1"/>
  <pageMargins left="0.27559055118110237" right="0.27559055118110237" top="0.11811023622047245" bottom="0.23622047244094491" header="0.11811023622047245" footer="0.31496062992125984"/>
  <pageSetup paperSize="9" scale="10" orientation="landscape"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8BE2-C9D5-41EC-8E60-C76EBBC05C28}">
  <sheetPr codeName="Sheet6"/>
  <dimension ref="A1:R24"/>
  <sheetViews>
    <sheetView workbookViewId="0">
      <selection activeCell="K32" sqref="K32"/>
    </sheetView>
  </sheetViews>
  <sheetFormatPr defaultColWidth="9.140625" defaultRowHeight="11.25"/>
  <cols>
    <col min="1" max="16384" width="9.140625" style="300"/>
  </cols>
  <sheetData>
    <row r="1" spans="1:18">
      <c r="P1" s="538"/>
      <c r="Q1" s="538"/>
      <c r="R1" s="538"/>
    </row>
    <row r="2" spans="1:18" s="539" customFormat="1">
      <c r="A2" s="539" t="s">
        <v>427</v>
      </c>
      <c r="P2" s="540"/>
      <c r="Q2" s="540"/>
      <c r="R2" s="540"/>
    </row>
    <row r="3" spans="1:18" ht="12" thickBot="1">
      <c r="P3" s="541"/>
      <c r="Q3" s="538"/>
      <c r="R3" s="538"/>
    </row>
    <row r="4" spans="1:18" ht="13.5" customHeight="1" thickBot="1">
      <c r="A4" s="1108" t="s">
        <v>428</v>
      </c>
      <c r="B4" s="1109"/>
      <c r="C4" s="1109"/>
      <c r="D4" s="1109"/>
      <c r="E4" s="1110"/>
      <c r="P4" s="538"/>
      <c r="Q4" s="538"/>
      <c r="R4" s="538"/>
    </row>
    <row r="5" spans="1:18" ht="12.75" customHeight="1">
      <c r="A5" s="542" t="s">
        <v>429</v>
      </c>
      <c r="B5" s="543" t="s">
        <v>430</v>
      </c>
      <c r="C5" s="543" t="s">
        <v>431</v>
      </c>
      <c r="D5" s="1111" t="s">
        <v>432</v>
      </c>
      <c r="E5" s="1112"/>
      <c r="P5" s="538"/>
      <c r="Q5" s="538"/>
      <c r="R5" s="538"/>
    </row>
    <row r="6" spans="1:18" ht="13.5" customHeight="1">
      <c r="A6" s="544">
        <v>100</v>
      </c>
      <c r="B6" s="545">
        <v>70000</v>
      </c>
      <c r="C6" s="545">
        <v>0.01</v>
      </c>
      <c r="D6" s="1113">
        <v>0.05</v>
      </c>
      <c r="E6" s="1114"/>
      <c r="P6" s="538"/>
      <c r="Q6" s="538"/>
      <c r="R6" s="538"/>
    </row>
    <row r="7" spans="1:18" ht="13.5" customHeight="1">
      <c r="A7" s="544">
        <v>-95</v>
      </c>
      <c r="B7" s="545">
        <v>-7</v>
      </c>
      <c r="C7" s="545">
        <v>0.02</v>
      </c>
      <c r="D7" s="1115">
        <v>0.1</v>
      </c>
      <c r="E7" s="1116"/>
      <c r="P7" s="538"/>
      <c r="Q7" s="538"/>
      <c r="R7" s="538"/>
    </row>
    <row r="8" spans="1:18">
      <c r="A8" s="544">
        <v>-7</v>
      </c>
      <c r="B8" s="545">
        <v>7</v>
      </c>
      <c r="C8" s="545">
        <v>0.1</v>
      </c>
      <c r="D8" s="1113">
        <v>0.5</v>
      </c>
      <c r="E8" s="1114"/>
    </row>
    <row r="9" spans="1:18" ht="12" thickBot="1">
      <c r="A9" s="546">
        <v>7</v>
      </c>
      <c r="B9" s="547">
        <v>70000</v>
      </c>
      <c r="C9" s="547">
        <v>0.02</v>
      </c>
      <c r="D9" s="1106">
        <v>0.1</v>
      </c>
      <c r="E9" s="1107"/>
    </row>
    <row r="24" spans="1:1">
      <c r="A24" s="539"/>
    </row>
  </sheetData>
  <mergeCells count="6">
    <mergeCell ref="D9:E9"/>
    <mergeCell ref="A4:E4"/>
    <mergeCell ref="D5:E5"/>
    <mergeCell ref="D6:E6"/>
    <mergeCell ref="D7:E7"/>
    <mergeCell ref="D8:E8"/>
  </mergeCells>
  <hyperlinks>
    <hyperlink ref="A4" r:id="rId1" display="TEX@Site NATA Scope" xr:uid="{C9215C7C-0DC7-4A0D-858F-C7FA96F08401}"/>
  </hyperlinks>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8DF4-38DD-4AA1-8340-CF8AB7E80B36}">
  <sheetPr codeName="Sheet7"/>
  <dimension ref="A1:AL401"/>
  <sheetViews>
    <sheetView workbookViewId="0"/>
  </sheetViews>
  <sheetFormatPr defaultColWidth="9.140625" defaultRowHeight="12.75"/>
  <cols>
    <col min="1" max="16384" width="9.140625" style="102"/>
  </cols>
  <sheetData>
    <row r="1" spans="1:38">
      <c r="A1" s="548"/>
      <c r="B1" s="549" t="s">
        <v>433</v>
      </c>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row>
    <row r="2" spans="1:38">
      <c r="A2" s="548"/>
      <c r="B2" s="550" t="s">
        <v>434</v>
      </c>
      <c r="C2" s="548" t="s">
        <v>435</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row>
    <row r="3" spans="1:38">
      <c r="A3" s="548"/>
      <c r="B3" s="550" t="s">
        <v>436</v>
      </c>
      <c r="C3" s="548" t="s">
        <v>437</v>
      </c>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548"/>
      <c r="AK3" s="548"/>
      <c r="AL3" s="548"/>
    </row>
    <row r="4" spans="1:38">
      <c r="A4" s="548"/>
      <c r="B4" s="550" t="s">
        <v>399</v>
      </c>
      <c r="C4" s="548" t="s">
        <v>438</v>
      </c>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548"/>
      <c r="AK4" s="548"/>
      <c r="AL4" s="548"/>
    </row>
    <row r="5" spans="1:38">
      <c r="A5" s="548"/>
      <c r="B5" s="550" t="s">
        <v>439</v>
      </c>
      <c r="C5" s="548" t="s">
        <v>440</v>
      </c>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row>
    <row r="6" spans="1:38">
      <c r="A6" s="548"/>
      <c r="B6" s="550" t="s">
        <v>441</v>
      </c>
      <c r="C6" s="548" t="s">
        <v>442</v>
      </c>
      <c r="D6" s="548"/>
      <c r="E6" s="548"/>
      <c r="F6" s="548"/>
      <c r="G6" s="548"/>
      <c r="H6" s="548"/>
      <c r="I6" s="548"/>
      <c r="J6" s="548"/>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row>
    <row r="7" spans="1:38">
      <c r="A7" s="548"/>
      <c r="B7" s="550" t="s">
        <v>168</v>
      </c>
      <c r="C7" s="548" t="s">
        <v>443</v>
      </c>
      <c r="D7" s="548"/>
      <c r="E7" s="548"/>
      <c r="F7" s="548"/>
      <c r="G7" s="548"/>
      <c r="H7" s="548"/>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row>
    <row r="8" spans="1:38" ht="13.5">
      <c r="A8" s="548"/>
      <c r="B8" s="550" t="s">
        <v>444</v>
      </c>
      <c r="C8" s="548" t="s">
        <v>445</v>
      </c>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8"/>
      <c r="AD8" s="548"/>
      <c r="AE8" s="548"/>
      <c r="AF8" s="548"/>
      <c r="AG8" s="548"/>
      <c r="AH8" s="548"/>
      <c r="AI8" s="548"/>
      <c r="AJ8" s="548"/>
      <c r="AK8" s="548"/>
      <c r="AL8" s="548"/>
    </row>
    <row r="9" spans="1:38" ht="13.5">
      <c r="A9" s="548"/>
      <c r="B9" s="550" t="s">
        <v>446</v>
      </c>
      <c r="C9" s="548" t="s">
        <v>447</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row>
    <row r="10" spans="1:38">
      <c r="A10" s="548"/>
      <c r="B10" s="550" t="s">
        <v>448</v>
      </c>
      <c r="C10" s="548" t="s">
        <v>449</v>
      </c>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row>
    <row r="11" spans="1:38">
      <c r="A11" s="548"/>
      <c r="B11" s="550" t="s">
        <v>450</v>
      </c>
      <c r="C11" s="548" t="s">
        <v>451</v>
      </c>
      <c r="D11" s="548"/>
      <c r="E11" s="548"/>
      <c r="F11" s="548"/>
      <c r="G11" s="548"/>
      <c r="H11" s="548"/>
      <c r="I11" s="548"/>
      <c r="J11" s="548"/>
      <c r="K11" s="548"/>
      <c r="L11" s="548"/>
      <c r="M11" s="548"/>
      <c r="N11" s="548"/>
      <c r="O11" s="548"/>
      <c r="P11" s="548"/>
      <c r="Q11" s="548"/>
      <c r="R11" s="548"/>
      <c r="S11" s="548"/>
      <c r="T11" s="548"/>
      <c r="U11" s="548"/>
      <c r="V11" s="548"/>
      <c r="W11" s="548"/>
      <c r="X11" s="548"/>
      <c r="Y11" s="548"/>
      <c r="Z11" s="548"/>
      <c r="AA11" s="548"/>
      <c r="AB11" s="548"/>
      <c r="AC11" s="548"/>
      <c r="AD11" s="548"/>
      <c r="AE11" s="548"/>
      <c r="AF11" s="548"/>
      <c r="AG11" s="548"/>
      <c r="AH11" s="548"/>
      <c r="AI11" s="548"/>
      <c r="AJ11" s="548"/>
      <c r="AK11" s="548"/>
      <c r="AL11" s="548"/>
    </row>
    <row r="12" spans="1:38">
      <c r="A12" s="548"/>
      <c r="B12" s="548"/>
      <c r="C12" s="548" t="s">
        <v>452</v>
      </c>
      <c r="D12" s="548"/>
      <c r="E12" s="548"/>
      <c r="F12" s="548"/>
      <c r="G12" s="548"/>
      <c r="H12" s="548"/>
      <c r="I12" s="548"/>
      <c r="J12" s="548"/>
      <c r="K12" s="548"/>
      <c r="L12" s="548"/>
      <c r="M12" s="548"/>
      <c r="N12" s="548"/>
      <c r="O12" s="548"/>
      <c r="P12" s="548"/>
      <c r="Q12" s="548"/>
      <c r="R12" s="548"/>
      <c r="S12" s="548"/>
      <c r="T12" s="548"/>
      <c r="U12" s="548"/>
      <c r="V12" s="548"/>
      <c r="W12" s="548"/>
      <c r="X12" s="548"/>
      <c r="Y12" s="548"/>
      <c r="Z12" s="548"/>
      <c r="AA12" s="548"/>
      <c r="AB12" s="548"/>
      <c r="AC12" s="548"/>
      <c r="AD12" s="548"/>
      <c r="AE12" s="548"/>
      <c r="AF12" s="548"/>
      <c r="AG12" s="548"/>
      <c r="AH12" s="548"/>
      <c r="AI12" s="548"/>
      <c r="AJ12" s="548"/>
      <c r="AK12" s="548"/>
      <c r="AL12" s="548"/>
    </row>
    <row r="13" spans="1:38" ht="13.5">
      <c r="A13" s="548"/>
      <c r="B13" s="550" t="s">
        <v>453</v>
      </c>
      <c r="C13" s="548" t="s">
        <v>454</v>
      </c>
      <c r="D13" s="548"/>
      <c r="E13" s="548"/>
      <c r="F13" s="548"/>
      <c r="G13" s="548"/>
      <c r="H13" s="548"/>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row>
    <row r="14" spans="1:38" ht="13.5">
      <c r="A14" s="548"/>
      <c r="B14" s="550" t="s">
        <v>455</v>
      </c>
      <c r="C14" s="548" t="s">
        <v>456</v>
      </c>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row>
    <row r="15" spans="1:38" ht="13.5">
      <c r="A15" s="548"/>
      <c r="B15" s="550" t="s">
        <v>457</v>
      </c>
      <c r="C15" s="548" t="s">
        <v>458</v>
      </c>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row>
    <row r="16" spans="1:38">
      <c r="A16" s="551"/>
      <c r="B16" s="551"/>
      <c r="C16" s="551"/>
      <c r="D16" s="551"/>
      <c r="E16" s="551"/>
      <c r="F16" s="551"/>
      <c r="G16" s="551"/>
      <c r="H16" s="551"/>
      <c r="I16" s="551"/>
      <c r="J16" s="551"/>
      <c r="K16" s="551"/>
      <c r="L16" s="551"/>
      <c r="M16" s="551"/>
      <c r="N16" s="551"/>
      <c r="O16" s="551"/>
      <c r="P16" s="551"/>
      <c r="Q16" s="551"/>
      <c r="R16" s="551"/>
      <c r="S16" s="551"/>
      <c r="T16" s="551"/>
      <c r="U16" s="551"/>
      <c r="V16" s="551"/>
      <c r="W16" s="551"/>
      <c r="X16" s="551"/>
      <c r="Y16" s="551"/>
      <c r="Z16" s="551"/>
      <c r="AA16" s="551"/>
      <c r="AB16" s="551"/>
      <c r="AC16" s="551"/>
      <c r="AD16" s="551"/>
      <c r="AE16" s="551"/>
      <c r="AF16" s="551"/>
      <c r="AG16" s="551"/>
      <c r="AH16" s="551"/>
      <c r="AI16" s="551"/>
      <c r="AJ16" s="551"/>
      <c r="AK16" s="551"/>
      <c r="AL16" s="551"/>
    </row>
    <row r="17" spans="1:38">
      <c r="A17" s="548"/>
      <c r="B17" s="549" t="s">
        <v>459</v>
      </c>
      <c r="C17" s="548"/>
      <c r="D17" s="548"/>
      <c r="E17" s="548"/>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row>
    <row r="18" spans="1:38">
      <c r="A18" s="548"/>
      <c r="B18" s="548" t="s">
        <v>460</v>
      </c>
      <c r="C18" s="548"/>
      <c r="D18" s="548"/>
      <c r="E18" s="548"/>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row>
    <row r="19" spans="1:38">
      <c r="A19" s="548"/>
      <c r="B19" s="548" t="s">
        <v>461</v>
      </c>
      <c r="C19" s="548"/>
      <c r="D19" s="548"/>
      <c r="E19" s="548"/>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row>
    <row r="20" spans="1:38">
      <c r="A20" s="548"/>
      <c r="B20" s="550"/>
      <c r="C20" s="548" t="s">
        <v>462</v>
      </c>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row>
    <row r="21" spans="1:38" ht="13.5">
      <c r="A21" s="548"/>
      <c r="B21" s="548"/>
      <c r="C21" s="550" t="s">
        <v>463</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row>
    <row r="22" spans="1:38" ht="13.5">
      <c r="A22" s="548"/>
      <c r="B22" s="548"/>
      <c r="C22" s="548" t="s">
        <v>464</v>
      </c>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row>
    <row r="23" spans="1:38" ht="13.5">
      <c r="A23" s="548"/>
      <c r="B23" s="548"/>
      <c r="C23" s="548" t="s">
        <v>465</v>
      </c>
      <c r="D23" s="548"/>
      <c r="E23" s="548"/>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row>
    <row r="24" spans="1:38">
      <c r="A24" s="548"/>
      <c r="B24" s="548" t="s">
        <v>466</v>
      </c>
      <c r="C24" s="548"/>
      <c r="D24" s="548"/>
      <c r="E24" s="548"/>
      <c r="F24" s="548"/>
      <c r="G24" s="548"/>
      <c r="H24" s="548"/>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row>
    <row r="25" spans="1:38">
      <c r="A25" s="548"/>
      <c r="B25" s="548" t="s">
        <v>467</v>
      </c>
      <c r="C25" s="548"/>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row>
    <row r="26" spans="1:38">
      <c r="A26" s="548"/>
      <c r="B26" s="548" t="s">
        <v>468</v>
      </c>
      <c r="C26" s="548"/>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row>
    <row r="27" spans="1:38">
      <c r="A27" s="548"/>
      <c r="B27" s="548"/>
      <c r="C27" s="548" t="s">
        <v>469</v>
      </c>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row>
    <row r="28" spans="1:38">
      <c r="A28" s="548"/>
      <c r="B28" s="548"/>
      <c r="C28" s="548" t="s">
        <v>470</v>
      </c>
      <c r="D28" s="548"/>
      <c r="E28" s="548"/>
      <c r="F28" s="548"/>
      <c r="G28" s="548"/>
      <c r="H28" s="548"/>
      <c r="I28" s="548"/>
      <c r="J28" s="548"/>
      <c r="K28" s="548"/>
      <c r="L28" s="548"/>
      <c r="M28" s="548"/>
      <c r="N28" s="548"/>
      <c r="O28" s="548"/>
      <c r="P28" s="548"/>
      <c r="Q28" s="548"/>
      <c r="R28" s="548"/>
      <c r="S28" s="548"/>
      <c r="T28" s="548"/>
      <c r="U28" s="548"/>
      <c r="V28" s="548"/>
      <c r="W28" s="548"/>
      <c r="X28" s="548"/>
      <c r="Y28" s="548"/>
      <c r="Z28" s="548"/>
      <c r="AA28" s="548"/>
      <c r="AB28" s="548"/>
      <c r="AC28" s="548"/>
      <c r="AD28" s="548"/>
      <c r="AE28" s="548"/>
      <c r="AF28" s="548"/>
      <c r="AG28" s="548"/>
      <c r="AH28" s="548"/>
      <c r="AI28" s="548"/>
      <c r="AJ28" s="548"/>
      <c r="AK28" s="548"/>
      <c r="AL28" s="548"/>
    </row>
    <row r="29" spans="1:38">
      <c r="A29" s="548"/>
      <c r="B29" s="548" t="s">
        <v>471</v>
      </c>
      <c r="C29" s="548"/>
      <c r="D29" s="548"/>
      <c r="E29" s="548"/>
      <c r="F29" s="548"/>
      <c r="G29" s="548"/>
      <c r="H29" s="548"/>
      <c r="I29" s="548"/>
      <c r="J29" s="548"/>
      <c r="K29" s="548"/>
      <c r="L29" s="548"/>
      <c r="M29" s="548"/>
      <c r="N29" s="548"/>
      <c r="O29" s="548"/>
      <c r="P29" s="548"/>
      <c r="Q29" s="548"/>
      <c r="R29" s="548"/>
      <c r="S29" s="548"/>
      <c r="T29" s="548"/>
      <c r="U29" s="548"/>
      <c r="V29" s="548"/>
      <c r="W29" s="548"/>
      <c r="X29" s="548"/>
      <c r="Y29" s="548"/>
      <c r="Z29" s="548"/>
      <c r="AA29" s="548"/>
      <c r="AB29" s="548"/>
      <c r="AC29" s="548"/>
      <c r="AD29" s="548"/>
      <c r="AE29" s="548"/>
      <c r="AF29" s="548"/>
      <c r="AG29" s="548"/>
      <c r="AH29" s="548"/>
      <c r="AI29" s="548"/>
      <c r="AJ29" s="548"/>
      <c r="AK29" s="548"/>
      <c r="AL29" s="548"/>
    </row>
    <row r="30" spans="1:38">
      <c r="A30" s="551"/>
      <c r="B30" s="551"/>
      <c r="C30" s="551"/>
      <c r="D30" s="551"/>
      <c r="E30" s="551"/>
      <c r="F30" s="551"/>
      <c r="G30" s="551"/>
      <c r="H30" s="551"/>
      <c r="I30" s="551"/>
      <c r="J30" s="551"/>
      <c r="K30" s="551"/>
      <c r="L30" s="551"/>
      <c r="M30" s="551"/>
      <c r="N30" s="551"/>
      <c r="O30" s="551"/>
      <c r="P30" s="551"/>
      <c r="Q30" s="551"/>
      <c r="R30" s="551"/>
      <c r="S30" s="551"/>
      <c r="T30" s="551"/>
      <c r="U30" s="551"/>
      <c r="V30" s="551"/>
      <c r="W30" s="551"/>
      <c r="X30" s="551"/>
      <c r="Y30" s="551"/>
      <c r="Z30" s="551"/>
      <c r="AA30" s="551"/>
      <c r="AB30" s="551"/>
      <c r="AC30" s="551"/>
      <c r="AD30" s="551"/>
      <c r="AE30" s="551"/>
      <c r="AF30" s="551"/>
      <c r="AG30" s="551"/>
      <c r="AH30" s="551"/>
      <c r="AI30" s="551"/>
      <c r="AJ30" s="551"/>
      <c r="AK30" s="551"/>
      <c r="AL30" s="551"/>
    </row>
    <row r="31" spans="1:38">
      <c r="A31" s="548"/>
      <c r="B31" s="549" t="s">
        <v>472</v>
      </c>
      <c r="C31" s="548"/>
      <c r="D31" s="548"/>
      <c r="E31" s="548"/>
      <c r="F31" s="548"/>
      <c r="G31" s="548"/>
      <c r="H31" s="548"/>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row>
    <row r="32" spans="1:38">
      <c r="A32" s="548"/>
      <c r="B32" s="548" t="s">
        <v>473</v>
      </c>
      <c r="C32" s="548"/>
      <c r="D32" s="548"/>
      <c r="E32" s="548"/>
      <c r="F32" s="548"/>
      <c r="G32" s="548"/>
      <c r="H32" s="548"/>
      <c r="I32" s="548"/>
      <c r="J32" s="548"/>
      <c r="K32" s="548"/>
      <c r="L32" s="548"/>
      <c r="M32" s="548"/>
      <c r="N32" s="548"/>
      <c r="O32" s="548"/>
      <c r="P32" s="548"/>
      <c r="Q32" s="548"/>
      <c r="R32" s="548"/>
      <c r="S32" s="548"/>
      <c r="T32" s="548"/>
      <c r="U32" s="548"/>
      <c r="V32" s="548"/>
      <c r="W32" s="548"/>
      <c r="X32" s="548"/>
      <c r="Y32" s="548"/>
      <c r="Z32" s="548"/>
      <c r="AA32" s="548"/>
      <c r="AB32" s="548"/>
      <c r="AC32" s="548"/>
      <c r="AD32" s="548"/>
      <c r="AE32" s="548"/>
      <c r="AF32" s="548"/>
      <c r="AG32" s="548"/>
      <c r="AH32" s="548"/>
      <c r="AI32" s="548"/>
      <c r="AJ32" s="548"/>
      <c r="AK32" s="548"/>
      <c r="AL32" s="548"/>
    </row>
    <row r="33" spans="1:38">
      <c r="A33" s="548"/>
      <c r="B33" s="548" t="s">
        <v>474</v>
      </c>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row>
    <row r="34" spans="1:38">
      <c r="A34" s="548"/>
      <c r="B34" s="548" t="s">
        <v>475</v>
      </c>
      <c r="C34" s="548"/>
      <c r="D34" s="548"/>
      <c r="E34" s="548"/>
      <c r="F34" s="548"/>
      <c r="G34" s="548"/>
      <c r="H34" s="548"/>
      <c r="I34" s="548"/>
      <c r="J34" s="548"/>
      <c r="K34" s="548"/>
      <c r="L34" s="548"/>
      <c r="M34" s="548"/>
      <c r="N34" s="548"/>
      <c r="O34" s="548"/>
      <c r="P34" s="548"/>
      <c r="Q34" s="548"/>
      <c r="R34" s="548"/>
      <c r="S34" s="548"/>
      <c r="T34" s="548"/>
      <c r="U34" s="548"/>
      <c r="V34" s="548"/>
      <c r="W34" s="548"/>
      <c r="X34" s="548"/>
      <c r="Y34" s="548"/>
      <c r="Z34" s="548"/>
      <c r="AA34" s="548"/>
      <c r="AB34" s="548"/>
      <c r="AC34" s="548"/>
      <c r="AD34" s="548"/>
      <c r="AE34" s="548"/>
      <c r="AF34" s="548"/>
      <c r="AG34" s="548"/>
      <c r="AH34" s="548"/>
      <c r="AI34" s="548"/>
      <c r="AJ34" s="548"/>
      <c r="AK34" s="548"/>
      <c r="AL34" s="548"/>
    </row>
    <row r="35" spans="1:38">
      <c r="A35" s="548"/>
      <c r="B35" s="548"/>
      <c r="C35" s="548"/>
      <c r="D35" s="548"/>
      <c r="E35" s="548"/>
      <c r="F35" s="548"/>
      <c r="G35" s="548"/>
      <c r="H35" s="548"/>
      <c r="I35" s="548"/>
      <c r="J35" s="548"/>
      <c r="K35" s="548"/>
      <c r="L35" s="548"/>
      <c r="M35" s="548"/>
      <c r="N35" s="548"/>
      <c r="O35" s="548"/>
      <c r="P35" s="548"/>
      <c r="Q35" s="548"/>
      <c r="R35" s="548"/>
      <c r="S35" s="548"/>
      <c r="T35" s="548"/>
      <c r="U35" s="548"/>
      <c r="V35" s="548"/>
      <c r="W35" s="548"/>
      <c r="X35" s="548"/>
      <c r="Y35" s="548"/>
      <c r="Z35" s="548"/>
      <c r="AA35" s="548"/>
      <c r="AB35" s="548"/>
      <c r="AC35" s="548"/>
      <c r="AD35" s="548"/>
      <c r="AE35" s="548"/>
      <c r="AF35" s="548"/>
      <c r="AG35" s="548"/>
      <c r="AH35" s="548"/>
      <c r="AI35" s="548"/>
      <c r="AJ35" s="548"/>
      <c r="AK35" s="548"/>
      <c r="AL35" s="548"/>
    </row>
    <row r="36" spans="1:38">
      <c r="A36" s="548"/>
      <c r="B36" s="548" t="s">
        <v>476</v>
      </c>
      <c r="C36" s="548" t="s">
        <v>168</v>
      </c>
      <c r="D36" s="548" t="s">
        <v>178</v>
      </c>
      <c r="E36" s="548" t="s">
        <v>477</v>
      </c>
      <c r="F36" s="548" t="s">
        <v>478</v>
      </c>
      <c r="G36" s="548" t="s">
        <v>479</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E36" s="548"/>
      <c r="AF36" s="548"/>
      <c r="AG36" s="548"/>
      <c r="AH36" s="548"/>
      <c r="AI36" s="548"/>
      <c r="AJ36" s="548"/>
      <c r="AK36" s="548"/>
      <c r="AL36" s="548"/>
    </row>
    <row r="37" spans="1:38">
      <c r="A37" s="548"/>
      <c r="B37" s="548" t="s">
        <v>480</v>
      </c>
      <c r="C37" s="548"/>
      <c r="D37" s="548" t="s">
        <v>55</v>
      </c>
      <c r="E37" s="548" t="s">
        <v>481</v>
      </c>
      <c r="F37" s="552" t="s">
        <v>482</v>
      </c>
      <c r="G37" s="548" t="s">
        <v>483</v>
      </c>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row>
    <row r="38" spans="1:38">
      <c r="A38" s="548"/>
      <c r="B38" s="548"/>
      <c r="C38" s="548"/>
      <c r="D38" s="548"/>
      <c r="E38" s="548"/>
      <c r="F38" s="548" t="s">
        <v>484</v>
      </c>
      <c r="G38" s="548" t="s">
        <v>485</v>
      </c>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row>
    <row r="39" spans="1:38">
      <c r="A39" s="548"/>
      <c r="B39" s="548" t="s">
        <v>486</v>
      </c>
      <c r="C39" s="548"/>
      <c r="D39" s="548" t="s">
        <v>55</v>
      </c>
      <c r="E39" s="548" t="s">
        <v>481</v>
      </c>
      <c r="F39" s="548">
        <v>2</v>
      </c>
      <c r="G39" s="548">
        <v>200</v>
      </c>
      <c r="H39" s="548"/>
      <c r="I39" s="548"/>
      <c r="J39" s="548"/>
      <c r="K39" s="548"/>
      <c r="L39" s="548"/>
      <c r="M39" s="548"/>
      <c r="N39" s="548"/>
      <c r="O39" s="548"/>
      <c r="P39" s="548"/>
      <c r="Q39" s="548"/>
      <c r="R39" s="548"/>
      <c r="S39" s="548"/>
      <c r="T39" s="548"/>
      <c r="U39" s="548"/>
      <c r="V39" s="548"/>
      <c r="W39" s="548"/>
      <c r="X39" s="548"/>
      <c r="Y39" s="548"/>
      <c r="Z39" s="548"/>
      <c r="AA39" s="548"/>
      <c r="AB39" s="548"/>
      <c r="AC39" s="548"/>
      <c r="AD39" s="548"/>
      <c r="AE39" s="548"/>
      <c r="AF39" s="548"/>
      <c r="AG39" s="548"/>
      <c r="AH39" s="548"/>
      <c r="AI39" s="548"/>
      <c r="AJ39" s="548"/>
      <c r="AK39" s="548"/>
      <c r="AL39" s="548"/>
    </row>
    <row r="40" spans="1:38">
      <c r="A40" s="548"/>
      <c r="B40" s="548" t="s">
        <v>487</v>
      </c>
      <c r="C40" s="548"/>
      <c r="D40" s="548" t="s">
        <v>488</v>
      </c>
      <c r="E40" s="548"/>
      <c r="F40" s="548"/>
      <c r="G40" s="548"/>
      <c r="H40" s="548"/>
      <c r="I40" s="548"/>
      <c r="J40" s="548"/>
      <c r="K40" s="548"/>
      <c r="L40" s="548"/>
      <c r="M40" s="548"/>
      <c r="N40" s="548"/>
      <c r="O40" s="548"/>
      <c r="P40" s="548"/>
      <c r="Q40" s="548"/>
      <c r="R40" s="548"/>
      <c r="S40" s="548"/>
      <c r="T40" s="548"/>
      <c r="U40" s="548"/>
      <c r="V40" s="548"/>
      <c r="W40" s="548"/>
      <c r="X40" s="548"/>
      <c r="Y40" s="548"/>
      <c r="Z40" s="548"/>
      <c r="AA40" s="548"/>
      <c r="AB40" s="548"/>
      <c r="AC40" s="548"/>
      <c r="AD40" s="548"/>
      <c r="AE40" s="548"/>
      <c r="AF40" s="548"/>
      <c r="AG40" s="548"/>
      <c r="AH40" s="548"/>
      <c r="AI40" s="548"/>
      <c r="AJ40" s="548"/>
      <c r="AK40" s="548"/>
      <c r="AL40" s="548"/>
    </row>
    <row r="41" spans="1:38">
      <c r="A41" s="548"/>
      <c r="B41" s="548"/>
      <c r="C41" s="548"/>
      <c r="D41" s="548" t="s">
        <v>489</v>
      </c>
      <c r="E41" s="548"/>
      <c r="F41" s="548"/>
      <c r="G41" s="548"/>
      <c r="H41" s="548"/>
      <c r="I41" s="548"/>
      <c r="J41" s="548"/>
      <c r="K41" s="548"/>
      <c r="L41" s="548"/>
      <c r="M41" s="548"/>
      <c r="N41" s="548"/>
      <c r="O41" s="548"/>
      <c r="P41" s="548"/>
      <c r="Q41" s="548"/>
      <c r="R41" s="548"/>
      <c r="S41" s="548"/>
      <c r="T41" s="548"/>
      <c r="U41" s="548"/>
      <c r="V41" s="548"/>
      <c r="W41" s="548"/>
      <c r="X41" s="548"/>
      <c r="Y41" s="548"/>
      <c r="Z41" s="548"/>
      <c r="AA41" s="548"/>
      <c r="AB41" s="548"/>
      <c r="AC41" s="548"/>
      <c r="AD41" s="548"/>
      <c r="AE41" s="548"/>
      <c r="AF41" s="548"/>
      <c r="AG41" s="548"/>
      <c r="AH41" s="548"/>
      <c r="AI41" s="548"/>
      <c r="AJ41" s="548"/>
      <c r="AK41" s="548"/>
      <c r="AL41" s="548"/>
    </row>
    <row r="42" spans="1:38">
      <c r="A42" s="548"/>
      <c r="B42" s="548" t="s">
        <v>486</v>
      </c>
      <c r="C42" s="548"/>
      <c r="D42" s="548" t="s">
        <v>55</v>
      </c>
      <c r="E42" s="548" t="s">
        <v>395</v>
      </c>
      <c r="F42" s="548" t="s">
        <v>490</v>
      </c>
      <c r="G42" s="548">
        <v>200</v>
      </c>
      <c r="H42" s="548"/>
      <c r="I42" s="548"/>
      <c r="J42" s="548"/>
      <c r="K42" s="548"/>
      <c r="L42" s="548"/>
      <c r="M42" s="548"/>
      <c r="N42" s="548"/>
      <c r="O42" s="548"/>
      <c r="P42" s="548"/>
      <c r="Q42" s="548"/>
      <c r="R42" s="548"/>
      <c r="S42" s="548"/>
      <c r="T42" s="548"/>
      <c r="U42" s="548"/>
      <c r="V42" s="548"/>
      <c r="W42" s="548"/>
      <c r="X42" s="548"/>
      <c r="Y42" s="548"/>
      <c r="Z42" s="548"/>
      <c r="AA42" s="548"/>
      <c r="AB42" s="548"/>
      <c r="AC42" s="548"/>
      <c r="AD42" s="548"/>
      <c r="AE42" s="548"/>
      <c r="AF42" s="548"/>
      <c r="AG42" s="548"/>
      <c r="AH42" s="548"/>
      <c r="AI42" s="548"/>
      <c r="AJ42" s="548"/>
      <c r="AK42" s="548"/>
      <c r="AL42" s="548"/>
    </row>
    <row r="43" spans="1:38">
      <c r="A43" s="548"/>
      <c r="B43" s="548" t="s">
        <v>491</v>
      </c>
      <c r="C43" s="548"/>
      <c r="D43" s="548" t="s">
        <v>492</v>
      </c>
      <c r="E43" s="548"/>
      <c r="F43" s="548"/>
      <c r="G43" s="548"/>
      <c r="H43" s="548"/>
      <c r="I43" s="548"/>
      <c r="J43" s="548"/>
      <c r="K43" s="548"/>
      <c r="L43" s="548"/>
      <c r="M43" s="548"/>
      <c r="N43" s="548"/>
      <c r="O43" s="548"/>
      <c r="P43" s="548"/>
      <c r="Q43" s="548"/>
      <c r="R43" s="548"/>
      <c r="S43" s="548"/>
      <c r="T43" s="548"/>
      <c r="U43" s="548"/>
      <c r="V43" s="548"/>
      <c r="W43" s="548"/>
      <c r="X43" s="548"/>
      <c r="Y43" s="548"/>
      <c r="Z43" s="548"/>
      <c r="AA43" s="548"/>
      <c r="AB43" s="548"/>
      <c r="AC43" s="548"/>
      <c r="AD43" s="548"/>
      <c r="AE43" s="548"/>
      <c r="AF43" s="548"/>
      <c r="AG43" s="548"/>
      <c r="AH43" s="548"/>
      <c r="AI43" s="548"/>
      <c r="AJ43" s="548"/>
      <c r="AK43" s="548"/>
      <c r="AL43" s="548"/>
    </row>
    <row r="44" spans="1:38">
      <c r="A44" s="548"/>
      <c r="B44" s="548" t="s">
        <v>493</v>
      </c>
      <c r="C44" s="548" t="s">
        <v>494</v>
      </c>
      <c r="D44" s="548" t="s">
        <v>54</v>
      </c>
      <c r="E44" s="548" t="s">
        <v>481</v>
      </c>
      <c r="F44" s="548" t="s">
        <v>495</v>
      </c>
      <c r="G44" s="548" t="s">
        <v>496</v>
      </c>
      <c r="H44" s="548"/>
      <c r="I44" s="548"/>
      <c r="J44" s="548"/>
      <c r="K44" s="548"/>
      <c r="L44" s="548"/>
      <c r="M44" s="548"/>
      <c r="N44" s="548"/>
      <c r="O44" s="548"/>
      <c r="P44" s="548"/>
      <c r="Q44" s="548"/>
      <c r="R44" s="548"/>
      <c r="S44" s="548"/>
      <c r="T44" s="548"/>
      <c r="U44" s="548"/>
      <c r="V44" s="548"/>
      <c r="W44" s="548"/>
      <c r="X44" s="548"/>
      <c r="Y44" s="548"/>
      <c r="Z44" s="548"/>
      <c r="AA44" s="548"/>
      <c r="AB44" s="548"/>
      <c r="AC44" s="548"/>
      <c r="AD44" s="548"/>
      <c r="AE44" s="548"/>
      <c r="AF44" s="548"/>
      <c r="AG44" s="548"/>
      <c r="AH44" s="548"/>
      <c r="AI44" s="548"/>
      <c r="AJ44" s="548"/>
      <c r="AK44" s="548"/>
      <c r="AL44" s="548"/>
    </row>
    <row r="45" spans="1:38">
      <c r="A45" s="548"/>
      <c r="B45" s="548"/>
      <c r="C45" s="548"/>
      <c r="D45" s="548" t="s">
        <v>497</v>
      </c>
      <c r="E45" s="548"/>
      <c r="F45" s="548"/>
      <c r="G45" s="548"/>
      <c r="H45" s="548"/>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row>
    <row r="46" spans="1:38">
      <c r="A46" s="548"/>
      <c r="B46" s="548"/>
      <c r="C46" s="548" t="s">
        <v>498</v>
      </c>
      <c r="D46" s="548" t="s">
        <v>55</v>
      </c>
      <c r="E46" s="548" t="s">
        <v>395</v>
      </c>
      <c r="F46" s="548" t="s">
        <v>499</v>
      </c>
      <c r="G46" s="548">
        <v>200</v>
      </c>
      <c r="H46" s="548"/>
      <c r="I46" s="548"/>
      <c r="J46" s="548"/>
      <c r="K46" s="548"/>
      <c r="L46" s="548"/>
      <c r="M46" s="548"/>
      <c r="N46" s="548"/>
      <c r="O46" s="548"/>
      <c r="P46" s="548"/>
      <c r="Q46" s="548"/>
      <c r="R46" s="548"/>
      <c r="S46" s="548"/>
      <c r="T46" s="548"/>
      <c r="U46" s="548"/>
      <c r="V46" s="548"/>
      <c r="W46" s="548"/>
      <c r="X46" s="548"/>
      <c r="Y46" s="548"/>
      <c r="Z46" s="548"/>
      <c r="AA46" s="548"/>
      <c r="AB46" s="548"/>
      <c r="AC46" s="548"/>
      <c r="AD46" s="548"/>
      <c r="AE46" s="548"/>
      <c r="AF46" s="548"/>
      <c r="AG46" s="548"/>
      <c r="AH46" s="548"/>
      <c r="AI46" s="548"/>
      <c r="AJ46" s="548"/>
      <c r="AK46" s="548"/>
      <c r="AL46" s="548"/>
    </row>
    <row r="47" spans="1:38">
      <c r="A47" s="548"/>
      <c r="B47" s="548"/>
      <c r="C47" s="548"/>
      <c r="D47" s="548" t="s">
        <v>500</v>
      </c>
      <c r="E47" s="548"/>
      <c r="F47" s="548"/>
      <c r="G47" s="548"/>
      <c r="H47" s="548"/>
      <c r="I47" s="548"/>
      <c r="J47" s="548"/>
      <c r="K47" s="548"/>
      <c r="L47" s="548"/>
      <c r="M47" s="548"/>
      <c r="N47" s="548"/>
      <c r="O47" s="548"/>
      <c r="P47" s="548"/>
      <c r="Q47" s="548"/>
      <c r="R47" s="548"/>
      <c r="S47" s="548"/>
      <c r="T47" s="548"/>
      <c r="U47" s="548"/>
      <c r="V47" s="548"/>
      <c r="W47" s="548"/>
      <c r="X47" s="548"/>
      <c r="Y47" s="548"/>
      <c r="Z47" s="548"/>
      <c r="AA47" s="548"/>
      <c r="AB47" s="548"/>
      <c r="AC47" s="548"/>
      <c r="AD47" s="548"/>
      <c r="AE47" s="548"/>
      <c r="AF47" s="548"/>
      <c r="AG47" s="548"/>
      <c r="AH47" s="548"/>
      <c r="AI47" s="548"/>
      <c r="AJ47" s="548"/>
      <c r="AK47" s="548"/>
      <c r="AL47" s="548"/>
    </row>
    <row r="48" spans="1:38">
      <c r="A48" s="55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row>
    <row r="49" spans="1:38">
      <c r="A49" s="548"/>
      <c r="B49" s="548" t="s">
        <v>501</v>
      </c>
      <c r="C49" s="548"/>
      <c r="D49" s="548"/>
      <c r="E49" s="548"/>
      <c r="F49" s="548"/>
      <c r="G49" s="548"/>
      <c r="H49" s="548"/>
      <c r="I49" s="548"/>
      <c r="J49" s="548"/>
      <c r="K49" s="548"/>
      <c r="L49" s="548"/>
      <c r="M49" s="548"/>
      <c r="N49" s="548"/>
      <c r="O49" s="548"/>
      <c r="P49" s="548"/>
      <c r="Q49" s="548"/>
      <c r="R49" s="548"/>
      <c r="S49" s="548"/>
      <c r="T49" s="548"/>
      <c r="U49" s="548"/>
      <c r="V49" s="548"/>
      <c r="W49" s="548"/>
      <c r="X49" s="548"/>
      <c r="Y49" s="548"/>
      <c r="Z49" s="548"/>
      <c r="AA49" s="548"/>
      <c r="AB49" s="548"/>
      <c r="AC49" s="548"/>
      <c r="AD49" s="548"/>
      <c r="AE49" s="548"/>
      <c r="AF49" s="548"/>
      <c r="AG49" s="548"/>
      <c r="AH49" s="548"/>
      <c r="AI49" s="548"/>
      <c r="AJ49" s="548"/>
      <c r="AK49" s="548"/>
      <c r="AL49" s="548"/>
    </row>
    <row r="50" spans="1:38">
      <c r="A50" s="548"/>
      <c r="B50" s="553" t="s">
        <v>502</v>
      </c>
      <c r="C50" s="548"/>
      <c r="D50" s="548"/>
      <c r="E50" s="548"/>
      <c r="F50" s="548"/>
      <c r="G50" s="548"/>
      <c r="H50" s="548"/>
      <c r="I50" s="548"/>
      <c r="J50" s="548"/>
      <c r="K50" s="548"/>
      <c r="L50" s="548"/>
      <c r="M50" s="548"/>
      <c r="N50" s="548"/>
      <c r="O50" s="548"/>
      <c r="P50" s="548"/>
      <c r="Q50" s="548"/>
      <c r="R50" s="548"/>
      <c r="S50" s="548"/>
      <c r="T50" s="548"/>
      <c r="U50" s="548"/>
      <c r="V50" s="548"/>
      <c r="W50" s="548"/>
      <c r="X50" s="548"/>
      <c r="Y50" s="548"/>
      <c r="Z50" s="548"/>
      <c r="AA50" s="548"/>
      <c r="AB50" s="548"/>
      <c r="AC50" s="548"/>
      <c r="AD50" s="548"/>
      <c r="AE50" s="548"/>
      <c r="AF50" s="548"/>
      <c r="AG50" s="548"/>
      <c r="AH50" s="548"/>
      <c r="AI50" s="548"/>
      <c r="AJ50" s="548"/>
      <c r="AK50" s="548"/>
      <c r="AL50" s="548"/>
    </row>
    <row r="51" spans="1:38">
      <c r="A51" s="548"/>
      <c r="B51" s="553" t="s">
        <v>503</v>
      </c>
      <c r="C51" s="548"/>
      <c r="D51" s="548"/>
      <c r="E51" s="548"/>
      <c r="F51" s="548"/>
      <c r="G51" s="548"/>
      <c r="H51" s="548"/>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row>
    <row r="52" spans="1:38">
      <c r="A52" s="548"/>
      <c r="B52" s="553" t="s">
        <v>504</v>
      </c>
      <c r="C52" s="548"/>
      <c r="D52" s="548"/>
      <c r="E52" s="548"/>
      <c r="F52" s="548"/>
      <c r="G52" s="548"/>
      <c r="H52" s="548"/>
      <c r="I52" s="548"/>
      <c r="J52" s="548"/>
      <c r="K52" s="548"/>
      <c r="L52" s="548"/>
      <c r="M52" s="548"/>
      <c r="N52" s="548"/>
      <c r="O52" s="548"/>
      <c r="P52" s="548"/>
      <c r="Q52" s="548"/>
      <c r="R52" s="548"/>
      <c r="S52" s="548"/>
      <c r="T52" s="548"/>
      <c r="U52" s="548"/>
      <c r="V52" s="548"/>
      <c r="W52" s="548"/>
      <c r="X52" s="548"/>
      <c r="Y52" s="548"/>
      <c r="Z52" s="548"/>
      <c r="AA52" s="548"/>
      <c r="AB52" s="548"/>
      <c r="AC52" s="548"/>
      <c r="AD52" s="548"/>
      <c r="AE52" s="548"/>
      <c r="AF52" s="548"/>
      <c r="AG52" s="548"/>
      <c r="AH52" s="548"/>
      <c r="AI52" s="548"/>
      <c r="AJ52" s="548"/>
      <c r="AK52" s="548"/>
      <c r="AL52" s="548"/>
    </row>
    <row r="53" spans="1:38">
      <c r="A53" s="548"/>
      <c r="B53" s="553" t="s">
        <v>505</v>
      </c>
      <c r="C53" s="548"/>
      <c r="D53" s="548"/>
      <c r="E53" s="548"/>
      <c r="F53" s="548"/>
      <c r="G53" s="548"/>
      <c r="H53" s="548"/>
      <c r="I53" s="548"/>
      <c r="J53" s="548"/>
      <c r="K53" s="548"/>
      <c r="L53" s="548"/>
      <c r="M53" s="548"/>
      <c r="N53" s="548"/>
      <c r="O53" s="548"/>
      <c r="P53" s="548"/>
      <c r="Q53" s="548"/>
      <c r="R53" s="548"/>
      <c r="S53" s="548"/>
      <c r="T53" s="548"/>
      <c r="U53" s="548"/>
      <c r="V53" s="548"/>
      <c r="W53" s="548"/>
      <c r="X53" s="548"/>
      <c r="Y53" s="548"/>
      <c r="Z53" s="548"/>
      <c r="AA53" s="548"/>
      <c r="AB53" s="548"/>
      <c r="AC53" s="548"/>
      <c r="AD53" s="548"/>
      <c r="AE53" s="548"/>
      <c r="AF53" s="548"/>
      <c r="AG53" s="548"/>
      <c r="AH53" s="548"/>
      <c r="AI53" s="548"/>
      <c r="AJ53" s="548"/>
      <c r="AK53" s="548"/>
      <c r="AL53" s="548"/>
    </row>
    <row r="54" spans="1:38">
      <c r="A54" s="551"/>
      <c r="B54" s="554"/>
      <c r="C54" s="551"/>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row>
    <row r="55" spans="1:38">
      <c r="A55" s="548"/>
      <c r="B55" s="549" t="s">
        <v>506</v>
      </c>
      <c r="C55" s="548"/>
      <c r="D55" s="548"/>
      <c r="E55" s="548"/>
      <c r="F55" s="548"/>
      <c r="G55" s="548"/>
      <c r="H55" s="548"/>
      <c r="I55" s="548"/>
      <c r="J55" s="548"/>
      <c r="K55" s="548"/>
      <c r="L55" s="548"/>
      <c r="M55" s="548"/>
      <c r="N55" s="548"/>
      <c r="O55" s="548"/>
      <c r="P55" s="548"/>
      <c r="Q55" s="548"/>
      <c r="R55" s="548"/>
      <c r="S55" s="548"/>
      <c r="T55" s="548"/>
      <c r="U55" s="548"/>
      <c r="V55" s="548"/>
      <c r="W55" s="548"/>
      <c r="X55" s="548"/>
      <c r="Y55" s="548"/>
      <c r="Z55" s="548"/>
      <c r="AA55" s="548"/>
      <c r="AB55" s="548"/>
      <c r="AC55" s="548"/>
      <c r="AD55" s="548"/>
      <c r="AE55" s="548"/>
      <c r="AF55" s="548"/>
      <c r="AG55" s="548"/>
      <c r="AH55" s="548"/>
      <c r="AI55" s="548"/>
      <c r="AJ55" s="548"/>
      <c r="AK55" s="548"/>
      <c r="AL55" s="548"/>
    </row>
    <row r="56" spans="1:38">
      <c r="A56" s="548"/>
      <c r="B56" s="548" t="s">
        <v>507</v>
      </c>
      <c r="C56" s="548"/>
      <c r="D56" s="548"/>
      <c r="E56" s="548"/>
      <c r="F56" s="548"/>
      <c r="G56" s="548"/>
      <c r="H56" s="548"/>
      <c r="I56" s="548"/>
      <c r="J56" s="548"/>
      <c r="K56" s="548"/>
      <c r="L56" s="548"/>
      <c r="M56" s="548"/>
      <c r="N56" s="548"/>
      <c r="O56" s="548"/>
      <c r="P56" s="548"/>
      <c r="Q56" s="548"/>
      <c r="R56" s="548"/>
      <c r="S56" s="548"/>
      <c r="T56" s="548"/>
      <c r="U56" s="548"/>
      <c r="V56" s="548"/>
      <c r="W56" s="548"/>
      <c r="X56" s="548"/>
      <c r="Y56" s="548"/>
      <c r="Z56" s="548"/>
      <c r="AA56" s="548"/>
      <c r="AB56" s="548"/>
      <c r="AC56" s="548"/>
      <c r="AD56" s="548"/>
      <c r="AE56" s="548"/>
      <c r="AF56" s="548"/>
      <c r="AG56" s="548"/>
      <c r="AH56" s="548"/>
      <c r="AI56" s="548"/>
      <c r="AJ56" s="548"/>
      <c r="AK56" s="548"/>
      <c r="AL56" s="548"/>
    </row>
    <row r="57" spans="1:38">
      <c r="A57" s="548"/>
      <c r="B57" s="548" t="s">
        <v>508</v>
      </c>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row>
    <row r="58" spans="1:38">
      <c r="A58" s="548"/>
      <c r="B58" s="548" t="s">
        <v>509</v>
      </c>
      <c r="C58" s="548"/>
      <c r="D58" s="548"/>
      <c r="E58" s="548"/>
      <c r="F58" s="548"/>
      <c r="G58" s="548"/>
      <c r="H58" s="548"/>
      <c r="I58" s="548"/>
      <c r="J58" s="548"/>
      <c r="K58" s="548"/>
      <c r="L58" s="548"/>
      <c r="M58" s="548"/>
      <c r="N58" s="548"/>
      <c r="O58" s="548"/>
      <c r="P58" s="548"/>
      <c r="Q58" s="548"/>
      <c r="R58" s="548"/>
      <c r="S58" s="548"/>
      <c r="T58" s="548"/>
      <c r="U58" s="548"/>
      <c r="V58" s="548"/>
      <c r="W58" s="548"/>
      <c r="X58" s="548"/>
      <c r="Y58" s="548"/>
      <c r="Z58" s="548"/>
      <c r="AA58" s="548"/>
      <c r="AB58" s="548"/>
      <c r="AC58" s="548"/>
      <c r="AD58" s="548"/>
      <c r="AE58" s="548"/>
      <c r="AF58" s="548"/>
      <c r="AG58" s="548"/>
      <c r="AH58" s="548"/>
      <c r="AI58" s="548"/>
      <c r="AJ58" s="548"/>
      <c r="AK58" s="548"/>
      <c r="AL58" s="548"/>
    </row>
    <row r="59" spans="1:38">
      <c r="A59" s="548"/>
      <c r="B59" s="549" t="s">
        <v>510</v>
      </c>
      <c r="C59" s="548"/>
      <c r="D59" s="548"/>
      <c r="E59" s="548"/>
      <c r="F59" s="548"/>
      <c r="G59" s="548"/>
      <c r="H59" s="548"/>
      <c r="I59" s="548"/>
      <c r="J59" s="548"/>
      <c r="K59" s="548"/>
      <c r="L59" s="548"/>
      <c r="M59" s="548"/>
      <c r="N59" s="548"/>
      <c r="O59" s="548"/>
      <c r="P59" s="548"/>
      <c r="Q59" s="548"/>
      <c r="R59" s="548"/>
      <c r="S59" s="548"/>
      <c r="T59" s="548"/>
      <c r="U59" s="548"/>
      <c r="V59" s="548"/>
      <c r="W59" s="548"/>
      <c r="X59" s="548"/>
      <c r="Y59" s="548"/>
      <c r="Z59" s="548"/>
      <c r="AA59" s="548"/>
      <c r="AB59" s="548"/>
      <c r="AC59" s="548"/>
      <c r="AD59" s="548"/>
      <c r="AE59" s="548"/>
      <c r="AF59" s="548"/>
      <c r="AG59" s="548"/>
      <c r="AH59" s="548"/>
      <c r="AI59" s="548"/>
      <c r="AJ59" s="548"/>
      <c r="AK59" s="548"/>
      <c r="AL59" s="548"/>
    </row>
    <row r="60" spans="1:38">
      <c r="A60" s="548"/>
      <c r="B60" s="548" t="s">
        <v>511</v>
      </c>
      <c r="C60" s="548"/>
      <c r="D60" s="548"/>
      <c r="E60" s="548"/>
      <c r="F60" s="548"/>
      <c r="G60" s="548"/>
      <c r="H60" s="548"/>
      <c r="I60" s="548"/>
      <c r="J60" s="548"/>
      <c r="K60" s="548"/>
      <c r="L60" s="548"/>
      <c r="M60" s="548"/>
      <c r="N60" s="548"/>
      <c r="O60" s="548"/>
      <c r="P60" s="548"/>
      <c r="Q60" s="548"/>
      <c r="R60" s="548"/>
      <c r="S60" s="548"/>
      <c r="T60" s="548"/>
      <c r="U60" s="548"/>
      <c r="V60" s="548"/>
      <c r="W60" s="548"/>
      <c r="X60" s="548"/>
      <c r="Y60" s="548"/>
      <c r="Z60" s="548"/>
      <c r="AA60" s="548"/>
      <c r="AB60" s="548"/>
      <c r="AC60" s="548"/>
      <c r="AD60" s="548"/>
      <c r="AE60" s="548"/>
      <c r="AF60" s="548"/>
      <c r="AG60" s="548"/>
      <c r="AH60" s="548"/>
      <c r="AI60" s="548"/>
      <c r="AJ60" s="548"/>
      <c r="AK60" s="548"/>
      <c r="AL60" s="548"/>
    </row>
    <row r="61" spans="1:38">
      <c r="A61" s="548"/>
      <c r="B61" s="548" t="s">
        <v>512</v>
      </c>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row>
    <row r="62" spans="1:38">
      <c r="A62" s="548"/>
      <c r="B62" s="549" t="s">
        <v>513</v>
      </c>
      <c r="C62" s="548"/>
      <c r="D62" s="548"/>
      <c r="E62" s="548"/>
      <c r="F62" s="548"/>
      <c r="G62" s="548"/>
      <c r="H62" s="548"/>
      <c r="I62" s="548"/>
      <c r="J62" s="548"/>
      <c r="K62" s="548"/>
      <c r="L62" s="548"/>
      <c r="M62" s="548"/>
      <c r="N62" s="548"/>
      <c r="O62" s="548"/>
      <c r="P62" s="548"/>
      <c r="Q62" s="548"/>
      <c r="R62" s="548"/>
      <c r="S62" s="548"/>
      <c r="T62" s="548"/>
      <c r="U62" s="548"/>
      <c r="V62" s="548"/>
      <c r="W62" s="548"/>
      <c r="X62" s="548"/>
      <c r="Y62" s="548"/>
      <c r="Z62" s="548"/>
      <c r="AA62" s="548"/>
      <c r="AB62" s="548"/>
      <c r="AC62" s="548"/>
      <c r="AD62" s="548"/>
      <c r="AE62" s="548"/>
      <c r="AF62" s="548"/>
      <c r="AG62" s="548"/>
      <c r="AH62" s="548"/>
      <c r="AI62" s="548"/>
      <c r="AJ62" s="548"/>
      <c r="AK62" s="548"/>
      <c r="AL62" s="548"/>
    </row>
    <row r="63" spans="1:38">
      <c r="A63" s="548"/>
      <c r="B63" s="548" t="s">
        <v>514</v>
      </c>
      <c r="C63" s="548"/>
      <c r="D63" s="548"/>
      <c r="E63" s="548"/>
      <c r="F63" s="548"/>
      <c r="G63" s="548"/>
      <c r="H63" s="548"/>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row>
    <row r="64" spans="1:38">
      <c r="A64" s="548"/>
      <c r="B64" s="548" t="s">
        <v>515</v>
      </c>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row>
    <row r="65" spans="1:38">
      <c r="A65" s="548"/>
      <c r="B65" s="548" t="s">
        <v>516</v>
      </c>
      <c r="C65" s="548"/>
      <c r="D65" s="548"/>
      <c r="E65" s="548"/>
      <c r="F65" s="548"/>
      <c r="G65" s="548"/>
      <c r="H65" s="548"/>
      <c r="I65" s="548"/>
      <c r="J65" s="548"/>
      <c r="K65" s="548"/>
      <c r="L65" s="548"/>
      <c r="M65" s="548"/>
      <c r="N65" s="548"/>
      <c r="O65" s="548"/>
      <c r="P65" s="548"/>
      <c r="Q65" s="548"/>
      <c r="R65" s="548"/>
      <c r="S65" s="548"/>
      <c r="T65" s="548"/>
      <c r="U65" s="548"/>
      <c r="V65" s="548"/>
      <c r="W65" s="548"/>
      <c r="X65" s="548"/>
      <c r="Y65" s="548"/>
      <c r="Z65" s="548"/>
      <c r="AA65" s="548"/>
      <c r="AB65" s="548"/>
      <c r="AC65" s="548"/>
      <c r="AD65" s="548"/>
      <c r="AE65" s="548"/>
      <c r="AF65" s="548"/>
      <c r="AG65" s="548"/>
      <c r="AH65" s="548"/>
      <c r="AI65" s="548"/>
      <c r="AJ65" s="548"/>
      <c r="AK65" s="548"/>
      <c r="AL65" s="548"/>
    </row>
    <row r="66" spans="1:38">
      <c r="A66" s="548"/>
      <c r="B66" s="549" t="s">
        <v>517</v>
      </c>
      <c r="C66" s="548"/>
      <c r="D66" s="548"/>
      <c r="E66" s="548"/>
      <c r="F66" s="548"/>
      <c r="G66" s="548"/>
      <c r="H66" s="548"/>
      <c r="I66" s="548"/>
      <c r="J66" s="548"/>
      <c r="K66" s="548"/>
      <c r="L66" s="548"/>
      <c r="M66" s="548"/>
      <c r="N66" s="548"/>
      <c r="O66" s="548"/>
      <c r="P66" s="548"/>
      <c r="Q66" s="548"/>
      <c r="R66" s="548"/>
      <c r="S66" s="548"/>
      <c r="T66" s="548"/>
      <c r="U66" s="548"/>
      <c r="V66" s="548"/>
      <c r="W66" s="548"/>
      <c r="X66" s="548"/>
      <c r="Y66" s="548"/>
      <c r="Z66" s="548"/>
      <c r="AA66" s="548"/>
      <c r="AB66" s="548"/>
      <c r="AC66" s="548"/>
      <c r="AD66" s="548"/>
      <c r="AE66" s="548"/>
      <c r="AF66" s="548"/>
      <c r="AG66" s="548"/>
      <c r="AH66" s="548"/>
      <c r="AI66" s="548"/>
      <c r="AJ66" s="548"/>
      <c r="AK66" s="548"/>
      <c r="AL66" s="548"/>
    </row>
    <row r="67" spans="1:38">
      <c r="A67" s="548"/>
      <c r="B67" s="548" t="s">
        <v>518</v>
      </c>
      <c r="C67" s="548"/>
      <c r="D67" s="548"/>
      <c r="E67" s="548"/>
      <c r="F67" s="548"/>
      <c r="G67" s="548"/>
      <c r="H67" s="548"/>
      <c r="I67" s="548"/>
      <c r="J67" s="548"/>
      <c r="K67" s="548"/>
      <c r="L67" s="548"/>
      <c r="M67" s="548"/>
      <c r="N67" s="548"/>
      <c r="O67" s="548"/>
      <c r="P67" s="548"/>
      <c r="Q67" s="548"/>
      <c r="R67" s="548"/>
      <c r="S67" s="548"/>
      <c r="T67" s="548"/>
      <c r="U67" s="548"/>
      <c r="V67" s="548"/>
      <c r="W67" s="548"/>
      <c r="X67" s="548"/>
      <c r="Y67" s="548"/>
      <c r="Z67" s="548"/>
      <c r="AA67" s="548"/>
      <c r="AB67" s="548"/>
      <c r="AC67" s="548"/>
      <c r="AD67" s="548"/>
      <c r="AE67" s="548"/>
      <c r="AF67" s="548"/>
      <c r="AG67" s="548"/>
      <c r="AH67" s="548"/>
      <c r="AI67" s="548"/>
      <c r="AJ67" s="548"/>
      <c r="AK67" s="548"/>
      <c r="AL67" s="548"/>
    </row>
    <row r="68" spans="1:38">
      <c r="A68" s="548"/>
      <c r="B68" s="548" t="s">
        <v>519</v>
      </c>
      <c r="C68" s="548"/>
      <c r="D68" s="548"/>
      <c r="E68" s="548"/>
      <c r="F68" s="548"/>
      <c r="G68" s="548"/>
      <c r="H68" s="548"/>
      <c r="I68" s="548"/>
      <c r="J68" s="548"/>
      <c r="K68" s="548"/>
      <c r="L68" s="548"/>
      <c r="M68" s="548"/>
      <c r="N68" s="548"/>
      <c r="O68" s="548"/>
      <c r="P68" s="548"/>
      <c r="Q68" s="548"/>
      <c r="R68" s="548"/>
      <c r="S68" s="548"/>
      <c r="T68" s="548"/>
      <c r="U68" s="548"/>
      <c r="V68" s="548"/>
      <c r="W68" s="548"/>
      <c r="X68" s="548"/>
      <c r="Y68" s="548"/>
      <c r="Z68" s="548"/>
      <c r="AA68" s="548"/>
      <c r="AB68" s="548"/>
      <c r="AC68" s="548"/>
      <c r="AD68" s="548"/>
      <c r="AE68" s="548"/>
      <c r="AF68" s="548"/>
      <c r="AG68" s="548"/>
      <c r="AH68" s="548"/>
      <c r="AI68" s="548"/>
      <c r="AJ68" s="548"/>
      <c r="AK68" s="548"/>
      <c r="AL68" s="548"/>
    </row>
    <row r="69" spans="1:38">
      <c r="A69" s="548"/>
      <c r="B69" s="549" t="s">
        <v>520</v>
      </c>
      <c r="C69" s="548"/>
      <c r="D69" s="548"/>
      <c r="E69" s="548"/>
      <c r="F69" s="548"/>
      <c r="G69" s="548"/>
      <c r="H69" s="548"/>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row>
    <row r="70" spans="1:38">
      <c r="A70" s="548"/>
      <c r="B70" s="548" t="s">
        <v>521</v>
      </c>
      <c r="C70" s="548"/>
      <c r="D70" s="548"/>
      <c r="E70" s="548"/>
      <c r="F70" s="548"/>
      <c r="G70" s="548"/>
      <c r="H70" s="548"/>
      <c r="I70" s="548"/>
      <c r="J70" s="548"/>
      <c r="K70" s="548"/>
      <c r="L70" s="548"/>
      <c r="M70" s="548"/>
      <c r="N70" s="548"/>
      <c r="O70" s="548"/>
      <c r="P70" s="548"/>
      <c r="Q70" s="548"/>
      <c r="R70" s="548"/>
      <c r="S70" s="548"/>
      <c r="T70" s="548"/>
      <c r="U70" s="548"/>
      <c r="V70" s="548"/>
      <c r="W70" s="548"/>
      <c r="X70" s="548"/>
      <c r="Y70" s="548"/>
      <c r="Z70" s="548"/>
      <c r="AA70" s="548"/>
      <c r="AB70" s="548"/>
      <c r="AC70" s="548"/>
      <c r="AD70" s="548"/>
      <c r="AE70" s="548"/>
      <c r="AF70" s="548"/>
      <c r="AG70" s="548"/>
      <c r="AH70" s="548"/>
      <c r="AI70" s="548"/>
      <c r="AJ70" s="548"/>
      <c r="AK70" s="548"/>
      <c r="AL70" s="548"/>
    </row>
    <row r="71" spans="1:38">
      <c r="A71" s="549"/>
      <c r="B71" s="549" t="s">
        <v>522</v>
      </c>
      <c r="C71" s="549"/>
      <c r="D71" s="549"/>
      <c r="E71" s="549"/>
      <c r="F71" s="549"/>
      <c r="G71" s="549"/>
      <c r="H71" s="549"/>
      <c r="I71" s="549"/>
      <c r="J71" s="549"/>
      <c r="K71" s="549"/>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row>
    <row r="72" spans="1:38">
      <c r="A72" s="549"/>
      <c r="B72" s="548" t="s">
        <v>523</v>
      </c>
      <c r="C72" s="549"/>
      <c r="D72" s="549"/>
      <c r="E72" s="549"/>
      <c r="F72" s="549"/>
      <c r="G72" s="549"/>
      <c r="H72" s="549"/>
      <c r="I72" s="549"/>
      <c r="J72" s="549"/>
      <c r="K72" s="549"/>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row>
    <row r="73" spans="1:38">
      <c r="A73" s="548"/>
      <c r="B73" s="548" t="s">
        <v>524</v>
      </c>
      <c r="C73" s="548"/>
      <c r="D73" s="548"/>
      <c r="E73" s="548"/>
      <c r="F73" s="548"/>
      <c r="G73" s="548"/>
      <c r="H73" s="548"/>
      <c r="I73" s="548"/>
      <c r="J73" s="548"/>
      <c r="K73" s="548"/>
      <c r="L73" s="548"/>
      <c r="M73" s="548"/>
      <c r="N73" s="548"/>
      <c r="O73" s="548"/>
      <c r="P73" s="548"/>
      <c r="Q73" s="548"/>
      <c r="R73" s="548"/>
      <c r="S73" s="548"/>
      <c r="T73" s="548"/>
      <c r="U73" s="548"/>
      <c r="V73" s="548"/>
      <c r="W73" s="548"/>
      <c r="X73" s="548"/>
      <c r="Y73" s="548"/>
      <c r="Z73" s="548"/>
      <c r="AA73" s="548"/>
      <c r="AB73" s="548"/>
      <c r="AC73" s="548"/>
      <c r="AD73" s="548"/>
      <c r="AE73" s="548"/>
      <c r="AF73" s="548"/>
      <c r="AG73" s="548"/>
      <c r="AH73" s="548"/>
      <c r="AI73" s="548"/>
      <c r="AJ73" s="548"/>
      <c r="AK73" s="548"/>
      <c r="AL73" s="548"/>
    </row>
    <row r="74" spans="1:38">
      <c r="A74" s="548"/>
      <c r="B74" s="548" t="s">
        <v>525</v>
      </c>
      <c r="C74" s="548"/>
      <c r="D74" s="548"/>
      <c r="E74" s="548"/>
      <c r="F74" s="548"/>
      <c r="G74" s="548"/>
      <c r="H74" s="548"/>
      <c r="I74" s="548"/>
      <c r="J74" s="548"/>
      <c r="K74" s="548"/>
      <c r="L74" s="548"/>
      <c r="M74" s="548"/>
      <c r="N74" s="548"/>
      <c r="O74" s="548"/>
      <c r="P74" s="548"/>
      <c r="Q74" s="548"/>
      <c r="R74" s="548"/>
      <c r="S74" s="548"/>
      <c r="T74" s="548"/>
      <c r="U74" s="548"/>
      <c r="V74" s="548"/>
      <c r="W74" s="548"/>
      <c r="X74" s="548"/>
      <c r="Y74" s="548"/>
      <c r="Z74" s="548"/>
      <c r="AA74" s="548"/>
      <c r="AB74" s="548"/>
      <c r="AC74" s="548"/>
      <c r="AD74" s="548"/>
      <c r="AE74" s="548"/>
      <c r="AF74" s="548"/>
      <c r="AG74" s="548"/>
      <c r="AH74" s="548"/>
      <c r="AI74" s="548"/>
      <c r="AJ74" s="548"/>
      <c r="AK74" s="548"/>
      <c r="AL74" s="548"/>
    </row>
    <row r="75" spans="1:38">
      <c r="A75" s="548"/>
      <c r="B75" s="548" t="s">
        <v>526</v>
      </c>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row>
    <row r="76" spans="1:38">
      <c r="A76" s="548"/>
      <c r="B76" s="548" t="s">
        <v>527</v>
      </c>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row>
    <row r="77" spans="1:38">
      <c r="A77" s="548"/>
      <c r="B77" s="549" t="s">
        <v>528</v>
      </c>
      <c r="C77" s="548"/>
      <c r="D77" s="548"/>
      <c r="E77" s="548"/>
      <c r="F77" s="548"/>
      <c r="G77" s="548"/>
      <c r="H77" s="548"/>
      <c r="I77" s="548"/>
      <c r="J77" s="548"/>
      <c r="K77" s="548"/>
      <c r="L77" s="548"/>
      <c r="M77" s="548"/>
      <c r="N77" s="548"/>
      <c r="O77" s="548"/>
      <c r="P77" s="548"/>
      <c r="Q77" s="548"/>
      <c r="R77" s="548"/>
      <c r="S77" s="548"/>
      <c r="T77" s="548"/>
      <c r="U77" s="548"/>
      <c r="V77" s="548"/>
      <c r="W77" s="548"/>
      <c r="X77" s="548"/>
      <c r="Y77" s="548"/>
      <c r="Z77" s="548"/>
      <c r="AA77" s="548"/>
      <c r="AB77" s="548"/>
      <c r="AC77" s="548"/>
      <c r="AD77" s="548"/>
      <c r="AE77" s="548"/>
      <c r="AF77" s="548"/>
      <c r="AG77" s="548"/>
      <c r="AH77" s="548"/>
      <c r="AI77" s="548"/>
      <c r="AJ77" s="548"/>
      <c r="AK77" s="548"/>
      <c r="AL77" s="548"/>
    </row>
    <row r="78" spans="1:38">
      <c r="A78" s="548"/>
      <c r="B78" s="548" t="s">
        <v>529</v>
      </c>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row>
    <row r="79" spans="1:38">
      <c r="A79" s="548"/>
      <c r="B79" s="549" t="s">
        <v>530</v>
      </c>
      <c r="C79" s="548"/>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row>
    <row r="80" spans="1:38">
      <c r="A80" s="548"/>
      <c r="B80" s="548" t="s">
        <v>531</v>
      </c>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8"/>
      <c r="AJ80" s="548"/>
      <c r="AK80" s="548"/>
      <c r="AL80" s="548"/>
    </row>
    <row r="81" spans="1:38">
      <c r="A81" s="548"/>
      <c r="B81" s="548" t="s">
        <v>532</v>
      </c>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row>
    <row r="82" spans="1:38">
      <c r="A82" s="548"/>
      <c r="B82" s="548" t="s">
        <v>533</v>
      </c>
      <c r="C82" s="548"/>
      <c r="D82" s="548"/>
      <c r="E82" s="548"/>
      <c r="F82" s="548"/>
      <c r="G82" s="548"/>
      <c r="H82" s="548"/>
      <c r="I82" s="548"/>
      <c r="J82" s="548"/>
      <c r="K82" s="548"/>
      <c r="L82" s="548"/>
      <c r="M82" s="548"/>
      <c r="N82" s="548"/>
      <c r="O82" s="548"/>
      <c r="P82" s="548"/>
      <c r="Q82" s="548"/>
      <c r="R82" s="548"/>
      <c r="S82" s="548"/>
      <c r="T82" s="548"/>
      <c r="U82" s="548"/>
      <c r="V82" s="548"/>
      <c r="W82" s="548"/>
      <c r="X82" s="548"/>
      <c r="Y82" s="548"/>
      <c r="Z82" s="548"/>
      <c r="AA82" s="548"/>
      <c r="AB82" s="548"/>
      <c r="AC82" s="548"/>
      <c r="AD82" s="548"/>
      <c r="AE82" s="548"/>
      <c r="AF82" s="548"/>
      <c r="AG82" s="548"/>
      <c r="AH82" s="548"/>
      <c r="AI82" s="548"/>
      <c r="AJ82" s="548"/>
      <c r="AK82" s="548"/>
      <c r="AL82" s="548"/>
    </row>
    <row r="83" spans="1:38">
      <c r="A83" s="548"/>
      <c r="B83" s="548" t="s">
        <v>534</v>
      </c>
      <c r="C83" s="548"/>
      <c r="D83" s="548"/>
      <c r="E83" s="548"/>
      <c r="F83" s="548"/>
      <c r="G83" s="548"/>
      <c r="H83" s="548"/>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row>
    <row r="84" spans="1:38">
      <c r="A84" s="548"/>
      <c r="B84" s="548" t="s">
        <v>535</v>
      </c>
      <c r="C84" s="548"/>
      <c r="D84" s="548"/>
      <c r="E84" s="548"/>
      <c r="F84" s="548"/>
      <c r="G84" s="548"/>
      <c r="H84" s="548"/>
      <c r="I84" s="548"/>
      <c r="J84" s="548"/>
      <c r="K84" s="548"/>
      <c r="L84" s="548"/>
      <c r="M84" s="548"/>
      <c r="N84" s="548"/>
      <c r="O84" s="548"/>
      <c r="P84" s="548"/>
      <c r="Q84" s="548"/>
      <c r="R84" s="548"/>
      <c r="S84" s="548"/>
      <c r="T84" s="548"/>
      <c r="U84" s="548"/>
      <c r="V84" s="548"/>
      <c r="W84" s="548"/>
      <c r="X84" s="548"/>
      <c r="Y84" s="548"/>
      <c r="Z84" s="548"/>
      <c r="AA84" s="548"/>
      <c r="AB84" s="548"/>
      <c r="AC84" s="548"/>
      <c r="AD84" s="548"/>
      <c r="AE84" s="548"/>
      <c r="AF84" s="548"/>
      <c r="AG84" s="548"/>
      <c r="AH84" s="548"/>
      <c r="AI84" s="548"/>
      <c r="AJ84" s="548"/>
      <c r="AK84" s="548"/>
      <c r="AL84" s="548"/>
    </row>
    <row r="85" spans="1:38">
      <c r="A85" s="548"/>
      <c r="B85" s="548" t="s">
        <v>536</v>
      </c>
      <c r="C85" s="548"/>
      <c r="D85" s="548"/>
      <c r="E85" s="548"/>
      <c r="F85" s="548"/>
      <c r="G85" s="548"/>
      <c r="H85" s="548"/>
      <c r="I85" s="548"/>
      <c r="J85" s="548"/>
      <c r="K85" s="548"/>
      <c r="L85" s="548"/>
      <c r="M85" s="548"/>
      <c r="N85" s="548"/>
      <c r="O85" s="548"/>
      <c r="P85" s="548"/>
      <c r="Q85" s="548"/>
      <c r="R85" s="548"/>
      <c r="S85" s="548"/>
      <c r="T85" s="548"/>
      <c r="U85" s="548"/>
      <c r="V85" s="548"/>
      <c r="W85" s="548"/>
      <c r="X85" s="548"/>
      <c r="Y85" s="548"/>
      <c r="Z85" s="548"/>
      <c r="AA85" s="548"/>
      <c r="AB85" s="548"/>
      <c r="AC85" s="548"/>
      <c r="AD85" s="548"/>
      <c r="AE85" s="548"/>
      <c r="AF85" s="548"/>
      <c r="AG85" s="548"/>
      <c r="AH85" s="548"/>
      <c r="AI85" s="548"/>
      <c r="AJ85" s="548"/>
      <c r="AK85" s="548"/>
      <c r="AL85" s="548"/>
    </row>
    <row r="86" spans="1:38">
      <c r="A86" s="548"/>
      <c r="B86" s="549" t="s">
        <v>260</v>
      </c>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row>
    <row r="87" spans="1:38">
      <c r="A87" s="548"/>
      <c r="B87" s="548" t="s">
        <v>537</v>
      </c>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c r="AL87" s="548"/>
    </row>
    <row r="88" spans="1:38">
      <c r="A88" s="548"/>
      <c r="B88" s="548" t="s">
        <v>538</v>
      </c>
      <c r="C88" s="548"/>
      <c r="D88" s="548"/>
      <c r="E88" s="548"/>
      <c r="F88" s="548"/>
      <c r="G88" s="548"/>
      <c r="H88" s="548"/>
      <c r="I88" s="548"/>
      <c r="J88" s="548"/>
      <c r="K88" s="548"/>
      <c r="L88" s="548"/>
      <c r="M88" s="548"/>
      <c r="N88" s="548"/>
      <c r="O88" s="548"/>
      <c r="P88" s="548"/>
      <c r="Q88" s="548"/>
      <c r="R88" s="548"/>
      <c r="S88" s="548"/>
      <c r="T88" s="548"/>
      <c r="U88" s="548"/>
      <c r="V88" s="548"/>
      <c r="W88" s="548"/>
      <c r="X88" s="548"/>
      <c r="Y88" s="548"/>
      <c r="Z88" s="548"/>
      <c r="AA88" s="548"/>
      <c r="AB88" s="548"/>
      <c r="AC88" s="548"/>
      <c r="AD88" s="548"/>
      <c r="AE88" s="548"/>
      <c r="AF88" s="548"/>
      <c r="AG88" s="548"/>
      <c r="AH88" s="548"/>
      <c r="AI88" s="548"/>
      <c r="AJ88" s="548"/>
      <c r="AK88" s="548"/>
      <c r="AL88" s="548"/>
    </row>
    <row r="89" spans="1:38">
      <c r="A89" s="548"/>
      <c r="B89" s="548" t="s">
        <v>539</v>
      </c>
      <c r="C89" s="548"/>
      <c r="D89" s="548"/>
      <c r="E89" s="548"/>
      <c r="F89" s="548"/>
      <c r="G89" s="548"/>
      <c r="H89" s="548"/>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row>
    <row r="90" spans="1:38">
      <c r="A90" s="548"/>
      <c r="B90" s="548" t="s">
        <v>540</v>
      </c>
      <c r="C90" s="548"/>
      <c r="D90" s="548"/>
      <c r="E90" s="548"/>
      <c r="F90" s="548"/>
      <c r="G90" s="548"/>
      <c r="H90" s="548"/>
      <c r="I90" s="548"/>
      <c r="J90" s="548"/>
      <c r="K90" s="548"/>
      <c r="L90" s="548"/>
      <c r="M90" s="548"/>
      <c r="N90" s="548"/>
      <c r="O90" s="548"/>
      <c r="P90" s="548"/>
      <c r="Q90" s="548"/>
      <c r="R90" s="548"/>
      <c r="S90" s="548"/>
      <c r="T90" s="548"/>
      <c r="U90" s="548"/>
      <c r="V90" s="548"/>
      <c r="W90" s="548"/>
      <c r="X90" s="548"/>
      <c r="Y90" s="548"/>
      <c r="Z90" s="548"/>
      <c r="AA90" s="548"/>
      <c r="AB90" s="548"/>
      <c r="AC90" s="548"/>
      <c r="AD90" s="548"/>
      <c r="AE90" s="548"/>
      <c r="AF90" s="548"/>
      <c r="AG90" s="548"/>
      <c r="AH90" s="548"/>
      <c r="AI90" s="548"/>
      <c r="AJ90" s="548"/>
      <c r="AK90" s="548"/>
      <c r="AL90" s="548"/>
    </row>
    <row r="91" spans="1:38">
      <c r="A91" s="548"/>
      <c r="B91" s="548" t="s">
        <v>541</v>
      </c>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c r="AL91" s="548"/>
    </row>
    <row r="92" spans="1:38">
      <c r="A92" s="548"/>
      <c r="B92" s="548" t="s">
        <v>542</v>
      </c>
      <c r="C92" s="548"/>
      <c r="D92" s="548"/>
      <c r="E92" s="548"/>
      <c r="F92" s="548"/>
      <c r="G92" s="548"/>
      <c r="H92" s="548"/>
      <c r="I92" s="548"/>
      <c r="J92" s="548"/>
      <c r="K92" s="548"/>
      <c r="L92" s="548"/>
      <c r="M92" s="548"/>
      <c r="N92" s="548"/>
      <c r="O92" s="548"/>
      <c r="P92" s="548"/>
      <c r="Q92" s="548"/>
      <c r="R92" s="548"/>
      <c r="S92" s="548"/>
      <c r="T92" s="548"/>
      <c r="U92" s="548"/>
      <c r="V92" s="548"/>
      <c r="W92" s="548"/>
      <c r="X92" s="548"/>
      <c r="Y92" s="548"/>
      <c r="Z92" s="548"/>
      <c r="AA92" s="548"/>
      <c r="AB92" s="548"/>
      <c r="AC92" s="548"/>
      <c r="AD92" s="548"/>
      <c r="AE92" s="548"/>
      <c r="AF92" s="548"/>
      <c r="AG92" s="548"/>
      <c r="AH92" s="548"/>
      <c r="AI92" s="548"/>
      <c r="AJ92" s="548"/>
      <c r="AK92" s="548"/>
      <c r="AL92" s="548"/>
    </row>
    <row r="93" spans="1:38">
      <c r="A93" s="548"/>
      <c r="B93" s="548"/>
      <c r="C93" s="548"/>
      <c r="D93" s="548"/>
      <c r="E93" s="548"/>
      <c r="F93" s="548"/>
      <c r="G93" s="548"/>
      <c r="H93" s="548"/>
      <c r="I93" s="548"/>
      <c r="J93" s="548"/>
      <c r="K93" s="548"/>
      <c r="L93" s="548"/>
      <c r="M93" s="548"/>
      <c r="N93" s="548"/>
      <c r="O93" s="548"/>
      <c r="P93" s="548"/>
      <c r="Q93" s="548"/>
      <c r="R93" s="548"/>
      <c r="S93" s="548"/>
      <c r="T93" s="548"/>
      <c r="U93" s="548"/>
      <c r="V93" s="548"/>
      <c r="W93" s="548"/>
      <c r="X93" s="548"/>
      <c r="Y93" s="548"/>
      <c r="Z93" s="548"/>
      <c r="AA93" s="548"/>
      <c r="AB93" s="548"/>
      <c r="AC93" s="548"/>
      <c r="AD93" s="548"/>
      <c r="AE93" s="548"/>
      <c r="AF93" s="548"/>
      <c r="AG93" s="548"/>
      <c r="AH93" s="548"/>
      <c r="AI93" s="548"/>
      <c r="AJ93" s="548"/>
      <c r="AK93" s="548"/>
      <c r="AL93" s="548"/>
    </row>
    <row r="94" spans="1:38">
      <c r="A94" s="548"/>
      <c r="B94" s="548" t="s">
        <v>543</v>
      </c>
      <c r="C94" s="548"/>
      <c r="D94" s="548"/>
      <c r="E94" s="548"/>
      <c r="F94" s="548"/>
      <c r="G94" s="548"/>
      <c r="H94" s="548"/>
      <c r="I94" s="548"/>
      <c r="J94" s="548"/>
      <c r="K94" s="548"/>
      <c r="L94" s="548"/>
      <c r="M94" s="548"/>
      <c r="N94" s="548"/>
      <c r="O94" s="548"/>
      <c r="P94" s="548"/>
      <c r="Q94" s="548"/>
      <c r="R94" s="548"/>
      <c r="S94" s="548"/>
      <c r="T94" s="548"/>
      <c r="U94" s="548"/>
      <c r="V94" s="548"/>
      <c r="W94" s="548"/>
      <c r="X94" s="548"/>
      <c r="Y94" s="548"/>
      <c r="Z94" s="548"/>
      <c r="AA94" s="548"/>
      <c r="AB94" s="548"/>
      <c r="AC94" s="548"/>
      <c r="AD94" s="548"/>
      <c r="AE94" s="548"/>
      <c r="AF94" s="548"/>
      <c r="AG94" s="548"/>
      <c r="AH94" s="548"/>
      <c r="AI94" s="548"/>
      <c r="AJ94" s="548"/>
      <c r="AK94" s="548"/>
      <c r="AL94" s="548"/>
    </row>
    <row r="95" spans="1:38">
      <c r="A95" s="548"/>
      <c r="B95" s="548" t="s">
        <v>544</v>
      </c>
      <c r="C95" s="548"/>
      <c r="D95" s="548"/>
      <c r="E95" s="548"/>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row>
    <row r="96" spans="1:38">
      <c r="A96" s="548"/>
      <c r="B96" s="548" t="s">
        <v>545</v>
      </c>
      <c r="C96" s="548"/>
      <c r="D96" s="548"/>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row>
    <row r="97" spans="1:38">
      <c r="A97" s="548"/>
      <c r="B97" s="548"/>
      <c r="C97" s="548"/>
      <c r="D97" s="548"/>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row>
    <row r="98" spans="1:38">
      <c r="A98" s="548"/>
      <c r="B98" s="548" t="s">
        <v>546</v>
      </c>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row>
    <row r="99" spans="1:38">
      <c r="A99" s="548"/>
      <c r="B99" s="548" t="s">
        <v>547</v>
      </c>
      <c r="C99" s="548"/>
      <c r="D99" s="548"/>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row>
    <row r="100" spans="1:38">
      <c r="A100" s="548"/>
      <c r="B100" s="548"/>
      <c r="C100" s="548"/>
      <c r="D100" s="548"/>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row>
    <row r="101" spans="1:38">
      <c r="A101" s="548"/>
      <c r="B101" s="548"/>
      <c r="C101" s="548"/>
      <c r="D101" s="548"/>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row>
    <row r="102" spans="1:38">
      <c r="A102" s="548"/>
      <c r="B102" s="548" t="s">
        <v>548</v>
      </c>
      <c r="C102" s="548"/>
      <c r="D102" s="548"/>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row>
    <row r="103" spans="1:38">
      <c r="A103" s="548"/>
      <c r="B103" s="548"/>
      <c r="C103" s="548"/>
      <c r="D103" s="548"/>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row>
    <row r="104" spans="1:38">
      <c r="A104" s="548"/>
      <c r="B104" s="548" t="s">
        <v>549</v>
      </c>
      <c r="C104" s="548"/>
      <c r="D104" s="548"/>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row>
    <row r="105" spans="1:38">
      <c r="A105" s="548"/>
      <c r="B105" s="548" t="s">
        <v>550</v>
      </c>
      <c r="C105" s="548"/>
      <c r="D105" s="548"/>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row>
    <row r="106" spans="1:38">
      <c r="A106" s="548"/>
      <c r="B106" s="548" t="s">
        <v>551</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row>
    <row r="107" spans="1:38">
      <c r="A107" s="548"/>
      <c r="B107" s="548"/>
      <c r="C107" s="548"/>
      <c r="D107" s="548"/>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row>
    <row r="108" spans="1:38">
      <c r="A108" s="548"/>
      <c r="B108" s="548" t="s">
        <v>552</v>
      </c>
      <c r="C108" s="548" t="s">
        <v>553</v>
      </c>
      <c r="D108" s="54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row>
    <row r="109" spans="1:38">
      <c r="A109" s="548"/>
      <c r="B109" s="548" t="s">
        <v>554</v>
      </c>
      <c r="C109" s="548" t="s">
        <v>555</v>
      </c>
      <c r="D109" s="548"/>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row>
    <row r="110" spans="1:38">
      <c r="A110" s="548"/>
      <c r="B110" s="548"/>
      <c r="C110" s="548"/>
      <c r="D110" s="548"/>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row>
    <row r="111" spans="1:38">
      <c r="A111" s="548"/>
      <c r="B111" s="548" t="s">
        <v>556</v>
      </c>
      <c r="C111" s="548" t="s">
        <v>557</v>
      </c>
      <c r="D111" s="548" t="s">
        <v>558</v>
      </c>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row>
    <row r="112" spans="1:38">
      <c r="A112" s="548"/>
      <c r="B112" s="548" t="s">
        <v>559</v>
      </c>
      <c r="C112" s="548" t="s">
        <v>560</v>
      </c>
      <c r="D112" s="548" t="s">
        <v>561</v>
      </c>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row>
    <row r="113" spans="1:38">
      <c r="A113" s="548"/>
      <c r="B113" s="548"/>
      <c r="C113" s="548"/>
      <c r="D113" s="548"/>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row>
    <row r="114" spans="1:38">
      <c r="A114" s="548"/>
      <c r="B114" s="548"/>
      <c r="C114" s="548" t="s">
        <v>562</v>
      </c>
      <c r="D114" s="548"/>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row>
    <row r="115" spans="1:38">
      <c r="A115" s="548"/>
      <c r="B115" s="548"/>
      <c r="C115" s="548" t="s">
        <v>563</v>
      </c>
      <c r="D115" s="548"/>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row>
    <row r="116" spans="1:38">
      <c r="A116" s="548"/>
      <c r="B116" s="548"/>
      <c r="C116" s="548"/>
      <c r="D116" s="548"/>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row>
    <row r="117" spans="1:38">
      <c r="A117" s="548"/>
      <c r="B117" s="548" t="s">
        <v>564</v>
      </c>
      <c r="C117" s="548"/>
      <c r="D117" s="548" t="s">
        <v>565</v>
      </c>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row>
    <row r="118" spans="1:38">
      <c r="A118" s="548"/>
      <c r="B118" s="548" t="s">
        <v>566</v>
      </c>
      <c r="C118" s="548"/>
      <c r="D118" s="548" t="s">
        <v>567</v>
      </c>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row>
    <row r="119" spans="1:38">
      <c r="A119" s="548"/>
      <c r="B119" s="548" t="s">
        <v>568</v>
      </c>
      <c r="C119" s="548"/>
      <c r="D119" s="548" t="s">
        <v>565</v>
      </c>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row>
    <row r="120" spans="1:38">
      <c r="A120" s="548"/>
      <c r="B120" s="548"/>
      <c r="C120" s="548"/>
      <c r="D120" s="548"/>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row>
    <row r="121" spans="1:38">
      <c r="A121" s="548"/>
      <c r="B121" s="548"/>
      <c r="C121" s="548"/>
      <c r="D121" s="548"/>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row>
    <row r="122" spans="1:38">
      <c r="A122" s="548"/>
      <c r="B122" s="548"/>
      <c r="C122" s="548"/>
      <c r="D122" s="548"/>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row>
    <row r="123" spans="1:38">
      <c r="A123" s="548"/>
      <c r="B123" s="548"/>
      <c r="C123" s="548"/>
      <c r="D123" s="548"/>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row>
    <row r="124" spans="1:38">
      <c r="A124" s="548"/>
      <c r="B124" s="548"/>
      <c r="C124" s="548"/>
      <c r="D124" s="548"/>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row>
    <row r="125" spans="1:38">
      <c r="A125" s="548"/>
      <c r="B125" s="548"/>
      <c r="C125" s="548"/>
      <c r="D125" s="548"/>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row>
    <row r="126" spans="1:38">
      <c r="A126" s="548"/>
      <c r="B126" s="548"/>
      <c r="C126" s="548"/>
      <c r="D126" s="548"/>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row>
    <row r="127" spans="1:38">
      <c r="A127" s="548"/>
      <c r="B127" s="548"/>
      <c r="C127" s="548"/>
      <c r="D127" s="548"/>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row>
    <row r="128" spans="1:38">
      <c r="A128" s="548"/>
      <c r="B128" s="548"/>
      <c r="C128" s="548"/>
      <c r="D128" s="548"/>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row>
    <row r="129" spans="1:38">
      <c r="A129" s="548"/>
      <c r="B129" s="548"/>
      <c r="C129" s="548"/>
      <c r="D129" s="548"/>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row>
    <row r="130" spans="1:38">
      <c r="A130" s="548"/>
      <c r="B130" s="548"/>
      <c r="C130" s="548"/>
      <c r="D130" s="548"/>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row>
    <row r="131" spans="1:38">
      <c r="A131" s="548"/>
      <c r="B131" s="548"/>
      <c r="C131" s="548"/>
      <c r="D131" s="548"/>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row>
    <row r="132" spans="1:38">
      <c r="A132" s="548"/>
      <c r="B132" s="548"/>
      <c r="C132" s="548"/>
      <c r="D132" s="548"/>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row>
    <row r="133" spans="1:38">
      <c r="A133" s="548"/>
      <c r="B133" s="548"/>
      <c r="C133" s="548"/>
      <c r="D133" s="548"/>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row>
    <row r="134" spans="1:38">
      <c r="A134" s="548"/>
      <c r="B134" s="548"/>
      <c r="C134" s="548"/>
      <c r="D134" s="548"/>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row>
    <row r="135" spans="1:38">
      <c r="A135" s="548"/>
      <c r="B135" s="548"/>
      <c r="C135" s="548"/>
      <c r="D135" s="548"/>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row>
    <row r="136" spans="1:38">
      <c r="A136" s="548"/>
      <c r="B136" s="548"/>
      <c r="C136" s="548"/>
      <c r="D136" s="548"/>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row>
    <row r="137" spans="1:38">
      <c r="A137" s="548"/>
      <c r="B137" s="548"/>
      <c r="C137" s="548"/>
      <c r="D137" s="548"/>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row>
    <row r="138" spans="1:38">
      <c r="A138" s="548"/>
      <c r="B138" s="548"/>
      <c r="C138" s="548"/>
      <c r="D138" s="548"/>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row>
    <row r="139" spans="1:38">
      <c r="A139" s="548"/>
      <c r="B139" s="548"/>
      <c r="C139" s="548"/>
      <c r="D139" s="548"/>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row>
    <row r="140" spans="1:38">
      <c r="A140" s="548"/>
      <c r="B140" s="548"/>
      <c r="C140" s="548"/>
      <c r="D140" s="548"/>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row>
    <row r="141" spans="1:38">
      <c r="A141" s="548"/>
      <c r="B141" s="548"/>
      <c r="C141" s="548"/>
      <c r="D141" s="548"/>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row>
    <row r="142" spans="1:38">
      <c r="A142" s="548"/>
      <c r="B142" s="548"/>
      <c r="C142" s="548"/>
      <c r="D142" s="548"/>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row>
    <row r="143" spans="1:38">
      <c r="A143" s="548"/>
      <c r="B143" s="548"/>
      <c r="C143" s="548"/>
      <c r="D143" s="548"/>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row>
    <row r="144" spans="1:38">
      <c r="A144" s="548"/>
      <c r="B144" s="548"/>
      <c r="C144" s="548"/>
      <c r="D144" s="548"/>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row>
    <row r="145" spans="1:38">
      <c r="A145" s="548"/>
      <c r="B145" s="548"/>
      <c r="C145" s="548"/>
      <c r="D145" s="548"/>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row>
    <row r="146" spans="1:38">
      <c r="A146" s="548"/>
      <c r="B146" s="548"/>
      <c r="C146" s="548"/>
      <c r="D146" s="548"/>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row>
    <row r="147" spans="1:38">
      <c r="A147" s="548"/>
      <c r="B147" s="548"/>
      <c r="C147" s="548"/>
      <c r="D147" s="548"/>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row>
    <row r="148" spans="1:38">
      <c r="A148" s="548"/>
      <c r="B148" s="548"/>
      <c r="C148" s="548"/>
      <c r="D148" s="548"/>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row>
    <row r="149" spans="1:38">
      <c r="A149" s="548"/>
      <c r="B149" s="548"/>
      <c r="C149" s="548"/>
      <c r="D149" s="548"/>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row>
    <row r="150" spans="1:38">
      <c r="A150" s="548"/>
      <c r="B150" s="548"/>
      <c r="C150" s="548"/>
      <c r="D150" s="548"/>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row>
    <row r="151" spans="1:38">
      <c r="A151" s="548"/>
      <c r="B151" s="548"/>
      <c r="C151" s="548"/>
      <c r="D151" s="548"/>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row>
    <row r="152" spans="1:38">
      <c r="A152" s="548"/>
      <c r="B152" s="548"/>
      <c r="C152" s="548"/>
      <c r="D152" s="548"/>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row>
    <row r="153" spans="1:38">
      <c r="A153" s="548"/>
      <c r="B153" s="548"/>
      <c r="C153" s="548"/>
      <c r="D153" s="548"/>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row>
    <row r="154" spans="1:38">
      <c r="A154" s="548"/>
      <c r="B154" s="548"/>
      <c r="C154" s="548"/>
      <c r="D154" s="548"/>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row>
    <row r="155" spans="1:38">
      <c r="A155" s="548"/>
      <c r="B155" s="548"/>
      <c r="C155" s="548"/>
      <c r="D155" s="548"/>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row>
    <row r="156" spans="1:38">
      <c r="A156" s="548"/>
      <c r="B156" s="548"/>
      <c r="C156" s="548"/>
      <c r="D156" s="548"/>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row>
    <row r="157" spans="1:38">
      <c r="A157" s="548"/>
      <c r="B157" s="548"/>
      <c r="C157" s="548"/>
      <c r="D157" s="548"/>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row>
    <row r="158" spans="1:38">
      <c r="A158" s="548"/>
      <c r="B158" s="548"/>
      <c r="C158" s="548"/>
      <c r="D158" s="548"/>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row>
    <row r="159" spans="1:38">
      <c r="A159" s="548"/>
      <c r="B159" s="548"/>
      <c r="C159" s="548"/>
      <c r="D159" s="548"/>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row>
    <row r="160" spans="1:38">
      <c r="A160" s="548"/>
      <c r="B160" s="548"/>
      <c r="C160" s="548"/>
      <c r="D160" s="548"/>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row>
    <row r="161" spans="1:38">
      <c r="A161" s="548"/>
      <c r="B161" s="548"/>
      <c r="C161" s="548"/>
      <c r="D161" s="548"/>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row>
    <row r="162" spans="1:38">
      <c r="A162" s="548"/>
      <c r="B162" s="548"/>
      <c r="C162" s="548"/>
      <c r="D162" s="548"/>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row>
    <row r="163" spans="1:38">
      <c r="A163" s="548"/>
      <c r="B163" s="548"/>
      <c r="C163" s="548"/>
      <c r="D163" s="548"/>
      <c r="E163" s="548"/>
      <c r="F163" s="548"/>
      <c r="G163" s="548"/>
      <c r="H163" s="548"/>
      <c r="I163" s="548"/>
      <c r="J163" s="548"/>
      <c r="K163" s="548"/>
      <c r="L163" s="548"/>
      <c r="M163" s="548"/>
      <c r="N163" s="548"/>
      <c r="O163" s="548"/>
      <c r="P163" s="548"/>
      <c r="Q163" s="548"/>
      <c r="R163" s="548"/>
      <c r="S163" s="548"/>
      <c r="T163" s="548"/>
      <c r="U163" s="548"/>
      <c r="V163" s="548"/>
      <c r="W163" s="548"/>
      <c r="X163" s="548"/>
      <c r="Y163" s="548"/>
      <c r="Z163" s="548"/>
      <c r="AA163" s="548"/>
      <c r="AB163" s="548"/>
      <c r="AC163" s="548"/>
      <c r="AD163" s="548"/>
      <c r="AE163" s="548"/>
      <c r="AF163" s="548"/>
      <c r="AG163" s="548"/>
      <c r="AH163" s="548"/>
      <c r="AI163" s="548"/>
      <c r="AJ163" s="548"/>
      <c r="AK163" s="548"/>
      <c r="AL163" s="548"/>
    </row>
    <row r="164" spans="1:38">
      <c r="A164" s="548"/>
      <c r="B164" s="548"/>
      <c r="C164" s="548"/>
      <c r="D164" s="548"/>
      <c r="E164" s="548"/>
      <c r="F164" s="548"/>
      <c r="G164" s="548"/>
      <c r="H164" s="548"/>
      <c r="I164" s="548"/>
      <c r="J164" s="548"/>
      <c r="K164" s="548"/>
      <c r="L164" s="548"/>
      <c r="M164" s="548"/>
      <c r="N164" s="548"/>
      <c r="O164" s="548"/>
      <c r="P164" s="548"/>
      <c r="Q164" s="548"/>
      <c r="R164" s="548"/>
      <c r="S164" s="548"/>
      <c r="T164" s="548"/>
      <c r="U164" s="548"/>
      <c r="V164" s="548"/>
      <c r="W164" s="548"/>
      <c r="X164" s="548"/>
      <c r="Y164" s="548"/>
      <c r="Z164" s="548"/>
      <c r="AA164" s="548"/>
      <c r="AB164" s="548"/>
      <c r="AC164" s="548"/>
      <c r="AD164" s="548"/>
      <c r="AE164" s="548"/>
      <c r="AF164" s="548"/>
      <c r="AG164" s="548"/>
      <c r="AH164" s="548"/>
      <c r="AI164" s="548"/>
      <c r="AJ164" s="548"/>
      <c r="AK164" s="548"/>
      <c r="AL164" s="548"/>
    </row>
    <row r="165" spans="1:38">
      <c r="A165" s="548"/>
      <c r="B165" s="548"/>
      <c r="C165" s="548"/>
      <c r="D165" s="548"/>
      <c r="E165" s="548"/>
      <c r="F165" s="548"/>
      <c r="G165" s="548"/>
      <c r="H165" s="548"/>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row>
    <row r="166" spans="1:38">
      <c r="A166" s="548"/>
      <c r="B166" s="548"/>
      <c r="C166" s="548"/>
      <c r="D166" s="548"/>
      <c r="E166" s="548"/>
      <c r="F166" s="548"/>
      <c r="G166" s="548"/>
      <c r="H166" s="548"/>
      <c r="I166" s="548"/>
      <c r="J166" s="548"/>
      <c r="K166" s="548"/>
      <c r="L166" s="548"/>
      <c r="M166" s="548"/>
      <c r="N166" s="548"/>
      <c r="O166" s="548"/>
      <c r="P166" s="548"/>
      <c r="Q166" s="548"/>
      <c r="R166" s="548"/>
      <c r="S166" s="548"/>
      <c r="T166" s="548"/>
      <c r="U166" s="548"/>
      <c r="V166" s="548"/>
      <c r="W166" s="548"/>
      <c r="X166" s="548"/>
      <c r="Y166" s="548"/>
      <c r="Z166" s="548"/>
      <c r="AA166" s="548"/>
      <c r="AB166" s="548"/>
      <c r="AC166" s="548"/>
      <c r="AD166" s="548"/>
      <c r="AE166" s="548"/>
      <c r="AF166" s="548"/>
      <c r="AG166" s="548"/>
      <c r="AH166" s="548"/>
      <c r="AI166" s="548"/>
      <c r="AJ166" s="548"/>
      <c r="AK166" s="548"/>
      <c r="AL166" s="548"/>
    </row>
    <row r="167" spans="1:38">
      <c r="A167" s="548"/>
      <c r="B167" s="548"/>
      <c r="C167" s="548"/>
      <c r="D167" s="548"/>
      <c r="E167" s="548"/>
      <c r="F167" s="548"/>
      <c r="G167" s="548"/>
      <c r="H167" s="548"/>
      <c r="I167" s="548"/>
      <c r="J167" s="548"/>
      <c r="K167" s="548"/>
      <c r="L167" s="548"/>
      <c r="M167" s="548"/>
      <c r="N167" s="548"/>
      <c r="O167" s="548"/>
      <c r="P167" s="548"/>
      <c r="Q167" s="548"/>
      <c r="R167" s="548"/>
      <c r="S167" s="548"/>
      <c r="T167" s="548"/>
      <c r="U167" s="548"/>
      <c r="V167" s="548"/>
      <c r="W167" s="548"/>
      <c r="X167" s="548"/>
      <c r="Y167" s="548"/>
      <c r="Z167" s="548"/>
      <c r="AA167" s="548"/>
      <c r="AB167" s="548"/>
      <c r="AC167" s="548"/>
      <c r="AD167" s="548"/>
      <c r="AE167" s="548"/>
      <c r="AF167" s="548"/>
      <c r="AG167" s="548"/>
      <c r="AH167" s="548"/>
      <c r="AI167" s="548"/>
      <c r="AJ167" s="548"/>
      <c r="AK167" s="548"/>
      <c r="AL167" s="548"/>
    </row>
    <row r="168" spans="1:38">
      <c r="A168" s="548"/>
      <c r="B168" s="548"/>
      <c r="C168" s="548"/>
      <c r="D168" s="548"/>
      <c r="E168" s="548"/>
      <c r="F168" s="548"/>
      <c r="G168" s="548"/>
      <c r="H168" s="548"/>
      <c r="I168" s="548"/>
      <c r="J168" s="548"/>
      <c r="K168" s="548"/>
      <c r="L168" s="548"/>
      <c r="M168" s="548"/>
      <c r="N168" s="548"/>
      <c r="O168" s="548"/>
      <c r="P168" s="548"/>
      <c r="Q168" s="548"/>
      <c r="R168" s="548"/>
      <c r="S168" s="548"/>
      <c r="T168" s="548"/>
      <c r="U168" s="548"/>
      <c r="V168" s="548"/>
      <c r="W168" s="548"/>
      <c r="X168" s="548"/>
      <c r="Y168" s="548"/>
      <c r="Z168" s="548"/>
      <c r="AA168" s="548"/>
      <c r="AB168" s="548"/>
      <c r="AC168" s="548"/>
      <c r="AD168" s="548"/>
      <c r="AE168" s="548"/>
      <c r="AF168" s="548"/>
      <c r="AG168" s="548"/>
      <c r="AH168" s="548"/>
      <c r="AI168" s="548"/>
      <c r="AJ168" s="548"/>
      <c r="AK168" s="548"/>
      <c r="AL168" s="548"/>
    </row>
    <row r="169" spans="1:38">
      <c r="A169" s="548"/>
      <c r="B169" s="548"/>
      <c r="C169" s="548"/>
      <c r="D169" s="548"/>
      <c r="E169" s="548"/>
      <c r="F169" s="548"/>
      <c r="G169" s="548"/>
      <c r="H169" s="548"/>
      <c r="I169" s="548"/>
      <c r="J169" s="548"/>
      <c r="K169" s="548"/>
      <c r="L169" s="548"/>
      <c r="M169" s="548"/>
      <c r="N169" s="548"/>
      <c r="O169" s="548"/>
      <c r="P169" s="548"/>
      <c r="Q169" s="548"/>
      <c r="R169" s="548"/>
      <c r="S169" s="548"/>
      <c r="T169" s="548"/>
      <c r="U169" s="548"/>
      <c r="V169" s="548"/>
      <c r="W169" s="548"/>
      <c r="X169" s="548"/>
      <c r="Y169" s="548"/>
      <c r="Z169" s="548"/>
      <c r="AA169" s="548"/>
      <c r="AB169" s="548"/>
      <c r="AC169" s="548"/>
      <c r="AD169" s="548"/>
      <c r="AE169" s="548"/>
      <c r="AF169" s="548"/>
      <c r="AG169" s="548"/>
      <c r="AH169" s="548"/>
      <c r="AI169" s="548"/>
      <c r="AJ169" s="548"/>
      <c r="AK169" s="548"/>
      <c r="AL169" s="548"/>
    </row>
    <row r="170" spans="1:38">
      <c r="A170" s="548"/>
      <c r="B170" s="548"/>
      <c r="C170" s="548"/>
      <c r="D170" s="548"/>
      <c r="E170" s="548"/>
      <c r="F170" s="548"/>
      <c r="G170" s="548"/>
      <c r="H170" s="548"/>
      <c r="I170" s="548"/>
      <c r="J170" s="548"/>
      <c r="K170" s="548"/>
      <c r="L170" s="548"/>
      <c r="M170" s="548"/>
      <c r="N170" s="548"/>
      <c r="O170" s="548"/>
      <c r="P170" s="548"/>
      <c r="Q170" s="548"/>
      <c r="R170" s="548"/>
      <c r="S170" s="548"/>
      <c r="T170" s="548"/>
      <c r="U170" s="548"/>
      <c r="V170" s="548"/>
      <c r="W170" s="548"/>
      <c r="X170" s="548"/>
      <c r="Y170" s="548"/>
      <c r="Z170" s="548"/>
      <c r="AA170" s="548"/>
      <c r="AB170" s="548"/>
      <c r="AC170" s="548"/>
      <c r="AD170" s="548"/>
      <c r="AE170" s="548"/>
      <c r="AF170" s="548"/>
      <c r="AG170" s="548"/>
      <c r="AH170" s="548"/>
      <c r="AI170" s="548"/>
      <c r="AJ170" s="548"/>
      <c r="AK170" s="548"/>
      <c r="AL170" s="548"/>
    </row>
    <row r="171" spans="1:38">
      <c r="A171" s="548"/>
      <c r="B171" s="548"/>
      <c r="C171" s="548"/>
      <c r="D171" s="548"/>
      <c r="E171" s="548"/>
      <c r="F171" s="548"/>
      <c r="G171" s="548"/>
      <c r="H171" s="548"/>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row>
    <row r="172" spans="1:38">
      <c r="A172" s="548"/>
      <c r="B172" s="548"/>
      <c r="C172" s="548"/>
      <c r="D172" s="548"/>
      <c r="E172" s="548"/>
      <c r="F172" s="548"/>
      <c r="G172" s="548"/>
      <c r="H172" s="548"/>
      <c r="I172" s="548"/>
      <c r="J172" s="548"/>
      <c r="K172" s="548"/>
      <c r="L172" s="548"/>
      <c r="M172" s="548"/>
      <c r="N172" s="548"/>
      <c r="O172" s="548"/>
      <c r="P172" s="548"/>
      <c r="Q172" s="548"/>
      <c r="R172" s="548"/>
      <c r="S172" s="548"/>
      <c r="T172" s="548"/>
      <c r="U172" s="548"/>
      <c r="V172" s="548"/>
      <c r="W172" s="548"/>
      <c r="X172" s="548"/>
      <c r="Y172" s="548"/>
      <c r="Z172" s="548"/>
      <c r="AA172" s="548"/>
      <c r="AB172" s="548"/>
      <c r="AC172" s="548"/>
      <c r="AD172" s="548"/>
      <c r="AE172" s="548"/>
      <c r="AF172" s="548"/>
      <c r="AG172" s="548"/>
      <c r="AH172" s="548"/>
      <c r="AI172" s="548"/>
      <c r="AJ172" s="548"/>
      <c r="AK172" s="548"/>
      <c r="AL172" s="548"/>
    </row>
    <row r="173" spans="1:38">
      <c r="A173" s="548"/>
      <c r="B173" s="548"/>
      <c r="C173" s="548"/>
      <c r="D173" s="548"/>
      <c r="E173" s="548"/>
      <c r="F173" s="548"/>
      <c r="G173" s="548"/>
      <c r="H173" s="548"/>
      <c r="I173" s="548"/>
      <c r="J173" s="548"/>
      <c r="K173" s="548"/>
      <c r="L173" s="548"/>
      <c r="M173" s="548"/>
      <c r="N173" s="548"/>
      <c r="O173" s="548"/>
      <c r="P173" s="548"/>
      <c r="Q173" s="548"/>
      <c r="R173" s="548"/>
      <c r="S173" s="548"/>
      <c r="T173" s="548"/>
      <c r="U173" s="548"/>
      <c r="V173" s="548"/>
      <c r="W173" s="548"/>
      <c r="X173" s="548"/>
      <c r="Y173" s="548"/>
      <c r="Z173" s="548"/>
      <c r="AA173" s="548"/>
      <c r="AB173" s="548"/>
      <c r="AC173" s="548"/>
      <c r="AD173" s="548"/>
      <c r="AE173" s="548"/>
      <c r="AF173" s="548"/>
      <c r="AG173" s="548"/>
      <c r="AH173" s="548"/>
      <c r="AI173" s="548"/>
      <c r="AJ173" s="548"/>
      <c r="AK173" s="548"/>
      <c r="AL173" s="548"/>
    </row>
    <row r="174" spans="1:38">
      <c r="A174" s="548"/>
      <c r="B174" s="548"/>
      <c r="C174" s="548"/>
      <c r="D174" s="548"/>
      <c r="E174" s="548"/>
      <c r="F174" s="548"/>
      <c r="G174" s="548"/>
      <c r="H174" s="548"/>
      <c r="I174" s="548"/>
      <c r="J174" s="548"/>
      <c r="K174" s="548"/>
      <c r="L174" s="548"/>
      <c r="M174" s="548"/>
      <c r="N174" s="548"/>
      <c r="O174" s="548"/>
      <c r="P174" s="548"/>
      <c r="Q174" s="548"/>
      <c r="R174" s="548"/>
      <c r="S174" s="548"/>
      <c r="T174" s="548"/>
      <c r="U174" s="548"/>
      <c r="V174" s="548"/>
      <c r="W174" s="548"/>
      <c r="X174" s="548"/>
      <c r="Y174" s="548"/>
      <c r="Z174" s="548"/>
      <c r="AA174" s="548"/>
      <c r="AB174" s="548"/>
      <c r="AC174" s="548"/>
      <c r="AD174" s="548"/>
      <c r="AE174" s="548"/>
      <c r="AF174" s="548"/>
      <c r="AG174" s="548"/>
      <c r="AH174" s="548"/>
      <c r="AI174" s="548"/>
      <c r="AJ174" s="548"/>
      <c r="AK174" s="548"/>
      <c r="AL174" s="548"/>
    </row>
    <row r="175" spans="1:38">
      <c r="A175" s="548"/>
      <c r="B175" s="548"/>
      <c r="C175" s="548"/>
      <c r="D175" s="548"/>
      <c r="E175" s="548"/>
      <c r="F175" s="548"/>
      <c r="G175" s="548"/>
      <c r="H175" s="548"/>
      <c r="I175" s="548"/>
      <c r="J175" s="548"/>
      <c r="K175" s="548"/>
      <c r="L175" s="548"/>
      <c r="M175" s="548"/>
      <c r="N175" s="548"/>
      <c r="O175" s="548"/>
      <c r="P175" s="548"/>
      <c r="Q175" s="548"/>
      <c r="R175" s="548"/>
      <c r="S175" s="548"/>
      <c r="T175" s="548"/>
      <c r="U175" s="548"/>
      <c r="V175" s="548"/>
      <c r="W175" s="548"/>
      <c r="X175" s="548"/>
      <c r="Y175" s="548"/>
      <c r="Z175" s="548"/>
      <c r="AA175" s="548"/>
      <c r="AB175" s="548"/>
      <c r="AC175" s="548"/>
      <c r="AD175" s="548"/>
      <c r="AE175" s="548"/>
      <c r="AF175" s="548"/>
      <c r="AG175" s="548"/>
      <c r="AH175" s="548"/>
      <c r="AI175" s="548"/>
      <c r="AJ175" s="548"/>
      <c r="AK175" s="548"/>
      <c r="AL175" s="548"/>
    </row>
    <row r="176" spans="1:38">
      <c r="A176" s="548"/>
      <c r="B176" s="548"/>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row>
    <row r="177" spans="1:38">
      <c r="A177" s="548"/>
      <c r="B177" s="548"/>
      <c r="C177" s="548"/>
      <c r="D177" s="548"/>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row>
    <row r="178" spans="1:38">
      <c r="A178" s="548"/>
      <c r="B178" s="548"/>
      <c r="C178" s="548"/>
      <c r="D178" s="548"/>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row>
    <row r="179" spans="1:38">
      <c r="A179" s="548"/>
      <c r="B179" s="548"/>
      <c r="C179" s="548"/>
      <c r="D179" s="548"/>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row>
    <row r="180" spans="1:38">
      <c r="A180" s="548"/>
      <c r="B180" s="548"/>
      <c r="C180" s="548"/>
      <c r="D180" s="548"/>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row>
    <row r="181" spans="1:38">
      <c r="A181" s="548"/>
      <c r="B181" s="548"/>
      <c r="C181" s="548"/>
      <c r="D181" s="548"/>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row>
    <row r="182" spans="1:38">
      <c r="A182" s="548"/>
      <c r="B182" s="548"/>
      <c r="C182" s="548"/>
      <c r="D182" s="548"/>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row>
    <row r="183" spans="1:38">
      <c r="A183" s="548"/>
      <c r="B183" s="548"/>
      <c r="C183" s="548"/>
      <c r="D183" s="548"/>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row>
    <row r="184" spans="1:38">
      <c r="A184" s="548"/>
      <c r="B184" s="548"/>
      <c r="C184" s="548"/>
      <c r="D184" s="548"/>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row>
    <row r="185" spans="1:38">
      <c r="A185" s="548"/>
      <c r="B185" s="548"/>
      <c r="C185" s="548"/>
      <c r="D185" s="548"/>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row>
    <row r="186" spans="1:38">
      <c r="A186" s="548"/>
      <c r="B186" s="548"/>
      <c r="C186" s="548"/>
      <c r="D186" s="548"/>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row>
    <row r="187" spans="1:38">
      <c r="A187" s="548"/>
      <c r="B187" s="548"/>
      <c r="C187" s="548"/>
      <c r="D187" s="548"/>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row>
    <row r="188" spans="1:38">
      <c r="A188" s="548"/>
      <c r="B188" s="548"/>
      <c r="C188" s="548"/>
      <c r="D188" s="548"/>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row>
    <row r="189" spans="1:38">
      <c r="A189" s="548"/>
      <c r="B189" s="548"/>
      <c r="C189" s="548"/>
      <c r="D189" s="548"/>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row>
    <row r="190" spans="1:38">
      <c r="A190" s="548"/>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row>
    <row r="191" spans="1:38">
      <c r="A191" s="548"/>
      <c r="B191" s="548"/>
      <c r="C191" s="548"/>
      <c r="D191" s="548"/>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row>
    <row r="192" spans="1:38">
      <c r="A192" s="548"/>
      <c r="B192" s="548"/>
      <c r="C192" s="548"/>
      <c r="D192" s="548"/>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row>
    <row r="193" spans="1:38">
      <c r="A193" s="548"/>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row>
    <row r="194" spans="1:38">
      <c r="A194" s="548"/>
      <c r="B194" s="548"/>
      <c r="C194" s="548"/>
      <c r="D194" s="548"/>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row>
    <row r="195" spans="1:38">
      <c r="A195" s="548"/>
      <c r="B195" s="548"/>
      <c r="C195" s="548"/>
      <c r="D195" s="548"/>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row>
    <row r="196" spans="1:38">
      <c r="A196" s="548"/>
      <c r="B196" s="548"/>
      <c r="C196" s="548"/>
      <c r="D196" s="548"/>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row>
    <row r="197" spans="1:38">
      <c r="A197" s="548"/>
      <c r="B197" s="548"/>
      <c r="C197" s="548"/>
      <c r="D197" s="548"/>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row>
    <row r="198" spans="1:38">
      <c r="A198" s="548"/>
      <c r="B198" s="548"/>
      <c r="C198" s="548"/>
      <c r="D198" s="548"/>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row>
    <row r="199" spans="1:38">
      <c r="A199" s="548"/>
      <c r="B199" s="548"/>
      <c r="C199" s="548"/>
      <c r="D199" s="548"/>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row>
    <row r="200" spans="1:38">
      <c r="A200" s="548"/>
      <c r="B200" s="548"/>
      <c r="C200" s="548"/>
      <c r="D200" s="548"/>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row>
    <row r="201" spans="1:38">
      <c r="A201" s="548"/>
      <c r="B201" s="548"/>
      <c r="C201" s="548"/>
      <c r="D201" s="548"/>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row>
    <row r="202" spans="1:38">
      <c r="A202" s="548"/>
      <c r="B202" s="548"/>
      <c r="C202" s="548"/>
      <c r="D202" s="548"/>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row>
    <row r="203" spans="1:38">
      <c r="A203" s="548"/>
      <c r="B203" s="548"/>
      <c r="C203" s="548"/>
      <c r="D203" s="548"/>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row>
    <row r="204" spans="1:38">
      <c r="A204" s="548"/>
      <c r="B204" s="548"/>
      <c r="C204" s="548"/>
      <c r="D204" s="548"/>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row>
    <row r="205" spans="1:38">
      <c r="A205" s="548"/>
      <c r="B205" s="548"/>
      <c r="C205" s="548"/>
      <c r="D205" s="548"/>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row>
    <row r="206" spans="1:38">
      <c r="A206" s="548"/>
      <c r="B206" s="548"/>
      <c r="C206" s="548"/>
      <c r="D206" s="548"/>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row>
    <row r="207" spans="1:38">
      <c r="A207" s="548"/>
      <c r="B207" s="548"/>
      <c r="C207" s="548"/>
      <c r="D207" s="548"/>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row>
    <row r="208" spans="1:38">
      <c r="A208" s="548"/>
      <c r="B208" s="548"/>
      <c r="C208" s="548"/>
      <c r="D208" s="548"/>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row>
    <row r="209" spans="1:38">
      <c r="A209" s="548"/>
      <c r="B209" s="548"/>
      <c r="C209" s="548"/>
      <c r="D209" s="548"/>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row>
    <row r="210" spans="1:38">
      <c r="A210" s="548"/>
      <c r="B210" s="548"/>
      <c r="C210" s="548"/>
      <c r="D210" s="548"/>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row>
    <row r="211" spans="1:38">
      <c r="A211" s="548"/>
      <c r="B211" s="548"/>
      <c r="C211" s="548"/>
      <c r="D211" s="548"/>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row>
    <row r="212" spans="1:38">
      <c r="A212" s="548"/>
      <c r="B212" s="548"/>
      <c r="C212" s="548"/>
      <c r="D212" s="548"/>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row>
    <row r="213" spans="1:38">
      <c r="A213" s="548"/>
      <c r="B213" s="548"/>
      <c r="C213" s="548"/>
      <c r="D213" s="548"/>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row>
    <row r="214" spans="1:38">
      <c r="A214" s="548"/>
      <c r="B214" s="548"/>
      <c r="C214" s="548"/>
      <c r="D214" s="548"/>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row>
    <row r="215" spans="1:38">
      <c r="A215" s="548"/>
      <c r="B215" s="548"/>
      <c r="C215" s="548"/>
      <c r="D215" s="548"/>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row>
    <row r="216" spans="1:38">
      <c r="A216" s="548"/>
      <c r="B216" s="548"/>
      <c r="C216" s="548"/>
      <c r="D216" s="548"/>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row>
    <row r="217" spans="1:38">
      <c r="A217" s="548"/>
      <c r="B217" s="548"/>
      <c r="C217" s="548"/>
      <c r="D217" s="548"/>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row>
    <row r="218" spans="1:38">
      <c r="A218" s="548"/>
      <c r="B218" s="548"/>
      <c r="C218" s="548"/>
      <c r="D218" s="548"/>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row>
    <row r="219" spans="1:38">
      <c r="A219" s="548"/>
      <c r="B219" s="548"/>
      <c r="C219" s="548"/>
      <c r="D219" s="548"/>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row>
    <row r="220" spans="1:38">
      <c r="A220" s="548"/>
      <c r="B220" s="548"/>
      <c r="C220" s="548"/>
      <c r="D220" s="548"/>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row>
    <row r="221" spans="1:38">
      <c r="A221" s="548"/>
      <c r="B221" s="548"/>
      <c r="C221" s="548"/>
      <c r="D221" s="548"/>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row>
    <row r="222" spans="1:38">
      <c r="A222" s="548"/>
      <c r="B222" s="548"/>
      <c r="C222" s="548"/>
      <c r="D222" s="548"/>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row>
    <row r="223" spans="1:38">
      <c r="A223" s="548"/>
      <c r="B223" s="548"/>
      <c r="C223" s="548"/>
      <c r="D223" s="548"/>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row>
    <row r="224" spans="1:38">
      <c r="A224" s="548"/>
      <c r="B224" s="548"/>
      <c r="C224" s="548"/>
      <c r="D224" s="548"/>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row>
    <row r="225" spans="1:38">
      <c r="A225" s="548"/>
      <c r="B225" s="548"/>
      <c r="C225" s="548"/>
      <c r="D225" s="548"/>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row>
    <row r="226" spans="1:38">
      <c r="A226" s="548"/>
      <c r="B226" s="548"/>
      <c r="C226" s="548"/>
      <c r="D226" s="548"/>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row>
    <row r="227" spans="1:38">
      <c r="A227" s="548"/>
      <c r="B227" s="548"/>
      <c r="C227" s="548"/>
      <c r="D227" s="548"/>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row>
    <row r="228" spans="1:38">
      <c r="A228" s="548"/>
      <c r="B228" s="548"/>
      <c r="C228" s="548"/>
      <c r="D228" s="548"/>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row>
    <row r="229" spans="1:38">
      <c r="A229" s="548"/>
      <c r="B229" s="548"/>
      <c r="C229" s="548"/>
      <c r="D229" s="548"/>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row>
    <row r="230" spans="1:38">
      <c r="A230" s="548"/>
      <c r="B230" s="548"/>
      <c r="C230" s="548"/>
      <c r="D230" s="548"/>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row>
    <row r="231" spans="1:38">
      <c r="A231" s="548"/>
      <c r="B231" s="548"/>
      <c r="C231" s="548"/>
      <c r="D231" s="548"/>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row>
    <row r="232" spans="1:38">
      <c r="A232" s="548"/>
      <c r="B232" s="548"/>
      <c r="C232" s="548"/>
      <c r="D232" s="548"/>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row>
    <row r="233" spans="1:38">
      <c r="A233" s="548"/>
      <c r="B233" s="548"/>
      <c r="C233" s="548"/>
      <c r="D233" s="548"/>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row>
    <row r="234" spans="1:38">
      <c r="A234" s="548"/>
      <c r="B234" s="548"/>
      <c r="C234" s="548"/>
      <c r="D234" s="548"/>
      <c r="E234" s="548"/>
      <c r="F234" s="548"/>
      <c r="G234" s="548"/>
      <c r="H234" s="548"/>
      <c r="I234" s="548"/>
      <c r="J234" s="548"/>
      <c r="K234" s="548"/>
      <c r="L234" s="548"/>
      <c r="M234" s="548"/>
      <c r="N234" s="548"/>
      <c r="O234" s="548"/>
      <c r="P234" s="548"/>
      <c r="Q234" s="548"/>
      <c r="R234" s="548"/>
      <c r="S234" s="548"/>
      <c r="T234" s="548"/>
      <c r="U234" s="548"/>
      <c r="V234" s="548"/>
      <c r="W234" s="548"/>
      <c r="X234" s="548"/>
      <c r="Y234" s="548"/>
      <c r="Z234" s="548"/>
      <c r="AA234" s="548"/>
      <c r="AB234" s="548"/>
      <c r="AC234" s="548"/>
      <c r="AD234" s="548"/>
      <c r="AE234" s="548"/>
      <c r="AF234" s="548"/>
      <c r="AG234" s="548"/>
      <c r="AH234" s="548"/>
      <c r="AI234" s="548"/>
      <c r="AJ234" s="548"/>
      <c r="AK234" s="548"/>
      <c r="AL234" s="548"/>
    </row>
    <row r="235" spans="1:38">
      <c r="A235" s="548"/>
      <c r="B235" s="548"/>
      <c r="C235" s="548"/>
      <c r="D235" s="548"/>
      <c r="E235" s="548"/>
      <c r="F235" s="548"/>
      <c r="G235" s="548"/>
      <c r="H235" s="548"/>
      <c r="I235" s="548"/>
      <c r="J235" s="548"/>
      <c r="K235" s="548"/>
      <c r="L235" s="548"/>
      <c r="M235" s="548"/>
      <c r="N235" s="548"/>
      <c r="O235" s="548"/>
      <c r="P235" s="548"/>
      <c r="Q235" s="548"/>
      <c r="R235" s="548"/>
      <c r="S235" s="548"/>
      <c r="T235" s="548"/>
      <c r="U235" s="548"/>
      <c r="V235" s="548"/>
      <c r="W235" s="548"/>
      <c r="X235" s="548"/>
      <c r="Y235" s="548"/>
      <c r="Z235" s="548"/>
      <c r="AA235" s="548"/>
      <c r="AB235" s="548"/>
      <c r="AC235" s="548"/>
      <c r="AD235" s="548"/>
      <c r="AE235" s="548"/>
      <c r="AF235" s="548"/>
      <c r="AG235" s="548"/>
      <c r="AH235" s="548"/>
      <c r="AI235" s="548"/>
      <c r="AJ235" s="548"/>
      <c r="AK235" s="548"/>
      <c r="AL235" s="548"/>
    </row>
    <row r="236" spans="1:38">
      <c r="A236" s="548"/>
      <c r="B236" s="548"/>
      <c r="C236" s="548"/>
      <c r="D236" s="548"/>
      <c r="E236" s="548"/>
      <c r="F236" s="548"/>
      <c r="G236" s="548"/>
      <c r="H236" s="548"/>
      <c r="I236" s="548"/>
      <c r="J236" s="548"/>
      <c r="K236" s="548"/>
      <c r="L236" s="548"/>
      <c r="M236" s="548"/>
      <c r="N236" s="548"/>
      <c r="O236" s="548"/>
      <c r="P236" s="548"/>
      <c r="Q236" s="548"/>
      <c r="R236" s="548"/>
      <c r="S236" s="548"/>
      <c r="T236" s="548"/>
      <c r="U236" s="548"/>
      <c r="V236" s="548"/>
      <c r="W236" s="548"/>
      <c r="X236" s="548"/>
      <c r="Y236" s="548"/>
      <c r="Z236" s="548"/>
      <c r="AA236" s="548"/>
      <c r="AB236" s="548"/>
      <c r="AC236" s="548"/>
      <c r="AD236" s="548"/>
      <c r="AE236" s="548"/>
      <c r="AF236" s="548"/>
      <c r="AG236" s="548"/>
      <c r="AH236" s="548"/>
      <c r="AI236" s="548"/>
      <c r="AJ236" s="548"/>
      <c r="AK236" s="548"/>
      <c r="AL236" s="548"/>
    </row>
    <row r="237" spans="1:38">
      <c r="A237" s="548"/>
      <c r="B237" s="548"/>
      <c r="C237" s="548"/>
      <c r="D237" s="548"/>
      <c r="E237" s="548"/>
      <c r="F237" s="548"/>
      <c r="G237" s="548"/>
      <c r="H237" s="548"/>
      <c r="I237" s="548"/>
      <c r="J237" s="548"/>
      <c r="K237" s="548"/>
      <c r="L237" s="548"/>
      <c r="M237" s="548"/>
      <c r="N237" s="548"/>
      <c r="O237" s="548"/>
      <c r="P237" s="548"/>
      <c r="Q237" s="548"/>
      <c r="R237" s="548"/>
      <c r="S237" s="548"/>
      <c r="T237" s="548"/>
      <c r="U237" s="548"/>
      <c r="V237" s="548"/>
      <c r="W237" s="548"/>
      <c r="X237" s="548"/>
      <c r="Y237" s="548"/>
      <c r="Z237" s="548"/>
      <c r="AA237" s="548"/>
      <c r="AB237" s="548"/>
      <c r="AC237" s="548"/>
      <c r="AD237" s="548"/>
      <c r="AE237" s="548"/>
      <c r="AF237" s="548"/>
      <c r="AG237" s="548"/>
      <c r="AH237" s="548"/>
      <c r="AI237" s="548"/>
      <c r="AJ237" s="548"/>
      <c r="AK237" s="548"/>
      <c r="AL237" s="548"/>
    </row>
    <row r="238" spans="1:38">
      <c r="A238" s="548"/>
      <c r="B238" s="548"/>
      <c r="C238" s="548"/>
      <c r="D238" s="548"/>
      <c r="E238" s="548"/>
      <c r="F238" s="548"/>
      <c r="G238" s="548"/>
      <c r="H238" s="548"/>
      <c r="I238" s="548"/>
      <c r="J238" s="548"/>
      <c r="K238" s="548"/>
      <c r="L238" s="548"/>
      <c r="M238" s="548"/>
      <c r="N238" s="548"/>
      <c r="O238" s="548"/>
      <c r="P238" s="548"/>
      <c r="Q238" s="548"/>
      <c r="R238" s="548"/>
      <c r="S238" s="548"/>
      <c r="T238" s="548"/>
      <c r="U238" s="548"/>
      <c r="V238" s="548"/>
      <c r="W238" s="548"/>
      <c r="X238" s="548"/>
      <c r="Y238" s="548"/>
      <c r="Z238" s="548"/>
      <c r="AA238" s="548"/>
      <c r="AB238" s="548"/>
      <c r="AC238" s="548"/>
      <c r="AD238" s="548"/>
      <c r="AE238" s="548"/>
      <c r="AF238" s="548"/>
      <c r="AG238" s="548"/>
      <c r="AH238" s="548"/>
      <c r="AI238" s="548"/>
      <c r="AJ238" s="548"/>
      <c r="AK238" s="548"/>
      <c r="AL238" s="548"/>
    </row>
    <row r="239" spans="1:38">
      <c r="A239" s="548"/>
      <c r="B239" s="548"/>
      <c r="C239" s="548"/>
      <c r="D239" s="548"/>
      <c r="E239" s="548"/>
      <c r="F239" s="548"/>
      <c r="G239" s="548"/>
      <c r="H239" s="548"/>
      <c r="I239" s="548"/>
      <c r="J239" s="548"/>
      <c r="K239" s="548"/>
      <c r="L239" s="548"/>
      <c r="M239" s="548"/>
      <c r="N239" s="548"/>
      <c r="O239" s="548"/>
      <c r="P239" s="548"/>
      <c r="Q239" s="548"/>
      <c r="R239" s="548"/>
      <c r="S239" s="548"/>
      <c r="T239" s="548"/>
      <c r="U239" s="548"/>
      <c r="V239" s="548"/>
      <c r="W239" s="548"/>
      <c r="X239" s="548"/>
      <c r="Y239" s="548"/>
      <c r="Z239" s="548"/>
      <c r="AA239" s="548"/>
      <c r="AB239" s="548"/>
      <c r="AC239" s="548"/>
      <c r="AD239" s="548"/>
      <c r="AE239" s="548"/>
      <c r="AF239" s="548"/>
      <c r="AG239" s="548"/>
      <c r="AH239" s="548"/>
      <c r="AI239" s="548"/>
      <c r="AJ239" s="548"/>
      <c r="AK239" s="548"/>
      <c r="AL239" s="548"/>
    </row>
    <row r="240" spans="1:38">
      <c r="A240" s="548"/>
      <c r="B240" s="548"/>
      <c r="C240" s="548"/>
      <c r="D240" s="548"/>
      <c r="E240" s="548"/>
      <c r="F240" s="548"/>
      <c r="G240" s="548"/>
      <c r="H240" s="548"/>
      <c r="I240" s="548"/>
      <c r="J240" s="548"/>
      <c r="K240" s="548"/>
      <c r="L240" s="548"/>
      <c r="M240" s="548"/>
      <c r="N240" s="548"/>
      <c r="O240" s="548"/>
      <c r="P240" s="548"/>
      <c r="Q240" s="548"/>
      <c r="R240" s="548"/>
      <c r="S240" s="548"/>
      <c r="T240" s="548"/>
      <c r="U240" s="548"/>
      <c r="V240" s="548"/>
      <c r="W240" s="548"/>
      <c r="X240" s="548"/>
      <c r="Y240" s="548"/>
      <c r="Z240" s="548"/>
      <c r="AA240" s="548"/>
      <c r="AB240" s="548"/>
      <c r="AC240" s="548"/>
      <c r="AD240" s="548"/>
      <c r="AE240" s="548"/>
      <c r="AF240" s="548"/>
      <c r="AG240" s="548"/>
      <c r="AH240" s="548"/>
      <c r="AI240" s="548"/>
      <c r="AJ240" s="548"/>
      <c r="AK240" s="548"/>
      <c r="AL240" s="548"/>
    </row>
    <row r="241" spans="1:38">
      <c r="A241" s="548"/>
      <c r="B241" s="548"/>
      <c r="C241" s="548"/>
      <c r="D241" s="548"/>
      <c r="E241" s="548"/>
      <c r="F241" s="548"/>
      <c r="G241" s="548"/>
      <c r="H241" s="548"/>
      <c r="I241" s="548"/>
      <c r="J241" s="548"/>
      <c r="K241" s="548"/>
      <c r="L241" s="548"/>
      <c r="M241" s="548"/>
      <c r="N241" s="548"/>
      <c r="O241" s="548"/>
      <c r="P241" s="548"/>
      <c r="Q241" s="548"/>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row>
    <row r="242" spans="1:38">
      <c r="A242" s="548"/>
      <c r="B242" s="548"/>
      <c r="C242" s="548"/>
      <c r="D242" s="548"/>
      <c r="E242" s="548"/>
      <c r="F242" s="548"/>
      <c r="G242" s="548"/>
      <c r="H242" s="548"/>
      <c r="I242" s="548"/>
      <c r="J242" s="548"/>
      <c r="K242" s="548"/>
      <c r="L242" s="548"/>
      <c r="M242" s="548"/>
      <c r="N242" s="548"/>
      <c r="O242" s="548"/>
      <c r="P242" s="548"/>
      <c r="Q242" s="548"/>
      <c r="R242" s="548"/>
      <c r="S242" s="548"/>
      <c r="T242" s="548"/>
      <c r="U242" s="548"/>
      <c r="V242" s="548"/>
      <c r="W242" s="548"/>
      <c r="X242" s="548"/>
      <c r="Y242" s="548"/>
      <c r="Z242" s="548"/>
      <c r="AA242" s="548"/>
      <c r="AB242" s="548"/>
      <c r="AC242" s="548"/>
      <c r="AD242" s="548"/>
      <c r="AE242" s="548"/>
      <c r="AF242" s="548"/>
      <c r="AG242" s="548"/>
      <c r="AH242" s="548"/>
      <c r="AI242" s="548"/>
      <c r="AJ242" s="548"/>
      <c r="AK242" s="548"/>
      <c r="AL242" s="548"/>
    </row>
    <row r="243" spans="1:38">
      <c r="A243" s="548"/>
      <c r="B243" s="548"/>
      <c r="C243" s="548"/>
      <c r="D243" s="548"/>
      <c r="E243" s="548"/>
      <c r="F243" s="548"/>
      <c r="G243" s="548"/>
      <c r="H243" s="548"/>
      <c r="I243" s="548"/>
      <c r="J243" s="548"/>
      <c r="K243" s="548"/>
      <c r="L243" s="548"/>
      <c r="M243" s="548"/>
      <c r="N243" s="548"/>
      <c r="O243" s="548"/>
      <c r="P243" s="548"/>
      <c r="Q243" s="548"/>
      <c r="R243" s="548"/>
      <c r="S243" s="548"/>
      <c r="T243" s="548"/>
      <c r="U243" s="548"/>
      <c r="V243" s="548"/>
      <c r="W243" s="548"/>
      <c r="X243" s="548"/>
      <c r="Y243" s="548"/>
      <c r="Z243" s="548"/>
      <c r="AA243" s="548"/>
      <c r="AB243" s="548"/>
      <c r="AC243" s="548"/>
      <c r="AD243" s="548"/>
      <c r="AE243" s="548"/>
      <c r="AF243" s="548"/>
      <c r="AG243" s="548"/>
      <c r="AH243" s="548"/>
      <c r="AI243" s="548"/>
      <c r="AJ243" s="548"/>
      <c r="AK243" s="548"/>
      <c r="AL243" s="548"/>
    </row>
    <row r="244" spans="1:38">
      <c r="A244" s="548"/>
      <c r="B244" s="548"/>
      <c r="C244" s="548"/>
      <c r="D244" s="548"/>
      <c r="E244" s="548"/>
      <c r="F244" s="548"/>
      <c r="G244" s="548"/>
      <c r="H244" s="548"/>
      <c r="I244" s="548"/>
      <c r="J244" s="548"/>
      <c r="K244" s="548"/>
      <c r="L244" s="548"/>
      <c r="M244" s="548"/>
      <c r="N244" s="548"/>
      <c r="O244" s="548"/>
      <c r="P244" s="548"/>
      <c r="Q244" s="548"/>
      <c r="R244" s="548"/>
      <c r="S244" s="548"/>
      <c r="T244" s="548"/>
      <c r="U244" s="548"/>
      <c r="V244" s="548"/>
      <c r="W244" s="548"/>
      <c r="X244" s="548"/>
      <c r="Y244" s="548"/>
      <c r="Z244" s="548"/>
      <c r="AA244" s="548"/>
      <c r="AB244" s="548"/>
      <c r="AC244" s="548"/>
      <c r="AD244" s="548"/>
      <c r="AE244" s="548"/>
      <c r="AF244" s="548"/>
      <c r="AG244" s="548"/>
      <c r="AH244" s="548"/>
      <c r="AI244" s="548"/>
      <c r="AJ244" s="548"/>
      <c r="AK244" s="548"/>
      <c r="AL244" s="548"/>
    </row>
    <row r="245" spans="1:38">
      <c r="A245" s="548"/>
      <c r="B245" s="548"/>
      <c r="C245" s="548"/>
      <c r="D245" s="548"/>
      <c r="E245" s="548"/>
      <c r="F245" s="548"/>
      <c r="G245" s="548"/>
      <c r="H245" s="548"/>
      <c r="I245" s="548"/>
      <c r="J245" s="548"/>
      <c r="K245" s="548"/>
      <c r="L245" s="548"/>
      <c r="M245" s="548"/>
      <c r="N245" s="548"/>
      <c r="O245" s="548"/>
      <c r="P245" s="548"/>
      <c r="Q245" s="548"/>
      <c r="R245" s="548"/>
      <c r="S245" s="548"/>
      <c r="T245" s="548"/>
      <c r="U245" s="548"/>
      <c r="V245" s="548"/>
      <c r="W245" s="548"/>
      <c r="X245" s="548"/>
      <c r="Y245" s="548"/>
      <c r="Z245" s="548"/>
      <c r="AA245" s="548"/>
      <c r="AB245" s="548"/>
      <c r="AC245" s="548"/>
      <c r="AD245" s="548"/>
      <c r="AE245" s="548"/>
      <c r="AF245" s="548"/>
      <c r="AG245" s="548"/>
      <c r="AH245" s="548"/>
      <c r="AI245" s="548"/>
      <c r="AJ245" s="548"/>
      <c r="AK245" s="548"/>
      <c r="AL245" s="548"/>
    </row>
    <row r="246" spans="1:38">
      <c r="A246" s="548"/>
      <c r="B246" s="548"/>
      <c r="C246" s="548"/>
      <c r="D246" s="548"/>
      <c r="E246" s="548"/>
      <c r="F246" s="548"/>
      <c r="G246" s="548"/>
      <c r="H246" s="548"/>
      <c r="I246" s="548"/>
      <c r="J246" s="548"/>
      <c r="K246" s="548"/>
      <c r="L246" s="548"/>
      <c r="M246" s="548"/>
      <c r="N246" s="548"/>
      <c r="O246" s="548"/>
      <c r="P246" s="548"/>
      <c r="Q246" s="548"/>
      <c r="R246" s="548"/>
      <c r="S246" s="548"/>
      <c r="T246" s="548"/>
      <c r="U246" s="548"/>
      <c r="V246" s="548"/>
      <c r="W246" s="548"/>
      <c r="X246" s="548"/>
      <c r="Y246" s="548"/>
      <c r="Z246" s="548"/>
      <c r="AA246" s="548"/>
      <c r="AB246" s="548"/>
      <c r="AC246" s="548"/>
      <c r="AD246" s="548"/>
      <c r="AE246" s="548"/>
      <c r="AF246" s="548"/>
      <c r="AG246" s="548"/>
      <c r="AH246" s="548"/>
      <c r="AI246" s="548"/>
      <c r="AJ246" s="548"/>
      <c r="AK246" s="548"/>
      <c r="AL246" s="548"/>
    </row>
    <row r="247" spans="1:38">
      <c r="A247" s="548"/>
      <c r="B247" s="548"/>
      <c r="C247" s="548"/>
      <c r="D247" s="548"/>
      <c r="E247" s="548"/>
      <c r="F247" s="548"/>
      <c r="G247" s="548"/>
      <c r="H247" s="548"/>
      <c r="I247" s="548"/>
      <c r="J247" s="548"/>
      <c r="K247" s="548"/>
      <c r="L247" s="548"/>
      <c r="M247" s="548"/>
      <c r="N247" s="548"/>
      <c r="O247" s="548"/>
      <c r="P247" s="548"/>
      <c r="Q247" s="548"/>
      <c r="R247" s="548"/>
      <c r="S247" s="548"/>
      <c r="T247" s="548"/>
      <c r="U247" s="548"/>
      <c r="V247" s="548"/>
      <c r="W247" s="548"/>
      <c r="X247" s="548"/>
      <c r="Y247" s="548"/>
      <c r="Z247" s="548"/>
      <c r="AA247" s="548"/>
      <c r="AB247" s="548"/>
      <c r="AC247" s="548"/>
      <c r="AD247" s="548"/>
      <c r="AE247" s="548"/>
      <c r="AF247" s="548"/>
      <c r="AG247" s="548"/>
      <c r="AH247" s="548"/>
      <c r="AI247" s="548"/>
      <c r="AJ247" s="548"/>
      <c r="AK247" s="548"/>
      <c r="AL247" s="548"/>
    </row>
    <row r="248" spans="1:38">
      <c r="A248" s="548"/>
      <c r="B248" s="548"/>
      <c r="C248" s="548"/>
      <c r="D248" s="548"/>
      <c r="E248" s="548"/>
      <c r="F248" s="548"/>
      <c r="G248" s="548"/>
      <c r="H248" s="548"/>
      <c r="I248" s="548"/>
      <c r="J248" s="548"/>
      <c r="K248" s="548"/>
      <c r="L248" s="548"/>
      <c r="M248" s="548"/>
      <c r="N248" s="548"/>
      <c r="O248" s="548"/>
      <c r="P248" s="548"/>
      <c r="Q248" s="548"/>
      <c r="R248" s="548"/>
      <c r="S248" s="548"/>
      <c r="T248" s="548"/>
      <c r="U248" s="548"/>
      <c r="V248" s="548"/>
      <c r="W248" s="548"/>
      <c r="X248" s="548"/>
      <c r="Y248" s="548"/>
      <c r="Z248" s="548"/>
      <c r="AA248" s="548"/>
      <c r="AB248" s="548"/>
      <c r="AC248" s="548"/>
      <c r="AD248" s="548"/>
      <c r="AE248" s="548"/>
      <c r="AF248" s="548"/>
      <c r="AG248" s="548"/>
      <c r="AH248" s="548"/>
      <c r="AI248" s="548"/>
      <c r="AJ248" s="548"/>
      <c r="AK248" s="548"/>
      <c r="AL248" s="548"/>
    </row>
    <row r="249" spans="1:38">
      <c r="A249" s="548"/>
      <c r="B249" s="548"/>
      <c r="C249" s="548"/>
      <c r="D249" s="548"/>
      <c r="E249" s="548"/>
      <c r="F249" s="548"/>
      <c r="G249" s="548"/>
      <c r="H249" s="548"/>
      <c r="I249" s="548"/>
      <c r="J249" s="548"/>
      <c r="K249" s="548"/>
      <c r="L249" s="548"/>
      <c r="M249" s="548"/>
      <c r="N249" s="548"/>
      <c r="O249" s="548"/>
      <c r="P249" s="548"/>
      <c r="Q249" s="548"/>
      <c r="R249" s="548"/>
      <c r="S249" s="548"/>
      <c r="T249" s="548"/>
      <c r="U249" s="548"/>
      <c r="V249" s="548"/>
      <c r="W249" s="548"/>
      <c r="X249" s="548"/>
      <c r="Y249" s="548"/>
      <c r="Z249" s="548"/>
      <c r="AA249" s="548"/>
      <c r="AB249" s="548"/>
      <c r="AC249" s="548"/>
      <c r="AD249" s="548"/>
      <c r="AE249" s="548"/>
      <c r="AF249" s="548"/>
      <c r="AG249" s="548"/>
      <c r="AH249" s="548"/>
      <c r="AI249" s="548"/>
      <c r="AJ249" s="548"/>
      <c r="AK249" s="548"/>
      <c r="AL249" s="548"/>
    </row>
    <row r="250" spans="1:38">
      <c r="A250" s="548"/>
      <c r="B250" s="548"/>
      <c r="C250" s="548"/>
      <c r="D250" s="548"/>
      <c r="E250" s="548"/>
      <c r="F250" s="548"/>
      <c r="G250" s="548"/>
      <c r="H250" s="548"/>
      <c r="I250" s="548"/>
      <c r="J250" s="548"/>
      <c r="K250" s="548"/>
      <c r="L250" s="548"/>
      <c r="M250" s="548"/>
      <c r="N250" s="548"/>
      <c r="O250" s="548"/>
      <c r="P250" s="548"/>
      <c r="Q250" s="548"/>
      <c r="R250" s="548"/>
      <c r="S250" s="548"/>
      <c r="T250" s="548"/>
      <c r="U250" s="548"/>
      <c r="V250" s="548"/>
      <c r="W250" s="548"/>
      <c r="X250" s="548"/>
      <c r="Y250" s="548"/>
      <c r="Z250" s="548"/>
      <c r="AA250" s="548"/>
      <c r="AB250" s="548"/>
      <c r="AC250" s="548"/>
      <c r="AD250" s="548"/>
      <c r="AE250" s="548"/>
      <c r="AF250" s="548"/>
      <c r="AG250" s="548"/>
      <c r="AH250" s="548"/>
      <c r="AI250" s="548"/>
      <c r="AJ250" s="548"/>
      <c r="AK250" s="548"/>
      <c r="AL250" s="548"/>
    </row>
    <row r="251" spans="1:38">
      <c r="A251" s="548"/>
      <c r="B251" s="548"/>
      <c r="C251" s="548"/>
      <c r="D251" s="548"/>
      <c r="E251" s="548"/>
      <c r="F251" s="548"/>
      <c r="G251" s="548"/>
      <c r="H251" s="548"/>
      <c r="I251" s="548"/>
      <c r="J251" s="548"/>
      <c r="K251" s="548"/>
      <c r="L251" s="548"/>
      <c r="M251" s="548"/>
      <c r="N251" s="548"/>
      <c r="O251" s="548"/>
      <c r="P251" s="548"/>
      <c r="Q251" s="548"/>
      <c r="R251" s="548"/>
      <c r="S251" s="548"/>
      <c r="T251" s="548"/>
      <c r="U251" s="548"/>
      <c r="V251" s="548"/>
      <c r="W251" s="548"/>
      <c r="X251" s="548"/>
      <c r="Y251" s="548"/>
      <c r="Z251" s="548"/>
      <c r="AA251" s="548"/>
      <c r="AB251" s="548"/>
      <c r="AC251" s="548"/>
      <c r="AD251" s="548"/>
      <c r="AE251" s="548"/>
      <c r="AF251" s="548"/>
      <c r="AG251" s="548"/>
      <c r="AH251" s="548"/>
      <c r="AI251" s="548"/>
      <c r="AJ251" s="548"/>
      <c r="AK251" s="548"/>
      <c r="AL251" s="548"/>
    </row>
    <row r="252" spans="1:38">
      <c r="A252" s="548"/>
      <c r="B252" s="548"/>
      <c r="C252" s="548"/>
      <c r="D252" s="548"/>
      <c r="E252" s="548"/>
      <c r="F252" s="548"/>
      <c r="G252" s="548"/>
      <c r="H252" s="548"/>
      <c r="I252" s="548"/>
      <c r="J252" s="548"/>
      <c r="K252" s="548"/>
      <c r="L252" s="548"/>
      <c r="M252" s="548"/>
      <c r="N252" s="548"/>
      <c r="O252" s="548"/>
      <c r="P252" s="548"/>
      <c r="Q252" s="548"/>
      <c r="R252" s="548"/>
      <c r="S252" s="548"/>
      <c r="T252" s="548"/>
      <c r="U252" s="548"/>
      <c r="V252" s="548"/>
      <c r="W252" s="548"/>
      <c r="X252" s="548"/>
      <c r="Y252" s="548"/>
      <c r="Z252" s="548"/>
      <c r="AA252" s="548"/>
      <c r="AB252" s="548"/>
      <c r="AC252" s="548"/>
      <c r="AD252" s="548"/>
      <c r="AE252" s="548"/>
      <c r="AF252" s="548"/>
      <c r="AG252" s="548"/>
      <c r="AH252" s="548"/>
      <c r="AI252" s="548"/>
      <c r="AJ252" s="548"/>
      <c r="AK252" s="548"/>
      <c r="AL252" s="548"/>
    </row>
    <row r="253" spans="1:38">
      <c r="A253" s="548"/>
      <c r="B253" s="548"/>
      <c r="C253" s="548"/>
      <c r="D253" s="548"/>
      <c r="E253" s="548"/>
      <c r="F253" s="548"/>
      <c r="G253" s="548"/>
      <c r="H253" s="548"/>
      <c r="I253" s="548"/>
      <c r="J253" s="548"/>
      <c r="K253" s="548"/>
      <c r="L253" s="548"/>
      <c r="M253" s="548"/>
      <c r="N253" s="548"/>
      <c r="O253" s="548"/>
      <c r="P253" s="548"/>
      <c r="Q253" s="548"/>
      <c r="R253" s="548"/>
      <c r="S253" s="548"/>
      <c r="T253" s="548"/>
      <c r="U253" s="548"/>
      <c r="V253" s="548"/>
      <c r="W253" s="548"/>
      <c r="X253" s="548"/>
      <c r="Y253" s="548"/>
      <c r="Z253" s="548"/>
      <c r="AA253" s="548"/>
      <c r="AB253" s="548"/>
      <c r="AC253" s="548"/>
      <c r="AD253" s="548"/>
      <c r="AE253" s="548"/>
      <c r="AF253" s="548"/>
      <c r="AG253" s="548"/>
      <c r="AH253" s="548"/>
      <c r="AI253" s="548"/>
      <c r="AJ253" s="548"/>
      <c r="AK253" s="548"/>
      <c r="AL253" s="548"/>
    </row>
    <row r="254" spans="1:38">
      <c r="A254" s="548"/>
      <c r="B254" s="548"/>
      <c r="C254" s="548"/>
      <c r="D254" s="548"/>
      <c r="E254" s="548"/>
      <c r="F254" s="548"/>
      <c r="G254" s="548"/>
      <c r="H254" s="548"/>
      <c r="I254" s="548"/>
      <c r="J254" s="548"/>
      <c r="K254" s="548"/>
      <c r="L254" s="548"/>
      <c r="M254" s="548"/>
      <c r="N254" s="548"/>
      <c r="O254" s="548"/>
      <c r="P254" s="548"/>
      <c r="Q254" s="548"/>
      <c r="R254" s="548"/>
      <c r="S254" s="548"/>
      <c r="T254" s="548"/>
      <c r="U254" s="548"/>
      <c r="V254" s="548"/>
      <c r="W254" s="548"/>
      <c r="X254" s="548"/>
      <c r="Y254" s="548"/>
      <c r="Z254" s="548"/>
      <c r="AA254" s="548"/>
      <c r="AB254" s="548"/>
      <c r="AC254" s="548"/>
      <c r="AD254" s="548"/>
      <c r="AE254" s="548"/>
      <c r="AF254" s="548"/>
      <c r="AG254" s="548"/>
      <c r="AH254" s="548"/>
      <c r="AI254" s="548"/>
      <c r="AJ254" s="548"/>
      <c r="AK254" s="548"/>
      <c r="AL254" s="548"/>
    </row>
    <row r="255" spans="1:38">
      <c r="A255" s="548"/>
      <c r="B255" s="548"/>
      <c r="C255" s="548"/>
      <c r="D255" s="548"/>
      <c r="E255" s="548"/>
      <c r="F255" s="548"/>
      <c r="G255" s="548"/>
      <c r="H255" s="548"/>
      <c r="I255" s="548"/>
      <c r="J255" s="548"/>
      <c r="K255" s="548"/>
      <c r="L255" s="548"/>
      <c r="M255" s="548"/>
      <c r="N255" s="548"/>
      <c r="O255" s="548"/>
      <c r="P255" s="548"/>
      <c r="Q255" s="548"/>
      <c r="R255" s="548"/>
      <c r="S255" s="548"/>
      <c r="T255" s="548"/>
      <c r="U255" s="548"/>
      <c r="V255" s="548"/>
      <c r="W255" s="548"/>
      <c r="X255" s="548"/>
      <c r="Y255" s="548"/>
      <c r="Z255" s="548"/>
      <c r="AA255" s="548"/>
      <c r="AB255" s="548"/>
      <c r="AC255" s="548"/>
      <c r="AD255" s="548"/>
      <c r="AE255" s="548"/>
      <c r="AF255" s="548"/>
      <c r="AG255" s="548"/>
      <c r="AH255" s="548"/>
      <c r="AI255" s="548"/>
      <c r="AJ255" s="548"/>
      <c r="AK255" s="548"/>
      <c r="AL255" s="548"/>
    </row>
    <row r="256" spans="1:38">
      <c r="A256" s="548"/>
      <c r="B256" s="548"/>
      <c r="C256" s="548"/>
      <c r="D256" s="548"/>
      <c r="E256" s="548"/>
      <c r="F256" s="548"/>
      <c r="G256" s="548"/>
      <c r="H256" s="548"/>
      <c r="I256" s="548"/>
      <c r="J256" s="548"/>
      <c r="K256" s="548"/>
      <c r="L256" s="548"/>
      <c r="M256" s="548"/>
      <c r="N256" s="548"/>
      <c r="O256" s="548"/>
      <c r="P256" s="548"/>
      <c r="Q256" s="548"/>
      <c r="R256" s="548"/>
      <c r="S256" s="548"/>
      <c r="T256" s="548"/>
      <c r="U256" s="548"/>
      <c r="V256" s="548"/>
      <c r="W256" s="548"/>
      <c r="X256" s="548"/>
      <c r="Y256" s="548"/>
      <c r="Z256" s="548"/>
      <c r="AA256" s="548"/>
      <c r="AB256" s="548"/>
      <c r="AC256" s="548"/>
      <c r="AD256" s="548"/>
      <c r="AE256" s="548"/>
      <c r="AF256" s="548"/>
      <c r="AG256" s="548"/>
      <c r="AH256" s="548"/>
      <c r="AI256" s="548"/>
      <c r="AJ256" s="548"/>
      <c r="AK256" s="548"/>
      <c r="AL256" s="548"/>
    </row>
    <row r="257" spans="1:38">
      <c r="A257" s="548"/>
      <c r="B257" s="548"/>
      <c r="C257" s="548"/>
      <c r="D257" s="548"/>
      <c r="E257" s="548"/>
      <c r="F257" s="548"/>
      <c r="G257" s="548"/>
      <c r="H257" s="548"/>
      <c r="I257" s="548"/>
      <c r="J257" s="548"/>
      <c r="K257" s="548"/>
      <c r="L257" s="548"/>
      <c r="M257" s="548"/>
      <c r="N257" s="548"/>
      <c r="O257" s="548"/>
      <c r="P257" s="548"/>
      <c r="Q257" s="548"/>
      <c r="R257" s="548"/>
      <c r="S257" s="548"/>
      <c r="T257" s="548"/>
      <c r="U257" s="548"/>
      <c r="V257" s="548"/>
      <c r="W257" s="548"/>
      <c r="X257" s="548"/>
      <c r="Y257" s="548"/>
      <c r="Z257" s="548"/>
      <c r="AA257" s="548"/>
      <c r="AB257" s="548"/>
      <c r="AC257" s="548"/>
      <c r="AD257" s="548"/>
      <c r="AE257" s="548"/>
      <c r="AF257" s="548"/>
      <c r="AG257" s="548"/>
      <c r="AH257" s="548"/>
      <c r="AI257" s="548"/>
      <c r="AJ257" s="548"/>
      <c r="AK257" s="548"/>
      <c r="AL257" s="548"/>
    </row>
    <row r="258" spans="1:38">
      <c r="A258" s="548"/>
      <c r="B258" s="548"/>
      <c r="C258" s="548"/>
      <c r="D258" s="548"/>
      <c r="E258" s="548"/>
      <c r="F258" s="548"/>
      <c r="G258" s="548"/>
      <c r="H258" s="548"/>
      <c r="I258" s="548"/>
      <c r="J258" s="548"/>
      <c r="K258" s="548"/>
      <c r="L258" s="548"/>
      <c r="M258" s="548"/>
      <c r="N258" s="548"/>
      <c r="O258" s="548"/>
      <c r="P258" s="548"/>
      <c r="Q258" s="548"/>
      <c r="R258" s="548"/>
      <c r="S258" s="548"/>
      <c r="T258" s="548"/>
      <c r="U258" s="548"/>
      <c r="V258" s="548"/>
      <c r="W258" s="548"/>
      <c r="X258" s="548"/>
      <c r="Y258" s="548"/>
      <c r="Z258" s="548"/>
      <c r="AA258" s="548"/>
      <c r="AB258" s="548"/>
      <c r="AC258" s="548"/>
      <c r="AD258" s="548"/>
      <c r="AE258" s="548"/>
      <c r="AF258" s="548"/>
      <c r="AG258" s="548"/>
      <c r="AH258" s="548"/>
      <c r="AI258" s="548"/>
      <c r="AJ258" s="548"/>
      <c r="AK258" s="548"/>
      <c r="AL258" s="548"/>
    </row>
    <row r="259" spans="1:38">
      <c r="A259" s="548"/>
      <c r="B259" s="548"/>
      <c r="C259" s="548"/>
      <c r="D259" s="548"/>
      <c r="E259" s="548"/>
      <c r="F259" s="548"/>
      <c r="G259" s="548"/>
      <c r="H259" s="548"/>
      <c r="I259" s="548"/>
      <c r="J259" s="548"/>
      <c r="K259" s="548"/>
      <c r="L259" s="548"/>
      <c r="M259" s="548"/>
      <c r="N259" s="548"/>
      <c r="O259" s="548"/>
      <c r="P259" s="548"/>
      <c r="Q259" s="548"/>
      <c r="R259" s="548"/>
      <c r="S259" s="548"/>
      <c r="T259" s="548"/>
      <c r="U259" s="548"/>
      <c r="V259" s="548"/>
      <c r="W259" s="548"/>
      <c r="X259" s="548"/>
      <c r="Y259" s="548"/>
      <c r="Z259" s="548"/>
      <c r="AA259" s="548"/>
      <c r="AB259" s="548"/>
      <c r="AC259" s="548"/>
      <c r="AD259" s="548"/>
      <c r="AE259" s="548"/>
      <c r="AF259" s="548"/>
      <c r="AG259" s="548"/>
      <c r="AH259" s="548"/>
      <c r="AI259" s="548"/>
      <c r="AJ259" s="548"/>
      <c r="AK259" s="548"/>
      <c r="AL259" s="548"/>
    </row>
    <row r="260" spans="1:38">
      <c r="A260" s="548"/>
      <c r="B260" s="548"/>
      <c r="C260" s="548"/>
      <c r="D260" s="548"/>
      <c r="E260" s="548"/>
      <c r="F260" s="548"/>
      <c r="G260" s="548"/>
      <c r="H260" s="548"/>
      <c r="I260" s="548"/>
      <c r="J260" s="548"/>
      <c r="K260" s="548"/>
      <c r="L260" s="548"/>
      <c r="M260" s="548"/>
      <c r="N260" s="548"/>
      <c r="O260" s="548"/>
      <c r="P260" s="548"/>
      <c r="Q260" s="548"/>
      <c r="R260" s="548"/>
      <c r="S260" s="548"/>
      <c r="T260" s="548"/>
      <c r="U260" s="548"/>
      <c r="V260" s="548"/>
      <c r="W260" s="548"/>
      <c r="X260" s="548"/>
      <c r="Y260" s="548"/>
      <c r="Z260" s="548"/>
      <c r="AA260" s="548"/>
      <c r="AB260" s="548"/>
      <c r="AC260" s="548"/>
      <c r="AD260" s="548"/>
      <c r="AE260" s="548"/>
      <c r="AF260" s="548"/>
      <c r="AG260" s="548"/>
      <c r="AH260" s="548"/>
      <c r="AI260" s="548"/>
      <c r="AJ260" s="548"/>
      <c r="AK260" s="548"/>
      <c r="AL260" s="548"/>
    </row>
    <row r="261" spans="1:38">
      <c r="A261" s="548"/>
      <c r="B261" s="548"/>
      <c r="C261" s="548"/>
      <c r="D261" s="548"/>
      <c r="E261" s="548"/>
      <c r="F261" s="548"/>
      <c r="G261" s="548"/>
      <c r="H261" s="548"/>
      <c r="I261" s="548"/>
      <c r="J261" s="548"/>
      <c r="K261" s="548"/>
      <c r="L261" s="548"/>
      <c r="M261" s="548"/>
      <c r="N261" s="548"/>
      <c r="O261" s="548"/>
      <c r="P261" s="548"/>
      <c r="Q261" s="548"/>
      <c r="R261" s="548"/>
      <c r="S261" s="548"/>
      <c r="T261" s="548"/>
      <c r="U261" s="548"/>
      <c r="V261" s="548"/>
      <c r="W261" s="548"/>
      <c r="X261" s="548"/>
      <c r="Y261" s="548"/>
      <c r="Z261" s="548"/>
      <c r="AA261" s="548"/>
      <c r="AB261" s="548"/>
      <c r="AC261" s="548"/>
      <c r="AD261" s="548"/>
      <c r="AE261" s="548"/>
      <c r="AF261" s="548"/>
      <c r="AG261" s="548"/>
      <c r="AH261" s="548"/>
      <c r="AI261" s="548"/>
      <c r="AJ261" s="548"/>
      <c r="AK261" s="548"/>
      <c r="AL261" s="548"/>
    </row>
    <row r="262" spans="1:38">
      <c r="A262" s="548"/>
      <c r="B262" s="548"/>
      <c r="C262" s="548"/>
      <c r="D262" s="548"/>
      <c r="E262" s="548"/>
      <c r="F262" s="548"/>
      <c r="G262" s="548"/>
      <c r="H262" s="548"/>
      <c r="I262" s="548"/>
      <c r="J262" s="548"/>
      <c r="K262" s="548"/>
      <c r="L262" s="548"/>
      <c r="M262" s="548"/>
      <c r="N262" s="548"/>
      <c r="O262" s="548"/>
      <c r="P262" s="548"/>
      <c r="Q262" s="548"/>
      <c r="R262" s="548"/>
      <c r="S262" s="548"/>
      <c r="T262" s="548"/>
      <c r="U262" s="548"/>
      <c r="V262" s="548"/>
      <c r="W262" s="548"/>
      <c r="X262" s="548"/>
      <c r="Y262" s="548"/>
      <c r="Z262" s="548"/>
      <c r="AA262" s="548"/>
      <c r="AB262" s="548"/>
      <c r="AC262" s="548"/>
      <c r="AD262" s="548"/>
      <c r="AE262" s="548"/>
      <c r="AF262" s="548"/>
      <c r="AG262" s="548"/>
      <c r="AH262" s="548"/>
      <c r="AI262" s="548"/>
      <c r="AJ262" s="548"/>
      <c r="AK262" s="548"/>
      <c r="AL262" s="548"/>
    </row>
    <row r="263" spans="1:38">
      <c r="A263" s="548"/>
      <c r="B263" s="548"/>
      <c r="C263" s="548"/>
      <c r="D263" s="548"/>
      <c r="E263" s="548"/>
      <c r="F263" s="548"/>
      <c r="G263" s="548"/>
      <c r="H263" s="548"/>
      <c r="I263" s="548"/>
      <c r="J263" s="548"/>
      <c r="K263" s="548"/>
      <c r="L263" s="548"/>
      <c r="M263" s="548"/>
      <c r="N263" s="548"/>
      <c r="O263" s="548"/>
      <c r="P263" s="548"/>
      <c r="Q263" s="548"/>
      <c r="R263" s="548"/>
      <c r="S263" s="548"/>
      <c r="T263" s="548"/>
      <c r="U263" s="548"/>
      <c r="V263" s="548"/>
      <c r="W263" s="548"/>
      <c r="X263" s="548"/>
      <c r="Y263" s="548"/>
      <c r="Z263" s="548"/>
      <c r="AA263" s="548"/>
      <c r="AB263" s="548"/>
      <c r="AC263" s="548"/>
      <c r="AD263" s="548"/>
      <c r="AE263" s="548"/>
      <c r="AF263" s="548"/>
      <c r="AG263" s="548"/>
      <c r="AH263" s="548"/>
      <c r="AI263" s="548"/>
      <c r="AJ263" s="548"/>
      <c r="AK263" s="548"/>
      <c r="AL263" s="548"/>
    </row>
    <row r="264" spans="1:38">
      <c r="A264" s="548"/>
      <c r="B264" s="548"/>
      <c r="C264" s="548"/>
      <c r="D264" s="548"/>
      <c r="E264" s="548"/>
      <c r="F264" s="548"/>
      <c r="G264" s="548"/>
      <c r="H264" s="548"/>
      <c r="I264" s="548"/>
      <c r="J264" s="548"/>
      <c r="K264" s="548"/>
      <c r="L264" s="548"/>
      <c r="M264" s="548"/>
      <c r="N264" s="548"/>
      <c r="O264" s="548"/>
      <c r="P264" s="548"/>
      <c r="Q264" s="548"/>
      <c r="R264" s="548"/>
      <c r="S264" s="548"/>
      <c r="T264" s="548"/>
      <c r="U264" s="548"/>
      <c r="V264" s="548"/>
      <c r="W264" s="548"/>
      <c r="X264" s="548"/>
      <c r="Y264" s="548"/>
      <c r="Z264" s="548"/>
      <c r="AA264" s="548"/>
      <c r="AB264" s="548"/>
      <c r="AC264" s="548"/>
      <c r="AD264" s="548"/>
      <c r="AE264" s="548"/>
      <c r="AF264" s="548"/>
      <c r="AG264" s="548"/>
      <c r="AH264" s="548"/>
      <c r="AI264" s="548"/>
      <c r="AJ264" s="548"/>
      <c r="AK264" s="548"/>
      <c r="AL264" s="548"/>
    </row>
    <row r="265" spans="1:38">
      <c r="A265" s="548"/>
      <c r="B265" s="548"/>
      <c r="C265" s="548"/>
      <c r="D265" s="548"/>
      <c r="E265" s="548"/>
      <c r="F265" s="548"/>
      <c r="G265" s="548"/>
      <c r="H265" s="548"/>
      <c r="I265" s="548"/>
      <c r="J265" s="548"/>
      <c r="K265" s="548"/>
      <c r="L265" s="548"/>
      <c r="M265" s="548"/>
      <c r="N265" s="548"/>
      <c r="O265" s="548"/>
      <c r="P265" s="548"/>
      <c r="Q265" s="548"/>
      <c r="R265" s="548"/>
      <c r="S265" s="548"/>
      <c r="T265" s="548"/>
      <c r="U265" s="548"/>
      <c r="V265" s="548"/>
      <c r="W265" s="548"/>
      <c r="X265" s="548"/>
      <c r="Y265" s="548"/>
      <c r="Z265" s="548"/>
      <c r="AA265" s="548"/>
      <c r="AB265" s="548"/>
      <c r="AC265" s="548"/>
      <c r="AD265" s="548"/>
      <c r="AE265" s="548"/>
      <c r="AF265" s="548"/>
      <c r="AG265" s="548"/>
      <c r="AH265" s="548"/>
      <c r="AI265" s="548"/>
      <c r="AJ265" s="548"/>
      <c r="AK265" s="548"/>
      <c r="AL265" s="548"/>
    </row>
    <row r="266" spans="1:38">
      <c r="A266" s="548"/>
      <c r="B266" s="548"/>
      <c r="C266" s="548"/>
      <c r="D266" s="548"/>
      <c r="E266" s="548"/>
      <c r="F266" s="548"/>
      <c r="G266" s="548"/>
      <c r="H266" s="548"/>
      <c r="I266" s="548"/>
      <c r="J266" s="548"/>
      <c r="K266" s="548"/>
      <c r="L266" s="548"/>
      <c r="M266" s="548"/>
      <c r="N266" s="548"/>
      <c r="O266" s="548"/>
      <c r="P266" s="548"/>
      <c r="Q266" s="548"/>
      <c r="R266" s="548"/>
      <c r="S266" s="548"/>
      <c r="T266" s="548"/>
      <c r="U266" s="548"/>
      <c r="V266" s="548"/>
      <c r="W266" s="548"/>
      <c r="X266" s="548"/>
      <c r="Y266" s="548"/>
      <c r="Z266" s="548"/>
      <c r="AA266" s="548"/>
      <c r="AB266" s="548"/>
      <c r="AC266" s="548"/>
      <c r="AD266" s="548"/>
      <c r="AE266" s="548"/>
      <c r="AF266" s="548"/>
      <c r="AG266" s="548"/>
      <c r="AH266" s="548"/>
      <c r="AI266" s="548"/>
      <c r="AJ266" s="548"/>
      <c r="AK266" s="548"/>
      <c r="AL266" s="548"/>
    </row>
    <row r="267" spans="1:38">
      <c r="A267" s="548"/>
      <c r="B267" s="548"/>
      <c r="C267" s="548"/>
      <c r="D267" s="548"/>
      <c r="E267" s="548"/>
      <c r="F267" s="548"/>
      <c r="G267" s="548"/>
      <c r="H267" s="548"/>
      <c r="I267" s="548"/>
      <c r="J267" s="548"/>
      <c r="K267" s="548"/>
      <c r="L267" s="548"/>
      <c r="M267" s="548"/>
      <c r="N267" s="548"/>
      <c r="O267" s="548"/>
      <c r="P267" s="548"/>
      <c r="Q267" s="548"/>
      <c r="R267" s="548"/>
      <c r="S267" s="548"/>
      <c r="T267" s="548"/>
      <c r="U267" s="548"/>
      <c r="V267" s="548"/>
      <c r="W267" s="548"/>
      <c r="X267" s="548"/>
      <c r="Y267" s="548"/>
      <c r="Z267" s="548"/>
      <c r="AA267" s="548"/>
      <c r="AB267" s="548"/>
      <c r="AC267" s="548"/>
      <c r="AD267" s="548"/>
      <c r="AE267" s="548"/>
      <c r="AF267" s="548"/>
      <c r="AG267" s="548"/>
      <c r="AH267" s="548"/>
      <c r="AI267" s="548"/>
      <c r="AJ267" s="548"/>
      <c r="AK267" s="548"/>
      <c r="AL267" s="548"/>
    </row>
    <row r="268" spans="1:38">
      <c r="A268" s="548"/>
      <c r="B268" s="548"/>
      <c r="C268" s="548"/>
      <c r="D268" s="548"/>
      <c r="E268" s="548"/>
      <c r="F268" s="548"/>
      <c r="G268" s="548"/>
      <c r="H268" s="548"/>
      <c r="I268" s="548"/>
      <c r="J268" s="548"/>
      <c r="K268" s="548"/>
      <c r="L268" s="548"/>
      <c r="M268" s="548"/>
      <c r="N268" s="548"/>
      <c r="O268" s="548"/>
      <c r="P268" s="548"/>
      <c r="Q268" s="548"/>
      <c r="R268" s="548"/>
      <c r="S268" s="548"/>
      <c r="T268" s="548"/>
      <c r="U268" s="548"/>
      <c r="V268" s="548"/>
      <c r="W268" s="548"/>
      <c r="X268" s="548"/>
      <c r="Y268" s="548"/>
      <c r="Z268" s="548"/>
      <c r="AA268" s="548"/>
      <c r="AB268" s="548"/>
      <c r="AC268" s="548"/>
      <c r="AD268" s="548"/>
      <c r="AE268" s="548"/>
      <c r="AF268" s="548"/>
      <c r="AG268" s="548"/>
      <c r="AH268" s="548"/>
      <c r="AI268" s="548"/>
      <c r="AJ268" s="548"/>
      <c r="AK268" s="548"/>
      <c r="AL268" s="548"/>
    </row>
    <row r="269" spans="1:38">
      <c r="A269" s="548"/>
      <c r="B269" s="548"/>
      <c r="C269" s="548"/>
      <c r="D269" s="548"/>
      <c r="E269" s="548"/>
      <c r="F269" s="548"/>
      <c r="G269" s="548"/>
      <c r="H269" s="548"/>
      <c r="I269" s="548"/>
      <c r="J269" s="548"/>
      <c r="K269" s="548"/>
      <c r="L269" s="548"/>
      <c r="M269" s="548"/>
      <c r="N269" s="548"/>
      <c r="O269" s="548"/>
      <c r="P269" s="548"/>
      <c r="Q269" s="548"/>
      <c r="R269" s="548"/>
      <c r="S269" s="548"/>
      <c r="T269" s="548"/>
      <c r="U269" s="548"/>
      <c r="V269" s="548"/>
      <c r="W269" s="548"/>
      <c r="X269" s="548"/>
      <c r="Y269" s="548"/>
      <c r="Z269" s="548"/>
      <c r="AA269" s="548"/>
      <c r="AB269" s="548"/>
      <c r="AC269" s="548"/>
      <c r="AD269" s="548"/>
      <c r="AE269" s="548"/>
      <c r="AF269" s="548"/>
      <c r="AG269" s="548"/>
      <c r="AH269" s="548"/>
      <c r="AI269" s="548"/>
      <c r="AJ269" s="548"/>
      <c r="AK269" s="548"/>
      <c r="AL269" s="548"/>
    </row>
    <row r="270" spans="1:38">
      <c r="A270" s="548"/>
      <c r="B270" s="548"/>
      <c r="C270" s="548"/>
      <c r="D270" s="548"/>
      <c r="E270" s="548"/>
      <c r="F270" s="548"/>
      <c r="G270" s="548"/>
      <c r="H270" s="548"/>
      <c r="I270" s="548"/>
      <c r="J270" s="548"/>
      <c r="K270" s="548"/>
      <c r="L270" s="548"/>
      <c r="M270" s="548"/>
      <c r="N270" s="548"/>
      <c r="O270" s="548"/>
      <c r="P270" s="548"/>
      <c r="Q270" s="548"/>
      <c r="R270" s="548"/>
      <c r="S270" s="548"/>
      <c r="T270" s="548"/>
      <c r="U270" s="548"/>
      <c r="V270" s="548"/>
      <c r="W270" s="548"/>
      <c r="X270" s="548"/>
      <c r="Y270" s="548"/>
      <c r="Z270" s="548"/>
      <c r="AA270" s="548"/>
      <c r="AB270" s="548"/>
      <c r="AC270" s="548"/>
      <c r="AD270" s="548"/>
      <c r="AE270" s="548"/>
      <c r="AF270" s="548"/>
      <c r="AG270" s="548"/>
      <c r="AH270" s="548"/>
      <c r="AI270" s="548"/>
      <c r="AJ270" s="548"/>
      <c r="AK270" s="548"/>
      <c r="AL270" s="548"/>
    </row>
    <row r="271" spans="1:38">
      <c r="A271" s="548"/>
      <c r="B271" s="548"/>
      <c r="C271" s="548"/>
      <c r="D271" s="548"/>
      <c r="E271" s="548"/>
      <c r="F271" s="548"/>
      <c r="G271" s="548"/>
      <c r="H271" s="548"/>
      <c r="I271" s="548"/>
      <c r="J271" s="548"/>
      <c r="K271" s="548"/>
      <c r="L271" s="548"/>
      <c r="M271" s="548"/>
      <c r="N271" s="548"/>
      <c r="O271" s="548"/>
      <c r="P271" s="548"/>
      <c r="Q271" s="548"/>
      <c r="R271" s="548"/>
      <c r="S271" s="548"/>
      <c r="T271" s="548"/>
      <c r="U271" s="548"/>
      <c r="V271" s="548"/>
      <c r="W271" s="548"/>
      <c r="X271" s="548"/>
      <c r="Y271" s="548"/>
      <c r="Z271" s="548"/>
      <c r="AA271" s="548"/>
      <c r="AB271" s="548"/>
      <c r="AC271" s="548"/>
      <c r="AD271" s="548"/>
      <c r="AE271" s="548"/>
      <c r="AF271" s="548"/>
      <c r="AG271" s="548"/>
      <c r="AH271" s="548"/>
      <c r="AI271" s="548"/>
      <c r="AJ271" s="548"/>
      <c r="AK271" s="548"/>
      <c r="AL271" s="548"/>
    </row>
    <row r="272" spans="1:38">
      <c r="A272" s="548"/>
      <c r="B272" s="548"/>
      <c r="C272" s="548"/>
      <c r="D272" s="548"/>
      <c r="E272" s="548"/>
      <c r="F272" s="548"/>
      <c r="G272" s="548"/>
      <c r="H272" s="548"/>
      <c r="I272" s="548"/>
      <c r="J272" s="548"/>
      <c r="K272" s="548"/>
      <c r="L272" s="548"/>
      <c r="M272" s="548"/>
      <c r="N272" s="548"/>
      <c r="O272" s="548"/>
      <c r="P272" s="548"/>
      <c r="Q272" s="548"/>
      <c r="R272" s="548"/>
      <c r="S272" s="548"/>
      <c r="T272" s="548"/>
      <c r="U272" s="548"/>
      <c r="V272" s="548"/>
      <c r="W272" s="548"/>
      <c r="X272" s="548"/>
      <c r="Y272" s="548"/>
      <c r="Z272" s="548"/>
      <c r="AA272" s="548"/>
      <c r="AB272" s="548"/>
      <c r="AC272" s="548"/>
      <c r="AD272" s="548"/>
      <c r="AE272" s="548"/>
      <c r="AF272" s="548"/>
      <c r="AG272" s="548"/>
      <c r="AH272" s="548"/>
      <c r="AI272" s="548"/>
      <c r="AJ272" s="548"/>
      <c r="AK272" s="548"/>
      <c r="AL272" s="548"/>
    </row>
    <row r="273" spans="1:38">
      <c r="A273" s="548"/>
      <c r="B273" s="548"/>
      <c r="C273" s="548"/>
      <c r="D273" s="548"/>
      <c r="E273" s="548"/>
      <c r="F273" s="548"/>
      <c r="G273" s="548"/>
      <c r="H273" s="548"/>
      <c r="I273" s="548"/>
      <c r="J273" s="548"/>
      <c r="K273" s="548"/>
      <c r="L273" s="548"/>
      <c r="M273" s="548"/>
      <c r="N273" s="548"/>
      <c r="O273" s="548"/>
      <c r="P273" s="548"/>
      <c r="Q273" s="548"/>
      <c r="R273" s="548"/>
      <c r="S273" s="548"/>
      <c r="T273" s="548"/>
      <c r="U273" s="548"/>
      <c r="V273" s="548"/>
      <c r="W273" s="548"/>
      <c r="X273" s="548"/>
      <c r="Y273" s="548"/>
      <c r="Z273" s="548"/>
      <c r="AA273" s="548"/>
      <c r="AB273" s="548"/>
      <c r="AC273" s="548"/>
      <c r="AD273" s="548"/>
      <c r="AE273" s="548"/>
      <c r="AF273" s="548"/>
      <c r="AG273" s="548"/>
      <c r="AH273" s="548"/>
      <c r="AI273" s="548"/>
      <c r="AJ273" s="548"/>
      <c r="AK273" s="548"/>
      <c r="AL273" s="548"/>
    </row>
    <row r="274" spans="1:38">
      <c r="A274" s="548"/>
      <c r="B274" s="548"/>
      <c r="C274" s="548"/>
      <c r="D274" s="548"/>
      <c r="E274" s="548"/>
      <c r="F274" s="548"/>
      <c r="G274" s="548"/>
      <c r="H274" s="548"/>
      <c r="I274" s="548"/>
      <c r="J274" s="548"/>
      <c r="K274" s="548"/>
      <c r="L274" s="548"/>
      <c r="M274" s="548"/>
      <c r="N274" s="548"/>
      <c r="O274" s="548"/>
      <c r="P274" s="548"/>
      <c r="Q274" s="548"/>
      <c r="R274" s="548"/>
      <c r="S274" s="548"/>
      <c r="T274" s="548"/>
      <c r="U274" s="548"/>
      <c r="V274" s="548"/>
      <c r="W274" s="548"/>
      <c r="X274" s="548"/>
      <c r="Y274" s="548"/>
      <c r="Z274" s="548"/>
      <c r="AA274" s="548"/>
      <c r="AB274" s="548"/>
      <c r="AC274" s="548"/>
      <c r="AD274" s="548"/>
      <c r="AE274" s="548"/>
      <c r="AF274" s="548"/>
      <c r="AG274" s="548"/>
      <c r="AH274" s="548"/>
      <c r="AI274" s="548"/>
      <c r="AJ274" s="548"/>
      <c r="AK274" s="548"/>
      <c r="AL274" s="548"/>
    </row>
    <row r="275" spans="1:38">
      <c r="A275" s="548"/>
      <c r="B275" s="548"/>
      <c r="C275" s="548"/>
      <c r="D275" s="548"/>
      <c r="E275" s="548"/>
      <c r="F275" s="548"/>
      <c r="G275" s="548"/>
      <c r="H275" s="548"/>
      <c r="I275" s="548"/>
      <c r="J275" s="548"/>
      <c r="K275" s="548"/>
      <c r="L275" s="548"/>
      <c r="M275" s="548"/>
      <c r="N275" s="548"/>
      <c r="O275" s="548"/>
      <c r="P275" s="548"/>
      <c r="Q275" s="548"/>
      <c r="R275" s="548"/>
      <c r="S275" s="548"/>
      <c r="T275" s="548"/>
      <c r="U275" s="548"/>
      <c r="V275" s="548"/>
      <c r="W275" s="548"/>
      <c r="X275" s="548"/>
      <c r="Y275" s="548"/>
      <c r="Z275" s="548"/>
      <c r="AA275" s="548"/>
      <c r="AB275" s="548"/>
      <c r="AC275" s="548"/>
      <c r="AD275" s="548"/>
      <c r="AE275" s="548"/>
      <c r="AF275" s="548"/>
      <c r="AG275" s="548"/>
      <c r="AH275" s="548"/>
      <c r="AI275" s="548"/>
      <c r="AJ275" s="548"/>
      <c r="AK275" s="548"/>
      <c r="AL275" s="548"/>
    </row>
    <row r="276" spans="1:38">
      <c r="A276" s="548"/>
      <c r="B276" s="548"/>
      <c r="C276" s="548"/>
      <c r="D276" s="548"/>
      <c r="E276" s="548"/>
      <c r="F276" s="548"/>
      <c r="G276" s="548"/>
      <c r="H276" s="548"/>
      <c r="I276" s="548"/>
      <c r="J276" s="548"/>
      <c r="K276" s="548"/>
      <c r="L276" s="548"/>
      <c r="M276" s="548"/>
      <c r="N276" s="548"/>
      <c r="O276" s="548"/>
      <c r="P276" s="548"/>
      <c r="Q276" s="548"/>
      <c r="R276" s="548"/>
      <c r="S276" s="548"/>
      <c r="T276" s="548"/>
      <c r="U276" s="548"/>
      <c r="V276" s="548"/>
      <c r="W276" s="548"/>
      <c r="X276" s="548"/>
      <c r="Y276" s="548"/>
      <c r="Z276" s="548"/>
      <c r="AA276" s="548"/>
      <c r="AB276" s="548"/>
      <c r="AC276" s="548"/>
      <c r="AD276" s="548"/>
      <c r="AE276" s="548"/>
      <c r="AF276" s="548"/>
      <c r="AG276" s="548"/>
      <c r="AH276" s="548"/>
      <c r="AI276" s="548"/>
      <c r="AJ276" s="548"/>
      <c r="AK276" s="548"/>
      <c r="AL276" s="548"/>
    </row>
    <row r="277" spans="1:38">
      <c r="A277" s="548"/>
      <c r="B277" s="548"/>
      <c r="C277" s="548"/>
      <c r="D277" s="548"/>
      <c r="E277" s="548"/>
      <c r="F277" s="548"/>
      <c r="G277" s="548"/>
      <c r="H277" s="548"/>
      <c r="I277" s="548"/>
      <c r="J277" s="548"/>
      <c r="K277" s="548"/>
      <c r="L277" s="548"/>
      <c r="M277" s="548"/>
      <c r="N277" s="548"/>
      <c r="O277" s="548"/>
      <c r="P277" s="548"/>
      <c r="Q277" s="548"/>
      <c r="R277" s="548"/>
      <c r="S277" s="548"/>
      <c r="T277" s="548"/>
      <c r="U277" s="548"/>
      <c r="V277" s="548"/>
      <c r="W277" s="548"/>
      <c r="X277" s="548"/>
      <c r="Y277" s="548"/>
      <c r="Z277" s="548"/>
      <c r="AA277" s="548"/>
      <c r="AB277" s="548"/>
      <c r="AC277" s="548"/>
      <c r="AD277" s="548"/>
      <c r="AE277" s="548"/>
      <c r="AF277" s="548"/>
      <c r="AG277" s="548"/>
      <c r="AH277" s="548"/>
      <c r="AI277" s="548"/>
      <c r="AJ277" s="548"/>
      <c r="AK277" s="548"/>
      <c r="AL277" s="548"/>
    </row>
    <row r="278" spans="1:38">
      <c r="A278" s="548"/>
      <c r="B278" s="548"/>
      <c r="C278" s="548"/>
      <c r="D278" s="548"/>
      <c r="E278" s="548"/>
      <c r="F278" s="548"/>
      <c r="G278" s="548"/>
      <c r="H278" s="548"/>
      <c r="I278" s="548"/>
      <c r="J278" s="548"/>
      <c r="K278" s="548"/>
      <c r="L278" s="548"/>
      <c r="M278" s="548"/>
      <c r="N278" s="548"/>
      <c r="O278" s="548"/>
      <c r="P278" s="548"/>
      <c r="Q278" s="548"/>
      <c r="R278" s="548"/>
      <c r="S278" s="548"/>
      <c r="T278" s="548"/>
      <c r="U278" s="548"/>
      <c r="V278" s="548"/>
      <c r="W278" s="548"/>
      <c r="X278" s="548"/>
      <c r="Y278" s="548"/>
      <c r="Z278" s="548"/>
      <c r="AA278" s="548"/>
      <c r="AB278" s="548"/>
      <c r="AC278" s="548"/>
      <c r="AD278" s="548"/>
      <c r="AE278" s="548"/>
      <c r="AF278" s="548"/>
      <c r="AG278" s="548"/>
      <c r="AH278" s="548"/>
      <c r="AI278" s="548"/>
      <c r="AJ278" s="548"/>
      <c r="AK278" s="548"/>
      <c r="AL278" s="548"/>
    </row>
    <row r="279" spans="1:38">
      <c r="A279" s="548"/>
      <c r="B279" s="548"/>
      <c r="C279" s="548"/>
      <c r="D279" s="548"/>
      <c r="E279" s="548"/>
      <c r="F279" s="548"/>
      <c r="G279" s="548"/>
      <c r="H279" s="548"/>
      <c r="I279" s="548"/>
      <c r="J279" s="548"/>
      <c r="K279" s="548"/>
      <c r="L279" s="548"/>
      <c r="M279" s="548"/>
      <c r="N279" s="548"/>
      <c r="O279" s="548"/>
      <c r="P279" s="548"/>
      <c r="Q279" s="548"/>
      <c r="R279" s="548"/>
      <c r="S279" s="548"/>
      <c r="T279" s="548"/>
      <c r="U279" s="548"/>
      <c r="V279" s="548"/>
      <c r="W279" s="548"/>
      <c r="X279" s="548"/>
      <c r="Y279" s="548"/>
      <c r="Z279" s="548"/>
      <c r="AA279" s="548"/>
      <c r="AB279" s="548"/>
      <c r="AC279" s="548"/>
      <c r="AD279" s="548"/>
      <c r="AE279" s="548"/>
      <c r="AF279" s="548"/>
      <c r="AG279" s="548"/>
      <c r="AH279" s="548"/>
      <c r="AI279" s="548"/>
      <c r="AJ279" s="548"/>
      <c r="AK279" s="548"/>
      <c r="AL279" s="548"/>
    </row>
    <row r="280" spans="1:38">
      <c r="A280" s="548"/>
      <c r="B280" s="548"/>
      <c r="C280" s="548"/>
      <c r="D280" s="548"/>
      <c r="E280" s="548"/>
      <c r="F280" s="548"/>
      <c r="G280" s="548"/>
      <c r="H280" s="548"/>
      <c r="I280" s="548"/>
      <c r="J280" s="548"/>
      <c r="K280" s="548"/>
      <c r="L280" s="548"/>
      <c r="M280" s="548"/>
      <c r="N280" s="548"/>
      <c r="O280" s="548"/>
      <c r="P280" s="548"/>
      <c r="Q280" s="548"/>
      <c r="R280" s="548"/>
      <c r="S280" s="548"/>
      <c r="T280" s="548"/>
      <c r="U280" s="548"/>
      <c r="V280" s="548"/>
      <c r="W280" s="548"/>
      <c r="X280" s="548"/>
      <c r="Y280" s="548"/>
      <c r="Z280" s="548"/>
      <c r="AA280" s="548"/>
      <c r="AB280" s="548"/>
      <c r="AC280" s="548"/>
      <c r="AD280" s="548"/>
      <c r="AE280" s="548"/>
      <c r="AF280" s="548"/>
      <c r="AG280" s="548"/>
      <c r="AH280" s="548"/>
      <c r="AI280" s="548"/>
      <c r="AJ280" s="548"/>
      <c r="AK280" s="548"/>
      <c r="AL280" s="548"/>
    </row>
    <row r="281" spans="1:38">
      <c r="A281" s="548"/>
      <c r="B281" s="548"/>
      <c r="C281" s="548"/>
      <c r="D281" s="548"/>
      <c r="E281" s="548"/>
      <c r="F281" s="548"/>
      <c r="G281" s="548"/>
      <c r="H281" s="548"/>
      <c r="I281" s="548"/>
      <c r="J281" s="548"/>
      <c r="K281" s="548"/>
      <c r="L281" s="548"/>
      <c r="M281" s="548"/>
      <c r="N281" s="548"/>
      <c r="O281" s="548"/>
      <c r="P281" s="548"/>
      <c r="Q281" s="548"/>
      <c r="R281" s="548"/>
      <c r="S281" s="548"/>
      <c r="T281" s="548"/>
      <c r="U281" s="548"/>
      <c r="V281" s="548"/>
      <c r="W281" s="548"/>
      <c r="X281" s="548"/>
      <c r="Y281" s="548"/>
      <c r="Z281" s="548"/>
      <c r="AA281" s="548"/>
      <c r="AB281" s="548"/>
      <c r="AC281" s="548"/>
      <c r="AD281" s="548"/>
      <c r="AE281" s="548"/>
      <c r="AF281" s="548"/>
      <c r="AG281" s="548"/>
      <c r="AH281" s="548"/>
      <c r="AI281" s="548"/>
      <c r="AJ281" s="548"/>
      <c r="AK281" s="548"/>
      <c r="AL281" s="548"/>
    </row>
    <row r="282" spans="1:38">
      <c r="A282" s="548"/>
      <c r="B282" s="548"/>
      <c r="C282" s="548"/>
      <c r="D282" s="548"/>
      <c r="E282" s="548"/>
      <c r="F282" s="548"/>
      <c r="G282" s="548"/>
      <c r="H282" s="548"/>
      <c r="I282" s="548"/>
      <c r="J282" s="548"/>
      <c r="K282" s="548"/>
      <c r="L282" s="548"/>
      <c r="M282" s="548"/>
      <c r="N282" s="548"/>
      <c r="O282" s="548"/>
      <c r="P282" s="548"/>
      <c r="Q282" s="548"/>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row>
    <row r="283" spans="1:38">
      <c r="A283" s="548"/>
      <c r="B283" s="548"/>
      <c r="C283" s="548"/>
      <c r="D283" s="548"/>
      <c r="E283" s="548"/>
      <c r="F283" s="548"/>
      <c r="G283" s="548"/>
      <c r="H283" s="548"/>
      <c r="I283" s="548"/>
      <c r="J283" s="548"/>
      <c r="K283" s="548"/>
      <c r="L283" s="548"/>
      <c r="M283" s="548"/>
      <c r="N283" s="548"/>
      <c r="O283" s="548"/>
      <c r="P283" s="548"/>
      <c r="Q283" s="548"/>
      <c r="R283" s="548"/>
      <c r="S283" s="548"/>
      <c r="T283" s="548"/>
      <c r="U283" s="548"/>
      <c r="V283" s="548"/>
      <c r="W283" s="548"/>
      <c r="X283" s="548"/>
      <c r="Y283" s="548"/>
      <c r="Z283" s="548"/>
      <c r="AA283" s="548"/>
      <c r="AB283" s="548"/>
      <c r="AC283" s="548"/>
      <c r="AD283" s="548"/>
      <c r="AE283" s="548"/>
      <c r="AF283" s="548"/>
      <c r="AG283" s="548"/>
      <c r="AH283" s="548"/>
      <c r="AI283" s="548"/>
      <c r="AJ283" s="548"/>
      <c r="AK283" s="548"/>
      <c r="AL283" s="548"/>
    </row>
    <row r="284" spans="1:38">
      <c r="A284" s="548"/>
      <c r="B284" s="548"/>
      <c r="C284" s="548"/>
      <c r="D284" s="548"/>
      <c r="E284" s="548"/>
      <c r="F284" s="548"/>
      <c r="G284" s="548"/>
      <c r="H284" s="548"/>
      <c r="I284" s="548"/>
      <c r="J284" s="548"/>
      <c r="K284" s="548"/>
      <c r="L284" s="548"/>
      <c r="M284" s="548"/>
      <c r="N284" s="548"/>
      <c r="O284" s="548"/>
      <c r="P284" s="548"/>
      <c r="Q284" s="548"/>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row>
    <row r="285" spans="1:38">
      <c r="A285" s="548"/>
      <c r="B285" s="548"/>
      <c r="C285" s="548"/>
      <c r="D285" s="548"/>
      <c r="E285" s="548"/>
      <c r="F285" s="548"/>
      <c r="G285" s="548"/>
      <c r="H285" s="548"/>
      <c r="I285" s="548"/>
      <c r="J285" s="548"/>
      <c r="K285" s="548"/>
      <c r="L285" s="548"/>
      <c r="M285" s="548"/>
      <c r="N285" s="548"/>
      <c r="O285" s="548"/>
      <c r="P285" s="548"/>
      <c r="Q285" s="548"/>
      <c r="R285" s="548"/>
      <c r="S285" s="548"/>
      <c r="T285" s="548"/>
      <c r="U285" s="548"/>
      <c r="V285" s="548"/>
      <c r="W285" s="548"/>
      <c r="X285" s="548"/>
      <c r="Y285" s="548"/>
      <c r="Z285" s="548"/>
      <c r="AA285" s="548"/>
      <c r="AB285" s="548"/>
      <c r="AC285" s="548"/>
      <c r="AD285" s="548"/>
      <c r="AE285" s="548"/>
      <c r="AF285" s="548"/>
      <c r="AG285" s="548"/>
      <c r="AH285" s="548"/>
      <c r="AI285" s="548"/>
      <c r="AJ285" s="548"/>
      <c r="AK285" s="548"/>
      <c r="AL285" s="548"/>
    </row>
    <row r="286" spans="1:38">
      <c r="A286" s="548"/>
      <c r="B286" s="548"/>
      <c r="C286" s="548"/>
      <c r="D286" s="548"/>
      <c r="E286" s="548"/>
      <c r="F286" s="548"/>
      <c r="G286" s="548"/>
      <c r="H286" s="548"/>
      <c r="I286" s="548"/>
      <c r="J286" s="548"/>
      <c r="K286" s="548"/>
      <c r="L286" s="548"/>
      <c r="M286" s="548"/>
      <c r="N286" s="548"/>
      <c r="O286" s="548"/>
      <c r="P286" s="548"/>
      <c r="Q286" s="548"/>
      <c r="R286" s="548"/>
      <c r="S286" s="548"/>
      <c r="T286" s="548"/>
      <c r="U286" s="548"/>
      <c r="V286" s="548"/>
      <c r="W286" s="548"/>
      <c r="X286" s="548"/>
      <c r="Y286" s="548"/>
      <c r="Z286" s="548"/>
      <c r="AA286" s="548"/>
      <c r="AB286" s="548"/>
      <c r="AC286" s="548"/>
      <c r="AD286" s="548"/>
      <c r="AE286" s="548"/>
      <c r="AF286" s="548"/>
      <c r="AG286" s="548"/>
      <c r="AH286" s="548"/>
      <c r="AI286" s="548"/>
      <c r="AJ286" s="548"/>
      <c r="AK286" s="548"/>
      <c r="AL286" s="548"/>
    </row>
    <row r="287" spans="1:38">
      <c r="A287" s="548"/>
      <c r="B287" s="548"/>
      <c r="C287" s="548"/>
      <c r="D287" s="548"/>
      <c r="E287" s="548"/>
      <c r="F287" s="548"/>
      <c r="G287" s="548"/>
      <c r="H287" s="548"/>
      <c r="I287" s="548"/>
      <c r="J287" s="548"/>
      <c r="K287" s="548"/>
      <c r="L287" s="548"/>
      <c r="M287" s="548"/>
      <c r="N287" s="548"/>
      <c r="O287" s="548"/>
      <c r="P287" s="548"/>
      <c r="Q287" s="548"/>
      <c r="R287" s="548"/>
      <c r="S287" s="548"/>
      <c r="T287" s="548"/>
      <c r="U287" s="548"/>
      <c r="V287" s="548"/>
      <c r="W287" s="548"/>
      <c r="X287" s="548"/>
      <c r="Y287" s="548"/>
      <c r="Z287" s="548"/>
      <c r="AA287" s="548"/>
      <c r="AB287" s="548"/>
      <c r="AC287" s="548"/>
      <c r="AD287" s="548"/>
      <c r="AE287" s="548"/>
      <c r="AF287" s="548"/>
      <c r="AG287" s="548"/>
      <c r="AH287" s="548"/>
      <c r="AI287" s="548"/>
      <c r="AJ287" s="548"/>
      <c r="AK287" s="548"/>
      <c r="AL287" s="548"/>
    </row>
    <row r="288" spans="1:38">
      <c r="A288" s="548"/>
      <c r="B288" s="548"/>
      <c r="C288" s="548"/>
      <c r="D288" s="548"/>
      <c r="E288" s="548"/>
      <c r="F288" s="548"/>
      <c r="G288" s="548"/>
      <c r="H288" s="548"/>
      <c r="I288" s="548"/>
      <c r="J288" s="548"/>
      <c r="K288" s="548"/>
      <c r="L288" s="548"/>
      <c r="M288" s="548"/>
      <c r="N288" s="548"/>
      <c r="O288" s="548"/>
      <c r="P288" s="548"/>
      <c r="Q288" s="548"/>
      <c r="R288" s="548"/>
      <c r="S288" s="548"/>
      <c r="T288" s="548"/>
      <c r="U288" s="548"/>
      <c r="V288" s="548"/>
      <c r="W288" s="548"/>
      <c r="X288" s="548"/>
      <c r="Y288" s="548"/>
      <c r="Z288" s="548"/>
      <c r="AA288" s="548"/>
      <c r="AB288" s="548"/>
      <c r="AC288" s="548"/>
      <c r="AD288" s="548"/>
      <c r="AE288" s="548"/>
      <c r="AF288" s="548"/>
      <c r="AG288" s="548"/>
      <c r="AH288" s="548"/>
      <c r="AI288" s="548"/>
      <c r="AJ288" s="548"/>
      <c r="AK288" s="548"/>
      <c r="AL288" s="548"/>
    </row>
    <row r="289" spans="1:38">
      <c r="A289" s="548"/>
      <c r="B289" s="548"/>
      <c r="C289" s="548"/>
      <c r="D289" s="548"/>
      <c r="E289" s="548"/>
      <c r="F289" s="548"/>
      <c r="G289" s="548"/>
      <c r="H289" s="548"/>
      <c r="I289" s="548"/>
      <c r="J289" s="548"/>
      <c r="K289" s="548"/>
      <c r="L289" s="548"/>
      <c r="M289" s="548"/>
      <c r="N289" s="548"/>
      <c r="O289" s="548"/>
      <c r="P289" s="548"/>
      <c r="Q289" s="548"/>
      <c r="R289" s="548"/>
      <c r="S289" s="548"/>
      <c r="T289" s="548"/>
      <c r="U289" s="548"/>
      <c r="V289" s="548"/>
      <c r="W289" s="548"/>
      <c r="X289" s="548"/>
      <c r="Y289" s="548"/>
      <c r="Z289" s="548"/>
      <c r="AA289" s="548"/>
      <c r="AB289" s="548"/>
      <c r="AC289" s="548"/>
      <c r="AD289" s="548"/>
      <c r="AE289" s="548"/>
      <c r="AF289" s="548"/>
      <c r="AG289" s="548"/>
      <c r="AH289" s="548"/>
      <c r="AI289" s="548"/>
      <c r="AJ289" s="548"/>
      <c r="AK289" s="548"/>
      <c r="AL289" s="548"/>
    </row>
    <row r="290" spans="1:38">
      <c r="A290" s="548"/>
      <c r="B290" s="548"/>
      <c r="C290" s="548"/>
      <c r="D290" s="548"/>
      <c r="E290" s="548"/>
      <c r="F290" s="548"/>
      <c r="G290" s="548"/>
      <c r="H290" s="548"/>
      <c r="I290" s="548"/>
      <c r="J290" s="548"/>
      <c r="K290" s="548"/>
      <c r="L290" s="548"/>
      <c r="M290" s="548"/>
      <c r="N290" s="548"/>
      <c r="O290" s="548"/>
      <c r="P290" s="548"/>
      <c r="Q290" s="548"/>
      <c r="R290" s="548"/>
      <c r="S290" s="548"/>
      <c r="T290" s="548"/>
      <c r="U290" s="548"/>
      <c r="V290" s="548"/>
      <c r="W290" s="548"/>
      <c r="X290" s="548"/>
      <c r="Y290" s="548"/>
      <c r="Z290" s="548"/>
      <c r="AA290" s="548"/>
      <c r="AB290" s="548"/>
      <c r="AC290" s="548"/>
      <c r="AD290" s="548"/>
      <c r="AE290" s="548"/>
      <c r="AF290" s="548"/>
      <c r="AG290" s="548"/>
      <c r="AH290" s="548"/>
      <c r="AI290" s="548"/>
      <c r="AJ290" s="548"/>
      <c r="AK290" s="548"/>
      <c r="AL290" s="548"/>
    </row>
    <row r="291" spans="1:38">
      <c r="A291" s="548"/>
      <c r="B291" s="548"/>
      <c r="C291" s="548"/>
      <c r="D291" s="548"/>
      <c r="E291" s="548"/>
      <c r="F291" s="548"/>
      <c r="G291" s="548"/>
      <c r="H291" s="548"/>
      <c r="I291" s="548"/>
      <c r="J291" s="548"/>
      <c r="K291" s="548"/>
      <c r="L291" s="548"/>
      <c r="M291" s="548"/>
      <c r="N291" s="548"/>
      <c r="O291" s="548"/>
      <c r="P291" s="548"/>
      <c r="Q291" s="548"/>
      <c r="R291" s="548"/>
      <c r="S291" s="548"/>
      <c r="T291" s="548"/>
      <c r="U291" s="548"/>
      <c r="V291" s="548"/>
      <c r="W291" s="548"/>
      <c r="X291" s="548"/>
      <c r="Y291" s="548"/>
      <c r="Z291" s="548"/>
      <c r="AA291" s="548"/>
      <c r="AB291" s="548"/>
      <c r="AC291" s="548"/>
      <c r="AD291" s="548"/>
      <c r="AE291" s="548"/>
      <c r="AF291" s="548"/>
      <c r="AG291" s="548"/>
      <c r="AH291" s="548"/>
      <c r="AI291" s="548"/>
      <c r="AJ291" s="548"/>
      <c r="AK291" s="548"/>
      <c r="AL291" s="548"/>
    </row>
    <row r="292" spans="1:38">
      <c r="A292" s="548"/>
      <c r="B292" s="548"/>
      <c r="C292" s="548"/>
      <c r="D292" s="548"/>
      <c r="E292" s="548"/>
      <c r="F292" s="548"/>
      <c r="G292" s="548"/>
      <c r="H292" s="548"/>
      <c r="I292" s="548"/>
      <c r="J292" s="548"/>
      <c r="K292" s="548"/>
      <c r="L292" s="548"/>
      <c r="M292" s="548"/>
      <c r="N292" s="548"/>
      <c r="O292" s="548"/>
      <c r="P292" s="548"/>
      <c r="Q292" s="548"/>
      <c r="R292" s="548"/>
      <c r="S292" s="548"/>
      <c r="T292" s="548"/>
      <c r="U292" s="548"/>
      <c r="V292" s="548"/>
      <c r="W292" s="548"/>
      <c r="X292" s="548"/>
      <c r="Y292" s="548"/>
      <c r="Z292" s="548"/>
      <c r="AA292" s="548"/>
      <c r="AB292" s="548"/>
      <c r="AC292" s="548"/>
      <c r="AD292" s="548"/>
      <c r="AE292" s="548"/>
      <c r="AF292" s="548"/>
      <c r="AG292" s="548"/>
      <c r="AH292" s="548"/>
      <c r="AI292" s="548"/>
      <c r="AJ292" s="548"/>
      <c r="AK292" s="548"/>
      <c r="AL292" s="548"/>
    </row>
    <row r="293" spans="1:38">
      <c r="A293" s="548"/>
      <c r="B293" s="548"/>
      <c r="C293" s="548"/>
      <c r="D293" s="548"/>
      <c r="E293" s="548"/>
      <c r="F293" s="548"/>
      <c r="G293" s="548"/>
      <c r="H293" s="548"/>
      <c r="I293" s="548"/>
      <c r="J293" s="548"/>
      <c r="K293" s="548"/>
      <c r="L293" s="548"/>
      <c r="M293" s="548"/>
      <c r="N293" s="548"/>
      <c r="O293" s="548"/>
      <c r="P293" s="548"/>
      <c r="Q293" s="548"/>
      <c r="R293" s="548"/>
      <c r="S293" s="548"/>
      <c r="T293" s="548"/>
      <c r="U293" s="548"/>
      <c r="V293" s="548"/>
      <c r="W293" s="548"/>
      <c r="X293" s="548"/>
      <c r="Y293" s="548"/>
      <c r="Z293" s="548"/>
      <c r="AA293" s="548"/>
      <c r="AB293" s="548"/>
      <c r="AC293" s="548"/>
      <c r="AD293" s="548"/>
      <c r="AE293" s="548"/>
      <c r="AF293" s="548"/>
      <c r="AG293" s="548"/>
      <c r="AH293" s="548"/>
      <c r="AI293" s="548"/>
      <c r="AJ293" s="548"/>
      <c r="AK293" s="548"/>
      <c r="AL293" s="548"/>
    </row>
    <row r="294" spans="1:38">
      <c r="A294" s="548"/>
      <c r="B294" s="548"/>
      <c r="C294" s="548"/>
      <c r="D294" s="548"/>
      <c r="E294" s="548"/>
      <c r="F294" s="548"/>
      <c r="G294" s="548"/>
      <c r="H294" s="548"/>
      <c r="I294" s="548"/>
      <c r="J294" s="548"/>
      <c r="K294" s="548"/>
      <c r="L294" s="548"/>
      <c r="M294" s="548"/>
      <c r="N294" s="548"/>
      <c r="O294" s="548"/>
      <c r="P294" s="548"/>
      <c r="Q294" s="548"/>
      <c r="R294" s="548"/>
      <c r="S294" s="548"/>
      <c r="T294" s="548"/>
      <c r="U294" s="548"/>
      <c r="V294" s="548"/>
      <c r="W294" s="548"/>
      <c r="X294" s="548"/>
      <c r="Y294" s="548"/>
      <c r="Z294" s="548"/>
      <c r="AA294" s="548"/>
      <c r="AB294" s="548"/>
      <c r="AC294" s="548"/>
      <c r="AD294" s="548"/>
      <c r="AE294" s="548"/>
      <c r="AF294" s="548"/>
      <c r="AG294" s="548"/>
      <c r="AH294" s="548"/>
      <c r="AI294" s="548"/>
      <c r="AJ294" s="548"/>
      <c r="AK294" s="548"/>
      <c r="AL294" s="548"/>
    </row>
    <row r="295" spans="1:38">
      <c r="A295" s="548"/>
      <c r="B295" s="548"/>
      <c r="C295" s="548"/>
      <c r="D295" s="548"/>
      <c r="E295" s="548"/>
      <c r="F295" s="548"/>
      <c r="G295" s="548"/>
      <c r="H295" s="548"/>
      <c r="I295" s="548"/>
      <c r="J295" s="548"/>
      <c r="K295" s="548"/>
      <c r="L295" s="548"/>
      <c r="M295" s="548"/>
      <c r="N295" s="548"/>
      <c r="O295" s="548"/>
      <c r="P295" s="548"/>
      <c r="Q295" s="548"/>
      <c r="R295" s="548"/>
      <c r="S295" s="548"/>
      <c r="T295" s="548"/>
      <c r="U295" s="548"/>
      <c r="V295" s="548"/>
      <c r="W295" s="548"/>
      <c r="X295" s="548"/>
      <c r="Y295" s="548"/>
      <c r="Z295" s="548"/>
      <c r="AA295" s="548"/>
      <c r="AB295" s="548"/>
      <c r="AC295" s="548"/>
      <c r="AD295" s="548"/>
      <c r="AE295" s="548"/>
      <c r="AF295" s="548"/>
      <c r="AG295" s="548"/>
      <c r="AH295" s="548"/>
      <c r="AI295" s="548"/>
      <c r="AJ295" s="548"/>
      <c r="AK295" s="548"/>
      <c r="AL295" s="548"/>
    </row>
    <row r="296" spans="1:38">
      <c r="A296" s="548"/>
      <c r="B296" s="548"/>
      <c r="C296" s="548"/>
      <c r="D296" s="548"/>
      <c r="E296" s="548"/>
      <c r="F296" s="548"/>
      <c r="G296" s="548"/>
      <c r="H296" s="548"/>
      <c r="I296" s="548"/>
      <c r="J296" s="548"/>
      <c r="K296" s="548"/>
      <c r="L296" s="548"/>
      <c r="M296" s="548"/>
      <c r="N296" s="548"/>
      <c r="O296" s="548"/>
      <c r="P296" s="548"/>
      <c r="Q296" s="548"/>
      <c r="R296" s="548"/>
      <c r="S296" s="548"/>
      <c r="T296" s="548"/>
      <c r="U296" s="548"/>
      <c r="V296" s="548"/>
      <c r="W296" s="548"/>
      <c r="X296" s="548"/>
      <c r="Y296" s="548"/>
      <c r="Z296" s="548"/>
      <c r="AA296" s="548"/>
      <c r="AB296" s="548"/>
      <c r="AC296" s="548"/>
      <c r="AD296" s="548"/>
      <c r="AE296" s="548"/>
      <c r="AF296" s="548"/>
      <c r="AG296" s="548"/>
      <c r="AH296" s="548"/>
      <c r="AI296" s="548"/>
      <c r="AJ296" s="548"/>
      <c r="AK296" s="548"/>
      <c r="AL296" s="548"/>
    </row>
    <row r="297" spans="1:38">
      <c r="A297" s="548"/>
      <c r="B297" s="548"/>
      <c r="C297" s="548"/>
      <c r="D297" s="548"/>
      <c r="E297" s="548"/>
      <c r="F297" s="548"/>
      <c r="G297" s="548"/>
      <c r="H297" s="548"/>
      <c r="I297" s="548"/>
      <c r="J297" s="548"/>
      <c r="K297" s="548"/>
      <c r="L297" s="548"/>
      <c r="M297" s="548"/>
      <c r="N297" s="548"/>
      <c r="O297" s="548"/>
      <c r="P297" s="548"/>
      <c r="Q297" s="548"/>
      <c r="R297" s="548"/>
      <c r="S297" s="548"/>
      <c r="T297" s="548"/>
      <c r="U297" s="548"/>
      <c r="V297" s="548"/>
      <c r="W297" s="548"/>
      <c r="X297" s="548"/>
      <c r="Y297" s="548"/>
      <c r="Z297" s="548"/>
      <c r="AA297" s="548"/>
      <c r="AB297" s="548"/>
      <c r="AC297" s="548"/>
      <c r="AD297" s="548"/>
      <c r="AE297" s="548"/>
      <c r="AF297" s="548"/>
      <c r="AG297" s="548"/>
      <c r="AH297" s="548"/>
      <c r="AI297" s="548"/>
      <c r="AJ297" s="548"/>
      <c r="AK297" s="548"/>
      <c r="AL297" s="548"/>
    </row>
    <row r="298" spans="1:38">
      <c r="A298" s="548"/>
      <c r="B298" s="548"/>
      <c r="C298" s="548"/>
      <c r="D298" s="548"/>
      <c r="E298" s="548"/>
      <c r="F298" s="548"/>
      <c r="G298" s="548"/>
      <c r="H298" s="548"/>
      <c r="I298" s="548"/>
      <c r="J298" s="548"/>
      <c r="K298" s="548"/>
      <c r="L298" s="548"/>
      <c r="M298" s="548"/>
      <c r="N298" s="548"/>
      <c r="O298" s="548"/>
      <c r="P298" s="548"/>
      <c r="Q298" s="548"/>
      <c r="R298" s="548"/>
      <c r="S298" s="548"/>
      <c r="T298" s="548"/>
      <c r="U298" s="548"/>
      <c r="V298" s="548"/>
      <c r="W298" s="548"/>
      <c r="X298" s="548"/>
      <c r="Y298" s="548"/>
      <c r="Z298" s="548"/>
      <c r="AA298" s="548"/>
      <c r="AB298" s="548"/>
      <c r="AC298" s="548"/>
      <c r="AD298" s="548"/>
      <c r="AE298" s="548"/>
      <c r="AF298" s="548"/>
      <c r="AG298" s="548"/>
      <c r="AH298" s="548"/>
      <c r="AI298" s="548"/>
      <c r="AJ298" s="548"/>
      <c r="AK298" s="548"/>
      <c r="AL298" s="548"/>
    </row>
    <row r="299" spans="1:38">
      <c r="A299" s="548"/>
      <c r="B299" s="548"/>
      <c r="C299" s="548"/>
      <c r="D299" s="548"/>
      <c r="E299" s="548"/>
      <c r="F299" s="548"/>
      <c r="G299" s="548"/>
      <c r="H299" s="548"/>
      <c r="I299" s="548"/>
      <c r="J299" s="548"/>
      <c r="K299" s="548"/>
      <c r="L299" s="548"/>
      <c r="M299" s="548"/>
      <c r="N299" s="548"/>
      <c r="O299" s="548"/>
      <c r="P299" s="548"/>
      <c r="Q299" s="548"/>
      <c r="R299" s="548"/>
      <c r="S299" s="548"/>
      <c r="T299" s="548"/>
      <c r="U299" s="548"/>
      <c r="V299" s="548"/>
      <c r="W299" s="548"/>
      <c r="X299" s="548"/>
      <c r="Y299" s="548"/>
      <c r="Z299" s="548"/>
      <c r="AA299" s="548"/>
      <c r="AB299" s="548"/>
      <c r="AC299" s="548"/>
      <c r="AD299" s="548"/>
      <c r="AE299" s="548"/>
      <c r="AF299" s="548"/>
      <c r="AG299" s="548"/>
      <c r="AH299" s="548"/>
      <c r="AI299" s="548"/>
      <c r="AJ299" s="548"/>
      <c r="AK299" s="548"/>
      <c r="AL299" s="548"/>
    </row>
    <row r="300" spans="1:38">
      <c r="A300" s="548"/>
      <c r="B300" s="548"/>
      <c r="C300" s="548"/>
      <c r="D300" s="548"/>
      <c r="E300" s="548"/>
      <c r="F300" s="548"/>
      <c r="G300" s="548"/>
      <c r="H300" s="548"/>
      <c r="I300" s="548"/>
      <c r="J300" s="548"/>
      <c r="K300" s="548"/>
      <c r="L300" s="548"/>
      <c r="M300" s="548"/>
      <c r="N300" s="548"/>
      <c r="O300" s="548"/>
      <c r="P300" s="548"/>
      <c r="Q300" s="548"/>
      <c r="R300" s="548"/>
      <c r="S300" s="548"/>
      <c r="T300" s="548"/>
      <c r="U300" s="548"/>
      <c r="V300" s="548"/>
      <c r="W300" s="548"/>
      <c r="X300" s="548"/>
      <c r="Y300" s="548"/>
      <c r="Z300" s="548"/>
      <c r="AA300" s="548"/>
      <c r="AB300" s="548"/>
      <c r="AC300" s="548"/>
      <c r="AD300" s="548"/>
      <c r="AE300" s="548"/>
      <c r="AF300" s="548"/>
      <c r="AG300" s="548"/>
      <c r="AH300" s="548"/>
      <c r="AI300" s="548"/>
      <c r="AJ300" s="548"/>
      <c r="AK300" s="548"/>
      <c r="AL300" s="548"/>
    </row>
    <row r="301" spans="1:38">
      <c r="A301" s="548"/>
      <c r="B301" s="548"/>
      <c r="C301" s="548"/>
      <c r="D301" s="548"/>
      <c r="E301" s="548"/>
      <c r="F301" s="548"/>
      <c r="G301" s="548"/>
      <c r="H301" s="548"/>
      <c r="I301" s="548"/>
      <c r="J301" s="548"/>
      <c r="K301" s="548"/>
      <c r="L301" s="548"/>
      <c r="M301" s="548"/>
      <c r="N301" s="548"/>
      <c r="O301" s="548"/>
      <c r="P301" s="548"/>
      <c r="Q301" s="548"/>
      <c r="R301" s="548"/>
      <c r="S301" s="548"/>
      <c r="T301" s="548"/>
      <c r="U301" s="548"/>
      <c r="V301" s="548"/>
      <c r="W301" s="548"/>
      <c r="X301" s="548"/>
      <c r="Y301" s="548"/>
      <c r="Z301" s="548"/>
      <c r="AA301" s="548"/>
      <c r="AB301" s="548"/>
      <c r="AC301" s="548"/>
      <c r="AD301" s="548"/>
      <c r="AE301" s="548"/>
      <c r="AF301" s="548"/>
      <c r="AG301" s="548"/>
      <c r="AH301" s="548"/>
      <c r="AI301" s="548"/>
      <c r="AJ301" s="548"/>
      <c r="AK301" s="548"/>
      <c r="AL301" s="548"/>
    </row>
    <row r="302" spans="1:38">
      <c r="A302" s="548"/>
      <c r="B302" s="548"/>
      <c r="C302" s="548"/>
      <c r="D302" s="548"/>
      <c r="E302" s="548"/>
      <c r="F302" s="548"/>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row>
    <row r="303" spans="1:38">
      <c r="A303" s="548"/>
      <c r="B303" s="548"/>
      <c r="C303" s="548"/>
      <c r="D303" s="548"/>
      <c r="E303" s="548"/>
      <c r="F303" s="548"/>
      <c r="G303" s="548"/>
      <c r="H303" s="548"/>
      <c r="I303" s="548"/>
      <c r="J303" s="548"/>
      <c r="K303" s="548"/>
      <c r="L303" s="548"/>
      <c r="M303" s="548"/>
      <c r="N303" s="548"/>
      <c r="O303" s="548"/>
      <c r="P303" s="548"/>
      <c r="Q303" s="548"/>
      <c r="R303" s="548"/>
      <c r="S303" s="548"/>
      <c r="T303" s="548"/>
      <c r="U303" s="548"/>
      <c r="V303" s="548"/>
      <c r="W303" s="548"/>
      <c r="X303" s="548"/>
      <c r="Y303" s="548"/>
      <c r="Z303" s="548"/>
      <c r="AA303" s="548"/>
      <c r="AB303" s="548"/>
      <c r="AC303" s="548"/>
      <c r="AD303" s="548"/>
      <c r="AE303" s="548"/>
      <c r="AF303" s="548"/>
      <c r="AG303" s="548"/>
      <c r="AH303" s="548"/>
      <c r="AI303" s="548"/>
      <c r="AJ303" s="548"/>
      <c r="AK303" s="548"/>
      <c r="AL303" s="548"/>
    </row>
    <row r="304" spans="1:38">
      <c r="A304" s="548"/>
      <c r="B304" s="548"/>
      <c r="C304" s="548"/>
      <c r="D304" s="548"/>
      <c r="E304" s="548"/>
      <c r="F304" s="548"/>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row>
    <row r="305" spans="1:38">
      <c r="A305" s="548"/>
      <c r="B305" s="548"/>
      <c r="C305" s="548"/>
      <c r="D305" s="548"/>
      <c r="E305" s="548"/>
      <c r="F305" s="548"/>
      <c r="G305" s="548"/>
      <c r="H305" s="548"/>
      <c r="I305" s="548"/>
      <c r="J305" s="548"/>
      <c r="K305" s="548"/>
      <c r="L305" s="548"/>
      <c r="M305" s="548"/>
      <c r="N305" s="548"/>
      <c r="O305" s="548"/>
      <c r="P305" s="548"/>
      <c r="Q305" s="548"/>
      <c r="R305" s="548"/>
      <c r="S305" s="548"/>
      <c r="T305" s="548"/>
      <c r="U305" s="548"/>
      <c r="V305" s="548"/>
      <c r="W305" s="548"/>
      <c r="X305" s="548"/>
      <c r="Y305" s="548"/>
      <c r="Z305" s="548"/>
      <c r="AA305" s="548"/>
      <c r="AB305" s="548"/>
      <c r="AC305" s="548"/>
      <c r="AD305" s="548"/>
      <c r="AE305" s="548"/>
      <c r="AF305" s="548"/>
      <c r="AG305" s="548"/>
      <c r="AH305" s="548"/>
      <c r="AI305" s="548"/>
      <c r="AJ305" s="548"/>
      <c r="AK305" s="548"/>
      <c r="AL305" s="548"/>
    </row>
    <row r="306" spans="1:38">
      <c r="A306" s="548"/>
      <c r="B306" s="548"/>
      <c r="C306" s="548"/>
      <c r="D306" s="548"/>
      <c r="E306" s="548"/>
      <c r="F306" s="548"/>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row>
    <row r="307" spans="1:38">
      <c r="A307" s="548"/>
      <c r="B307" s="548"/>
      <c r="C307" s="548"/>
      <c r="D307" s="548"/>
      <c r="E307" s="548"/>
      <c r="F307" s="548"/>
      <c r="G307" s="548"/>
      <c r="H307" s="548"/>
      <c r="I307" s="548"/>
      <c r="J307" s="548"/>
      <c r="K307" s="548"/>
      <c r="L307" s="548"/>
      <c r="M307" s="548"/>
      <c r="N307" s="548"/>
      <c r="O307" s="548"/>
      <c r="P307" s="548"/>
      <c r="Q307" s="548"/>
      <c r="R307" s="548"/>
      <c r="S307" s="548"/>
      <c r="T307" s="548"/>
      <c r="U307" s="548"/>
      <c r="V307" s="548"/>
      <c r="W307" s="548"/>
      <c r="X307" s="548"/>
      <c r="Y307" s="548"/>
      <c r="Z307" s="548"/>
      <c r="AA307" s="548"/>
      <c r="AB307" s="548"/>
      <c r="AC307" s="548"/>
      <c r="AD307" s="548"/>
      <c r="AE307" s="548"/>
      <c r="AF307" s="548"/>
      <c r="AG307" s="548"/>
      <c r="AH307" s="548"/>
      <c r="AI307" s="548"/>
      <c r="AJ307" s="548"/>
      <c r="AK307" s="548"/>
      <c r="AL307" s="548"/>
    </row>
    <row r="308" spans="1:38">
      <c r="A308" s="548"/>
      <c r="B308" s="548"/>
      <c r="C308" s="548"/>
      <c r="D308" s="548"/>
      <c r="E308" s="548"/>
      <c r="F308" s="548"/>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row>
    <row r="309" spans="1:38">
      <c r="A309" s="548"/>
      <c r="B309" s="548"/>
      <c r="C309" s="548"/>
      <c r="D309" s="548"/>
      <c r="E309" s="548"/>
      <c r="F309" s="548"/>
      <c r="G309" s="548"/>
      <c r="H309" s="548"/>
      <c r="I309" s="548"/>
      <c r="J309" s="548"/>
      <c r="K309" s="548"/>
      <c r="L309" s="548"/>
      <c r="M309" s="548"/>
      <c r="N309" s="548"/>
      <c r="O309" s="548"/>
      <c r="P309" s="548"/>
      <c r="Q309" s="548"/>
      <c r="R309" s="548"/>
      <c r="S309" s="548"/>
      <c r="T309" s="548"/>
      <c r="U309" s="548"/>
      <c r="V309" s="548"/>
      <c r="W309" s="548"/>
      <c r="X309" s="548"/>
      <c r="Y309" s="548"/>
      <c r="Z309" s="548"/>
      <c r="AA309" s="548"/>
      <c r="AB309" s="548"/>
      <c r="AC309" s="548"/>
      <c r="AD309" s="548"/>
      <c r="AE309" s="548"/>
      <c r="AF309" s="548"/>
      <c r="AG309" s="548"/>
      <c r="AH309" s="548"/>
      <c r="AI309" s="548"/>
      <c r="AJ309" s="548"/>
      <c r="AK309" s="548"/>
      <c r="AL309" s="548"/>
    </row>
    <row r="310" spans="1:38">
      <c r="A310" s="548"/>
      <c r="B310" s="548"/>
      <c r="C310" s="548"/>
      <c r="D310" s="548"/>
      <c r="E310" s="548"/>
      <c r="F310" s="548"/>
      <c r="G310" s="548"/>
      <c r="H310" s="548"/>
      <c r="I310" s="548"/>
      <c r="J310" s="548"/>
      <c r="K310" s="548"/>
      <c r="L310" s="548"/>
      <c r="M310" s="548"/>
      <c r="N310" s="548"/>
      <c r="O310" s="548"/>
      <c r="P310" s="548"/>
      <c r="Q310" s="548"/>
      <c r="R310" s="548"/>
      <c r="S310" s="548"/>
      <c r="T310" s="548"/>
      <c r="U310" s="548"/>
      <c r="V310" s="548"/>
      <c r="W310" s="548"/>
      <c r="X310" s="548"/>
      <c r="Y310" s="548"/>
      <c r="Z310" s="548"/>
      <c r="AA310" s="548"/>
      <c r="AB310" s="548"/>
      <c r="AC310" s="548"/>
      <c r="AD310" s="548"/>
      <c r="AE310" s="548"/>
      <c r="AF310" s="548"/>
      <c r="AG310" s="548"/>
      <c r="AH310" s="548"/>
      <c r="AI310" s="548"/>
      <c r="AJ310" s="548"/>
      <c r="AK310" s="548"/>
      <c r="AL310" s="548"/>
    </row>
    <row r="311" spans="1:38">
      <c r="A311" s="548"/>
      <c r="B311" s="548"/>
      <c r="C311" s="548"/>
      <c r="D311" s="548"/>
      <c r="E311" s="548"/>
      <c r="F311" s="548"/>
      <c r="G311" s="548"/>
      <c r="H311" s="548"/>
      <c r="I311" s="548"/>
      <c r="J311" s="548"/>
      <c r="K311" s="548"/>
      <c r="L311" s="548"/>
      <c r="M311" s="548"/>
      <c r="N311" s="548"/>
      <c r="O311" s="548"/>
      <c r="P311" s="548"/>
      <c r="Q311" s="548"/>
      <c r="R311" s="548"/>
      <c r="S311" s="548"/>
      <c r="T311" s="548"/>
      <c r="U311" s="548"/>
      <c r="V311" s="548"/>
      <c r="W311" s="548"/>
      <c r="X311" s="548"/>
      <c r="Y311" s="548"/>
      <c r="Z311" s="548"/>
      <c r="AA311" s="548"/>
      <c r="AB311" s="548"/>
      <c r="AC311" s="548"/>
      <c r="AD311" s="548"/>
      <c r="AE311" s="548"/>
      <c r="AF311" s="548"/>
      <c r="AG311" s="548"/>
      <c r="AH311" s="548"/>
      <c r="AI311" s="548"/>
      <c r="AJ311" s="548"/>
      <c r="AK311" s="548"/>
      <c r="AL311" s="548"/>
    </row>
    <row r="312" spans="1:38">
      <c r="A312" s="548"/>
      <c r="B312" s="548"/>
      <c r="C312" s="548"/>
      <c r="D312" s="548"/>
      <c r="E312" s="548"/>
      <c r="F312" s="548"/>
      <c r="G312" s="548"/>
      <c r="H312" s="548"/>
      <c r="I312" s="548"/>
      <c r="J312" s="548"/>
      <c r="K312" s="548"/>
      <c r="L312" s="548"/>
      <c r="M312" s="548"/>
      <c r="N312" s="548"/>
      <c r="O312" s="548"/>
      <c r="P312" s="548"/>
      <c r="Q312" s="548"/>
      <c r="R312" s="548"/>
      <c r="S312" s="548"/>
      <c r="T312" s="548"/>
      <c r="U312" s="548"/>
      <c r="V312" s="548"/>
      <c r="W312" s="548"/>
      <c r="X312" s="548"/>
      <c r="Y312" s="548"/>
      <c r="Z312" s="548"/>
      <c r="AA312" s="548"/>
      <c r="AB312" s="548"/>
      <c r="AC312" s="548"/>
      <c r="AD312" s="548"/>
      <c r="AE312" s="548"/>
      <c r="AF312" s="548"/>
      <c r="AG312" s="548"/>
      <c r="AH312" s="548"/>
      <c r="AI312" s="548"/>
      <c r="AJ312" s="548"/>
      <c r="AK312" s="548"/>
      <c r="AL312" s="548"/>
    </row>
    <row r="313" spans="1:38">
      <c r="A313" s="548"/>
      <c r="B313" s="548"/>
      <c r="C313" s="548"/>
      <c r="D313" s="548"/>
      <c r="E313" s="548"/>
      <c r="F313" s="548"/>
      <c r="G313" s="548"/>
      <c r="H313" s="548"/>
      <c r="I313" s="548"/>
      <c r="J313" s="548"/>
      <c r="K313" s="548"/>
      <c r="L313" s="548"/>
      <c r="M313" s="548"/>
      <c r="N313" s="548"/>
      <c r="O313" s="548"/>
      <c r="P313" s="548"/>
      <c r="Q313" s="548"/>
      <c r="R313" s="548"/>
      <c r="S313" s="548"/>
      <c r="T313" s="548"/>
      <c r="U313" s="548"/>
      <c r="V313" s="548"/>
      <c r="W313" s="548"/>
      <c r="X313" s="548"/>
      <c r="Y313" s="548"/>
      <c r="Z313" s="548"/>
      <c r="AA313" s="548"/>
      <c r="AB313" s="548"/>
      <c r="AC313" s="548"/>
      <c r="AD313" s="548"/>
      <c r="AE313" s="548"/>
      <c r="AF313" s="548"/>
      <c r="AG313" s="548"/>
      <c r="AH313" s="548"/>
      <c r="AI313" s="548"/>
      <c r="AJ313" s="548"/>
      <c r="AK313" s="548"/>
      <c r="AL313" s="548"/>
    </row>
    <row r="314" spans="1:38">
      <c r="A314" s="548"/>
      <c r="B314" s="548"/>
      <c r="C314" s="548"/>
      <c r="D314" s="548"/>
      <c r="E314" s="548"/>
      <c r="F314" s="548"/>
      <c r="G314" s="548"/>
      <c r="H314" s="548"/>
      <c r="I314" s="548"/>
      <c r="J314" s="548"/>
      <c r="K314" s="548"/>
      <c r="L314" s="548"/>
      <c r="M314" s="548"/>
      <c r="N314" s="548"/>
      <c r="O314" s="548"/>
      <c r="P314" s="548"/>
      <c r="Q314" s="548"/>
      <c r="R314" s="548"/>
      <c r="S314" s="548"/>
      <c r="T314" s="548"/>
      <c r="U314" s="548"/>
      <c r="V314" s="548"/>
      <c r="W314" s="548"/>
      <c r="X314" s="548"/>
      <c r="Y314" s="548"/>
      <c r="Z314" s="548"/>
      <c r="AA314" s="548"/>
      <c r="AB314" s="548"/>
      <c r="AC314" s="548"/>
      <c r="AD314" s="548"/>
      <c r="AE314" s="548"/>
      <c r="AF314" s="548"/>
      <c r="AG314" s="548"/>
      <c r="AH314" s="548"/>
      <c r="AI314" s="548"/>
      <c r="AJ314" s="548"/>
      <c r="AK314" s="548"/>
      <c r="AL314" s="548"/>
    </row>
    <row r="315" spans="1:38">
      <c r="A315" s="548"/>
      <c r="B315" s="548"/>
      <c r="C315" s="548"/>
      <c r="D315" s="548"/>
      <c r="E315" s="548"/>
      <c r="F315" s="548"/>
      <c r="G315" s="548"/>
      <c r="H315" s="548"/>
      <c r="I315" s="548"/>
      <c r="J315" s="548"/>
      <c r="K315" s="548"/>
      <c r="L315" s="548"/>
      <c r="M315" s="548"/>
      <c r="N315" s="548"/>
      <c r="O315" s="548"/>
      <c r="P315" s="548"/>
      <c r="Q315" s="548"/>
      <c r="R315" s="548"/>
      <c r="S315" s="548"/>
      <c r="T315" s="548"/>
      <c r="U315" s="548"/>
      <c r="V315" s="548"/>
      <c r="W315" s="548"/>
      <c r="X315" s="548"/>
      <c r="Y315" s="548"/>
      <c r="Z315" s="548"/>
      <c r="AA315" s="548"/>
      <c r="AB315" s="548"/>
      <c r="AC315" s="548"/>
      <c r="AD315" s="548"/>
      <c r="AE315" s="548"/>
      <c r="AF315" s="548"/>
      <c r="AG315" s="548"/>
      <c r="AH315" s="548"/>
      <c r="AI315" s="548"/>
      <c r="AJ315" s="548"/>
      <c r="AK315" s="548"/>
      <c r="AL315" s="548"/>
    </row>
    <row r="316" spans="1:38">
      <c r="A316" s="548"/>
      <c r="B316" s="548"/>
      <c r="C316" s="548"/>
      <c r="D316" s="548"/>
      <c r="E316" s="548"/>
      <c r="F316" s="548"/>
      <c r="G316" s="548"/>
      <c r="H316" s="548"/>
      <c r="I316" s="548"/>
      <c r="J316" s="548"/>
      <c r="K316" s="548"/>
      <c r="L316" s="548"/>
      <c r="M316" s="548"/>
      <c r="N316" s="548"/>
      <c r="O316" s="548"/>
      <c r="P316" s="548"/>
      <c r="Q316" s="548"/>
      <c r="R316" s="548"/>
      <c r="S316" s="548"/>
      <c r="T316" s="548"/>
      <c r="U316" s="548"/>
      <c r="V316" s="548"/>
      <c r="W316" s="548"/>
      <c r="X316" s="548"/>
      <c r="Y316" s="548"/>
      <c r="Z316" s="548"/>
      <c r="AA316" s="548"/>
      <c r="AB316" s="548"/>
      <c r="AC316" s="548"/>
      <c r="AD316" s="548"/>
      <c r="AE316" s="548"/>
      <c r="AF316" s="548"/>
      <c r="AG316" s="548"/>
      <c r="AH316" s="548"/>
      <c r="AI316" s="548"/>
      <c r="AJ316" s="548"/>
      <c r="AK316" s="548"/>
      <c r="AL316" s="548"/>
    </row>
    <row r="317" spans="1:38">
      <c r="A317" s="548"/>
      <c r="B317" s="548"/>
      <c r="C317" s="548"/>
      <c r="D317" s="548"/>
      <c r="E317" s="548"/>
      <c r="F317" s="548"/>
      <c r="G317" s="548"/>
      <c r="H317" s="548"/>
      <c r="I317" s="548"/>
      <c r="J317" s="548"/>
      <c r="K317" s="548"/>
      <c r="L317" s="548"/>
      <c r="M317" s="548"/>
      <c r="N317" s="548"/>
      <c r="O317" s="548"/>
      <c r="P317" s="548"/>
      <c r="Q317" s="548"/>
      <c r="R317" s="548"/>
      <c r="S317" s="548"/>
      <c r="T317" s="548"/>
      <c r="U317" s="548"/>
      <c r="V317" s="548"/>
      <c r="W317" s="548"/>
      <c r="X317" s="548"/>
      <c r="Y317" s="548"/>
      <c r="Z317" s="548"/>
      <c r="AA317" s="548"/>
      <c r="AB317" s="548"/>
      <c r="AC317" s="548"/>
      <c r="AD317" s="548"/>
      <c r="AE317" s="548"/>
      <c r="AF317" s="548"/>
      <c r="AG317" s="548"/>
      <c r="AH317" s="548"/>
      <c r="AI317" s="548"/>
      <c r="AJ317" s="548"/>
      <c r="AK317" s="548"/>
      <c r="AL317" s="548"/>
    </row>
    <row r="318" spans="1:38">
      <c r="A318" s="548"/>
      <c r="B318" s="548"/>
      <c r="C318" s="548"/>
      <c r="D318" s="548"/>
      <c r="E318" s="548"/>
      <c r="F318" s="548"/>
      <c r="G318" s="548"/>
      <c r="H318" s="548"/>
      <c r="I318" s="548"/>
      <c r="J318" s="548"/>
      <c r="K318" s="548"/>
      <c r="L318" s="548"/>
      <c r="M318" s="548"/>
      <c r="N318" s="548"/>
      <c r="O318" s="548"/>
      <c r="P318" s="548"/>
      <c r="Q318" s="548"/>
      <c r="R318" s="548"/>
      <c r="S318" s="548"/>
      <c r="T318" s="548"/>
      <c r="U318" s="548"/>
      <c r="V318" s="548"/>
      <c r="W318" s="548"/>
      <c r="X318" s="548"/>
      <c r="Y318" s="548"/>
      <c r="Z318" s="548"/>
      <c r="AA318" s="548"/>
      <c r="AB318" s="548"/>
      <c r="AC318" s="548"/>
      <c r="AD318" s="548"/>
      <c r="AE318" s="548"/>
      <c r="AF318" s="548"/>
      <c r="AG318" s="548"/>
      <c r="AH318" s="548"/>
      <c r="AI318" s="548"/>
      <c r="AJ318" s="548"/>
      <c r="AK318" s="548"/>
      <c r="AL318" s="548"/>
    </row>
    <row r="319" spans="1:38">
      <c r="A319" s="548"/>
      <c r="B319" s="548"/>
      <c r="C319" s="548"/>
      <c r="D319" s="548"/>
      <c r="E319" s="548"/>
      <c r="F319" s="548"/>
      <c r="G319" s="548"/>
      <c r="H319" s="548"/>
      <c r="I319" s="548"/>
      <c r="J319" s="548"/>
      <c r="K319" s="548"/>
      <c r="L319" s="548"/>
      <c r="M319" s="548"/>
      <c r="N319" s="548"/>
      <c r="O319" s="548"/>
      <c r="P319" s="548"/>
      <c r="Q319" s="548"/>
      <c r="R319" s="548"/>
      <c r="S319" s="548"/>
      <c r="T319" s="548"/>
      <c r="U319" s="548"/>
      <c r="V319" s="548"/>
      <c r="W319" s="548"/>
      <c r="X319" s="548"/>
      <c r="Y319" s="548"/>
      <c r="Z319" s="548"/>
      <c r="AA319" s="548"/>
      <c r="AB319" s="548"/>
      <c r="AC319" s="548"/>
      <c r="AD319" s="548"/>
      <c r="AE319" s="548"/>
      <c r="AF319" s="548"/>
      <c r="AG319" s="548"/>
      <c r="AH319" s="548"/>
      <c r="AI319" s="548"/>
      <c r="AJ319" s="548"/>
      <c r="AK319" s="548"/>
      <c r="AL319" s="548"/>
    </row>
    <row r="320" spans="1:38">
      <c r="A320" s="548"/>
      <c r="B320" s="548"/>
      <c r="C320" s="548"/>
      <c r="D320" s="548"/>
      <c r="E320" s="548"/>
      <c r="F320" s="548"/>
      <c r="G320" s="548"/>
      <c r="H320" s="548"/>
      <c r="I320" s="548"/>
      <c r="J320" s="548"/>
      <c r="K320" s="548"/>
      <c r="L320" s="548"/>
      <c r="M320" s="548"/>
      <c r="N320" s="548"/>
      <c r="O320" s="548"/>
      <c r="P320" s="548"/>
      <c r="Q320" s="548"/>
      <c r="R320" s="548"/>
      <c r="S320" s="548"/>
      <c r="T320" s="548"/>
      <c r="U320" s="548"/>
      <c r="V320" s="548"/>
      <c r="W320" s="548"/>
      <c r="X320" s="548"/>
      <c r="Y320" s="548"/>
      <c r="Z320" s="548"/>
      <c r="AA320" s="548"/>
      <c r="AB320" s="548"/>
      <c r="AC320" s="548"/>
      <c r="AD320" s="548"/>
      <c r="AE320" s="548"/>
      <c r="AF320" s="548"/>
      <c r="AG320" s="548"/>
      <c r="AH320" s="548"/>
      <c r="AI320" s="548"/>
      <c r="AJ320" s="548"/>
      <c r="AK320" s="548"/>
      <c r="AL320" s="548"/>
    </row>
    <row r="321" spans="1:38">
      <c r="A321" s="548"/>
      <c r="B321" s="548"/>
      <c r="C321" s="548"/>
      <c r="D321" s="548"/>
      <c r="E321" s="548"/>
      <c r="F321" s="548"/>
      <c r="G321" s="548"/>
      <c r="H321" s="548"/>
      <c r="I321" s="548"/>
      <c r="J321" s="548"/>
      <c r="K321" s="548"/>
      <c r="L321" s="548"/>
      <c r="M321" s="548"/>
      <c r="N321" s="548"/>
      <c r="O321" s="548"/>
      <c r="P321" s="548"/>
      <c r="Q321" s="548"/>
      <c r="R321" s="548"/>
      <c r="S321" s="548"/>
      <c r="T321" s="548"/>
      <c r="U321" s="548"/>
      <c r="V321" s="548"/>
      <c r="W321" s="548"/>
      <c r="X321" s="548"/>
      <c r="Y321" s="548"/>
      <c r="Z321" s="548"/>
      <c r="AA321" s="548"/>
      <c r="AB321" s="548"/>
      <c r="AC321" s="548"/>
      <c r="AD321" s="548"/>
      <c r="AE321" s="548"/>
      <c r="AF321" s="548"/>
      <c r="AG321" s="548"/>
      <c r="AH321" s="548"/>
      <c r="AI321" s="548"/>
      <c r="AJ321" s="548"/>
      <c r="AK321" s="548"/>
      <c r="AL321" s="548"/>
    </row>
    <row r="322" spans="1:38">
      <c r="A322" s="548"/>
      <c r="B322" s="548"/>
      <c r="C322" s="548"/>
      <c r="D322" s="548"/>
      <c r="E322" s="548"/>
      <c r="F322" s="548"/>
      <c r="G322" s="548"/>
      <c r="H322" s="548"/>
      <c r="I322" s="548"/>
      <c r="J322" s="548"/>
      <c r="K322" s="548"/>
      <c r="L322" s="548"/>
      <c r="M322" s="548"/>
      <c r="N322" s="548"/>
      <c r="O322" s="548"/>
      <c r="P322" s="548"/>
      <c r="Q322" s="548"/>
      <c r="R322" s="548"/>
      <c r="S322" s="548"/>
      <c r="T322" s="548"/>
      <c r="U322" s="548"/>
      <c r="V322" s="548"/>
      <c r="W322" s="548"/>
      <c r="X322" s="548"/>
      <c r="Y322" s="548"/>
      <c r="Z322" s="548"/>
      <c r="AA322" s="548"/>
      <c r="AB322" s="548"/>
      <c r="AC322" s="548"/>
      <c r="AD322" s="548"/>
      <c r="AE322" s="548"/>
      <c r="AF322" s="548"/>
      <c r="AG322" s="548"/>
      <c r="AH322" s="548"/>
      <c r="AI322" s="548"/>
      <c r="AJ322" s="548"/>
      <c r="AK322" s="548"/>
      <c r="AL322" s="548"/>
    </row>
    <row r="323" spans="1:38">
      <c r="A323" s="548"/>
      <c r="B323" s="548"/>
      <c r="C323" s="548"/>
      <c r="D323" s="548"/>
      <c r="E323" s="548"/>
      <c r="F323" s="548"/>
      <c r="G323" s="548"/>
      <c r="H323" s="548"/>
      <c r="I323" s="548"/>
      <c r="J323" s="548"/>
      <c r="K323" s="548"/>
      <c r="L323" s="548"/>
      <c r="M323" s="548"/>
      <c r="N323" s="548"/>
      <c r="O323" s="548"/>
      <c r="P323" s="548"/>
      <c r="Q323" s="548"/>
      <c r="R323" s="548"/>
      <c r="S323" s="548"/>
      <c r="T323" s="548"/>
      <c r="U323" s="548"/>
      <c r="V323" s="548"/>
      <c r="W323" s="548"/>
      <c r="X323" s="548"/>
      <c r="Y323" s="548"/>
      <c r="Z323" s="548"/>
      <c r="AA323" s="548"/>
      <c r="AB323" s="548"/>
      <c r="AC323" s="548"/>
      <c r="AD323" s="548"/>
      <c r="AE323" s="548"/>
      <c r="AF323" s="548"/>
      <c r="AG323" s="548"/>
      <c r="AH323" s="548"/>
      <c r="AI323" s="548"/>
      <c r="AJ323" s="548"/>
      <c r="AK323" s="548"/>
      <c r="AL323" s="548"/>
    </row>
    <row r="324" spans="1:38">
      <c r="A324" s="548"/>
      <c r="B324" s="548"/>
      <c r="C324" s="548"/>
      <c r="D324" s="548"/>
      <c r="E324" s="548"/>
      <c r="F324" s="548"/>
      <c r="G324" s="548"/>
      <c r="H324" s="548"/>
      <c r="I324" s="548"/>
      <c r="J324" s="548"/>
      <c r="K324" s="548"/>
      <c r="L324" s="548"/>
      <c r="M324" s="548"/>
      <c r="N324" s="548"/>
      <c r="O324" s="548"/>
      <c r="P324" s="548"/>
      <c r="Q324" s="548"/>
      <c r="R324" s="548"/>
      <c r="S324" s="548"/>
      <c r="T324" s="548"/>
      <c r="U324" s="548"/>
      <c r="V324" s="548"/>
      <c r="W324" s="548"/>
      <c r="X324" s="548"/>
      <c r="Y324" s="548"/>
      <c r="Z324" s="548"/>
      <c r="AA324" s="548"/>
      <c r="AB324" s="548"/>
      <c r="AC324" s="548"/>
      <c r="AD324" s="548"/>
      <c r="AE324" s="548"/>
      <c r="AF324" s="548"/>
      <c r="AG324" s="548"/>
      <c r="AH324" s="548"/>
      <c r="AI324" s="548"/>
      <c r="AJ324" s="548"/>
      <c r="AK324" s="548"/>
      <c r="AL324" s="548"/>
    </row>
    <row r="325" spans="1:38">
      <c r="A325" s="548"/>
      <c r="B325" s="548"/>
      <c r="C325" s="548"/>
      <c r="D325" s="548"/>
      <c r="E325" s="548"/>
      <c r="F325" s="548"/>
      <c r="G325" s="548"/>
      <c r="H325" s="548"/>
      <c r="I325" s="548"/>
      <c r="J325" s="548"/>
      <c r="K325" s="548"/>
      <c r="L325" s="548"/>
      <c r="M325" s="548"/>
      <c r="N325" s="548"/>
      <c r="O325" s="548"/>
      <c r="P325" s="548"/>
      <c r="Q325" s="548"/>
      <c r="R325" s="548"/>
      <c r="S325" s="548"/>
      <c r="T325" s="548"/>
      <c r="U325" s="548"/>
      <c r="V325" s="548"/>
      <c r="W325" s="548"/>
      <c r="X325" s="548"/>
      <c r="Y325" s="548"/>
      <c r="Z325" s="548"/>
      <c r="AA325" s="548"/>
      <c r="AB325" s="548"/>
      <c r="AC325" s="548"/>
      <c r="AD325" s="548"/>
      <c r="AE325" s="548"/>
      <c r="AF325" s="548"/>
      <c r="AG325" s="548"/>
      <c r="AH325" s="548"/>
      <c r="AI325" s="548"/>
      <c r="AJ325" s="548"/>
      <c r="AK325" s="548"/>
      <c r="AL325" s="548"/>
    </row>
    <row r="326" spans="1:38">
      <c r="A326" s="548"/>
      <c r="B326" s="548"/>
      <c r="C326" s="548"/>
      <c r="D326" s="548"/>
      <c r="E326" s="548"/>
      <c r="F326" s="548"/>
      <c r="G326" s="548"/>
      <c r="H326" s="548"/>
      <c r="I326" s="548"/>
      <c r="J326" s="548"/>
      <c r="K326" s="548"/>
      <c r="L326" s="548"/>
      <c r="M326" s="548"/>
      <c r="N326" s="548"/>
      <c r="O326" s="548"/>
      <c r="P326" s="548"/>
      <c r="Q326" s="548"/>
      <c r="R326" s="548"/>
      <c r="S326" s="548"/>
      <c r="T326" s="548"/>
      <c r="U326" s="548"/>
      <c r="V326" s="548"/>
      <c r="W326" s="548"/>
      <c r="X326" s="548"/>
      <c r="Y326" s="548"/>
      <c r="Z326" s="548"/>
      <c r="AA326" s="548"/>
      <c r="AB326" s="548"/>
      <c r="AC326" s="548"/>
      <c r="AD326" s="548"/>
      <c r="AE326" s="548"/>
      <c r="AF326" s="548"/>
      <c r="AG326" s="548"/>
      <c r="AH326" s="548"/>
      <c r="AI326" s="548"/>
      <c r="AJ326" s="548"/>
      <c r="AK326" s="548"/>
      <c r="AL326" s="548"/>
    </row>
    <row r="327" spans="1:38">
      <c r="A327" s="548"/>
      <c r="B327" s="548"/>
      <c r="C327" s="548"/>
      <c r="D327" s="548"/>
      <c r="E327" s="548"/>
      <c r="F327" s="548"/>
      <c r="G327" s="548"/>
      <c r="H327" s="548"/>
      <c r="I327" s="548"/>
      <c r="J327" s="548"/>
      <c r="K327" s="548"/>
      <c r="L327" s="548"/>
      <c r="M327" s="548"/>
      <c r="N327" s="548"/>
      <c r="O327" s="548"/>
      <c r="P327" s="548"/>
      <c r="Q327" s="548"/>
      <c r="R327" s="548"/>
      <c r="S327" s="548"/>
      <c r="T327" s="548"/>
      <c r="U327" s="548"/>
      <c r="V327" s="548"/>
      <c r="W327" s="548"/>
      <c r="X327" s="548"/>
      <c r="Y327" s="548"/>
      <c r="Z327" s="548"/>
      <c r="AA327" s="548"/>
      <c r="AB327" s="548"/>
      <c r="AC327" s="548"/>
      <c r="AD327" s="548"/>
      <c r="AE327" s="548"/>
      <c r="AF327" s="548"/>
      <c r="AG327" s="548"/>
      <c r="AH327" s="548"/>
      <c r="AI327" s="548"/>
      <c r="AJ327" s="548"/>
      <c r="AK327" s="548"/>
      <c r="AL327" s="548"/>
    </row>
    <row r="328" spans="1:38">
      <c r="A328" s="548"/>
      <c r="B328" s="548"/>
      <c r="C328" s="548"/>
      <c r="D328" s="548"/>
      <c r="E328" s="548"/>
      <c r="F328" s="548"/>
      <c r="G328" s="548"/>
      <c r="H328" s="548"/>
      <c r="I328" s="548"/>
      <c r="J328" s="548"/>
      <c r="K328" s="548"/>
      <c r="L328" s="548"/>
      <c r="M328" s="548"/>
      <c r="N328" s="548"/>
      <c r="O328" s="548"/>
      <c r="P328" s="548"/>
      <c r="Q328" s="548"/>
      <c r="R328" s="548"/>
      <c r="S328" s="548"/>
      <c r="T328" s="548"/>
      <c r="U328" s="548"/>
      <c r="V328" s="548"/>
      <c r="W328" s="548"/>
      <c r="X328" s="548"/>
      <c r="Y328" s="548"/>
      <c r="Z328" s="548"/>
      <c r="AA328" s="548"/>
      <c r="AB328" s="548"/>
      <c r="AC328" s="548"/>
      <c r="AD328" s="548"/>
      <c r="AE328" s="548"/>
      <c r="AF328" s="548"/>
      <c r="AG328" s="548"/>
      <c r="AH328" s="548"/>
      <c r="AI328" s="548"/>
      <c r="AJ328" s="548"/>
      <c r="AK328" s="548"/>
      <c r="AL328" s="548"/>
    </row>
    <row r="329" spans="1:38">
      <c r="A329" s="548"/>
      <c r="B329" s="548"/>
      <c r="C329" s="548"/>
      <c r="D329" s="548"/>
      <c r="E329" s="548"/>
      <c r="F329" s="548"/>
      <c r="G329" s="548"/>
      <c r="H329" s="548"/>
      <c r="I329" s="548"/>
      <c r="J329" s="548"/>
      <c r="K329" s="548"/>
      <c r="L329" s="548"/>
      <c r="M329" s="548"/>
      <c r="N329" s="548"/>
      <c r="O329" s="548"/>
      <c r="P329" s="548"/>
      <c r="Q329" s="548"/>
      <c r="R329" s="548"/>
      <c r="S329" s="548"/>
      <c r="T329" s="548"/>
      <c r="U329" s="548"/>
      <c r="V329" s="548"/>
      <c r="W329" s="548"/>
      <c r="X329" s="548"/>
      <c r="Y329" s="548"/>
      <c r="Z329" s="548"/>
      <c r="AA329" s="548"/>
      <c r="AB329" s="548"/>
      <c r="AC329" s="548"/>
      <c r="AD329" s="548"/>
      <c r="AE329" s="548"/>
      <c r="AF329" s="548"/>
      <c r="AG329" s="548"/>
      <c r="AH329" s="548"/>
      <c r="AI329" s="548"/>
      <c r="AJ329" s="548"/>
      <c r="AK329" s="548"/>
      <c r="AL329" s="548"/>
    </row>
    <row r="330" spans="1:38">
      <c r="A330" s="548"/>
      <c r="B330" s="548"/>
      <c r="C330" s="548"/>
      <c r="D330" s="548"/>
      <c r="E330" s="548"/>
      <c r="F330" s="548"/>
      <c r="G330" s="548"/>
      <c r="H330" s="548"/>
      <c r="I330" s="548"/>
      <c r="J330" s="548"/>
      <c r="K330" s="548"/>
      <c r="L330" s="548"/>
      <c r="M330" s="548"/>
      <c r="N330" s="548"/>
      <c r="O330" s="548"/>
      <c r="P330" s="548"/>
      <c r="Q330" s="548"/>
      <c r="R330" s="548"/>
      <c r="S330" s="548"/>
      <c r="T330" s="548"/>
      <c r="U330" s="548"/>
      <c r="V330" s="548"/>
      <c r="W330" s="548"/>
      <c r="X330" s="548"/>
      <c r="Y330" s="548"/>
      <c r="Z330" s="548"/>
      <c r="AA330" s="548"/>
      <c r="AB330" s="548"/>
      <c r="AC330" s="548"/>
      <c r="AD330" s="548"/>
      <c r="AE330" s="548"/>
      <c r="AF330" s="548"/>
      <c r="AG330" s="548"/>
      <c r="AH330" s="548"/>
      <c r="AI330" s="548"/>
      <c r="AJ330" s="548"/>
      <c r="AK330" s="548"/>
      <c r="AL330" s="548"/>
    </row>
    <row r="331" spans="1:38">
      <c r="A331" s="548"/>
      <c r="B331" s="548"/>
      <c r="C331" s="548"/>
      <c r="D331" s="548"/>
      <c r="E331" s="548"/>
      <c r="F331" s="548"/>
      <c r="G331" s="548"/>
      <c r="H331" s="548"/>
      <c r="I331" s="548"/>
      <c r="J331" s="548"/>
      <c r="K331" s="548"/>
      <c r="L331" s="548"/>
      <c r="M331" s="548"/>
      <c r="N331" s="548"/>
      <c r="O331" s="548"/>
      <c r="P331" s="548"/>
      <c r="Q331" s="548"/>
      <c r="R331" s="548"/>
      <c r="S331" s="548"/>
      <c r="T331" s="548"/>
      <c r="U331" s="548"/>
      <c r="V331" s="548"/>
      <c r="W331" s="548"/>
      <c r="X331" s="548"/>
      <c r="Y331" s="548"/>
      <c r="Z331" s="548"/>
      <c r="AA331" s="548"/>
      <c r="AB331" s="548"/>
      <c r="AC331" s="548"/>
      <c r="AD331" s="548"/>
      <c r="AE331" s="548"/>
      <c r="AF331" s="548"/>
      <c r="AG331" s="548"/>
      <c r="AH331" s="548"/>
      <c r="AI331" s="548"/>
      <c r="AJ331" s="548"/>
      <c r="AK331" s="548"/>
      <c r="AL331" s="548"/>
    </row>
    <row r="332" spans="1:38">
      <c r="A332" s="548"/>
      <c r="B332" s="548"/>
      <c r="C332" s="548"/>
      <c r="D332" s="548"/>
      <c r="E332" s="548"/>
      <c r="F332" s="548"/>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row>
    <row r="333" spans="1:38">
      <c r="A333" s="548"/>
      <c r="B333" s="548"/>
      <c r="C333" s="548"/>
      <c r="D333" s="548"/>
      <c r="E333" s="548"/>
      <c r="F333" s="548"/>
      <c r="G333" s="548"/>
      <c r="H333" s="548"/>
      <c r="I333" s="548"/>
      <c r="J333" s="548"/>
      <c r="K333" s="548"/>
      <c r="L333" s="548"/>
      <c r="M333" s="548"/>
      <c r="N333" s="548"/>
      <c r="O333" s="548"/>
      <c r="P333" s="548"/>
      <c r="Q333" s="548"/>
      <c r="R333" s="548"/>
      <c r="S333" s="548"/>
      <c r="T333" s="548"/>
      <c r="U333" s="548"/>
      <c r="V333" s="548"/>
      <c r="W333" s="548"/>
      <c r="X333" s="548"/>
      <c r="Y333" s="548"/>
      <c r="Z333" s="548"/>
      <c r="AA333" s="548"/>
      <c r="AB333" s="548"/>
      <c r="AC333" s="548"/>
      <c r="AD333" s="548"/>
      <c r="AE333" s="548"/>
      <c r="AF333" s="548"/>
      <c r="AG333" s="548"/>
      <c r="AH333" s="548"/>
      <c r="AI333" s="548"/>
      <c r="AJ333" s="548"/>
      <c r="AK333" s="548"/>
      <c r="AL333" s="548"/>
    </row>
    <row r="334" spans="1:38">
      <c r="A334" s="548"/>
      <c r="B334" s="548"/>
      <c r="C334" s="548"/>
      <c r="D334" s="548"/>
      <c r="E334" s="548"/>
      <c r="F334" s="548"/>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row>
    <row r="335" spans="1:38">
      <c r="A335" s="548"/>
      <c r="B335" s="548"/>
      <c r="C335" s="548"/>
      <c r="D335" s="548"/>
      <c r="E335" s="548"/>
      <c r="F335" s="548"/>
      <c r="G335" s="548"/>
      <c r="H335" s="548"/>
      <c r="I335" s="548"/>
      <c r="J335" s="548"/>
      <c r="K335" s="548"/>
      <c r="L335" s="548"/>
      <c r="M335" s="548"/>
      <c r="N335" s="548"/>
      <c r="O335" s="548"/>
      <c r="P335" s="548"/>
      <c r="Q335" s="548"/>
      <c r="R335" s="548"/>
      <c r="S335" s="548"/>
      <c r="T335" s="548"/>
      <c r="U335" s="548"/>
      <c r="V335" s="548"/>
      <c r="W335" s="548"/>
      <c r="X335" s="548"/>
      <c r="Y335" s="548"/>
      <c r="Z335" s="548"/>
      <c r="AA335" s="548"/>
      <c r="AB335" s="548"/>
      <c r="AC335" s="548"/>
      <c r="AD335" s="548"/>
      <c r="AE335" s="548"/>
      <c r="AF335" s="548"/>
      <c r="AG335" s="548"/>
      <c r="AH335" s="548"/>
      <c r="AI335" s="548"/>
      <c r="AJ335" s="548"/>
      <c r="AK335" s="548"/>
      <c r="AL335" s="548"/>
    </row>
    <row r="336" spans="1:38">
      <c r="A336" s="548"/>
      <c r="B336" s="548"/>
      <c r="C336" s="548"/>
      <c r="D336" s="548"/>
      <c r="E336" s="548"/>
      <c r="F336" s="548"/>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row>
    <row r="337" spans="1:38">
      <c r="A337" s="548"/>
      <c r="B337" s="548"/>
      <c r="C337" s="548"/>
      <c r="D337" s="548"/>
      <c r="E337" s="548"/>
      <c r="F337" s="548"/>
      <c r="G337" s="548"/>
      <c r="H337" s="548"/>
      <c r="I337" s="548"/>
      <c r="J337" s="548"/>
      <c r="K337" s="548"/>
      <c r="L337" s="548"/>
      <c r="M337" s="548"/>
      <c r="N337" s="548"/>
      <c r="O337" s="548"/>
      <c r="P337" s="548"/>
      <c r="Q337" s="548"/>
      <c r="R337" s="548"/>
      <c r="S337" s="548"/>
      <c r="T337" s="548"/>
      <c r="U337" s="548"/>
      <c r="V337" s="548"/>
      <c r="W337" s="548"/>
      <c r="X337" s="548"/>
      <c r="Y337" s="548"/>
      <c r="Z337" s="548"/>
      <c r="AA337" s="548"/>
      <c r="AB337" s="548"/>
      <c r="AC337" s="548"/>
      <c r="AD337" s="548"/>
      <c r="AE337" s="548"/>
      <c r="AF337" s="548"/>
      <c r="AG337" s="548"/>
      <c r="AH337" s="548"/>
      <c r="AI337" s="548"/>
      <c r="AJ337" s="548"/>
      <c r="AK337" s="548"/>
      <c r="AL337" s="548"/>
    </row>
    <row r="338" spans="1:38">
      <c r="A338" s="548"/>
      <c r="B338" s="548"/>
      <c r="C338" s="548"/>
      <c r="D338" s="548"/>
      <c r="E338" s="548"/>
      <c r="F338" s="548"/>
      <c r="G338" s="548"/>
      <c r="H338" s="548"/>
      <c r="I338" s="548"/>
      <c r="J338" s="548"/>
      <c r="K338" s="548"/>
      <c r="L338" s="548"/>
      <c r="M338" s="548"/>
      <c r="N338" s="548"/>
      <c r="O338" s="548"/>
      <c r="P338" s="548"/>
      <c r="Q338" s="548"/>
      <c r="R338" s="548"/>
      <c r="S338" s="548"/>
      <c r="T338" s="548"/>
      <c r="U338" s="548"/>
      <c r="V338" s="548"/>
      <c r="W338" s="548"/>
      <c r="X338" s="548"/>
      <c r="Y338" s="548"/>
      <c r="Z338" s="548"/>
      <c r="AA338" s="548"/>
      <c r="AB338" s="548"/>
      <c r="AC338" s="548"/>
      <c r="AD338" s="548"/>
      <c r="AE338" s="548"/>
      <c r="AF338" s="548"/>
      <c r="AG338" s="548"/>
      <c r="AH338" s="548"/>
      <c r="AI338" s="548"/>
      <c r="AJ338" s="548"/>
      <c r="AK338" s="548"/>
      <c r="AL338" s="548"/>
    </row>
    <row r="339" spans="1:38">
      <c r="A339" s="548"/>
      <c r="B339" s="548"/>
      <c r="C339" s="548"/>
      <c r="D339" s="548"/>
      <c r="E339" s="548"/>
      <c r="F339" s="548"/>
      <c r="G339" s="548"/>
      <c r="H339" s="548"/>
      <c r="I339" s="548"/>
      <c r="J339" s="548"/>
      <c r="K339" s="548"/>
      <c r="L339" s="548"/>
      <c r="M339" s="548"/>
      <c r="N339" s="548"/>
      <c r="O339" s="548"/>
      <c r="P339" s="548"/>
      <c r="Q339" s="548"/>
      <c r="R339" s="548"/>
      <c r="S339" s="548"/>
      <c r="T339" s="548"/>
      <c r="U339" s="548"/>
      <c r="V339" s="548"/>
      <c r="W339" s="548"/>
      <c r="X339" s="548"/>
      <c r="Y339" s="548"/>
      <c r="Z339" s="548"/>
      <c r="AA339" s="548"/>
      <c r="AB339" s="548"/>
      <c r="AC339" s="548"/>
      <c r="AD339" s="548"/>
      <c r="AE339" s="548"/>
      <c r="AF339" s="548"/>
      <c r="AG339" s="548"/>
      <c r="AH339" s="548"/>
      <c r="AI339" s="548"/>
      <c r="AJ339" s="548"/>
      <c r="AK339" s="548"/>
      <c r="AL339" s="548"/>
    </row>
    <row r="340" spans="1:38">
      <c r="A340" s="548"/>
      <c r="B340" s="548"/>
      <c r="C340" s="548"/>
      <c r="D340" s="548"/>
      <c r="E340" s="548"/>
      <c r="F340" s="548"/>
      <c r="G340" s="548"/>
      <c r="H340" s="548"/>
      <c r="I340" s="548"/>
      <c r="J340" s="548"/>
      <c r="K340" s="548"/>
      <c r="L340" s="548"/>
      <c r="M340" s="548"/>
      <c r="N340" s="548"/>
      <c r="O340" s="548"/>
      <c r="P340" s="548"/>
      <c r="Q340" s="548"/>
      <c r="R340" s="548"/>
      <c r="S340" s="548"/>
      <c r="T340" s="548"/>
      <c r="U340" s="548"/>
      <c r="V340" s="548"/>
      <c r="W340" s="548"/>
      <c r="X340" s="548"/>
      <c r="Y340" s="548"/>
      <c r="Z340" s="548"/>
      <c r="AA340" s="548"/>
      <c r="AB340" s="548"/>
      <c r="AC340" s="548"/>
      <c r="AD340" s="548"/>
      <c r="AE340" s="548"/>
      <c r="AF340" s="548"/>
      <c r="AG340" s="548"/>
      <c r="AH340" s="548"/>
      <c r="AI340" s="548"/>
      <c r="AJ340" s="548"/>
      <c r="AK340" s="548"/>
      <c r="AL340" s="548"/>
    </row>
    <row r="341" spans="1:38">
      <c r="A341" s="548"/>
      <c r="B341" s="548"/>
      <c r="C341" s="548"/>
      <c r="D341" s="548"/>
      <c r="E341" s="548"/>
      <c r="F341" s="548"/>
      <c r="G341" s="548"/>
      <c r="H341" s="548"/>
      <c r="I341" s="548"/>
      <c r="J341" s="548"/>
      <c r="K341" s="548"/>
      <c r="L341" s="548"/>
      <c r="M341" s="548"/>
      <c r="N341" s="548"/>
      <c r="O341" s="548"/>
      <c r="P341" s="548"/>
      <c r="Q341" s="548"/>
      <c r="R341" s="548"/>
      <c r="S341" s="548"/>
      <c r="T341" s="548"/>
      <c r="U341" s="548"/>
      <c r="V341" s="548"/>
      <c r="W341" s="548"/>
      <c r="X341" s="548"/>
      <c r="Y341" s="548"/>
      <c r="Z341" s="548"/>
      <c r="AA341" s="548"/>
      <c r="AB341" s="548"/>
      <c r="AC341" s="548"/>
      <c r="AD341" s="548"/>
      <c r="AE341" s="548"/>
      <c r="AF341" s="548"/>
      <c r="AG341" s="548"/>
      <c r="AH341" s="548"/>
      <c r="AI341" s="548"/>
      <c r="AJ341" s="548"/>
      <c r="AK341" s="548"/>
      <c r="AL341" s="548"/>
    </row>
    <row r="342" spans="1:38">
      <c r="A342" s="548"/>
      <c r="B342" s="548"/>
      <c r="C342" s="548"/>
      <c r="D342" s="548"/>
      <c r="E342" s="548"/>
      <c r="F342" s="548"/>
      <c r="G342" s="548"/>
      <c r="H342" s="548"/>
      <c r="I342" s="548"/>
      <c r="J342" s="548"/>
      <c r="K342" s="548"/>
      <c r="L342" s="548"/>
      <c r="M342" s="548"/>
      <c r="N342" s="548"/>
      <c r="O342" s="548"/>
      <c r="P342" s="548"/>
      <c r="Q342" s="548"/>
      <c r="R342" s="548"/>
      <c r="S342" s="548"/>
      <c r="T342" s="548"/>
      <c r="U342" s="548"/>
      <c r="V342" s="548"/>
      <c r="W342" s="548"/>
      <c r="X342" s="548"/>
      <c r="Y342" s="548"/>
      <c r="Z342" s="548"/>
      <c r="AA342" s="548"/>
      <c r="AB342" s="548"/>
      <c r="AC342" s="548"/>
      <c r="AD342" s="548"/>
      <c r="AE342" s="548"/>
      <c r="AF342" s="548"/>
      <c r="AG342" s="548"/>
      <c r="AH342" s="548"/>
      <c r="AI342" s="548"/>
      <c r="AJ342" s="548"/>
      <c r="AK342" s="548"/>
      <c r="AL342" s="548"/>
    </row>
    <row r="343" spans="1:38">
      <c r="A343" s="548"/>
      <c r="B343" s="548"/>
      <c r="C343" s="548"/>
      <c r="D343" s="548"/>
      <c r="E343" s="548"/>
      <c r="F343" s="548"/>
      <c r="G343" s="548"/>
      <c r="H343" s="548"/>
      <c r="I343" s="548"/>
      <c r="J343" s="548"/>
      <c r="K343" s="548"/>
      <c r="L343" s="548"/>
      <c r="M343" s="548"/>
      <c r="N343" s="548"/>
      <c r="O343" s="548"/>
      <c r="P343" s="548"/>
      <c r="Q343" s="548"/>
      <c r="R343" s="548"/>
      <c r="S343" s="548"/>
      <c r="T343" s="548"/>
      <c r="U343" s="548"/>
      <c r="V343" s="548"/>
      <c r="W343" s="548"/>
      <c r="X343" s="548"/>
      <c r="Y343" s="548"/>
      <c r="Z343" s="548"/>
      <c r="AA343" s="548"/>
      <c r="AB343" s="548"/>
      <c r="AC343" s="548"/>
      <c r="AD343" s="548"/>
      <c r="AE343" s="548"/>
      <c r="AF343" s="548"/>
      <c r="AG343" s="548"/>
      <c r="AH343" s="548"/>
      <c r="AI343" s="548"/>
      <c r="AJ343" s="548"/>
      <c r="AK343" s="548"/>
      <c r="AL343" s="548"/>
    </row>
    <row r="344" spans="1:38">
      <c r="A344" s="548"/>
      <c r="B344" s="548"/>
      <c r="C344" s="548"/>
      <c r="D344" s="548"/>
      <c r="E344" s="548"/>
      <c r="F344" s="548"/>
      <c r="G344" s="548"/>
      <c r="H344" s="548"/>
      <c r="I344" s="548"/>
      <c r="J344" s="548"/>
      <c r="K344" s="548"/>
      <c r="L344" s="548"/>
      <c r="M344" s="548"/>
      <c r="N344" s="548"/>
      <c r="O344" s="548"/>
      <c r="P344" s="548"/>
      <c r="Q344" s="548"/>
      <c r="R344" s="548"/>
      <c r="S344" s="548"/>
      <c r="T344" s="548"/>
      <c r="U344" s="548"/>
      <c r="V344" s="548"/>
      <c r="W344" s="548"/>
      <c r="X344" s="548"/>
      <c r="Y344" s="548"/>
      <c r="Z344" s="548"/>
      <c r="AA344" s="548"/>
      <c r="AB344" s="548"/>
      <c r="AC344" s="548"/>
      <c r="AD344" s="548"/>
      <c r="AE344" s="548"/>
      <c r="AF344" s="548"/>
      <c r="AG344" s="548"/>
      <c r="AH344" s="548"/>
      <c r="AI344" s="548"/>
      <c r="AJ344" s="548"/>
      <c r="AK344" s="548"/>
      <c r="AL344" s="548"/>
    </row>
    <row r="345" spans="1:38">
      <c r="A345" s="548"/>
      <c r="B345" s="548"/>
      <c r="C345" s="548"/>
      <c r="D345" s="548"/>
      <c r="E345" s="548"/>
      <c r="F345" s="548"/>
      <c r="G345" s="548"/>
      <c r="H345" s="548"/>
      <c r="I345" s="548"/>
      <c r="J345" s="548"/>
      <c r="K345" s="548"/>
      <c r="L345" s="548"/>
      <c r="M345" s="548"/>
      <c r="N345" s="548"/>
      <c r="O345" s="548"/>
      <c r="P345" s="548"/>
      <c r="Q345" s="548"/>
      <c r="R345" s="548"/>
      <c r="S345" s="548"/>
      <c r="T345" s="548"/>
      <c r="U345" s="548"/>
      <c r="V345" s="548"/>
      <c r="W345" s="548"/>
      <c r="X345" s="548"/>
      <c r="Y345" s="548"/>
      <c r="Z345" s="548"/>
      <c r="AA345" s="548"/>
      <c r="AB345" s="548"/>
      <c r="AC345" s="548"/>
      <c r="AD345" s="548"/>
      <c r="AE345" s="548"/>
      <c r="AF345" s="548"/>
      <c r="AG345" s="548"/>
      <c r="AH345" s="548"/>
      <c r="AI345" s="548"/>
      <c r="AJ345" s="548"/>
      <c r="AK345" s="548"/>
      <c r="AL345" s="548"/>
    </row>
    <row r="346" spans="1:38">
      <c r="A346" s="548"/>
      <c r="B346" s="548"/>
      <c r="C346" s="548"/>
      <c r="D346" s="548"/>
      <c r="E346" s="548"/>
      <c r="F346" s="548"/>
      <c r="G346" s="548"/>
      <c r="H346" s="548"/>
      <c r="I346" s="548"/>
      <c r="J346" s="548"/>
      <c r="K346" s="548"/>
      <c r="L346" s="548"/>
      <c r="M346" s="548"/>
      <c r="N346" s="548"/>
      <c r="O346" s="548"/>
      <c r="P346" s="548"/>
      <c r="Q346" s="548"/>
      <c r="R346" s="548"/>
      <c r="S346" s="548"/>
      <c r="T346" s="548"/>
      <c r="U346" s="548"/>
      <c r="V346" s="548"/>
      <c r="W346" s="548"/>
      <c r="X346" s="548"/>
      <c r="Y346" s="548"/>
      <c r="Z346" s="548"/>
      <c r="AA346" s="548"/>
      <c r="AB346" s="548"/>
      <c r="AC346" s="548"/>
      <c r="AD346" s="548"/>
      <c r="AE346" s="548"/>
      <c r="AF346" s="548"/>
      <c r="AG346" s="548"/>
      <c r="AH346" s="548"/>
      <c r="AI346" s="548"/>
      <c r="AJ346" s="548"/>
      <c r="AK346" s="548"/>
      <c r="AL346" s="548"/>
    </row>
    <row r="347" spans="1:38">
      <c r="A347" s="548"/>
      <c r="B347" s="548"/>
      <c r="C347" s="548"/>
      <c r="D347" s="548"/>
      <c r="E347" s="548"/>
      <c r="F347" s="548"/>
      <c r="G347" s="548"/>
      <c r="H347" s="548"/>
      <c r="I347" s="548"/>
      <c r="J347" s="548"/>
      <c r="K347" s="548"/>
      <c r="L347" s="548"/>
      <c r="M347" s="548"/>
      <c r="N347" s="548"/>
      <c r="O347" s="548"/>
      <c r="P347" s="548"/>
      <c r="Q347" s="548"/>
      <c r="R347" s="548"/>
      <c r="S347" s="548"/>
      <c r="T347" s="548"/>
      <c r="U347" s="548"/>
      <c r="V347" s="548"/>
      <c r="W347" s="548"/>
      <c r="X347" s="548"/>
      <c r="Y347" s="548"/>
      <c r="Z347" s="548"/>
      <c r="AA347" s="548"/>
      <c r="AB347" s="548"/>
      <c r="AC347" s="548"/>
      <c r="AD347" s="548"/>
      <c r="AE347" s="548"/>
      <c r="AF347" s="548"/>
      <c r="AG347" s="548"/>
      <c r="AH347" s="548"/>
      <c r="AI347" s="548"/>
      <c r="AJ347" s="548"/>
      <c r="AK347" s="548"/>
      <c r="AL347" s="548"/>
    </row>
    <row r="348" spans="1:38">
      <c r="A348" s="548"/>
      <c r="B348" s="548"/>
      <c r="C348" s="548"/>
      <c r="D348" s="548"/>
      <c r="E348" s="548"/>
      <c r="F348" s="548"/>
      <c r="G348" s="548"/>
      <c r="H348" s="548"/>
      <c r="I348" s="548"/>
      <c r="J348" s="548"/>
      <c r="K348" s="548"/>
      <c r="L348" s="548"/>
      <c r="M348" s="548"/>
      <c r="N348" s="548"/>
      <c r="O348" s="548"/>
      <c r="P348" s="548"/>
      <c r="Q348" s="548"/>
      <c r="R348" s="548"/>
      <c r="S348" s="548"/>
      <c r="T348" s="548"/>
      <c r="U348" s="548"/>
      <c r="V348" s="548"/>
      <c r="W348" s="548"/>
      <c r="X348" s="548"/>
      <c r="Y348" s="548"/>
      <c r="Z348" s="548"/>
      <c r="AA348" s="548"/>
      <c r="AB348" s="548"/>
      <c r="AC348" s="548"/>
      <c r="AD348" s="548"/>
      <c r="AE348" s="548"/>
      <c r="AF348" s="548"/>
      <c r="AG348" s="548"/>
      <c r="AH348" s="548"/>
      <c r="AI348" s="548"/>
      <c r="AJ348" s="548"/>
      <c r="AK348" s="548"/>
      <c r="AL348" s="548"/>
    </row>
    <row r="349" spans="1:38">
      <c r="A349" s="548"/>
      <c r="B349" s="548"/>
      <c r="C349" s="548"/>
      <c r="D349" s="548"/>
      <c r="E349" s="548"/>
      <c r="F349" s="548"/>
      <c r="G349" s="548"/>
      <c r="H349" s="548"/>
      <c r="I349" s="548"/>
      <c r="J349" s="548"/>
      <c r="K349" s="548"/>
      <c r="L349" s="548"/>
      <c r="M349" s="548"/>
      <c r="N349" s="548"/>
      <c r="O349" s="548"/>
      <c r="P349" s="548"/>
      <c r="Q349" s="548"/>
      <c r="R349" s="548"/>
      <c r="S349" s="548"/>
      <c r="T349" s="548"/>
      <c r="U349" s="548"/>
      <c r="V349" s="548"/>
      <c r="W349" s="548"/>
      <c r="X349" s="548"/>
      <c r="Y349" s="548"/>
      <c r="Z349" s="548"/>
      <c r="AA349" s="548"/>
      <c r="AB349" s="548"/>
      <c r="AC349" s="548"/>
      <c r="AD349" s="548"/>
      <c r="AE349" s="548"/>
      <c r="AF349" s="548"/>
      <c r="AG349" s="548"/>
      <c r="AH349" s="548"/>
      <c r="AI349" s="548"/>
      <c r="AJ349" s="548"/>
      <c r="AK349" s="548"/>
      <c r="AL349" s="548"/>
    </row>
    <row r="350" spans="1:38">
      <c r="A350" s="548"/>
      <c r="B350" s="548"/>
      <c r="C350" s="548"/>
      <c r="D350" s="548"/>
      <c r="E350" s="548"/>
      <c r="F350" s="548"/>
      <c r="G350" s="548"/>
      <c r="H350" s="548"/>
      <c r="I350" s="548"/>
      <c r="J350" s="548"/>
      <c r="K350" s="548"/>
      <c r="L350" s="548"/>
      <c r="M350" s="548"/>
      <c r="N350" s="548"/>
      <c r="O350" s="548"/>
      <c r="P350" s="548"/>
      <c r="Q350" s="548"/>
      <c r="R350" s="548"/>
      <c r="S350" s="548"/>
      <c r="T350" s="548"/>
      <c r="U350" s="548"/>
      <c r="V350" s="548"/>
      <c r="W350" s="548"/>
      <c r="X350" s="548"/>
      <c r="Y350" s="548"/>
      <c r="Z350" s="548"/>
      <c r="AA350" s="548"/>
      <c r="AB350" s="548"/>
      <c r="AC350" s="548"/>
      <c r="AD350" s="548"/>
      <c r="AE350" s="548"/>
      <c r="AF350" s="548"/>
      <c r="AG350" s="548"/>
      <c r="AH350" s="548"/>
      <c r="AI350" s="548"/>
      <c r="AJ350" s="548"/>
      <c r="AK350" s="548"/>
      <c r="AL350" s="548"/>
    </row>
    <row r="351" spans="1:38">
      <c r="A351" s="548"/>
      <c r="B351" s="548"/>
      <c r="C351" s="548"/>
      <c r="D351" s="548"/>
      <c r="E351" s="548"/>
      <c r="F351" s="548"/>
      <c r="G351" s="548"/>
      <c r="H351" s="548"/>
      <c r="I351" s="548"/>
      <c r="J351" s="548"/>
      <c r="K351" s="548"/>
      <c r="L351" s="548"/>
      <c r="M351" s="548"/>
      <c r="N351" s="548"/>
      <c r="O351" s="548"/>
      <c r="P351" s="548"/>
      <c r="Q351" s="548"/>
      <c r="R351" s="548"/>
      <c r="S351" s="548"/>
      <c r="T351" s="548"/>
      <c r="U351" s="548"/>
      <c r="V351" s="548"/>
      <c r="W351" s="548"/>
      <c r="X351" s="548"/>
      <c r="Y351" s="548"/>
      <c r="Z351" s="548"/>
      <c r="AA351" s="548"/>
      <c r="AB351" s="548"/>
      <c r="AC351" s="548"/>
      <c r="AD351" s="548"/>
      <c r="AE351" s="548"/>
      <c r="AF351" s="548"/>
      <c r="AG351" s="548"/>
      <c r="AH351" s="548"/>
      <c r="AI351" s="548"/>
      <c r="AJ351" s="548"/>
      <c r="AK351" s="548"/>
      <c r="AL351" s="548"/>
    </row>
    <row r="352" spans="1:38">
      <c r="A352" s="548"/>
      <c r="B352" s="548"/>
      <c r="C352" s="548"/>
      <c r="D352" s="548"/>
      <c r="E352" s="548"/>
      <c r="F352" s="548"/>
      <c r="G352" s="548"/>
      <c r="H352" s="548"/>
      <c r="I352" s="548"/>
      <c r="J352" s="548"/>
      <c r="K352" s="548"/>
      <c r="L352" s="548"/>
      <c r="M352" s="548"/>
      <c r="N352" s="548"/>
      <c r="O352" s="548"/>
      <c r="P352" s="548"/>
      <c r="Q352" s="548"/>
      <c r="R352" s="548"/>
      <c r="S352" s="548"/>
      <c r="T352" s="548"/>
      <c r="U352" s="548"/>
      <c r="V352" s="548"/>
      <c r="W352" s="548"/>
      <c r="X352" s="548"/>
      <c r="Y352" s="548"/>
      <c r="Z352" s="548"/>
      <c r="AA352" s="548"/>
      <c r="AB352" s="548"/>
      <c r="AC352" s="548"/>
      <c r="AD352" s="548"/>
      <c r="AE352" s="548"/>
      <c r="AF352" s="548"/>
      <c r="AG352" s="548"/>
      <c r="AH352" s="548"/>
      <c r="AI352" s="548"/>
      <c r="AJ352" s="548"/>
      <c r="AK352" s="548"/>
      <c r="AL352" s="548"/>
    </row>
    <row r="353" spans="1:38">
      <c r="A353" s="548"/>
      <c r="B353" s="548"/>
      <c r="C353" s="548"/>
      <c r="D353" s="548"/>
      <c r="E353" s="548"/>
      <c r="F353" s="548"/>
      <c r="G353" s="548"/>
      <c r="H353" s="548"/>
      <c r="I353" s="548"/>
      <c r="J353" s="548"/>
      <c r="K353" s="548"/>
      <c r="L353" s="548"/>
      <c r="M353" s="548"/>
      <c r="N353" s="548"/>
      <c r="O353" s="548"/>
      <c r="P353" s="548"/>
      <c r="Q353" s="548"/>
      <c r="R353" s="548"/>
      <c r="S353" s="548"/>
      <c r="T353" s="548"/>
      <c r="U353" s="548"/>
      <c r="V353" s="548"/>
      <c r="W353" s="548"/>
      <c r="X353" s="548"/>
      <c r="Y353" s="548"/>
      <c r="Z353" s="548"/>
      <c r="AA353" s="548"/>
      <c r="AB353" s="548"/>
      <c r="AC353" s="548"/>
      <c r="AD353" s="548"/>
      <c r="AE353" s="548"/>
      <c r="AF353" s="548"/>
      <c r="AG353" s="548"/>
      <c r="AH353" s="548"/>
      <c r="AI353" s="548"/>
      <c r="AJ353" s="548"/>
      <c r="AK353" s="548"/>
      <c r="AL353" s="548"/>
    </row>
    <row r="354" spans="1:38">
      <c r="A354" s="548"/>
      <c r="B354" s="548"/>
      <c r="C354" s="548"/>
      <c r="D354" s="548"/>
      <c r="E354" s="548"/>
      <c r="F354" s="548"/>
      <c r="G354" s="548"/>
      <c r="H354" s="548"/>
      <c r="I354" s="548"/>
      <c r="J354" s="548"/>
      <c r="K354" s="548"/>
      <c r="L354" s="548"/>
      <c r="M354" s="548"/>
      <c r="N354" s="548"/>
      <c r="O354" s="548"/>
      <c r="P354" s="548"/>
      <c r="Q354" s="548"/>
      <c r="R354" s="548"/>
      <c r="S354" s="548"/>
      <c r="T354" s="548"/>
      <c r="U354" s="548"/>
      <c r="V354" s="548"/>
      <c r="W354" s="548"/>
      <c r="X354" s="548"/>
      <c r="Y354" s="548"/>
      <c r="Z354" s="548"/>
      <c r="AA354" s="548"/>
      <c r="AB354" s="548"/>
      <c r="AC354" s="548"/>
      <c r="AD354" s="548"/>
      <c r="AE354" s="548"/>
      <c r="AF354" s="548"/>
      <c r="AG354" s="548"/>
      <c r="AH354" s="548"/>
      <c r="AI354" s="548"/>
      <c r="AJ354" s="548"/>
      <c r="AK354" s="548"/>
      <c r="AL354" s="548"/>
    </row>
    <row r="355" spans="1:38">
      <c r="A355" s="548"/>
      <c r="B355" s="548"/>
      <c r="C355" s="548"/>
      <c r="D355" s="548"/>
      <c r="E355" s="548"/>
      <c r="F355" s="548"/>
      <c r="G355" s="548"/>
      <c r="H355" s="548"/>
      <c r="I355" s="548"/>
      <c r="J355" s="548"/>
      <c r="K355" s="548"/>
      <c r="L355" s="548"/>
      <c r="M355" s="548"/>
      <c r="N355" s="548"/>
      <c r="O355" s="548"/>
      <c r="P355" s="548"/>
      <c r="Q355" s="548"/>
      <c r="R355" s="548"/>
      <c r="S355" s="548"/>
      <c r="T355" s="548"/>
      <c r="U355" s="548"/>
      <c r="V355" s="548"/>
      <c r="W355" s="548"/>
      <c r="X355" s="548"/>
      <c r="Y355" s="548"/>
      <c r="Z355" s="548"/>
      <c r="AA355" s="548"/>
      <c r="AB355" s="548"/>
      <c r="AC355" s="548"/>
      <c r="AD355" s="548"/>
      <c r="AE355" s="548"/>
      <c r="AF355" s="548"/>
      <c r="AG355" s="548"/>
      <c r="AH355" s="548"/>
      <c r="AI355" s="548"/>
      <c r="AJ355" s="548"/>
      <c r="AK355" s="548"/>
      <c r="AL355" s="548"/>
    </row>
    <row r="356" spans="1:38">
      <c r="A356" s="548"/>
      <c r="B356" s="548"/>
      <c r="C356" s="548"/>
      <c r="D356" s="548"/>
      <c r="E356" s="548"/>
      <c r="F356" s="548"/>
      <c r="G356" s="548"/>
      <c r="H356" s="548"/>
      <c r="I356" s="548"/>
      <c r="J356" s="548"/>
      <c r="K356" s="548"/>
      <c r="L356" s="548"/>
      <c r="M356" s="548"/>
      <c r="N356" s="548"/>
      <c r="O356" s="548"/>
      <c r="P356" s="548"/>
      <c r="Q356" s="548"/>
      <c r="R356" s="548"/>
      <c r="S356" s="548"/>
      <c r="T356" s="548"/>
      <c r="U356" s="548"/>
      <c r="V356" s="548"/>
      <c r="W356" s="548"/>
      <c r="X356" s="548"/>
      <c r="Y356" s="548"/>
      <c r="Z356" s="548"/>
      <c r="AA356" s="548"/>
      <c r="AB356" s="548"/>
      <c r="AC356" s="548"/>
      <c r="AD356" s="548"/>
      <c r="AE356" s="548"/>
      <c r="AF356" s="548"/>
      <c r="AG356" s="548"/>
      <c r="AH356" s="548"/>
      <c r="AI356" s="548"/>
      <c r="AJ356" s="548"/>
      <c r="AK356" s="548"/>
      <c r="AL356" s="548"/>
    </row>
    <row r="357" spans="1:38">
      <c r="A357" s="548"/>
      <c r="B357" s="548"/>
      <c r="C357" s="548"/>
      <c r="D357" s="548"/>
      <c r="E357" s="548"/>
      <c r="F357" s="548"/>
      <c r="G357" s="548"/>
      <c r="H357" s="548"/>
      <c r="I357" s="548"/>
      <c r="J357" s="548"/>
      <c r="K357" s="548"/>
      <c r="L357" s="548"/>
      <c r="M357" s="548"/>
      <c r="N357" s="548"/>
      <c r="O357" s="548"/>
      <c r="P357" s="548"/>
      <c r="Q357" s="548"/>
      <c r="R357" s="548"/>
      <c r="S357" s="548"/>
      <c r="T357" s="548"/>
      <c r="U357" s="548"/>
      <c r="V357" s="548"/>
      <c r="W357" s="548"/>
      <c r="X357" s="548"/>
      <c r="Y357" s="548"/>
      <c r="Z357" s="548"/>
      <c r="AA357" s="548"/>
      <c r="AB357" s="548"/>
      <c r="AC357" s="548"/>
      <c r="AD357" s="548"/>
      <c r="AE357" s="548"/>
      <c r="AF357" s="548"/>
      <c r="AG357" s="548"/>
      <c r="AH357" s="548"/>
      <c r="AI357" s="548"/>
      <c r="AJ357" s="548"/>
      <c r="AK357" s="548"/>
      <c r="AL357" s="548"/>
    </row>
    <row r="358" spans="1:38">
      <c r="A358" s="548"/>
      <c r="B358" s="548"/>
      <c r="C358" s="548"/>
      <c r="D358" s="548"/>
      <c r="E358" s="548"/>
      <c r="F358" s="548"/>
      <c r="G358" s="548"/>
      <c r="H358" s="548"/>
      <c r="I358" s="548"/>
      <c r="J358" s="548"/>
      <c r="K358" s="548"/>
      <c r="L358" s="548"/>
      <c r="M358" s="548"/>
      <c r="N358" s="548"/>
      <c r="O358" s="548"/>
      <c r="P358" s="548"/>
      <c r="Q358" s="548"/>
      <c r="R358" s="548"/>
      <c r="S358" s="548"/>
      <c r="T358" s="548"/>
      <c r="U358" s="548"/>
      <c r="V358" s="548"/>
      <c r="W358" s="548"/>
      <c r="X358" s="548"/>
      <c r="Y358" s="548"/>
      <c r="Z358" s="548"/>
      <c r="AA358" s="548"/>
      <c r="AB358" s="548"/>
      <c r="AC358" s="548"/>
      <c r="AD358" s="548"/>
      <c r="AE358" s="548"/>
      <c r="AF358" s="548"/>
      <c r="AG358" s="548"/>
      <c r="AH358" s="548"/>
      <c r="AI358" s="548"/>
      <c r="AJ358" s="548"/>
      <c r="AK358" s="548"/>
      <c r="AL358" s="548"/>
    </row>
    <row r="359" spans="1:38">
      <c r="A359" s="548"/>
      <c r="B359" s="548"/>
      <c r="C359" s="548"/>
      <c r="D359" s="548"/>
      <c r="E359" s="548"/>
      <c r="F359" s="548"/>
      <c r="G359" s="548"/>
      <c r="H359" s="548"/>
      <c r="I359" s="548"/>
      <c r="J359" s="548"/>
      <c r="K359" s="548"/>
      <c r="L359" s="548"/>
      <c r="M359" s="548"/>
      <c r="N359" s="548"/>
      <c r="O359" s="548"/>
      <c r="P359" s="548"/>
      <c r="Q359" s="548"/>
      <c r="R359" s="548"/>
      <c r="S359" s="548"/>
      <c r="T359" s="548"/>
      <c r="U359" s="548"/>
      <c r="V359" s="548"/>
      <c r="W359" s="548"/>
      <c r="X359" s="548"/>
      <c r="Y359" s="548"/>
      <c r="Z359" s="548"/>
      <c r="AA359" s="548"/>
      <c r="AB359" s="548"/>
      <c r="AC359" s="548"/>
      <c r="AD359" s="548"/>
      <c r="AE359" s="548"/>
      <c r="AF359" s="548"/>
      <c r="AG359" s="548"/>
      <c r="AH359" s="548"/>
      <c r="AI359" s="548"/>
      <c r="AJ359" s="548"/>
      <c r="AK359" s="548"/>
      <c r="AL359" s="548"/>
    </row>
    <row r="360" spans="1:38">
      <c r="A360" s="548"/>
      <c r="B360" s="548"/>
      <c r="C360" s="548"/>
      <c r="D360" s="548"/>
      <c r="E360" s="548"/>
      <c r="F360" s="548"/>
      <c r="G360" s="548"/>
      <c r="H360" s="548"/>
      <c r="I360" s="548"/>
      <c r="J360" s="548"/>
      <c r="K360" s="548"/>
      <c r="L360" s="548"/>
      <c r="M360" s="548"/>
      <c r="N360" s="548"/>
      <c r="O360" s="548"/>
      <c r="P360" s="548"/>
      <c r="Q360" s="548"/>
      <c r="R360" s="548"/>
      <c r="S360" s="548"/>
      <c r="T360" s="548"/>
      <c r="U360" s="548"/>
      <c r="V360" s="548"/>
      <c r="W360" s="548"/>
      <c r="X360" s="548"/>
      <c r="Y360" s="548"/>
      <c r="Z360" s="548"/>
      <c r="AA360" s="548"/>
      <c r="AB360" s="548"/>
      <c r="AC360" s="548"/>
      <c r="AD360" s="548"/>
      <c r="AE360" s="548"/>
      <c r="AF360" s="548"/>
      <c r="AG360" s="548"/>
      <c r="AH360" s="548"/>
      <c r="AI360" s="548"/>
      <c r="AJ360" s="548"/>
      <c r="AK360" s="548"/>
      <c r="AL360" s="548"/>
    </row>
    <row r="361" spans="1:38">
      <c r="A361" s="548"/>
      <c r="B361" s="548"/>
      <c r="C361" s="548"/>
      <c r="D361" s="548"/>
      <c r="E361" s="548"/>
      <c r="F361" s="548"/>
      <c r="G361" s="548"/>
      <c r="H361" s="548"/>
      <c r="I361" s="548"/>
      <c r="J361" s="548"/>
      <c r="K361" s="548"/>
      <c r="L361" s="548"/>
      <c r="M361" s="548"/>
      <c r="N361" s="548"/>
      <c r="O361" s="548"/>
      <c r="P361" s="548"/>
      <c r="Q361" s="548"/>
      <c r="R361" s="548"/>
      <c r="S361" s="548"/>
      <c r="T361" s="548"/>
      <c r="U361" s="548"/>
      <c r="V361" s="548"/>
      <c r="W361" s="548"/>
      <c r="X361" s="548"/>
      <c r="Y361" s="548"/>
      <c r="Z361" s="548"/>
      <c r="AA361" s="548"/>
      <c r="AB361" s="548"/>
      <c r="AC361" s="548"/>
      <c r="AD361" s="548"/>
      <c r="AE361" s="548"/>
      <c r="AF361" s="548"/>
      <c r="AG361" s="548"/>
      <c r="AH361" s="548"/>
      <c r="AI361" s="548"/>
      <c r="AJ361" s="548"/>
      <c r="AK361" s="548"/>
      <c r="AL361" s="548"/>
    </row>
    <row r="362" spans="1:38">
      <c r="A362" s="548"/>
      <c r="B362" s="548"/>
      <c r="C362" s="548"/>
      <c r="D362" s="548"/>
      <c r="E362" s="548"/>
      <c r="F362" s="548"/>
      <c r="G362" s="548"/>
      <c r="H362" s="548"/>
      <c r="I362" s="548"/>
      <c r="J362" s="548"/>
      <c r="K362" s="548"/>
      <c r="L362" s="548"/>
      <c r="M362" s="548"/>
      <c r="N362" s="548"/>
      <c r="O362" s="548"/>
      <c r="P362" s="548"/>
      <c r="Q362" s="548"/>
      <c r="R362" s="548"/>
      <c r="S362" s="548"/>
      <c r="T362" s="548"/>
      <c r="U362" s="548"/>
      <c r="V362" s="548"/>
      <c r="W362" s="548"/>
      <c r="X362" s="548"/>
      <c r="Y362" s="548"/>
      <c r="Z362" s="548"/>
      <c r="AA362" s="548"/>
      <c r="AB362" s="548"/>
      <c r="AC362" s="548"/>
      <c r="AD362" s="548"/>
      <c r="AE362" s="548"/>
      <c r="AF362" s="548"/>
      <c r="AG362" s="548"/>
      <c r="AH362" s="548"/>
      <c r="AI362" s="548"/>
      <c r="AJ362" s="548"/>
      <c r="AK362" s="548"/>
      <c r="AL362" s="548"/>
    </row>
    <row r="363" spans="1:38">
      <c r="A363" s="548"/>
      <c r="B363" s="548"/>
      <c r="C363" s="548"/>
      <c r="D363" s="548"/>
      <c r="E363" s="548"/>
      <c r="F363" s="548"/>
      <c r="G363" s="548"/>
      <c r="H363" s="548"/>
      <c r="I363" s="548"/>
      <c r="J363" s="548"/>
      <c r="K363" s="548"/>
      <c r="L363" s="548"/>
      <c r="M363" s="548"/>
      <c r="N363" s="548"/>
      <c r="O363" s="548"/>
      <c r="P363" s="548"/>
      <c r="Q363" s="548"/>
      <c r="R363" s="548"/>
      <c r="S363" s="548"/>
      <c r="T363" s="548"/>
      <c r="U363" s="548"/>
      <c r="V363" s="548"/>
      <c r="W363" s="548"/>
      <c r="X363" s="548"/>
      <c r="Y363" s="548"/>
      <c r="Z363" s="548"/>
      <c r="AA363" s="548"/>
      <c r="AB363" s="548"/>
      <c r="AC363" s="548"/>
      <c r="AD363" s="548"/>
      <c r="AE363" s="548"/>
      <c r="AF363" s="548"/>
      <c r="AG363" s="548"/>
      <c r="AH363" s="548"/>
      <c r="AI363" s="548"/>
      <c r="AJ363" s="548"/>
      <c r="AK363" s="548"/>
      <c r="AL363" s="548"/>
    </row>
    <row r="364" spans="1:38">
      <c r="A364" s="548"/>
      <c r="B364" s="548"/>
      <c r="C364" s="548"/>
      <c r="D364" s="548"/>
      <c r="E364" s="548"/>
      <c r="F364" s="548"/>
      <c r="G364" s="548"/>
      <c r="H364" s="548"/>
      <c r="I364" s="548"/>
      <c r="J364" s="548"/>
      <c r="K364" s="548"/>
      <c r="L364" s="548"/>
      <c r="M364" s="548"/>
      <c r="N364" s="548"/>
      <c r="O364" s="548"/>
      <c r="P364" s="548"/>
      <c r="Q364" s="548"/>
      <c r="R364" s="548"/>
      <c r="S364" s="548"/>
      <c r="T364" s="548"/>
      <c r="U364" s="548"/>
      <c r="V364" s="548"/>
      <c r="W364" s="548"/>
      <c r="X364" s="548"/>
      <c r="Y364" s="548"/>
      <c r="Z364" s="548"/>
      <c r="AA364" s="548"/>
      <c r="AB364" s="548"/>
      <c r="AC364" s="548"/>
      <c r="AD364" s="548"/>
      <c r="AE364" s="548"/>
      <c r="AF364" s="548"/>
      <c r="AG364" s="548"/>
      <c r="AH364" s="548"/>
      <c r="AI364" s="548"/>
      <c r="AJ364" s="548"/>
      <c r="AK364" s="548"/>
      <c r="AL364" s="548"/>
    </row>
    <row r="365" spans="1:38">
      <c r="A365" s="548"/>
      <c r="B365" s="548"/>
      <c r="C365" s="548"/>
      <c r="D365" s="548"/>
      <c r="E365" s="548"/>
      <c r="F365" s="548"/>
      <c r="G365" s="548"/>
      <c r="H365" s="548"/>
      <c r="I365" s="548"/>
      <c r="J365" s="548"/>
      <c r="K365" s="548"/>
      <c r="L365" s="548"/>
      <c r="M365" s="548"/>
      <c r="N365" s="548"/>
      <c r="O365" s="548"/>
      <c r="P365" s="548"/>
      <c r="Q365" s="548"/>
      <c r="R365" s="548"/>
      <c r="S365" s="548"/>
      <c r="T365" s="548"/>
      <c r="U365" s="548"/>
      <c r="V365" s="548"/>
      <c r="W365" s="548"/>
      <c r="X365" s="548"/>
      <c r="Y365" s="548"/>
      <c r="Z365" s="548"/>
      <c r="AA365" s="548"/>
      <c r="AB365" s="548"/>
      <c r="AC365" s="548"/>
      <c r="AD365" s="548"/>
      <c r="AE365" s="548"/>
      <c r="AF365" s="548"/>
      <c r="AG365" s="548"/>
      <c r="AH365" s="548"/>
      <c r="AI365" s="548"/>
      <c r="AJ365" s="548"/>
      <c r="AK365" s="548"/>
      <c r="AL365" s="548"/>
    </row>
    <row r="366" spans="1:38">
      <c r="A366" s="548"/>
      <c r="B366" s="548"/>
      <c r="C366" s="548"/>
      <c r="D366" s="548"/>
      <c r="E366" s="548"/>
      <c r="F366" s="548"/>
      <c r="G366" s="548"/>
      <c r="H366" s="548"/>
      <c r="I366" s="548"/>
      <c r="J366" s="548"/>
      <c r="K366" s="548"/>
      <c r="L366" s="548"/>
      <c r="M366" s="548"/>
      <c r="N366" s="548"/>
      <c r="O366" s="548"/>
      <c r="P366" s="548"/>
      <c r="Q366" s="548"/>
      <c r="R366" s="548"/>
      <c r="S366" s="548"/>
      <c r="T366" s="548"/>
      <c r="U366" s="548"/>
      <c r="V366" s="548"/>
      <c r="W366" s="548"/>
      <c r="X366" s="548"/>
      <c r="Y366" s="548"/>
      <c r="Z366" s="548"/>
      <c r="AA366" s="548"/>
      <c r="AB366" s="548"/>
      <c r="AC366" s="548"/>
      <c r="AD366" s="548"/>
      <c r="AE366" s="548"/>
      <c r="AF366" s="548"/>
      <c r="AG366" s="548"/>
      <c r="AH366" s="548"/>
      <c r="AI366" s="548"/>
      <c r="AJ366" s="548"/>
      <c r="AK366" s="548"/>
      <c r="AL366" s="548"/>
    </row>
    <row r="367" spans="1:38">
      <c r="A367" s="548"/>
      <c r="B367" s="548"/>
      <c r="C367" s="548"/>
      <c r="D367" s="548"/>
      <c r="E367" s="548"/>
      <c r="F367" s="548"/>
      <c r="G367" s="548"/>
      <c r="H367" s="548"/>
      <c r="I367" s="548"/>
      <c r="J367" s="548"/>
      <c r="K367" s="548"/>
      <c r="L367" s="548"/>
      <c r="M367" s="548"/>
      <c r="N367" s="548"/>
      <c r="O367" s="548"/>
      <c r="P367" s="548"/>
      <c r="Q367" s="548"/>
      <c r="R367" s="548"/>
      <c r="S367" s="548"/>
      <c r="T367" s="548"/>
      <c r="U367" s="548"/>
      <c r="V367" s="548"/>
      <c r="W367" s="548"/>
      <c r="X367" s="548"/>
      <c r="Y367" s="548"/>
      <c r="Z367" s="548"/>
      <c r="AA367" s="548"/>
      <c r="AB367" s="548"/>
      <c r="AC367" s="548"/>
      <c r="AD367" s="548"/>
      <c r="AE367" s="548"/>
      <c r="AF367" s="548"/>
      <c r="AG367" s="548"/>
      <c r="AH367" s="548"/>
      <c r="AI367" s="548"/>
      <c r="AJ367" s="548"/>
      <c r="AK367" s="548"/>
      <c r="AL367" s="548"/>
    </row>
    <row r="368" spans="1:38">
      <c r="A368" s="548"/>
      <c r="B368" s="548"/>
      <c r="C368" s="548"/>
      <c r="D368" s="548"/>
      <c r="E368" s="548"/>
      <c r="F368" s="548"/>
      <c r="G368" s="548"/>
      <c r="H368" s="548"/>
      <c r="I368" s="548"/>
      <c r="J368" s="548"/>
      <c r="K368" s="548"/>
      <c r="L368" s="548"/>
      <c r="M368" s="548"/>
      <c r="N368" s="548"/>
      <c r="O368" s="548"/>
      <c r="P368" s="548"/>
      <c r="Q368" s="548"/>
      <c r="R368" s="548"/>
      <c r="S368" s="548"/>
      <c r="T368" s="548"/>
      <c r="U368" s="548"/>
      <c r="V368" s="548"/>
      <c r="W368" s="548"/>
      <c r="X368" s="548"/>
      <c r="Y368" s="548"/>
      <c r="Z368" s="548"/>
      <c r="AA368" s="548"/>
      <c r="AB368" s="548"/>
      <c r="AC368" s="548"/>
      <c r="AD368" s="548"/>
      <c r="AE368" s="548"/>
      <c r="AF368" s="548"/>
      <c r="AG368" s="548"/>
      <c r="AH368" s="548"/>
      <c r="AI368" s="548"/>
      <c r="AJ368" s="548"/>
      <c r="AK368" s="548"/>
      <c r="AL368" s="548"/>
    </row>
    <row r="369" spans="1:38">
      <c r="A369" s="548"/>
      <c r="B369" s="548"/>
      <c r="C369" s="548"/>
      <c r="D369" s="548"/>
      <c r="E369" s="548"/>
      <c r="F369" s="548"/>
      <c r="G369" s="548"/>
      <c r="H369" s="548"/>
      <c r="I369" s="548"/>
      <c r="J369" s="548"/>
      <c r="K369" s="548"/>
      <c r="L369" s="548"/>
      <c r="M369" s="548"/>
      <c r="N369" s="548"/>
      <c r="O369" s="548"/>
      <c r="P369" s="548"/>
      <c r="Q369" s="548"/>
      <c r="R369" s="548"/>
      <c r="S369" s="548"/>
      <c r="T369" s="548"/>
      <c r="U369" s="548"/>
      <c r="V369" s="548"/>
      <c r="W369" s="548"/>
      <c r="X369" s="548"/>
      <c r="Y369" s="548"/>
      <c r="Z369" s="548"/>
      <c r="AA369" s="548"/>
      <c r="AB369" s="548"/>
      <c r="AC369" s="548"/>
      <c r="AD369" s="548"/>
      <c r="AE369" s="548"/>
      <c r="AF369" s="548"/>
      <c r="AG369" s="548"/>
      <c r="AH369" s="548"/>
      <c r="AI369" s="548"/>
      <c r="AJ369" s="548"/>
      <c r="AK369" s="548"/>
      <c r="AL369" s="548"/>
    </row>
    <row r="370" spans="1:38">
      <c r="A370" s="548"/>
      <c r="B370" s="548"/>
      <c r="C370" s="548"/>
      <c r="D370" s="548"/>
      <c r="E370" s="548"/>
      <c r="F370" s="548"/>
      <c r="G370" s="548"/>
      <c r="H370" s="548"/>
      <c r="I370" s="548"/>
      <c r="J370" s="548"/>
      <c r="K370" s="548"/>
      <c r="L370" s="548"/>
      <c r="M370" s="548"/>
      <c r="N370" s="548"/>
      <c r="O370" s="548"/>
      <c r="P370" s="548"/>
      <c r="Q370" s="548"/>
      <c r="R370" s="548"/>
      <c r="S370" s="548"/>
      <c r="T370" s="548"/>
      <c r="U370" s="548"/>
      <c r="V370" s="548"/>
      <c r="W370" s="548"/>
      <c r="X370" s="548"/>
      <c r="Y370" s="548"/>
      <c r="Z370" s="548"/>
      <c r="AA370" s="548"/>
      <c r="AB370" s="548"/>
      <c r="AC370" s="548"/>
      <c r="AD370" s="548"/>
      <c r="AE370" s="548"/>
      <c r="AF370" s="548"/>
      <c r="AG370" s="548"/>
      <c r="AH370" s="548"/>
      <c r="AI370" s="548"/>
      <c r="AJ370" s="548"/>
      <c r="AK370" s="548"/>
      <c r="AL370" s="548"/>
    </row>
    <row r="371" spans="1:38">
      <c r="A371" s="548"/>
      <c r="B371" s="548"/>
      <c r="C371" s="548"/>
      <c r="D371" s="548"/>
      <c r="E371" s="548"/>
      <c r="F371" s="548"/>
      <c r="G371" s="548"/>
      <c r="H371" s="548"/>
      <c r="I371" s="548"/>
      <c r="J371" s="548"/>
      <c r="K371" s="548"/>
      <c r="L371" s="548"/>
      <c r="M371" s="548"/>
      <c r="N371" s="548"/>
      <c r="O371" s="548"/>
      <c r="P371" s="548"/>
      <c r="Q371" s="548"/>
      <c r="R371" s="548"/>
      <c r="S371" s="548"/>
      <c r="T371" s="548"/>
      <c r="U371" s="548"/>
      <c r="V371" s="548"/>
      <c r="W371" s="548"/>
      <c r="X371" s="548"/>
      <c r="Y371" s="548"/>
      <c r="Z371" s="548"/>
      <c r="AA371" s="548"/>
      <c r="AB371" s="548"/>
      <c r="AC371" s="548"/>
      <c r="AD371" s="548"/>
      <c r="AE371" s="548"/>
      <c r="AF371" s="548"/>
      <c r="AG371" s="548"/>
      <c r="AH371" s="548"/>
      <c r="AI371" s="548"/>
      <c r="AJ371" s="548"/>
      <c r="AK371" s="548"/>
      <c r="AL371" s="548"/>
    </row>
    <row r="372" spans="1:38">
      <c r="A372" s="548"/>
      <c r="B372" s="548"/>
      <c r="C372" s="548"/>
      <c r="D372" s="548"/>
      <c r="E372" s="548"/>
      <c r="F372" s="548"/>
      <c r="G372" s="548"/>
      <c r="H372" s="548"/>
      <c r="I372" s="548"/>
      <c r="J372" s="548"/>
      <c r="K372" s="548"/>
      <c r="L372" s="548"/>
      <c r="M372" s="548"/>
      <c r="N372" s="548"/>
      <c r="O372" s="548"/>
      <c r="P372" s="548"/>
      <c r="Q372" s="548"/>
      <c r="R372" s="548"/>
      <c r="S372" s="548"/>
      <c r="T372" s="548"/>
      <c r="U372" s="548"/>
      <c r="V372" s="548"/>
      <c r="W372" s="548"/>
      <c r="X372" s="548"/>
      <c r="Y372" s="548"/>
      <c r="Z372" s="548"/>
      <c r="AA372" s="548"/>
      <c r="AB372" s="548"/>
      <c r="AC372" s="548"/>
      <c r="AD372" s="548"/>
      <c r="AE372" s="548"/>
      <c r="AF372" s="548"/>
      <c r="AG372" s="548"/>
      <c r="AH372" s="548"/>
      <c r="AI372" s="548"/>
      <c r="AJ372" s="548"/>
      <c r="AK372" s="548"/>
      <c r="AL372" s="548"/>
    </row>
    <row r="373" spans="1:38">
      <c r="A373" s="548"/>
      <c r="B373" s="548"/>
      <c r="C373" s="548"/>
      <c r="D373" s="548"/>
      <c r="E373" s="548"/>
      <c r="F373" s="548"/>
      <c r="G373" s="548"/>
      <c r="H373" s="548"/>
      <c r="I373" s="548"/>
      <c r="J373" s="548"/>
      <c r="K373" s="548"/>
      <c r="L373" s="548"/>
      <c r="M373" s="548"/>
      <c r="N373" s="548"/>
      <c r="O373" s="548"/>
      <c r="P373" s="548"/>
      <c r="Q373" s="548"/>
      <c r="R373" s="548"/>
      <c r="S373" s="548"/>
      <c r="T373" s="548"/>
      <c r="U373" s="548"/>
      <c r="V373" s="548"/>
      <c r="W373" s="548"/>
      <c r="X373" s="548"/>
      <c r="Y373" s="548"/>
      <c r="Z373" s="548"/>
      <c r="AA373" s="548"/>
      <c r="AB373" s="548"/>
      <c r="AC373" s="548"/>
      <c r="AD373" s="548"/>
      <c r="AE373" s="548"/>
      <c r="AF373" s="548"/>
      <c r="AG373" s="548"/>
      <c r="AH373" s="548"/>
      <c r="AI373" s="548"/>
      <c r="AJ373" s="548"/>
      <c r="AK373" s="548"/>
      <c r="AL373" s="548"/>
    </row>
    <row r="374" spans="1:38">
      <c r="A374" s="548"/>
      <c r="B374" s="548"/>
      <c r="C374" s="548"/>
      <c r="D374" s="548"/>
      <c r="E374" s="548"/>
      <c r="F374" s="548"/>
      <c r="G374" s="548"/>
      <c r="H374" s="548"/>
      <c r="I374" s="548"/>
      <c r="J374" s="548"/>
      <c r="K374" s="548"/>
      <c r="L374" s="548"/>
      <c r="M374" s="548"/>
      <c r="N374" s="548"/>
      <c r="O374" s="548"/>
      <c r="P374" s="548"/>
      <c r="Q374" s="548"/>
      <c r="R374" s="548"/>
      <c r="S374" s="548"/>
      <c r="T374" s="548"/>
      <c r="U374" s="548"/>
      <c r="V374" s="548"/>
      <c r="W374" s="548"/>
      <c r="X374" s="548"/>
      <c r="Y374" s="548"/>
      <c r="Z374" s="548"/>
      <c r="AA374" s="548"/>
      <c r="AB374" s="548"/>
      <c r="AC374" s="548"/>
      <c r="AD374" s="548"/>
      <c r="AE374" s="548"/>
      <c r="AF374" s="548"/>
      <c r="AG374" s="548"/>
      <c r="AH374" s="548"/>
      <c r="AI374" s="548"/>
      <c r="AJ374" s="548"/>
      <c r="AK374" s="548"/>
      <c r="AL374" s="548"/>
    </row>
    <row r="375" spans="1:38">
      <c r="A375" s="548"/>
      <c r="B375" s="548"/>
      <c r="C375" s="548"/>
      <c r="D375" s="548"/>
      <c r="E375" s="548"/>
      <c r="F375" s="548"/>
      <c r="G375" s="548"/>
      <c r="H375" s="548"/>
      <c r="I375" s="548"/>
      <c r="J375" s="548"/>
      <c r="K375" s="548"/>
      <c r="L375" s="548"/>
      <c r="M375" s="548"/>
      <c r="N375" s="548"/>
      <c r="O375" s="548"/>
      <c r="P375" s="548"/>
      <c r="Q375" s="548"/>
      <c r="R375" s="548"/>
      <c r="S375" s="548"/>
      <c r="T375" s="548"/>
      <c r="U375" s="548"/>
      <c r="V375" s="548"/>
      <c r="W375" s="548"/>
      <c r="X375" s="548"/>
      <c r="Y375" s="548"/>
      <c r="Z375" s="548"/>
      <c r="AA375" s="548"/>
      <c r="AB375" s="548"/>
      <c r="AC375" s="548"/>
      <c r="AD375" s="548"/>
      <c r="AE375" s="548"/>
      <c r="AF375" s="548"/>
      <c r="AG375" s="548"/>
      <c r="AH375" s="548"/>
      <c r="AI375" s="548"/>
      <c r="AJ375" s="548"/>
      <c r="AK375" s="548"/>
      <c r="AL375" s="548"/>
    </row>
    <row r="376" spans="1:38">
      <c r="A376" s="548"/>
      <c r="B376" s="548"/>
      <c r="C376" s="548"/>
      <c r="D376" s="548"/>
      <c r="E376" s="548"/>
      <c r="F376" s="548"/>
      <c r="G376" s="548"/>
      <c r="H376" s="548"/>
      <c r="I376" s="548"/>
      <c r="J376" s="548"/>
      <c r="K376" s="548"/>
      <c r="L376" s="548"/>
      <c r="M376" s="548"/>
      <c r="N376" s="548"/>
      <c r="O376" s="548"/>
      <c r="P376" s="548"/>
      <c r="Q376" s="548"/>
      <c r="R376" s="548"/>
      <c r="S376" s="548"/>
      <c r="T376" s="548"/>
      <c r="U376" s="548"/>
      <c r="V376" s="548"/>
      <c r="W376" s="548"/>
      <c r="X376" s="548"/>
      <c r="Y376" s="548"/>
      <c r="Z376" s="548"/>
      <c r="AA376" s="548"/>
      <c r="AB376" s="548"/>
      <c r="AC376" s="548"/>
      <c r="AD376" s="548"/>
      <c r="AE376" s="548"/>
      <c r="AF376" s="548"/>
      <c r="AG376" s="548"/>
      <c r="AH376" s="548"/>
      <c r="AI376" s="548"/>
      <c r="AJ376" s="548"/>
      <c r="AK376" s="548"/>
      <c r="AL376" s="548"/>
    </row>
    <row r="377" spans="1:38">
      <c r="A377" s="548"/>
      <c r="B377" s="548"/>
      <c r="C377" s="548"/>
      <c r="D377" s="548"/>
      <c r="E377" s="548"/>
      <c r="F377" s="548"/>
      <c r="G377" s="548"/>
      <c r="H377" s="548"/>
      <c r="I377" s="548"/>
      <c r="J377" s="548"/>
      <c r="K377" s="548"/>
      <c r="L377" s="548"/>
      <c r="M377" s="548"/>
      <c r="N377" s="548"/>
      <c r="O377" s="548"/>
      <c r="P377" s="548"/>
      <c r="Q377" s="548"/>
      <c r="R377" s="548"/>
      <c r="S377" s="548"/>
      <c r="T377" s="548"/>
      <c r="U377" s="548"/>
      <c r="V377" s="548"/>
      <c r="W377" s="548"/>
      <c r="X377" s="548"/>
      <c r="Y377" s="548"/>
      <c r="Z377" s="548"/>
      <c r="AA377" s="548"/>
      <c r="AB377" s="548"/>
      <c r="AC377" s="548"/>
      <c r="AD377" s="548"/>
      <c r="AE377" s="548"/>
      <c r="AF377" s="548"/>
      <c r="AG377" s="548"/>
      <c r="AH377" s="548"/>
      <c r="AI377" s="548"/>
      <c r="AJ377" s="548"/>
      <c r="AK377" s="548"/>
      <c r="AL377" s="548"/>
    </row>
    <row r="378" spans="1:38">
      <c r="A378" s="548"/>
      <c r="B378" s="548"/>
      <c r="C378" s="548"/>
      <c r="D378" s="548"/>
      <c r="E378" s="548"/>
      <c r="F378" s="548"/>
      <c r="G378" s="548"/>
      <c r="H378" s="548"/>
      <c r="I378" s="548"/>
      <c r="J378" s="548"/>
      <c r="K378" s="548"/>
      <c r="L378" s="548"/>
      <c r="M378" s="548"/>
      <c r="N378" s="548"/>
      <c r="O378" s="548"/>
      <c r="P378" s="548"/>
      <c r="Q378" s="548"/>
      <c r="R378" s="548"/>
      <c r="S378" s="548"/>
      <c r="T378" s="548"/>
      <c r="U378" s="548"/>
      <c r="V378" s="548"/>
      <c r="W378" s="548"/>
      <c r="X378" s="548"/>
      <c r="Y378" s="548"/>
      <c r="Z378" s="548"/>
      <c r="AA378" s="548"/>
      <c r="AB378" s="548"/>
      <c r="AC378" s="548"/>
      <c r="AD378" s="548"/>
      <c r="AE378" s="548"/>
      <c r="AF378" s="548"/>
      <c r="AG378" s="548"/>
      <c r="AH378" s="548"/>
      <c r="AI378" s="548"/>
      <c r="AJ378" s="548"/>
      <c r="AK378" s="548"/>
      <c r="AL378" s="548"/>
    </row>
    <row r="379" spans="1:38">
      <c r="A379" s="548"/>
      <c r="B379" s="548"/>
      <c r="C379" s="548"/>
      <c r="D379" s="548"/>
      <c r="E379" s="548"/>
      <c r="F379" s="548"/>
      <c r="G379" s="548"/>
      <c r="H379" s="548"/>
      <c r="I379" s="548"/>
      <c r="J379" s="548"/>
      <c r="K379" s="548"/>
      <c r="L379" s="548"/>
      <c r="M379" s="548"/>
      <c r="N379" s="548"/>
      <c r="O379" s="548"/>
      <c r="P379" s="548"/>
      <c r="Q379" s="548"/>
      <c r="R379" s="548"/>
      <c r="S379" s="548"/>
      <c r="T379" s="548"/>
      <c r="U379" s="548"/>
      <c r="V379" s="548"/>
      <c r="W379" s="548"/>
      <c r="X379" s="548"/>
      <c r="Y379" s="548"/>
      <c r="Z379" s="548"/>
      <c r="AA379" s="548"/>
      <c r="AB379" s="548"/>
      <c r="AC379" s="548"/>
      <c r="AD379" s="548"/>
      <c r="AE379" s="548"/>
      <c r="AF379" s="548"/>
      <c r="AG379" s="548"/>
      <c r="AH379" s="548"/>
      <c r="AI379" s="548"/>
      <c r="AJ379" s="548"/>
      <c r="AK379" s="548"/>
      <c r="AL379" s="548"/>
    </row>
    <row r="380" spans="1:38">
      <c r="A380" s="548"/>
      <c r="B380" s="548"/>
      <c r="C380" s="548"/>
      <c r="D380" s="548"/>
      <c r="E380" s="548"/>
      <c r="F380" s="548"/>
      <c r="G380" s="548"/>
      <c r="H380" s="548"/>
      <c r="I380" s="548"/>
      <c r="J380" s="548"/>
      <c r="K380" s="548"/>
      <c r="L380" s="548"/>
      <c r="M380" s="548"/>
      <c r="N380" s="548"/>
      <c r="O380" s="548"/>
      <c r="P380" s="548"/>
      <c r="Q380" s="548"/>
      <c r="R380" s="548"/>
      <c r="S380" s="548"/>
      <c r="T380" s="548"/>
      <c r="U380" s="548"/>
      <c r="V380" s="548"/>
      <c r="W380" s="548"/>
      <c r="X380" s="548"/>
      <c r="Y380" s="548"/>
      <c r="Z380" s="548"/>
      <c r="AA380" s="548"/>
      <c r="AB380" s="548"/>
      <c r="AC380" s="548"/>
      <c r="AD380" s="548"/>
      <c r="AE380" s="548"/>
      <c r="AF380" s="548"/>
      <c r="AG380" s="548"/>
      <c r="AH380" s="548"/>
      <c r="AI380" s="548"/>
      <c r="AJ380" s="548"/>
      <c r="AK380" s="548"/>
      <c r="AL380" s="548"/>
    </row>
    <row r="381" spans="1:38">
      <c r="A381" s="548"/>
      <c r="B381" s="548"/>
      <c r="C381" s="548"/>
      <c r="D381" s="548"/>
      <c r="E381" s="548"/>
      <c r="F381" s="548"/>
      <c r="G381" s="548"/>
      <c r="H381" s="548"/>
      <c r="I381" s="548"/>
      <c r="J381" s="548"/>
      <c r="K381" s="548"/>
      <c r="L381" s="548"/>
      <c r="M381" s="548"/>
      <c r="N381" s="548"/>
      <c r="O381" s="548"/>
      <c r="P381" s="548"/>
      <c r="Q381" s="548"/>
      <c r="R381" s="548"/>
      <c r="S381" s="548"/>
      <c r="T381" s="548"/>
      <c r="U381" s="548"/>
      <c r="V381" s="548"/>
      <c r="W381" s="548"/>
      <c r="X381" s="548"/>
      <c r="Y381" s="548"/>
      <c r="Z381" s="548"/>
      <c r="AA381" s="548"/>
      <c r="AB381" s="548"/>
      <c r="AC381" s="548"/>
      <c r="AD381" s="548"/>
      <c r="AE381" s="548"/>
      <c r="AF381" s="548"/>
      <c r="AG381" s="548"/>
      <c r="AH381" s="548"/>
      <c r="AI381" s="548"/>
      <c r="AJ381" s="548"/>
      <c r="AK381" s="548"/>
      <c r="AL381" s="548"/>
    </row>
    <row r="382" spans="1:38">
      <c r="A382" s="548"/>
      <c r="B382" s="548"/>
      <c r="C382" s="548"/>
      <c r="D382" s="548"/>
      <c r="E382" s="548"/>
      <c r="F382" s="548"/>
      <c r="G382" s="548"/>
      <c r="H382" s="548"/>
      <c r="I382" s="548"/>
      <c r="J382" s="548"/>
      <c r="K382" s="548"/>
      <c r="L382" s="548"/>
      <c r="M382" s="548"/>
      <c r="N382" s="548"/>
      <c r="O382" s="548"/>
      <c r="P382" s="548"/>
      <c r="Q382" s="548"/>
      <c r="R382" s="548"/>
      <c r="S382" s="548"/>
      <c r="T382" s="548"/>
      <c r="U382" s="548"/>
      <c r="V382" s="548"/>
      <c r="W382" s="548"/>
      <c r="X382" s="548"/>
      <c r="Y382" s="548"/>
      <c r="Z382" s="548"/>
      <c r="AA382" s="548"/>
      <c r="AB382" s="548"/>
      <c r="AC382" s="548"/>
      <c r="AD382" s="548"/>
      <c r="AE382" s="548"/>
      <c r="AF382" s="548"/>
      <c r="AG382" s="548"/>
      <c r="AH382" s="548"/>
      <c r="AI382" s="548"/>
      <c r="AJ382" s="548"/>
      <c r="AK382" s="548"/>
      <c r="AL382" s="548"/>
    </row>
    <row r="383" spans="1:38">
      <c r="A383" s="548"/>
      <c r="B383" s="548"/>
      <c r="C383" s="548"/>
      <c r="D383" s="548"/>
      <c r="E383" s="548"/>
      <c r="F383" s="548"/>
      <c r="G383" s="548"/>
      <c r="H383" s="548"/>
      <c r="I383" s="548"/>
      <c r="J383" s="548"/>
      <c r="K383" s="548"/>
      <c r="L383" s="548"/>
      <c r="M383" s="548"/>
      <c r="N383" s="548"/>
      <c r="O383" s="548"/>
      <c r="P383" s="548"/>
      <c r="Q383" s="548"/>
      <c r="R383" s="548"/>
      <c r="S383" s="548"/>
      <c r="T383" s="548"/>
      <c r="U383" s="548"/>
      <c r="V383" s="548"/>
      <c r="W383" s="548"/>
      <c r="X383" s="548"/>
      <c r="Y383" s="548"/>
      <c r="Z383" s="548"/>
      <c r="AA383" s="548"/>
      <c r="AB383" s="548"/>
      <c r="AC383" s="548"/>
      <c r="AD383" s="548"/>
      <c r="AE383" s="548"/>
      <c r="AF383" s="548"/>
      <c r="AG383" s="548"/>
      <c r="AH383" s="548"/>
      <c r="AI383" s="548"/>
      <c r="AJ383" s="548"/>
      <c r="AK383" s="548"/>
      <c r="AL383" s="548"/>
    </row>
    <row r="384" spans="1:38">
      <c r="A384" s="548"/>
      <c r="B384" s="548"/>
      <c r="C384" s="548"/>
      <c r="D384" s="548"/>
      <c r="E384" s="548"/>
      <c r="F384" s="548"/>
      <c r="G384" s="548"/>
      <c r="H384" s="548"/>
      <c r="I384" s="548"/>
      <c r="J384" s="548"/>
      <c r="K384" s="548"/>
      <c r="L384" s="548"/>
      <c r="M384" s="548"/>
      <c r="N384" s="548"/>
      <c r="O384" s="548"/>
      <c r="P384" s="548"/>
      <c r="Q384" s="548"/>
      <c r="R384" s="548"/>
      <c r="S384" s="548"/>
      <c r="T384" s="548"/>
      <c r="U384" s="548"/>
      <c r="V384" s="548"/>
      <c r="W384" s="548"/>
      <c r="X384" s="548"/>
      <c r="Y384" s="548"/>
      <c r="Z384" s="548"/>
      <c r="AA384" s="548"/>
      <c r="AB384" s="548"/>
      <c r="AC384" s="548"/>
      <c r="AD384" s="548"/>
      <c r="AE384" s="548"/>
      <c r="AF384" s="548"/>
      <c r="AG384" s="548"/>
      <c r="AH384" s="548"/>
      <c r="AI384" s="548"/>
      <c r="AJ384" s="548"/>
      <c r="AK384" s="548"/>
      <c r="AL384" s="548"/>
    </row>
    <row r="385" spans="1:38">
      <c r="A385" s="548"/>
      <c r="B385" s="548"/>
      <c r="C385" s="548"/>
      <c r="D385" s="548"/>
      <c r="E385" s="548"/>
      <c r="F385" s="548"/>
      <c r="G385" s="548"/>
      <c r="H385" s="548"/>
      <c r="I385" s="548"/>
      <c r="J385" s="548"/>
      <c r="K385" s="548"/>
      <c r="L385" s="548"/>
      <c r="M385" s="548"/>
      <c r="N385" s="548"/>
      <c r="O385" s="548"/>
      <c r="P385" s="548"/>
      <c r="Q385" s="548"/>
      <c r="R385" s="548"/>
      <c r="S385" s="548"/>
      <c r="T385" s="548"/>
      <c r="U385" s="548"/>
      <c r="V385" s="548"/>
      <c r="W385" s="548"/>
      <c r="X385" s="548"/>
      <c r="Y385" s="548"/>
      <c r="Z385" s="548"/>
      <c r="AA385" s="548"/>
      <c r="AB385" s="548"/>
      <c r="AC385" s="548"/>
      <c r="AD385" s="548"/>
      <c r="AE385" s="548"/>
      <c r="AF385" s="548"/>
      <c r="AG385" s="548"/>
      <c r="AH385" s="548"/>
      <c r="AI385" s="548"/>
      <c r="AJ385" s="548"/>
      <c r="AK385" s="548"/>
      <c r="AL385" s="548"/>
    </row>
    <row r="386" spans="1:38">
      <c r="A386" s="548"/>
      <c r="B386" s="548"/>
      <c r="C386" s="548"/>
      <c r="D386" s="548"/>
      <c r="E386" s="548"/>
      <c r="F386" s="548"/>
      <c r="G386" s="548"/>
      <c r="H386" s="548"/>
      <c r="I386" s="548"/>
      <c r="J386" s="548"/>
      <c r="K386" s="548"/>
      <c r="L386" s="548"/>
      <c r="M386" s="548"/>
      <c r="N386" s="548"/>
      <c r="O386" s="548"/>
      <c r="P386" s="548"/>
      <c r="Q386" s="548"/>
      <c r="R386" s="548"/>
      <c r="S386" s="548"/>
      <c r="T386" s="548"/>
      <c r="U386" s="548"/>
      <c r="V386" s="548"/>
      <c r="W386" s="548"/>
      <c r="X386" s="548"/>
      <c r="Y386" s="548"/>
      <c r="Z386" s="548"/>
      <c r="AA386" s="548"/>
      <c r="AB386" s="548"/>
      <c r="AC386" s="548"/>
      <c r="AD386" s="548"/>
      <c r="AE386" s="548"/>
      <c r="AF386" s="548"/>
      <c r="AG386" s="548"/>
      <c r="AH386" s="548"/>
      <c r="AI386" s="548"/>
      <c r="AJ386" s="548"/>
      <c r="AK386" s="548"/>
      <c r="AL386" s="548"/>
    </row>
    <row r="387" spans="1:38">
      <c r="A387" s="548"/>
      <c r="B387" s="548"/>
      <c r="C387" s="548"/>
      <c r="D387" s="548"/>
      <c r="E387" s="548"/>
      <c r="F387" s="548"/>
      <c r="G387" s="548"/>
      <c r="H387" s="548"/>
      <c r="I387" s="548"/>
      <c r="J387" s="548"/>
      <c r="K387" s="548"/>
      <c r="L387" s="548"/>
      <c r="M387" s="548"/>
      <c r="N387" s="548"/>
      <c r="O387" s="548"/>
      <c r="P387" s="548"/>
      <c r="Q387" s="548"/>
      <c r="R387" s="548"/>
      <c r="S387" s="548"/>
      <c r="T387" s="548"/>
      <c r="U387" s="548"/>
      <c r="V387" s="548"/>
      <c r="W387" s="548"/>
      <c r="X387" s="548"/>
      <c r="Y387" s="548"/>
      <c r="Z387" s="548"/>
      <c r="AA387" s="548"/>
      <c r="AB387" s="548"/>
      <c r="AC387" s="548"/>
      <c r="AD387" s="548"/>
      <c r="AE387" s="548"/>
      <c r="AF387" s="548"/>
      <c r="AG387" s="548"/>
      <c r="AH387" s="548"/>
      <c r="AI387" s="548"/>
      <c r="AJ387" s="548"/>
      <c r="AK387" s="548"/>
      <c r="AL387" s="548"/>
    </row>
    <row r="388" spans="1:38">
      <c r="A388" s="548"/>
      <c r="B388" s="548"/>
      <c r="C388" s="548"/>
      <c r="D388" s="548"/>
      <c r="E388" s="548"/>
      <c r="F388" s="548"/>
      <c r="G388" s="548"/>
      <c r="H388" s="548"/>
      <c r="I388" s="548"/>
      <c r="J388" s="548"/>
      <c r="K388" s="548"/>
      <c r="L388" s="548"/>
      <c r="M388" s="548"/>
      <c r="N388" s="548"/>
      <c r="O388" s="548"/>
      <c r="P388" s="548"/>
      <c r="Q388" s="548"/>
      <c r="R388" s="548"/>
      <c r="S388" s="548"/>
      <c r="T388" s="548"/>
      <c r="U388" s="548"/>
      <c r="V388" s="548"/>
      <c r="W388" s="548"/>
      <c r="X388" s="548"/>
      <c r="Y388" s="548"/>
      <c r="Z388" s="548"/>
      <c r="AA388" s="548"/>
      <c r="AB388" s="548"/>
      <c r="AC388" s="548"/>
      <c r="AD388" s="548"/>
      <c r="AE388" s="548"/>
      <c r="AF388" s="548"/>
      <c r="AG388" s="548"/>
      <c r="AH388" s="548"/>
      <c r="AI388" s="548"/>
      <c r="AJ388" s="548"/>
      <c r="AK388" s="548"/>
      <c r="AL388" s="548"/>
    </row>
    <row r="389" spans="1:38">
      <c r="A389" s="548"/>
      <c r="B389" s="548"/>
      <c r="C389" s="548"/>
      <c r="D389" s="548"/>
      <c r="E389" s="548"/>
      <c r="F389" s="548"/>
      <c r="G389" s="548"/>
      <c r="H389" s="548"/>
      <c r="I389" s="548"/>
      <c r="J389" s="548"/>
      <c r="K389" s="548"/>
      <c r="L389" s="548"/>
      <c r="M389" s="548"/>
      <c r="N389" s="548"/>
      <c r="O389" s="548"/>
      <c r="P389" s="548"/>
      <c r="Q389" s="548"/>
      <c r="R389" s="548"/>
      <c r="S389" s="548"/>
      <c r="T389" s="548"/>
      <c r="U389" s="548"/>
      <c r="V389" s="548"/>
      <c r="W389" s="548"/>
      <c r="X389" s="548"/>
      <c r="Y389" s="548"/>
      <c r="Z389" s="548"/>
      <c r="AA389" s="548"/>
      <c r="AB389" s="548"/>
      <c r="AC389" s="548"/>
      <c r="AD389" s="548"/>
      <c r="AE389" s="548"/>
      <c r="AF389" s="548"/>
      <c r="AG389" s="548"/>
      <c r="AH389" s="548"/>
      <c r="AI389" s="548"/>
      <c r="AJ389" s="548"/>
      <c r="AK389" s="548"/>
      <c r="AL389" s="548"/>
    </row>
    <row r="390" spans="1:38">
      <c r="A390" s="548"/>
      <c r="B390" s="548"/>
      <c r="C390" s="548"/>
      <c r="D390" s="548"/>
      <c r="E390" s="548"/>
      <c r="F390" s="548"/>
      <c r="G390" s="548"/>
      <c r="H390" s="548"/>
      <c r="I390" s="548"/>
      <c r="J390" s="548"/>
      <c r="K390" s="548"/>
      <c r="L390" s="548"/>
      <c r="M390" s="548"/>
      <c r="N390" s="548"/>
      <c r="O390" s="548"/>
      <c r="P390" s="548"/>
      <c r="Q390" s="548"/>
      <c r="R390" s="548"/>
      <c r="S390" s="548"/>
      <c r="T390" s="548"/>
      <c r="U390" s="548"/>
      <c r="V390" s="548"/>
      <c r="W390" s="548"/>
      <c r="X390" s="548"/>
      <c r="Y390" s="548"/>
      <c r="Z390" s="548"/>
      <c r="AA390" s="548"/>
      <c r="AB390" s="548"/>
      <c r="AC390" s="548"/>
      <c r="AD390" s="548"/>
      <c r="AE390" s="548"/>
      <c r="AF390" s="548"/>
      <c r="AG390" s="548"/>
      <c r="AH390" s="548"/>
      <c r="AI390" s="548"/>
      <c r="AJ390" s="548"/>
      <c r="AK390" s="548"/>
      <c r="AL390" s="548"/>
    </row>
    <row r="391" spans="1:38">
      <c r="A391" s="548"/>
      <c r="B391" s="548"/>
      <c r="C391" s="548"/>
      <c r="D391" s="548"/>
      <c r="E391" s="548"/>
      <c r="F391" s="548"/>
      <c r="G391" s="548"/>
      <c r="H391" s="548"/>
      <c r="I391" s="548"/>
      <c r="J391" s="548"/>
      <c r="K391" s="548"/>
      <c r="L391" s="548"/>
      <c r="M391" s="548"/>
      <c r="N391" s="548"/>
      <c r="O391" s="548"/>
      <c r="P391" s="548"/>
      <c r="Q391" s="548"/>
      <c r="R391" s="548"/>
      <c r="S391" s="548"/>
      <c r="T391" s="548"/>
      <c r="U391" s="548"/>
      <c r="V391" s="548"/>
      <c r="W391" s="548"/>
      <c r="X391" s="548"/>
      <c r="Y391" s="548"/>
      <c r="Z391" s="548"/>
      <c r="AA391" s="548"/>
      <c r="AB391" s="548"/>
      <c r="AC391" s="548"/>
      <c r="AD391" s="548"/>
      <c r="AE391" s="548"/>
      <c r="AF391" s="548"/>
      <c r="AG391" s="548"/>
      <c r="AH391" s="548"/>
      <c r="AI391" s="548"/>
      <c r="AJ391" s="548"/>
      <c r="AK391" s="548"/>
      <c r="AL391" s="548"/>
    </row>
    <row r="392" spans="1:38">
      <c r="A392" s="548"/>
      <c r="B392" s="548"/>
      <c r="C392" s="548"/>
      <c r="D392" s="548"/>
      <c r="E392" s="548"/>
      <c r="F392" s="548"/>
      <c r="G392" s="548"/>
      <c r="H392" s="548"/>
      <c r="I392" s="548"/>
      <c r="J392" s="548"/>
      <c r="K392" s="548"/>
      <c r="L392" s="548"/>
      <c r="M392" s="548"/>
      <c r="N392" s="548"/>
      <c r="O392" s="548"/>
      <c r="P392" s="548"/>
      <c r="Q392" s="548"/>
      <c r="R392" s="548"/>
      <c r="S392" s="548"/>
      <c r="T392" s="548"/>
      <c r="U392" s="548"/>
      <c r="V392" s="548"/>
      <c r="W392" s="548"/>
      <c r="X392" s="548"/>
      <c r="Y392" s="548"/>
      <c r="Z392" s="548"/>
      <c r="AA392" s="548"/>
      <c r="AB392" s="548"/>
      <c r="AC392" s="548"/>
      <c r="AD392" s="548"/>
      <c r="AE392" s="548"/>
      <c r="AF392" s="548"/>
      <c r="AG392" s="548"/>
      <c r="AH392" s="548"/>
      <c r="AI392" s="548"/>
      <c r="AJ392" s="548"/>
      <c r="AK392" s="548"/>
      <c r="AL392" s="548"/>
    </row>
    <row r="393" spans="1:38">
      <c r="A393" s="548"/>
      <c r="B393" s="548"/>
      <c r="C393" s="548"/>
      <c r="D393" s="548"/>
      <c r="E393" s="548"/>
      <c r="F393" s="548"/>
      <c r="G393" s="548"/>
      <c r="H393" s="548"/>
      <c r="I393" s="548"/>
      <c r="J393" s="548"/>
      <c r="K393" s="548"/>
      <c r="L393" s="548"/>
      <c r="M393" s="548"/>
      <c r="N393" s="548"/>
      <c r="O393" s="548"/>
      <c r="P393" s="548"/>
      <c r="Q393" s="548"/>
      <c r="R393" s="548"/>
      <c r="S393" s="548"/>
      <c r="T393" s="548"/>
      <c r="U393" s="548"/>
      <c r="V393" s="548"/>
      <c r="W393" s="548"/>
      <c r="X393" s="548"/>
      <c r="Y393" s="548"/>
      <c r="Z393" s="548"/>
      <c r="AA393" s="548"/>
      <c r="AB393" s="548"/>
      <c r="AC393" s="548"/>
      <c r="AD393" s="548"/>
      <c r="AE393" s="548"/>
      <c r="AF393" s="548"/>
      <c r="AG393" s="548"/>
      <c r="AH393" s="548"/>
      <c r="AI393" s="548"/>
      <c r="AJ393" s="548"/>
      <c r="AK393" s="548"/>
      <c r="AL393" s="548"/>
    </row>
    <row r="394" spans="1:38">
      <c r="A394" s="548"/>
      <c r="B394" s="548"/>
      <c r="C394" s="548"/>
      <c r="D394" s="548"/>
      <c r="E394" s="548"/>
      <c r="F394" s="548"/>
      <c r="G394" s="548"/>
      <c r="H394" s="548"/>
      <c r="I394" s="548"/>
      <c r="J394" s="548"/>
      <c r="K394" s="548"/>
      <c r="L394" s="548"/>
      <c r="M394" s="548"/>
      <c r="N394" s="548"/>
      <c r="O394" s="548"/>
      <c r="P394" s="548"/>
      <c r="Q394" s="548"/>
      <c r="R394" s="548"/>
      <c r="S394" s="548"/>
      <c r="T394" s="548"/>
      <c r="U394" s="548"/>
      <c r="V394" s="548"/>
      <c r="W394" s="548"/>
      <c r="X394" s="548"/>
      <c r="Y394" s="548"/>
      <c r="Z394" s="548"/>
      <c r="AA394" s="548"/>
      <c r="AB394" s="548"/>
      <c r="AC394" s="548"/>
      <c r="AD394" s="548"/>
      <c r="AE394" s="548"/>
      <c r="AF394" s="548"/>
      <c r="AG394" s="548"/>
      <c r="AH394" s="548"/>
      <c r="AI394" s="548"/>
      <c r="AJ394" s="548"/>
      <c r="AK394" s="548"/>
      <c r="AL394" s="548"/>
    </row>
    <row r="395" spans="1:38">
      <c r="A395" s="548"/>
      <c r="B395" s="548"/>
      <c r="C395" s="548"/>
      <c r="D395" s="548"/>
      <c r="E395" s="548"/>
      <c r="F395" s="548"/>
      <c r="G395" s="548"/>
      <c r="H395" s="548"/>
      <c r="I395" s="548"/>
      <c r="J395" s="548"/>
      <c r="K395" s="548"/>
      <c r="L395" s="548"/>
      <c r="M395" s="548"/>
      <c r="N395" s="548"/>
      <c r="O395" s="548"/>
      <c r="P395" s="548"/>
      <c r="Q395" s="548"/>
      <c r="R395" s="548"/>
      <c r="S395" s="548"/>
      <c r="T395" s="548"/>
      <c r="U395" s="548"/>
      <c r="V395" s="548"/>
      <c r="W395" s="548"/>
      <c r="X395" s="548"/>
      <c r="Y395" s="548"/>
      <c r="Z395" s="548"/>
      <c r="AA395" s="548"/>
      <c r="AB395" s="548"/>
      <c r="AC395" s="548"/>
      <c r="AD395" s="548"/>
      <c r="AE395" s="548"/>
      <c r="AF395" s="548"/>
      <c r="AG395" s="548"/>
      <c r="AH395" s="548"/>
      <c r="AI395" s="548"/>
      <c r="AJ395" s="548"/>
      <c r="AK395" s="548"/>
      <c r="AL395" s="548"/>
    </row>
    <row r="396" spans="1:38">
      <c r="A396" s="548"/>
      <c r="B396" s="548"/>
      <c r="C396" s="548"/>
      <c r="D396" s="548"/>
      <c r="E396" s="548"/>
      <c r="F396" s="548"/>
      <c r="G396" s="548"/>
      <c r="H396" s="548"/>
      <c r="I396" s="548"/>
      <c r="J396" s="548"/>
      <c r="K396" s="548"/>
      <c r="L396" s="548"/>
      <c r="M396" s="548"/>
      <c r="N396" s="548"/>
      <c r="O396" s="548"/>
      <c r="P396" s="548"/>
      <c r="Q396" s="548"/>
      <c r="R396" s="548"/>
      <c r="S396" s="548"/>
      <c r="T396" s="548"/>
      <c r="U396" s="548"/>
      <c r="V396" s="548"/>
      <c r="W396" s="548"/>
      <c r="X396" s="548"/>
      <c r="Y396" s="548"/>
      <c r="Z396" s="548"/>
      <c r="AA396" s="548"/>
      <c r="AB396" s="548"/>
      <c r="AC396" s="548"/>
      <c r="AD396" s="548"/>
      <c r="AE396" s="548"/>
      <c r="AF396" s="548"/>
      <c r="AG396" s="548"/>
      <c r="AH396" s="548"/>
      <c r="AI396" s="548"/>
      <c r="AJ396" s="548"/>
      <c r="AK396" s="548"/>
      <c r="AL396" s="548"/>
    </row>
    <row r="397" spans="1:38">
      <c r="A397" s="548"/>
      <c r="B397" s="548"/>
      <c r="C397" s="548"/>
      <c r="D397" s="548"/>
      <c r="E397" s="548"/>
      <c r="F397" s="548"/>
      <c r="G397" s="548"/>
      <c r="H397" s="548"/>
      <c r="I397" s="548"/>
      <c r="J397" s="548"/>
      <c r="K397" s="548"/>
      <c r="L397" s="548"/>
      <c r="M397" s="548"/>
      <c r="N397" s="548"/>
      <c r="O397" s="548"/>
      <c r="P397" s="548"/>
      <c r="Q397" s="548"/>
      <c r="R397" s="548"/>
      <c r="S397" s="548"/>
      <c r="T397" s="548"/>
      <c r="U397" s="548"/>
      <c r="V397" s="548"/>
      <c r="W397" s="548"/>
      <c r="X397" s="548"/>
      <c r="Y397" s="548"/>
      <c r="Z397" s="548"/>
      <c r="AA397" s="548"/>
      <c r="AB397" s="548"/>
      <c r="AC397" s="548"/>
      <c r="AD397" s="548"/>
      <c r="AE397" s="548"/>
      <c r="AF397" s="548"/>
      <c r="AG397" s="548"/>
      <c r="AH397" s="548"/>
      <c r="AI397" s="548"/>
      <c r="AJ397" s="548"/>
      <c r="AK397" s="548"/>
      <c r="AL397" s="548"/>
    </row>
    <row r="398" spans="1:38">
      <c r="A398" s="548"/>
      <c r="B398" s="548"/>
      <c r="C398" s="548"/>
      <c r="D398" s="548"/>
      <c r="E398" s="548"/>
      <c r="F398" s="548"/>
      <c r="G398" s="548"/>
      <c r="H398" s="548"/>
      <c r="I398" s="548"/>
      <c r="J398" s="548"/>
      <c r="K398" s="548"/>
      <c r="L398" s="548"/>
      <c r="M398" s="548"/>
      <c r="N398" s="548"/>
      <c r="O398" s="548"/>
      <c r="P398" s="548"/>
      <c r="Q398" s="548"/>
      <c r="R398" s="548"/>
      <c r="S398" s="548"/>
      <c r="T398" s="548"/>
      <c r="U398" s="548"/>
      <c r="V398" s="548"/>
      <c r="W398" s="548"/>
      <c r="X398" s="548"/>
      <c r="Y398" s="548"/>
      <c r="Z398" s="548"/>
      <c r="AA398" s="548"/>
      <c r="AB398" s="548"/>
      <c r="AC398" s="548"/>
      <c r="AD398" s="548"/>
      <c r="AE398" s="548"/>
      <c r="AF398" s="548"/>
      <c r="AG398" s="548"/>
      <c r="AH398" s="548"/>
      <c r="AI398" s="548"/>
      <c r="AJ398" s="548"/>
      <c r="AK398" s="548"/>
      <c r="AL398" s="548"/>
    </row>
    <row r="399" spans="1:38">
      <c r="A399" s="548"/>
      <c r="B399" s="548"/>
      <c r="C399" s="548"/>
      <c r="D399" s="548"/>
      <c r="E399" s="548"/>
      <c r="F399" s="548"/>
      <c r="G399" s="548"/>
      <c r="H399" s="548"/>
      <c r="I399" s="548"/>
      <c r="J399" s="548"/>
      <c r="K399" s="548"/>
      <c r="L399" s="548"/>
      <c r="M399" s="548"/>
      <c r="N399" s="548"/>
      <c r="O399" s="548"/>
      <c r="P399" s="548"/>
      <c r="Q399" s="548"/>
      <c r="R399" s="548"/>
      <c r="S399" s="548"/>
      <c r="T399" s="548"/>
      <c r="U399" s="548"/>
      <c r="V399" s="548"/>
      <c r="W399" s="548"/>
      <c r="X399" s="548"/>
      <c r="Y399" s="548"/>
      <c r="Z399" s="548"/>
      <c r="AA399" s="548"/>
      <c r="AB399" s="548"/>
      <c r="AC399" s="548"/>
      <c r="AD399" s="548"/>
      <c r="AE399" s="548"/>
      <c r="AF399" s="548"/>
      <c r="AG399" s="548"/>
      <c r="AH399" s="548"/>
      <c r="AI399" s="548"/>
      <c r="AJ399" s="548"/>
      <c r="AK399" s="548"/>
      <c r="AL399" s="548"/>
    </row>
    <row r="400" spans="1:38">
      <c r="A400" s="548"/>
      <c r="B400" s="548"/>
      <c r="C400" s="548"/>
      <c r="D400" s="548"/>
      <c r="E400" s="548"/>
      <c r="F400" s="548"/>
      <c r="G400" s="548"/>
      <c r="H400" s="548"/>
      <c r="I400" s="548"/>
      <c r="J400" s="548"/>
      <c r="K400" s="548"/>
      <c r="L400" s="548"/>
      <c r="M400" s="548"/>
      <c r="N400" s="548"/>
      <c r="O400" s="548"/>
      <c r="P400" s="548"/>
      <c r="Q400" s="548"/>
      <c r="R400" s="548"/>
      <c r="S400" s="548"/>
      <c r="T400" s="548"/>
      <c r="U400" s="548"/>
      <c r="V400" s="548"/>
      <c r="W400" s="548"/>
      <c r="X400" s="548"/>
      <c r="Y400" s="548"/>
      <c r="Z400" s="548"/>
      <c r="AA400" s="548"/>
      <c r="AB400" s="548"/>
      <c r="AC400" s="548"/>
      <c r="AD400" s="548"/>
      <c r="AE400" s="548"/>
      <c r="AF400" s="548"/>
      <c r="AG400" s="548"/>
      <c r="AH400" s="548"/>
      <c r="AI400" s="548"/>
      <c r="AJ400" s="548"/>
      <c r="AK400" s="548"/>
      <c r="AL400" s="548"/>
    </row>
    <row r="401" spans="1:38">
      <c r="A401" s="548"/>
      <c r="B401" s="548"/>
      <c r="C401" s="548"/>
      <c r="D401" s="548"/>
      <c r="E401" s="548"/>
      <c r="F401" s="548"/>
      <c r="G401" s="548"/>
      <c r="H401" s="548"/>
      <c r="I401" s="548"/>
      <c r="J401" s="548"/>
      <c r="K401" s="548"/>
      <c r="L401" s="548"/>
      <c r="M401" s="548"/>
      <c r="N401" s="548"/>
      <c r="O401" s="548"/>
      <c r="P401" s="548"/>
      <c r="Q401" s="548"/>
      <c r="R401" s="548"/>
      <c r="S401" s="548"/>
      <c r="T401" s="548"/>
      <c r="U401" s="548"/>
      <c r="V401" s="548"/>
      <c r="W401" s="548"/>
      <c r="X401" s="548"/>
      <c r="Y401" s="548"/>
      <c r="Z401" s="548"/>
      <c r="AA401" s="548"/>
      <c r="AB401" s="548"/>
      <c r="AC401" s="548"/>
      <c r="AD401" s="548"/>
      <c r="AE401" s="548"/>
      <c r="AF401" s="548"/>
      <c r="AG401" s="548"/>
      <c r="AH401" s="548"/>
      <c r="AI401" s="548"/>
      <c r="AJ401" s="548"/>
      <c r="AK401" s="548"/>
      <c r="AL401" s="548"/>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7709-B5C5-4ADE-B7E5-B50444827803}">
  <sheetPr codeName="Sheet12"/>
  <dimension ref="A1:J91"/>
  <sheetViews>
    <sheetView topLeftCell="A78" workbookViewId="0">
      <selection activeCell="C91" sqref="C91"/>
    </sheetView>
  </sheetViews>
  <sheetFormatPr defaultColWidth="9.140625" defaultRowHeight="12.75"/>
  <cols>
    <col min="1" max="1" width="135.85546875" style="102" bestFit="1" customWidth="1"/>
    <col min="2" max="2" width="9.140625" style="102"/>
    <col min="3" max="3" width="17.28515625" style="102" bestFit="1" customWidth="1"/>
    <col min="4" max="4" width="12.140625" style="102" customWidth="1"/>
    <col min="5" max="5" width="9.7109375" style="102" bestFit="1" customWidth="1"/>
    <col min="6" max="8" width="9.140625" style="102"/>
    <col min="9" max="9" width="42.7109375" style="102" customWidth="1"/>
    <col min="10" max="10" width="9.140625" style="102"/>
    <col min="11" max="11" width="14.5703125" style="102" bestFit="1" customWidth="1"/>
    <col min="12" max="13" width="13.5703125" style="102" bestFit="1" customWidth="1"/>
    <col min="14" max="16384" width="9.140625" style="102"/>
  </cols>
  <sheetData>
    <row r="1" spans="1:10">
      <c r="A1" s="102" t="s">
        <v>569</v>
      </c>
      <c r="B1" s="102" t="s">
        <v>10</v>
      </c>
      <c r="C1" s="102" t="s">
        <v>570</v>
      </c>
      <c r="E1" s="102" t="s">
        <v>23</v>
      </c>
    </row>
    <row r="2" spans="1:10">
      <c r="A2" s="829" t="s">
        <v>571</v>
      </c>
      <c r="B2" s="556" t="s">
        <v>572</v>
      </c>
      <c r="C2" s="102" t="s">
        <v>573</v>
      </c>
      <c r="I2" s="557" t="s">
        <v>574</v>
      </c>
      <c r="J2" s="557"/>
    </row>
    <row r="3" spans="1:10">
      <c r="A3" s="829"/>
      <c r="B3" s="556" t="s">
        <v>575</v>
      </c>
      <c r="C3" s="102" t="s">
        <v>573</v>
      </c>
      <c r="I3" s="557"/>
      <c r="J3" s="557"/>
    </row>
    <row r="4" spans="1:10">
      <c r="A4" s="829"/>
      <c r="B4" s="556" t="s">
        <v>576</v>
      </c>
      <c r="C4" s="102" t="s">
        <v>577</v>
      </c>
      <c r="I4" s="557"/>
      <c r="J4" s="557"/>
    </row>
    <row r="5" spans="1:10">
      <c r="A5" s="829"/>
      <c r="B5" s="556" t="s">
        <v>578</v>
      </c>
      <c r="I5" s="557"/>
      <c r="J5" s="557"/>
    </row>
    <row r="6" spans="1:10">
      <c r="A6" s="829"/>
      <c r="B6" s="556" t="s">
        <v>579</v>
      </c>
      <c r="I6" s="557"/>
      <c r="J6" s="557"/>
    </row>
    <row r="7" spans="1:10">
      <c r="A7" s="829"/>
      <c r="B7" s="556" t="s">
        <v>580</v>
      </c>
      <c r="I7" s="557"/>
      <c r="J7" s="557"/>
    </row>
    <row r="8" spans="1:10">
      <c r="A8" s="829"/>
      <c r="B8" s="556" t="s">
        <v>581</v>
      </c>
      <c r="I8" s="557"/>
      <c r="J8" s="557"/>
    </row>
    <row r="9" spans="1:10" ht="15.75" customHeight="1">
      <c r="A9" s="829"/>
      <c r="B9" s="556" t="s">
        <v>582</v>
      </c>
      <c r="I9" s="558" t="s">
        <v>583</v>
      </c>
      <c r="J9" s="557" t="s">
        <v>584</v>
      </c>
    </row>
    <row r="10" spans="1:10">
      <c r="A10" s="829" t="s">
        <v>585</v>
      </c>
      <c r="B10" s="102" t="s">
        <v>586</v>
      </c>
      <c r="C10" s="102" t="s">
        <v>587</v>
      </c>
      <c r="E10" s="102" t="s">
        <v>588</v>
      </c>
      <c r="F10" s="102" t="s">
        <v>589</v>
      </c>
      <c r="I10" s="557" t="s">
        <v>590</v>
      </c>
      <c r="J10" s="557" t="s">
        <v>591</v>
      </c>
    </row>
    <row r="11" spans="1:10">
      <c r="A11" s="829"/>
      <c r="B11" s="102" t="s">
        <v>592</v>
      </c>
      <c r="C11" s="102" t="s">
        <v>593</v>
      </c>
      <c r="E11" s="102" t="s">
        <v>594</v>
      </c>
      <c r="I11" s="557"/>
      <c r="J11" s="557"/>
    </row>
    <row r="12" spans="1:10">
      <c r="A12" s="829"/>
      <c r="B12" s="102" t="s">
        <v>595</v>
      </c>
      <c r="C12" s="102" t="s">
        <v>596</v>
      </c>
      <c r="E12" s="102" t="s">
        <v>98</v>
      </c>
      <c r="F12" s="102" t="s">
        <v>597</v>
      </c>
      <c r="I12" s="557" t="s">
        <v>598</v>
      </c>
      <c r="J12" s="557"/>
    </row>
    <row r="13" spans="1:10">
      <c r="A13" s="829"/>
      <c r="B13" s="102" t="s">
        <v>599</v>
      </c>
      <c r="E13" s="102" t="s">
        <v>10</v>
      </c>
      <c r="I13" s="557" t="s">
        <v>600</v>
      </c>
      <c r="J13" s="559">
        <f>Worksheet!T27</f>
        <v>0</v>
      </c>
    </row>
    <row r="14" spans="1:10">
      <c r="A14" s="829"/>
      <c r="B14" s="102" t="s">
        <v>601</v>
      </c>
      <c r="C14" s="102" t="s">
        <v>602</v>
      </c>
      <c r="I14" s="557" t="s">
        <v>603</v>
      </c>
      <c r="J14" s="559" t="str">
        <f ca="1">Worksheet!Q27</f>
        <v/>
      </c>
    </row>
    <row r="15" spans="1:10">
      <c r="A15" s="555" t="s">
        <v>604</v>
      </c>
      <c r="B15" s="102" t="s">
        <v>605</v>
      </c>
      <c r="C15" s="102" t="s">
        <v>606</v>
      </c>
      <c r="I15" s="557" t="e">
        <f ca="1">IF(ABS((ABS(Worksheet!H27))-ABS(Worksheet!$C27))&lt;=(J13-ABS(J14)),"Pass","Fail")</f>
        <v>#VALUE!</v>
      </c>
      <c r="J15" s="559" t="e">
        <f ca="1">(J13-ABS(J14))</f>
        <v>#VALUE!</v>
      </c>
    </row>
    <row r="16" spans="1:10">
      <c r="A16" s="829" t="s">
        <v>29</v>
      </c>
      <c r="B16" s="102" t="s">
        <v>607</v>
      </c>
      <c r="C16" s="102" t="s">
        <v>608</v>
      </c>
      <c r="I16" s="557" t="e">
        <f ca="1">IF(ABS((ABS(Worksheet!H27))-ABS(Worksheet!$C27))&lt;=ABS(ABS(J13)-ABS(J14)),"Pass","Fail")</f>
        <v>#VALUE!</v>
      </c>
      <c r="J16" s="557" t="e">
        <f ca="1">ABS(ABS(J13)-ABS(J14))</f>
        <v>#VALUE!</v>
      </c>
    </row>
    <row r="17" spans="1:10">
      <c r="A17" s="829"/>
      <c r="B17" s="102" t="s">
        <v>609</v>
      </c>
      <c r="C17" s="102" t="s">
        <v>610</v>
      </c>
      <c r="I17" s="560" t="s">
        <v>611</v>
      </c>
    </row>
    <row r="18" spans="1:10">
      <c r="A18" s="829"/>
      <c r="B18" s="102" t="s">
        <v>612</v>
      </c>
      <c r="C18" s="102" t="s">
        <v>613</v>
      </c>
      <c r="I18" s="561">
        <f ca="1">COUNTIF(INDIRECT("[" &amp; 'Setup Data'!$K$3&amp; "]Pressure!$C$10:$C$239"),SN)</f>
        <v>0</v>
      </c>
    </row>
    <row r="19" spans="1:10">
      <c r="A19" s="829"/>
      <c r="B19" s="102" t="s">
        <v>614</v>
      </c>
      <c r="C19" s="102" t="s">
        <v>615</v>
      </c>
      <c r="I19" s="561">
        <f ca="1">COUNTIF(INDIRECT("[" &amp; 'Setup Data'!$K$3&amp; "]Pressure!$C$10:$C$239"),AN)</f>
        <v>0</v>
      </c>
    </row>
    <row r="20" spans="1:10">
      <c r="A20" s="829"/>
      <c r="B20" s="102" t="s">
        <v>616</v>
      </c>
      <c r="C20" s="102" t="s">
        <v>617</v>
      </c>
    </row>
    <row r="21" spans="1:10">
      <c r="A21" s="829"/>
      <c r="B21" s="102" t="s">
        <v>618</v>
      </c>
      <c r="C21" s="102" t="s">
        <v>619</v>
      </c>
    </row>
    <row r="22" spans="1:10">
      <c r="A22" s="829" t="s">
        <v>620</v>
      </c>
      <c r="B22" s="102" t="s">
        <v>621</v>
      </c>
      <c r="C22" s="102" t="s">
        <v>622</v>
      </c>
      <c r="I22" s="560" t="s">
        <v>623</v>
      </c>
    </row>
    <row r="23" spans="1:10">
      <c r="A23" s="829"/>
      <c r="B23" s="102" t="s">
        <v>624</v>
      </c>
      <c r="C23" s="102" t="s">
        <v>625</v>
      </c>
      <c r="I23" s="102" t="str" cm="1">
        <f t="array" ref="I23:J23">LEFT(tech,5)</f>
        <v>Nicho</v>
      </c>
      <c r="J23" s="102" t="str">
        <v/>
      </c>
    </row>
    <row r="24" spans="1:10">
      <c r="A24" s="829"/>
      <c r="B24" s="102" t="s">
        <v>626</v>
      </c>
      <c r="C24" s="102" t="s">
        <v>627</v>
      </c>
    </row>
    <row r="25" spans="1:10">
      <c r="A25" s="829"/>
      <c r="B25" s="102" t="s">
        <v>628</v>
      </c>
      <c r="C25" s="102" t="s">
        <v>629</v>
      </c>
      <c r="I25" s="560" t="s">
        <v>630</v>
      </c>
    </row>
    <row r="26" spans="1:10">
      <c r="A26" s="829" t="s">
        <v>631</v>
      </c>
      <c r="B26" s="102" t="s">
        <v>632</v>
      </c>
      <c r="C26" s="102" t="s">
        <v>629</v>
      </c>
      <c r="I26" s="102" t="e">
        <f ca="1">IF(I27&lt;=60,"Yes","No")</f>
        <v>#NAME?</v>
      </c>
    </row>
    <row r="27" spans="1:10">
      <c r="A27" s="829"/>
      <c r="B27" s="102" t="s">
        <v>633</v>
      </c>
      <c r="C27" s="102" t="s">
        <v>629</v>
      </c>
      <c r="I27" s="562" t="e">
        <f ca="1">Due-NOW()</f>
        <v>#NAME?</v>
      </c>
    </row>
    <row r="28" spans="1:10">
      <c r="A28" s="829"/>
      <c r="B28" s="102" t="s">
        <v>634</v>
      </c>
      <c r="C28" s="102" t="s">
        <v>629</v>
      </c>
    </row>
    <row r="29" spans="1:10">
      <c r="A29" s="829"/>
      <c r="B29" s="102" t="s">
        <v>635</v>
      </c>
      <c r="C29" s="102" t="s">
        <v>629</v>
      </c>
    </row>
    <row r="30" spans="1:10">
      <c r="A30" s="829"/>
      <c r="B30" s="102" t="s">
        <v>636</v>
      </c>
      <c r="C30" s="102" t="s">
        <v>629</v>
      </c>
    </row>
    <row r="31" spans="1:10">
      <c r="A31" s="555" t="s">
        <v>637</v>
      </c>
      <c r="B31" s="556" t="s">
        <v>638</v>
      </c>
    </row>
    <row r="32" spans="1:10">
      <c r="A32" s="563"/>
    </row>
    <row r="33" spans="1:5">
      <c r="A33" s="563"/>
    </row>
    <row r="34" spans="1:5">
      <c r="A34" s="563"/>
    </row>
    <row r="44" spans="1:5">
      <c r="A44" s="102" t="e">
        <f>IF(SN=AN,
IF(withFail="no",(jobNumber&amp;"-"&amp;SN&amp;"-"&amp; make &amp;"-Pressure"),IF(NATA="Y",(jobNumber&amp;"-"&amp;SN&amp;"-"&amp; make &amp;"-Pressure"),(jobNumber&amp;"-"&amp;SN&amp;"-"&amp; make &amp;"-Pressure-Fail"))),
IF(withFail="no",(jobNumber&amp;"-"&amp;AN&amp;"-"&amp; make &amp;"-Pressure-"&amp;SN), IF(NATA="Y",(jobNumber&amp;"-"&amp;AN&amp;"-"&amp; make &amp;"-Pressure-"&amp;SN),(jobNumber&amp;"-"&amp;AN&amp;"-"&amp; make &amp;"-Pressure-"&amp;SN&amp;"-Fail"))))</f>
        <v>#NAME?</v>
      </c>
      <c r="E44" s="102" t="s">
        <v>639</v>
      </c>
    </row>
    <row r="45" spans="1:5">
      <c r="A45" s="102" t="str">
        <f ca="1">IF(COUNTIF(Worksheet!$Y$17:$Y$31,"Fail")&gt;0,"yes","no")</f>
        <v>no</v>
      </c>
    </row>
    <row r="46" spans="1:5">
      <c r="A46" s="102" t="str">
        <f>IFERROR(LEFT(customerName,FIND(" ",customerName)-1),customerName)</f>
        <v>?</v>
      </c>
      <c r="B46" s="139"/>
    </row>
    <row r="47" spans="1:5">
      <c r="A47" s="102" t="e">
        <f>IF(SN=AN,
IF(withFail="no",(jobNumber&amp;"-"&amp;SN&amp;"-"&amp;make),IF(NATA="Y",(jobNumber&amp;"-"&amp;SN&amp;"-"&amp;make),(jobNumber&amp;"-"&amp;SN&amp;"-"&amp;make&amp;"-Fail"))),
IF(withFail="no",(jobNumber&amp;"-"&amp;AN&amp;"-"&amp;make&amp;"-"&amp;SN), IF(NATA="Y",(jobNumber&amp;"-"&amp;AN&amp;"-"&amp;make&amp;"-"&amp;SN),(jobNumber&amp;"-"&amp;AN&amp;"-"&amp;make&amp;"-"&amp;SN&amp;"-Fail"))))</f>
        <v>#NAME?</v>
      </c>
      <c r="E47" s="102" t="s">
        <v>640</v>
      </c>
    </row>
    <row r="48" spans="1:5">
      <c r="A48" s="102" t="e">
        <f>LEFT(AN,4)</f>
        <v>#NAME?</v>
      </c>
    </row>
    <row r="55" spans="1:1">
      <c r="A55" s="102" t="s">
        <v>641</v>
      </c>
    </row>
    <row r="56" spans="1:1">
      <c r="A56" s="102" t="e">
        <f>Capacity</f>
        <v>#NAME?</v>
      </c>
    </row>
    <row r="57" spans="1:1">
      <c r="A57" s="102" t="e">
        <f>LEN(A56)</f>
        <v>#NAME?</v>
      </c>
    </row>
    <row r="58" spans="1:1">
      <c r="A58" s="102" t="e">
        <f>IF(A57=5,1000,IF(A57=4,100,IF(A57=3,10,1)))</f>
        <v>#NAME?</v>
      </c>
    </row>
    <row r="59" spans="1:1">
      <c r="A59" s="562"/>
    </row>
    <row r="60" spans="1:1">
      <c r="A60" s="102" t="e">
        <f>LEFT(EquipType,FIND(" ",EquipType)-1)</f>
        <v>#NAME?</v>
      </c>
    </row>
    <row r="68" spans="1:3">
      <c r="A68" s="102" t="s">
        <v>642</v>
      </c>
    </row>
    <row r="69" spans="1:3">
      <c r="A69" s="102" t="s">
        <v>643</v>
      </c>
    </row>
    <row r="70" spans="1:3">
      <c r="A70" s="102" t="str">
        <f ca="1">VLOOKUP(Lab,'Setup Data'!$AB$2:$AG$21,2,FALSE)</f>
        <v/>
      </c>
    </row>
    <row r="71" spans="1:3">
      <c r="A71" s="102" t="str">
        <f>IF(NATA="Y","Nunawading, Vic, 3131",VLOOKUP(Lab,'Setup Data'!$AB$2:$AG$21,4,FALSE)  &amp;  ", "   &amp;  VLOOKUP(Lab,'Setup Data'!$AB$2:$AG$21,6,FALSE) &amp;  ", " &amp; VLOOKUP(Lab,'Setup Data'!$AB$2:$AG$21,5,FALSE))</f>
        <v>Nunawading, Vic, 3131</v>
      </c>
    </row>
    <row r="72" spans="1:3">
      <c r="A72" s="102" t="str">
        <f>Lab</f>
        <v>?</v>
      </c>
    </row>
    <row r="73" spans="1:3">
      <c r="A73" s="102" t="str">
        <f>IF(OR('Setup Data'!$B$3="Auckland",'Setup Data'!$B$3="Christchurch"),"texatsite.co.nz","www.texatsite.com.au")</f>
        <v>www.texatsite.com.au</v>
      </c>
    </row>
    <row r="74" spans="1:3">
      <c r="A74" s="564" t="s">
        <v>644</v>
      </c>
    </row>
    <row r="75" spans="1:3" s="566" customFormat="1" ht="38.25">
      <c r="A75" s="565" t="s">
        <v>645</v>
      </c>
      <c r="B75" s="558" t="s">
        <v>646</v>
      </c>
    </row>
    <row r="76" spans="1:3" ht="51">
      <c r="A76" s="558" t="s">
        <v>647</v>
      </c>
      <c r="B76" s="557" t="s">
        <v>648</v>
      </c>
    </row>
    <row r="79" spans="1:3" ht="43.5" customHeight="1">
      <c r="A79" s="567">
        <f>COUNT(Worksheet!F18:G28,Worksheet!I18:J28,Worksheet!E12:J13)</f>
        <v>0</v>
      </c>
      <c r="B79" s="557"/>
      <c r="C79" s="557"/>
    </row>
    <row r="88" spans="1:2" ht="15">
      <c r="A88" s="780" t="s">
        <v>902</v>
      </c>
    </row>
    <row r="89" spans="1:2">
      <c r="B89" s="102" t="s">
        <v>230</v>
      </c>
    </row>
    <row r="91" spans="1:2" ht="38.25">
      <c r="A91" s="566" t="s">
        <v>903</v>
      </c>
    </row>
  </sheetData>
  <mergeCells count="5">
    <mergeCell ref="A2:A9"/>
    <mergeCell ref="A10:A14"/>
    <mergeCell ref="A16:A21"/>
    <mergeCell ref="A22:A25"/>
    <mergeCell ref="A26:A30"/>
  </mergeCells>
  <hyperlinks>
    <hyperlink ref="A88" r:id="rId1" xr:uid="{D59BBE10-85AD-4D6F-99A3-4618147A5D1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4]!Button2_Click">
                <anchor moveWithCells="1" sizeWithCells="1">
                  <from>
                    <xdr:col>8</xdr:col>
                    <xdr:colOff>28575</xdr:colOff>
                    <xdr:row>28</xdr:row>
                    <xdr:rowOff>47625</xdr:rowOff>
                  </from>
                  <to>
                    <xdr:col>9</xdr:col>
                    <xdr:colOff>47625</xdr:colOff>
                    <xdr:row>31</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4]!shernof_Button3_Click">
                <anchor moveWithCells="1" sizeWithCells="1">
                  <from>
                    <xdr:col>8</xdr:col>
                    <xdr:colOff>0</xdr:colOff>
                    <xdr:row>44</xdr:row>
                    <xdr:rowOff>28575</xdr:rowOff>
                  </from>
                  <to>
                    <xdr:col>8</xdr:col>
                    <xdr:colOff>2828925</xdr:colOff>
                    <xdr:row>46</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4BF90-199E-4DEA-8D70-ED750DED2D34}">
  <sheetPr codeName="Sheet4">
    <pageSetUpPr fitToPage="1"/>
  </sheetPr>
  <dimension ref="A1:XFB5001"/>
  <sheetViews>
    <sheetView zoomScaleNormal="100" workbookViewId="0">
      <pane ySplit="5" topLeftCell="A6" activePane="bottomLeft" state="frozen"/>
      <selection activeCell="B4" sqref="B4"/>
      <selection pane="bottomLeft" activeCell="A6" sqref="A6"/>
    </sheetView>
  </sheetViews>
  <sheetFormatPr defaultColWidth="0" defaultRowHeight="12.75"/>
  <cols>
    <col min="1" max="1" width="15.7109375" style="596" customWidth="1"/>
    <col min="2" max="2" width="15.7109375" style="597" customWidth="1"/>
    <col min="3" max="3" width="15.7109375" style="598" customWidth="1"/>
    <col min="4" max="5" width="15.7109375" style="599" customWidth="1"/>
    <col min="6" max="6" width="113.7109375" style="592" customWidth="1"/>
    <col min="7" max="7" width="34.7109375" style="599" customWidth="1"/>
    <col min="8" max="8" width="0" style="102" hidden="1" customWidth="1"/>
    <col min="9" max="16382" width="9.140625" style="102" hidden="1"/>
    <col min="16383" max="16383" width="15.7109375" style="102" customWidth="1"/>
    <col min="16384" max="16384" width="14.28515625" style="102" customWidth="1"/>
  </cols>
  <sheetData>
    <row r="1" spans="1:7" s="570" customFormat="1" ht="20.100000000000001" customHeight="1">
      <c r="A1" s="568" t="str">
        <f ca="1">"TAS-SST001v" &amp; D4</f>
        <v>TAS-SST001v1</v>
      </c>
      <c r="B1" s="569" t="str">
        <f ca="1">"Pressure Worksheet Modifications Version: " &amp;A1</f>
        <v>Pressure Worksheet Modifications Version: TAS-SST001v1</v>
      </c>
      <c r="C1" s="569"/>
      <c r="D1" s="569"/>
      <c r="E1" s="569"/>
      <c r="F1" s="569"/>
      <c r="G1" s="569"/>
    </row>
    <row r="2" spans="1:7" s="570" customFormat="1" ht="20.100000000000001" customHeight="1">
      <c r="A2" s="568">
        <f t="array" ref="A2">MAX(IF(A6:G999="",0,ROW(A6:G999)))+1</f>
        <v>7</v>
      </c>
      <c r="B2" s="571"/>
      <c r="C2" s="571"/>
      <c r="D2" s="571"/>
      <c r="E2" s="571"/>
      <c r="F2" s="571"/>
      <c r="G2" s="571"/>
    </row>
    <row r="3" spans="1:7">
      <c r="A3" s="572" t="s">
        <v>649</v>
      </c>
      <c r="B3" s="573" t="s">
        <v>650</v>
      </c>
      <c r="C3" s="574" t="s">
        <v>651</v>
      </c>
      <c r="D3" s="575" t="s">
        <v>652</v>
      </c>
      <c r="E3" s="575" t="s">
        <v>653</v>
      </c>
      <c r="F3" s="576" t="s">
        <v>654</v>
      </c>
      <c r="G3" s="577"/>
    </row>
    <row r="4" spans="1:7" ht="39.75" customHeight="1">
      <c r="A4" s="578">
        <f t="array" aca="1" ref="A4" ca="1">INDIRECT("A"&amp;MAX(ROW(6:5000)*(A6:A5000&lt;&gt;"")))</f>
        <v>45809.486168981479</v>
      </c>
      <c r="B4" s="579">
        <f t="array" ref="B4">SUM(B8:B5000)</f>
        <v>0</v>
      </c>
      <c r="C4" s="580" t="str">
        <f>VLOOKUP(REPT("z",10),C6:C5000,1)</f>
        <v>Sherwin Nofuente</v>
      </c>
      <c r="D4" s="581">
        <f t="array" aca="1" ref="D4" ca="1">INDIRECT("D"&amp;MAX(ROW(6:5000)*(D6:D5000&lt;&gt;"")))</f>
        <v>1</v>
      </c>
      <c r="E4" s="582" t="str">
        <f>VLOOKUP(REPT("z",10),E6:E5000,1)</f>
        <v>Thread Gage</v>
      </c>
      <c r="F4" s="583" t="str">
        <f>VLOOKUP(REPT("z",10),F6:F5000,1)</f>
        <v>Initial Release of the Thread gauge Software</v>
      </c>
      <c r="G4" s="1117" t="s">
        <v>655</v>
      </c>
    </row>
    <row r="5" spans="1:7">
      <c r="A5" s="572" t="s">
        <v>656</v>
      </c>
      <c r="B5" s="573" t="s">
        <v>657</v>
      </c>
      <c r="C5" s="574" t="s">
        <v>658</v>
      </c>
      <c r="D5" s="575" t="s">
        <v>659</v>
      </c>
      <c r="E5" s="575" t="s">
        <v>660</v>
      </c>
      <c r="F5" s="576" t="s">
        <v>661</v>
      </c>
      <c r="G5" s="1118"/>
    </row>
    <row r="6" spans="1:7">
      <c r="A6" s="584">
        <v>45809.486168981479</v>
      </c>
      <c r="B6" s="585">
        <v>1.0416666666666666E-2</v>
      </c>
      <c r="C6" s="586" t="s">
        <v>331</v>
      </c>
      <c r="D6" s="587">
        <v>1</v>
      </c>
      <c r="E6" s="588" t="s">
        <v>664</v>
      </c>
      <c r="F6" s="589" t="s">
        <v>663</v>
      </c>
      <c r="G6" s="590"/>
    </row>
    <row r="7" spans="1:7">
      <c r="A7" s="584"/>
      <c r="B7" s="585"/>
      <c r="C7" s="586"/>
      <c r="D7" s="587"/>
      <c r="E7" s="591"/>
      <c r="G7" s="593"/>
    </row>
    <row r="8" spans="1:7">
      <c r="A8" s="584"/>
      <c r="B8" s="585"/>
      <c r="C8" s="586"/>
      <c r="D8" s="587"/>
      <c r="E8" s="591"/>
      <c r="G8" s="593"/>
    </row>
    <row r="9" spans="1:7">
      <c r="A9" s="584"/>
      <c r="B9" s="585"/>
      <c r="C9" s="586"/>
      <c r="D9" s="587"/>
      <c r="E9" s="591"/>
      <c r="G9" s="593"/>
    </row>
    <row r="10" spans="1:7">
      <c r="A10" s="584"/>
      <c r="B10" s="585"/>
      <c r="C10" s="586"/>
      <c r="D10" s="587"/>
      <c r="E10" s="591"/>
      <c r="G10" s="593"/>
    </row>
    <row r="11" spans="1:7">
      <c r="A11" s="584"/>
      <c r="B11" s="585"/>
      <c r="C11" s="586"/>
      <c r="D11" s="587"/>
      <c r="E11" s="591"/>
      <c r="G11" s="593"/>
    </row>
    <row r="12" spans="1:7">
      <c r="A12" s="584"/>
      <c r="B12" s="585"/>
      <c r="C12" s="586"/>
      <c r="D12" s="587"/>
      <c r="E12" s="591"/>
      <c r="G12" s="593"/>
    </row>
    <row r="13" spans="1:7">
      <c r="A13" s="584"/>
      <c r="B13" s="585"/>
      <c r="C13" s="586"/>
      <c r="D13" s="587"/>
      <c r="E13" s="591"/>
      <c r="G13" s="593"/>
    </row>
    <row r="14" spans="1:7">
      <c r="A14" s="584"/>
      <c r="B14" s="585"/>
      <c r="C14" s="586"/>
      <c r="D14" s="587"/>
      <c r="E14" s="591"/>
      <c r="G14" s="593"/>
    </row>
    <row r="15" spans="1:7">
      <c r="A15" s="584"/>
      <c r="B15" s="585"/>
      <c r="C15" s="586"/>
      <c r="D15" s="587"/>
      <c r="E15" s="591"/>
      <c r="G15" s="593"/>
    </row>
    <row r="16" spans="1:7">
      <c r="A16" s="584"/>
      <c r="B16" s="585"/>
      <c r="C16" s="586"/>
      <c r="D16" s="587"/>
      <c r="E16" s="591"/>
      <c r="G16" s="593"/>
    </row>
    <row r="17" spans="1:7">
      <c r="A17" s="584"/>
      <c r="B17" s="585"/>
      <c r="C17" s="586"/>
      <c r="D17" s="587"/>
      <c r="E17" s="591"/>
      <c r="G17" s="593"/>
    </row>
    <row r="18" spans="1:7" ht="15.75" customHeight="1">
      <c r="A18" s="584"/>
      <c r="B18" s="585"/>
      <c r="C18" s="586"/>
      <c r="D18" s="587"/>
      <c r="E18" s="591"/>
      <c r="F18" s="594"/>
      <c r="G18" s="593"/>
    </row>
    <row r="19" spans="1:7">
      <c r="A19" s="584"/>
      <c r="B19" s="585"/>
      <c r="C19" s="586"/>
      <c r="D19" s="587"/>
      <c r="E19" s="591"/>
      <c r="G19" s="593"/>
    </row>
    <row r="20" spans="1:7">
      <c r="A20" s="584"/>
      <c r="B20" s="585"/>
      <c r="C20" s="586"/>
      <c r="D20" s="587"/>
      <c r="E20" s="591"/>
      <c r="G20" s="593"/>
    </row>
    <row r="21" spans="1:7">
      <c r="A21" s="584"/>
      <c r="B21" s="585"/>
      <c r="C21" s="586"/>
      <c r="D21" s="587"/>
      <c r="E21" s="591"/>
      <c r="G21" s="593"/>
    </row>
    <row r="22" spans="1:7">
      <c r="A22" s="584"/>
      <c r="B22" s="585"/>
      <c r="C22" s="586"/>
      <c r="D22" s="587"/>
      <c r="E22" s="591"/>
      <c r="G22" s="593"/>
    </row>
    <row r="23" spans="1:7">
      <c r="A23" s="584"/>
      <c r="B23" s="585"/>
      <c r="C23" s="586"/>
      <c r="D23" s="587"/>
      <c r="E23" s="591"/>
      <c r="G23" s="593"/>
    </row>
    <row r="24" spans="1:7">
      <c r="A24" s="584"/>
      <c r="B24" s="585"/>
      <c r="C24" s="586"/>
      <c r="D24" s="587"/>
      <c r="E24" s="591"/>
      <c r="G24" s="593"/>
    </row>
    <row r="25" spans="1:7">
      <c r="A25" s="584"/>
      <c r="B25" s="585"/>
      <c r="C25" s="586"/>
      <c r="D25" s="587"/>
      <c r="E25" s="591"/>
      <c r="G25" s="593"/>
    </row>
    <row r="26" spans="1:7">
      <c r="A26" s="584"/>
      <c r="B26" s="585"/>
      <c r="C26" s="586"/>
      <c r="D26" s="587"/>
      <c r="E26" s="591"/>
      <c r="G26" s="593"/>
    </row>
    <row r="27" spans="1:7">
      <c r="A27" s="584"/>
      <c r="B27" s="585"/>
      <c r="C27" s="586"/>
      <c r="D27" s="587"/>
      <c r="E27" s="591"/>
      <c r="G27" s="593"/>
    </row>
    <row r="28" spans="1:7">
      <c r="A28" s="584"/>
      <c r="B28" s="585"/>
      <c r="C28" s="586"/>
      <c r="D28" s="587"/>
      <c r="E28" s="591"/>
      <c r="G28" s="593"/>
    </row>
    <row r="29" spans="1:7">
      <c r="A29" s="584"/>
      <c r="B29" s="585"/>
      <c r="C29" s="586"/>
      <c r="D29" s="587"/>
      <c r="E29" s="591"/>
      <c r="G29" s="593"/>
    </row>
    <row r="30" spans="1:7">
      <c r="A30" s="584"/>
      <c r="B30" s="585"/>
      <c r="C30" s="586"/>
      <c r="D30" s="587"/>
      <c r="E30" s="591"/>
      <c r="G30" s="593"/>
    </row>
    <row r="31" spans="1:7">
      <c r="A31" s="584"/>
      <c r="B31" s="585"/>
      <c r="C31" s="586"/>
      <c r="D31" s="587"/>
      <c r="E31" s="591"/>
      <c r="G31" s="593"/>
    </row>
    <row r="32" spans="1:7">
      <c r="A32" s="584"/>
      <c r="B32" s="585"/>
      <c r="C32" s="586"/>
      <c r="D32" s="587"/>
      <c r="E32" s="591"/>
      <c r="G32" s="593"/>
    </row>
    <row r="33" spans="1:7">
      <c r="A33" s="584"/>
      <c r="B33" s="585"/>
      <c r="C33" s="586"/>
      <c r="D33" s="587"/>
      <c r="E33" s="591"/>
      <c r="G33" s="593"/>
    </row>
    <row r="34" spans="1:7">
      <c r="A34" s="584"/>
      <c r="B34" s="585"/>
      <c r="C34" s="586"/>
      <c r="D34" s="587"/>
      <c r="E34" s="591"/>
      <c r="G34" s="593"/>
    </row>
    <row r="35" spans="1:7">
      <c r="A35" s="584"/>
      <c r="B35" s="585"/>
      <c r="C35" s="586"/>
      <c r="D35" s="587"/>
      <c r="E35" s="591"/>
      <c r="G35" s="593"/>
    </row>
    <row r="36" spans="1:7">
      <c r="A36" s="584"/>
      <c r="B36" s="585"/>
      <c r="C36" s="586"/>
      <c r="D36" s="587"/>
      <c r="E36" s="591"/>
      <c r="G36" s="593"/>
    </row>
    <row r="37" spans="1:7">
      <c r="A37" s="584"/>
      <c r="B37" s="585"/>
      <c r="C37" s="586"/>
      <c r="D37" s="587"/>
      <c r="E37" s="591"/>
      <c r="G37" s="593"/>
    </row>
    <row r="38" spans="1:7">
      <c r="A38" s="584"/>
      <c r="B38" s="585"/>
      <c r="C38" s="586"/>
      <c r="D38" s="587"/>
      <c r="E38" s="591"/>
      <c r="G38" s="593"/>
    </row>
    <row r="39" spans="1:7">
      <c r="A39" s="584"/>
      <c r="B39" s="585"/>
      <c r="C39" s="586"/>
      <c r="D39" s="587"/>
      <c r="E39" s="591"/>
      <c r="G39" s="593"/>
    </row>
    <row r="40" spans="1:7">
      <c r="A40" s="584"/>
      <c r="B40" s="585"/>
      <c r="C40" s="586"/>
      <c r="D40" s="587"/>
      <c r="E40" s="591"/>
      <c r="G40" s="593"/>
    </row>
    <row r="41" spans="1:7">
      <c r="A41" s="584"/>
      <c r="B41" s="585"/>
      <c r="C41" s="586"/>
      <c r="D41" s="587"/>
      <c r="E41" s="591"/>
      <c r="G41" s="593"/>
    </row>
    <row r="42" spans="1:7">
      <c r="A42" s="584"/>
      <c r="B42" s="585"/>
      <c r="C42" s="586"/>
      <c r="D42" s="587"/>
      <c r="E42" s="591"/>
      <c r="G42" s="593"/>
    </row>
    <row r="43" spans="1:7">
      <c r="A43" s="584"/>
      <c r="B43" s="585"/>
      <c r="C43" s="586"/>
      <c r="D43" s="587"/>
      <c r="E43" s="591"/>
      <c r="G43" s="593"/>
    </row>
    <row r="44" spans="1:7">
      <c r="A44" s="584"/>
      <c r="B44" s="585"/>
      <c r="C44" s="586"/>
      <c r="D44" s="587"/>
      <c r="E44" s="591"/>
      <c r="G44" s="593"/>
    </row>
    <row r="45" spans="1:7">
      <c r="A45" s="584"/>
      <c r="B45" s="585"/>
      <c r="C45" s="586"/>
      <c r="D45" s="587"/>
      <c r="E45" s="591"/>
      <c r="G45" s="593"/>
    </row>
    <row r="46" spans="1:7">
      <c r="A46" s="584"/>
      <c r="B46" s="585"/>
      <c r="C46" s="586"/>
      <c r="D46" s="587"/>
      <c r="E46" s="591"/>
      <c r="G46" s="593"/>
    </row>
    <row r="47" spans="1:7">
      <c r="A47" s="584"/>
      <c r="B47" s="585"/>
      <c r="C47" s="586"/>
      <c r="D47" s="587"/>
      <c r="E47" s="591"/>
      <c r="G47" s="593"/>
    </row>
    <row r="48" spans="1:7">
      <c r="A48" s="584"/>
      <c r="B48" s="585"/>
      <c r="C48" s="586"/>
      <c r="D48" s="587"/>
      <c r="E48" s="591"/>
      <c r="G48" s="593"/>
    </row>
    <row r="49" spans="1:7">
      <c r="A49" s="584"/>
      <c r="B49" s="585"/>
      <c r="C49" s="586"/>
      <c r="D49" s="587"/>
      <c r="E49" s="591"/>
      <c r="G49" s="593"/>
    </row>
    <row r="50" spans="1:7">
      <c r="A50" s="584"/>
      <c r="B50" s="585"/>
      <c r="C50" s="586"/>
      <c r="D50" s="587"/>
      <c r="E50" s="591"/>
      <c r="G50" s="593"/>
    </row>
    <row r="51" spans="1:7">
      <c r="A51" s="584"/>
      <c r="B51" s="585"/>
      <c r="C51" s="586"/>
      <c r="D51" s="587"/>
      <c r="E51" s="591"/>
      <c r="G51" s="593"/>
    </row>
    <row r="52" spans="1:7">
      <c r="A52" s="584"/>
      <c r="B52" s="585"/>
      <c r="C52" s="586"/>
      <c r="D52" s="587"/>
      <c r="E52" s="591"/>
      <c r="G52" s="593"/>
    </row>
    <row r="53" spans="1:7">
      <c r="A53" s="584"/>
      <c r="B53" s="585"/>
      <c r="C53" s="586"/>
      <c r="D53" s="587"/>
      <c r="E53" s="591"/>
      <c r="G53" s="593"/>
    </row>
    <row r="54" spans="1:7">
      <c r="A54" s="584"/>
      <c r="B54" s="585"/>
      <c r="C54" s="586"/>
      <c r="D54" s="587"/>
      <c r="E54" s="591"/>
      <c r="G54" s="593"/>
    </row>
    <row r="55" spans="1:7">
      <c r="A55" s="584"/>
      <c r="B55" s="585"/>
      <c r="C55" s="586"/>
      <c r="D55" s="587"/>
      <c r="E55" s="591"/>
      <c r="G55" s="593"/>
    </row>
    <row r="56" spans="1:7">
      <c r="A56" s="584"/>
      <c r="B56" s="585"/>
      <c r="C56" s="586"/>
      <c r="D56" s="587"/>
      <c r="E56" s="591"/>
      <c r="G56" s="593"/>
    </row>
    <row r="57" spans="1:7">
      <c r="A57" s="584"/>
      <c r="B57" s="585"/>
      <c r="C57" s="586"/>
      <c r="D57" s="587"/>
      <c r="E57" s="591"/>
      <c r="G57" s="593"/>
    </row>
    <row r="58" spans="1:7">
      <c r="A58" s="584"/>
      <c r="B58" s="585"/>
      <c r="C58" s="586"/>
      <c r="D58" s="587"/>
      <c r="E58" s="591"/>
      <c r="G58" s="593"/>
    </row>
    <row r="59" spans="1:7">
      <c r="A59" s="584"/>
      <c r="B59" s="585"/>
      <c r="C59" s="586"/>
      <c r="D59" s="587"/>
      <c r="E59" s="591"/>
      <c r="G59" s="593"/>
    </row>
    <row r="60" spans="1:7">
      <c r="A60" s="584"/>
      <c r="B60" s="585"/>
      <c r="C60" s="586"/>
      <c r="D60" s="587"/>
      <c r="E60" s="591"/>
      <c r="G60" s="593"/>
    </row>
    <row r="61" spans="1:7">
      <c r="A61" s="584"/>
      <c r="B61" s="585"/>
      <c r="C61" s="586"/>
      <c r="D61" s="587"/>
      <c r="E61" s="591"/>
      <c r="G61" s="593"/>
    </row>
    <row r="62" spans="1:7">
      <c r="A62" s="584"/>
      <c r="B62" s="585"/>
      <c r="C62" s="586"/>
      <c r="D62" s="587"/>
      <c r="E62" s="591"/>
      <c r="G62" s="593"/>
    </row>
    <row r="63" spans="1:7">
      <c r="A63" s="584"/>
      <c r="B63" s="585"/>
      <c r="C63" s="586"/>
      <c r="D63" s="595"/>
      <c r="E63" s="591"/>
      <c r="G63" s="593"/>
    </row>
    <row r="64" spans="1:7">
      <c r="A64" s="584"/>
      <c r="B64" s="585"/>
      <c r="C64" s="586"/>
      <c r="D64" s="587"/>
      <c r="E64" s="591"/>
      <c r="G64" s="593"/>
    </row>
    <row r="65" spans="1:7">
      <c r="A65" s="584"/>
      <c r="B65" s="585"/>
      <c r="C65" s="586"/>
      <c r="D65" s="587"/>
      <c r="E65" s="591"/>
      <c r="G65" s="593"/>
    </row>
    <row r="66" spans="1:7">
      <c r="A66" s="584"/>
      <c r="B66" s="585"/>
      <c r="C66" s="586"/>
      <c r="D66" s="587"/>
      <c r="E66" s="591"/>
      <c r="G66" s="593"/>
    </row>
    <row r="67" spans="1:7">
      <c r="A67" s="584"/>
      <c r="B67" s="585"/>
      <c r="C67" s="586"/>
      <c r="D67" s="587"/>
      <c r="E67" s="591"/>
      <c r="G67" s="593"/>
    </row>
    <row r="68" spans="1:7">
      <c r="A68" s="584"/>
      <c r="B68" s="585"/>
      <c r="C68" s="586"/>
      <c r="D68" s="587"/>
      <c r="E68" s="591"/>
      <c r="G68" s="593"/>
    </row>
    <row r="69" spans="1:7">
      <c r="A69" s="584"/>
      <c r="B69" s="585"/>
      <c r="C69" s="586"/>
      <c r="D69" s="587"/>
      <c r="E69" s="591"/>
      <c r="G69" s="593"/>
    </row>
    <row r="70" spans="1:7">
      <c r="A70" s="584"/>
      <c r="B70" s="585"/>
      <c r="C70" s="586"/>
      <c r="D70" s="587"/>
      <c r="E70" s="591"/>
      <c r="G70" s="593"/>
    </row>
    <row r="71" spans="1:7">
      <c r="A71" s="584"/>
      <c r="B71" s="585"/>
      <c r="C71" s="586"/>
      <c r="D71" s="587"/>
      <c r="E71" s="591"/>
      <c r="G71" s="593"/>
    </row>
    <row r="72" spans="1:7">
      <c r="A72" s="584"/>
      <c r="B72" s="585"/>
      <c r="C72" s="586"/>
      <c r="D72" s="587"/>
      <c r="E72" s="591"/>
      <c r="G72" s="593"/>
    </row>
    <row r="73" spans="1:7">
      <c r="A73" s="584"/>
      <c r="B73" s="585"/>
      <c r="C73" s="586"/>
      <c r="D73" s="587"/>
      <c r="E73" s="591"/>
      <c r="G73" s="593"/>
    </row>
    <row r="74" spans="1:7">
      <c r="A74" s="584"/>
      <c r="B74" s="585"/>
      <c r="C74" s="586"/>
      <c r="D74" s="587"/>
      <c r="E74" s="591"/>
      <c r="G74" s="593"/>
    </row>
    <row r="75" spans="1:7">
      <c r="A75" s="584"/>
      <c r="B75" s="585"/>
      <c r="C75" s="586"/>
      <c r="D75" s="587"/>
      <c r="E75" s="591"/>
      <c r="G75" s="593"/>
    </row>
    <row r="76" spans="1:7">
      <c r="A76" s="584"/>
      <c r="B76" s="585"/>
      <c r="C76" s="586"/>
      <c r="D76" s="587"/>
      <c r="E76" s="591"/>
      <c r="G76" s="593"/>
    </row>
    <row r="77" spans="1:7">
      <c r="A77" s="584"/>
      <c r="B77" s="585"/>
      <c r="C77" s="586"/>
      <c r="D77" s="587"/>
      <c r="E77" s="591"/>
      <c r="G77" s="593"/>
    </row>
    <row r="78" spans="1:7">
      <c r="A78" s="584"/>
      <c r="B78" s="585"/>
      <c r="C78" s="586"/>
      <c r="D78" s="587"/>
      <c r="E78" s="591"/>
      <c r="G78" s="593"/>
    </row>
    <row r="79" spans="1:7">
      <c r="A79" s="584"/>
      <c r="B79" s="585"/>
      <c r="C79" s="586"/>
      <c r="D79" s="587"/>
      <c r="E79" s="591"/>
      <c r="G79" s="593"/>
    </row>
    <row r="80" spans="1:7">
      <c r="A80" s="584"/>
      <c r="B80" s="585"/>
      <c r="C80" s="586"/>
      <c r="D80" s="587"/>
      <c r="E80" s="591"/>
      <c r="G80" s="593"/>
    </row>
    <row r="81" spans="1:7">
      <c r="A81" s="584"/>
      <c r="B81" s="585"/>
      <c r="C81" s="586"/>
      <c r="D81" s="587"/>
      <c r="E81" s="591"/>
      <c r="G81" s="102"/>
    </row>
    <row r="82" spans="1:7">
      <c r="A82" s="584"/>
      <c r="B82" s="585"/>
      <c r="C82" s="586"/>
      <c r="D82" s="587"/>
      <c r="E82" s="591"/>
      <c r="G82" s="102"/>
    </row>
    <row r="83" spans="1:7">
      <c r="A83" s="584"/>
      <c r="B83" s="585"/>
      <c r="C83" s="586"/>
      <c r="D83" s="587"/>
      <c r="E83" s="591"/>
      <c r="G83" s="102"/>
    </row>
    <row r="84" spans="1:7">
      <c r="A84" s="584"/>
      <c r="B84" s="585"/>
      <c r="C84" s="586"/>
      <c r="D84" s="587"/>
      <c r="E84" s="591"/>
      <c r="G84" s="102"/>
    </row>
    <row r="85" spans="1:7">
      <c r="A85" s="584"/>
      <c r="B85" s="585"/>
      <c r="C85" s="586"/>
      <c r="D85" s="587"/>
      <c r="E85" s="591"/>
      <c r="G85" s="102"/>
    </row>
    <row r="86" spans="1:7">
      <c r="A86" s="584"/>
      <c r="B86" s="585"/>
      <c r="C86" s="586"/>
      <c r="D86" s="587"/>
      <c r="E86" s="591"/>
      <c r="G86" s="102"/>
    </row>
    <row r="87" spans="1:7">
      <c r="A87" s="584"/>
      <c r="B87" s="585"/>
      <c r="C87" s="586"/>
      <c r="D87" s="587"/>
      <c r="E87" s="591"/>
      <c r="G87" s="102"/>
    </row>
    <row r="88" spans="1:7">
      <c r="A88" s="584"/>
      <c r="B88" s="585"/>
      <c r="C88" s="586"/>
      <c r="D88" s="587"/>
      <c r="E88" s="591"/>
      <c r="G88" s="102"/>
    </row>
    <row r="89" spans="1:7">
      <c r="A89" s="584"/>
      <c r="B89" s="585"/>
      <c r="C89" s="586"/>
      <c r="D89" s="587"/>
      <c r="E89" s="591"/>
      <c r="G89" s="102"/>
    </row>
    <row r="90" spans="1:7">
      <c r="A90" s="584"/>
      <c r="B90" s="585"/>
      <c r="C90" s="586"/>
      <c r="D90" s="587"/>
      <c r="E90" s="591"/>
      <c r="G90" s="102"/>
    </row>
    <row r="91" spans="1:7">
      <c r="A91" s="584"/>
      <c r="B91" s="585"/>
      <c r="C91" s="586"/>
      <c r="D91" s="587"/>
      <c r="E91" s="591"/>
      <c r="G91" s="102"/>
    </row>
    <row r="92" spans="1:7">
      <c r="A92" s="584"/>
      <c r="B92" s="585"/>
      <c r="C92" s="586"/>
      <c r="D92" s="587"/>
      <c r="E92" s="591"/>
      <c r="G92" s="102"/>
    </row>
    <row r="93" spans="1:7">
      <c r="A93" s="584"/>
      <c r="B93" s="585"/>
      <c r="C93" s="586"/>
      <c r="D93" s="587"/>
      <c r="E93" s="591"/>
      <c r="G93" s="102"/>
    </row>
    <row r="94" spans="1:7">
      <c r="A94" s="584"/>
      <c r="B94" s="585"/>
      <c r="C94" s="586"/>
      <c r="D94" s="587"/>
      <c r="E94" s="591"/>
      <c r="G94" s="102"/>
    </row>
    <row r="95" spans="1:7">
      <c r="A95" s="584"/>
      <c r="B95" s="585"/>
      <c r="C95" s="586"/>
      <c r="D95" s="587"/>
      <c r="E95" s="591"/>
      <c r="G95" s="102"/>
    </row>
    <row r="96" spans="1:7">
      <c r="A96" s="584"/>
      <c r="B96" s="585"/>
      <c r="C96" s="586"/>
      <c r="D96" s="587"/>
      <c r="E96" s="591"/>
      <c r="G96" s="593"/>
    </row>
    <row r="97" spans="1:7">
      <c r="A97" s="584"/>
      <c r="B97" s="585"/>
      <c r="C97" s="586"/>
      <c r="D97" s="587"/>
      <c r="E97" s="591"/>
      <c r="G97" s="593"/>
    </row>
    <row r="98" spans="1:7">
      <c r="A98" s="584"/>
      <c r="B98" s="585"/>
      <c r="C98" s="586"/>
      <c r="D98" s="587"/>
      <c r="E98" s="591"/>
      <c r="G98" s="593"/>
    </row>
    <row r="99" spans="1:7">
      <c r="A99" s="584"/>
      <c r="B99" s="585"/>
      <c r="C99" s="586"/>
      <c r="D99" s="587"/>
      <c r="E99" s="591"/>
      <c r="G99" s="593"/>
    </row>
    <row r="100" spans="1:7">
      <c r="A100" s="584"/>
      <c r="B100" s="585"/>
      <c r="C100" s="586"/>
      <c r="D100" s="587"/>
      <c r="E100" s="591"/>
      <c r="G100" s="593"/>
    </row>
    <row r="101" spans="1:7">
      <c r="A101" s="584"/>
      <c r="B101" s="585"/>
      <c r="C101" s="586"/>
      <c r="D101" s="587"/>
      <c r="E101" s="591"/>
      <c r="G101" s="593"/>
    </row>
    <row r="102" spans="1:7">
      <c r="A102" s="584"/>
      <c r="B102" s="585"/>
      <c r="C102" s="586"/>
      <c r="D102" s="587"/>
      <c r="E102" s="591"/>
      <c r="G102" s="593"/>
    </row>
    <row r="103" spans="1:7">
      <c r="A103" s="584"/>
      <c r="B103" s="585"/>
      <c r="C103" s="586"/>
      <c r="D103" s="587"/>
      <c r="E103" s="591"/>
      <c r="G103" s="593"/>
    </row>
    <row r="104" spans="1:7">
      <c r="A104" s="584"/>
      <c r="B104" s="585"/>
      <c r="C104" s="586"/>
      <c r="D104" s="587"/>
      <c r="E104" s="591"/>
      <c r="G104" s="593"/>
    </row>
    <row r="105" spans="1:7">
      <c r="A105" s="584"/>
      <c r="B105" s="585"/>
      <c r="C105" s="586"/>
      <c r="D105" s="587"/>
      <c r="E105" s="591"/>
      <c r="G105" s="593"/>
    </row>
    <row r="106" spans="1:7">
      <c r="A106" s="584"/>
      <c r="B106" s="585"/>
      <c r="C106" s="586"/>
      <c r="D106" s="587"/>
      <c r="E106" s="591"/>
      <c r="G106" s="593"/>
    </row>
    <row r="107" spans="1:7">
      <c r="A107" s="584"/>
      <c r="B107" s="585"/>
      <c r="C107" s="586"/>
      <c r="D107" s="587"/>
      <c r="E107" s="591"/>
      <c r="G107" s="593"/>
    </row>
    <row r="108" spans="1:7">
      <c r="A108" s="584"/>
      <c r="B108" s="585"/>
      <c r="C108" s="586"/>
      <c r="D108" s="587"/>
      <c r="E108" s="591"/>
      <c r="G108" s="593"/>
    </row>
    <row r="109" spans="1:7">
      <c r="A109" s="584"/>
      <c r="B109" s="585"/>
      <c r="C109" s="586"/>
      <c r="D109" s="587"/>
      <c r="E109" s="591"/>
      <c r="G109" s="593"/>
    </row>
    <row r="110" spans="1:7">
      <c r="A110" s="584"/>
      <c r="B110" s="585"/>
      <c r="C110" s="586"/>
      <c r="D110" s="587"/>
      <c r="E110" s="591"/>
      <c r="G110" s="593"/>
    </row>
    <row r="111" spans="1:7">
      <c r="A111" s="584"/>
      <c r="B111" s="585"/>
      <c r="C111" s="586"/>
      <c r="D111" s="587"/>
      <c r="E111" s="591"/>
      <c r="G111" s="593"/>
    </row>
    <row r="112" spans="1:7">
      <c r="A112" s="584"/>
      <c r="B112" s="585"/>
      <c r="C112" s="586"/>
      <c r="D112" s="587"/>
      <c r="E112" s="591"/>
      <c r="G112" s="593"/>
    </row>
    <row r="113" spans="1:7">
      <c r="A113" s="584"/>
      <c r="B113" s="585"/>
      <c r="C113" s="586"/>
      <c r="D113" s="587"/>
      <c r="E113" s="591"/>
      <c r="G113" s="593"/>
    </row>
    <row r="114" spans="1:7">
      <c r="A114" s="584"/>
      <c r="B114" s="585"/>
      <c r="C114" s="586"/>
      <c r="D114" s="587"/>
      <c r="E114" s="591"/>
      <c r="G114" s="593"/>
    </row>
    <row r="115" spans="1:7">
      <c r="A115" s="584"/>
      <c r="B115" s="585"/>
      <c r="C115" s="586"/>
      <c r="D115" s="587"/>
      <c r="E115" s="591"/>
      <c r="G115" s="593"/>
    </row>
    <row r="116" spans="1:7">
      <c r="A116" s="584"/>
      <c r="B116" s="585"/>
      <c r="C116" s="586"/>
      <c r="D116" s="587"/>
      <c r="E116" s="591"/>
      <c r="G116" s="593"/>
    </row>
    <row r="117" spans="1:7">
      <c r="A117" s="584"/>
      <c r="B117" s="585"/>
      <c r="C117" s="586"/>
      <c r="D117" s="587"/>
      <c r="E117" s="591"/>
      <c r="G117" s="593"/>
    </row>
    <row r="118" spans="1:7">
      <c r="A118" s="584"/>
      <c r="B118" s="585"/>
      <c r="C118" s="586"/>
      <c r="D118" s="587"/>
      <c r="E118" s="591"/>
      <c r="G118" s="593"/>
    </row>
    <row r="119" spans="1:7">
      <c r="A119" s="584"/>
      <c r="B119" s="585"/>
      <c r="C119" s="586"/>
      <c r="D119" s="587"/>
      <c r="E119" s="591"/>
      <c r="G119" s="593"/>
    </row>
    <row r="120" spans="1:7">
      <c r="A120" s="584"/>
      <c r="B120" s="585"/>
      <c r="C120" s="586"/>
      <c r="D120" s="587"/>
      <c r="E120" s="591"/>
      <c r="G120" s="593"/>
    </row>
    <row r="121" spans="1:7">
      <c r="A121" s="584"/>
      <c r="B121" s="585"/>
      <c r="C121" s="586"/>
      <c r="D121" s="587"/>
      <c r="E121" s="591"/>
      <c r="G121" s="593"/>
    </row>
    <row r="122" spans="1:7">
      <c r="A122" s="584"/>
      <c r="B122" s="585"/>
      <c r="C122" s="586"/>
      <c r="D122" s="587"/>
      <c r="E122" s="591"/>
      <c r="G122" s="593"/>
    </row>
    <row r="123" spans="1:7">
      <c r="A123" s="584"/>
      <c r="B123" s="585"/>
      <c r="C123" s="586"/>
      <c r="D123" s="587"/>
      <c r="E123" s="591"/>
      <c r="G123" s="593"/>
    </row>
    <row r="124" spans="1:7">
      <c r="A124" s="584"/>
      <c r="B124" s="585"/>
      <c r="C124" s="586"/>
      <c r="D124" s="587"/>
      <c r="E124" s="591"/>
      <c r="G124" s="593"/>
    </row>
    <row r="125" spans="1:7">
      <c r="A125" s="584"/>
      <c r="B125" s="585"/>
      <c r="C125" s="586"/>
      <c r="D125" s="587"/>
      <c r="E125" s="591"/>
      <c r="G125" s="593"/>
    </row>
    <row r="126" spans="1:7">
      <c r="A126" s="584"/>
      <c r="B126" s="585"/>
      <c r="C126" s="586"/>
      <c r="D126" s="587"/>
      <c r="E126" s="591"/>
      <c r="G126" s="593"/>
    </row>
    <row r="127" spans="1:7">
      <c r="A127" s="584"/>
      <c r="B127" s="585"/>
      <c r="C127" s="586"/>
      <c r="D127" s="587"/>
      <c r="E127" s="591"/>
      <c r="G127" s="593"/>
    </row>
    <row r="128" spans="1:7">
      <c r="A128" s="584"/>
      <c r="B128" s="585"/>
      <c r="C128" s="586"/>
      <c r="D128" s="587"/>
      <c r="E128" s="591"/>
      <c r="G128" s="593"/>
    </row>
    <row r="129" spans="1:7">
      <c r="A129" s="584"/>
      <c r="B129" s="585"/>
      <c r="C129" s="586"/>
      <c r="D129" s="587"/>
      <c r="E129" s="591"/>
      <c r="G129" s="593"/>
    </row>
    <row r="130" spans="1:7">
      <c r="A130" s="584"/>
      <c r="B130" s="585"/>
      <c r="C130" s="586"/>
      <c r="D130" s="587"/>
      <c r="E130" s="591"/>
      <c r="G130" s="593"/>
    </row>
    <row r="131" spans="1:7">
      <c r="A131" s="584"/>
      <c r="B131" s="585"/>
      <c r="C131" s="586"/>
      <c r="D131" s="587"/>
      <c r="E131" s="591"/>
      <c r="G131" s="593"/>
    </row>
    <row r="132" spans="1:7">
      <c r="A132" s="584"/>
      <c r="B132" s="585"/>
      <c r="C132" s="586"/>
      <c r="D132" s="587"/>
      <c r="E132" s="591"/>
      <c r="G132" s="593"/>
    </row>
    <row r="133" spans="1:7">
      <c r="A133" s="584"/>
      <c r="B133" s="585"/>
      <c r="C133" s="586"/>
      <c r="D133" s="587"/>
      <c r="E133" s="591"/>
      <c r="G133" s="593"/>
    </row>
    <row r="134" spans="1:7">
      <c r="A134" s="584"/>
      <c r="B134" s="585"/>
      <c r="C134" s="586"/>
      <c r="D134" s="587"/>
      <c r="E134" s="591"/>
      <c r="G134" s="593"/>
    </row>
    <row r="135" spans="1:7">
      <c r="A135" s="584"/>
      <c r="B135" s="585"/>
      <c r="C135" s="586"/>
      <c r="D135" s="587"/>
      <c r="E135" s="591"/>
      <c r="G135" s="593"/>
    </row>
    <row r="136" spans="1:7">
      <c r="A136" s="584"/>
      <c r="B136" s="585"/>
      <c r="C136" s="586"/>
      <c r="D136" s="587"/>
      <c r="E136" s="591"/>
      <c r="G136" s="593"/>
    </row>
    <row r="137" spans="1:7">
      <c r="A137" s="584"/>
      <c r="B137" s="585"/>
      <c r="C137" s="586"/>
      <c r="D137" s="587"/>
      <c r="E137" s="591"/>
      <c r="G137" s="593"/>
    </row>
    <row r="138" spans="1:7">
      <c r="A138" s="584"/>
      <c r="B138" s="585"/>
      <c r="C138" s="586"/>
      <c r="D138" s="587"/>
      <c r="E138" s="591"/>
      <c r="G138" s="593"/>
    </row>
    <row r="139" spans="1:7">
      <c r="A139" s="584"/>
      <c r="B139" s="585"/>
      <c r="C139" s="586"/>
      <c r="D139" s="587"/>
      <c r="E139" s="591"/>
      <c r="G139" s="593"/>
    </row>
    <row r="140" spans="1:7">
      <c r="A140" s="584"/>
      <c r="B140" s="585"/>
      <c r="C140" s="586"/>
      <c r="D140" s="587"/>
      <c r="E140" s="591"/>
      <c r="G140" s="593"/>
    </row>
    <row r="141" spans="1:7">
      <c r="A141" s="584"/>
      <c r="B141" s="585"/>
      <c r="C141" s="586"/>
      <c r="D141" s="587"/>
      <c r="E141" s="591"/>
      <c r="G141" s="593"/>
    </row>
    <row r="142" spans="1:7">
      <c r="A142" s="584"/>
      <c r="B142" s="585"/>
      <c r="C142" s="586"/>
      <c r="D142" s="587"/>
      <c r="E142" s="591"/>
      <c r="G142" s="593"/>
    </row>
    <row r="143" spans="1:7">
      <c r="A143" s="584"/>
      <c r="B143" s="585"/>
      <c r="C143" s="586"/>
      <c r="D143" s="587"/>
      <c r="E143" s="591"/>
      <c r="G143" s="593"/>
    </row>
    <row r="144" spans="1:7">
      <c r="A144" s="584"/>
      <c r="B144" s="585"/>
      <c r="C144" s="586"/>
      <c r="D144" s="587"/>
      <c r="E144" s="591"/>
      <c r="G144" s="593"/>
    </row>
    <row r="145" spans="1:7">
      <c r="A145" s="584"/>
      <c r="B145" s="585"/>
      <c r="C145" s="586"/>
      <c r="D145" s="587"/>
      <c r="E145" s="591"/>
      <c r="G145" s="593"/>
    </row>
    <row r="146" spans="1:7">
      <c r="A146" s="584"/>
      <c r="B146" s="585"/>
      <c r="C146" s="586"/>
      <c r="D146" s="587"/>
      <c r="E146" s="591"/>
      <c r="G146" s="593"/>
    </row>
    <row r="147" spans="1:7">
      <c r="A147" s="584"/>
      <c r="B147" s="585"/>
      <c r="C147" s="586"/>
      <c r="D147" s="587"/>
      <c r="E147" s="591"/>
      <c r="G147" s="593"/>
    </row>
    <row r="148" spans="1:7">
      <c r="A148" s="584"/>
      <c r="B148" s="585"/>
      <c r="C148" s="586"/>
      <c r="D148" s="587"/>
      <c r="E148" s="591"/>
      <c r="G148" s="593"/>
    </row>
    <row r="149" spans="1:7">
      <c r="A149" s="584"/>
      <c r="B149" s="585"/>
      <c r="C149" s="586"/>
      <c r="D149" s="587"/>
      <c r="E149" s="591"/>
      <c r="G149" s="593"/>
    </row>
    <row r="150" spans="1:7">
      <c r="A150" s="584"/>
      <c r="B150" s="585"/>
      <c r="C150" s="586"/>
      <c r="D150" s="587"/>
      <c r="E150" s="591"/>
      <c r="G150" s="593"/>
    </row>
    <row r="151" spans="1:7">
      <c r="A151" s="584"/>
      <c r="B151" s="585"/>
      <c r="C151" s="586"/>
      <c r="D151" s="587"/>
      <c r="E151" s="591"/>
      <c r="G151" s="593"/>
    </row>
    <row r="152" spans="1:7">
      <c r="A152" s="584"/>
      <c r="B152" s="585"/>
      <c r="C152" s="586"/>
      <c r="D152" s="587"/>
      <c r="E152" s="591"/>
      <c r="G152" s="593"/>
    </row>
    <row r="153" spans="1:7">
      <c r="A153" s="584"/>
      <c r="B153" s="585"/>
      <c r="C153" s="586"/>
      <c r="D153" s="587"/>
      <c r="E153" s="591"/>
      <c r="G153" s="593"/>
    </row>
    <row r="154" spans="1:7">
      <c r="A154" s="584"/>
      <c r="B154" s="585"/>
      <c r="C154" s="586"/>
      <c r="D154" s="587"/>
      <c r="E154" s="591"/>
      <c r="G154" s="593"/>
    </row>
    <row r="155" spans="1:7">
      <c r="A155" s="584"/>
      <c r="B155" s="585"/>
      <c r="C155" s="586"/>
      <c r="D155" s="587"/>
      <c r="E155" s="591"/>
      <c r="G155" s="593"/>
    </row>
    <row r="156" spans="1:7">
      <c r="A156" s="584"/>
      <c r="B156" s="585"/>
      <c r="C156" s="586"/>
      <c r="D156" s="587"/>
      <c r="E156" s="591"/>
      <c r="G156" s="593"/>
    </row>
    <row r="157" spans="1:7">
      <c r="A157" s="584"/>
      <c r="B157" s="585"/>
      <c r="C157" s="586"/>
      <c r="D157" s="587"/>
      <c r="E157" s="591"/>
      <c r="G157" s="593"/>
    </row>
    <row r="158" spans="1:7">
      <c r="A158" s="584"/>
      <c r="B158" s="585"/>
      <c r="C158" s="586"/>
      <c r="D158" s="587"/>
      <c r="E158" s="591"/>
      <c r="G158" s="593"/>
    </row>
    <row r="159" spans="1:7">
      <c r="A159" s="584"/>
      <c r="B159" s="585"/>
      <c r="C159" s="586"/>
      <c r="D159" s="587"/>
      <c r="E159" s="591"/>
      <c r="G159" s="593"/>
    </row>
    <row r="160" spans="1:7">
      <c r="A160" s="584"/>
      <c r="B160" s="585"/>
      <c r="C160" s="586"/>
      <c r="D160" s="587"/>
      <c r="E160" s="591"/>
      <c r="G160" s="593"/>
    </row>
    <row r="161" spans="1:7">
      <c r="A161" s="584"/>
      <c r="B161" s="585"/>
      <c r="C161" s="586"/>
      <c r="D161" s="587"/>
      <c r="E161" s="591"/>
      <c r="G161" s="593"/>
    </row>
    <row r="162" spans="1:7">
      <c r="A162" s="584"/>
      <c r="B162" s="585"/>
      <c r="C162" s="586"/>
      <c r="D162" s="587"/>
      <c r="E162" s="591"/>
      <c r="G162" s="593"/>
    </row>
    <row r="163" spans="1:7">
      <c r="A163" s="584"/>
      <c r="B163" s="585"/>
      <c r="C163" s="586"/>
      <c r="D163" s="587"/>
      <c r="E163" s="591"/>
      <c r="G163" s="593"/>
    </row>
    <row r="164" spans="1:7">
      <c r="A164" s="584"/>
      <c r="B164" s="585"/>
      <c r="C164" s="586"/>
      <c r="D164" s="587"/>
      <c r="E164" s="591"/>
      <c r="G164" s="593"/>
    </row>
    <row r="165" spans="1:7">
      <c r="A165" s="584"/>
      <c r="B165" s="585"/>
      <c r="C165" s="586"/>
      <c r="D165" s="587"/>
      <c r="E165" s="591"/>
      <c r="G165" s="593"/>
    </row>
    <row r="166" spans="1:7">
      <c r="A166" s="584"/>
      <c r="B166" s="585"/>
      <c r="C166" s="586"/>
      <c r="D166" s="587"/>
      <c r="E166" s="591"/>
      <c r="G166" s="593"/>
    </row>
    <row r="167" spans="1:7">
      <c r="A167" s="584"/>
      <c r="B167" s="585"/>
      <c r="C167" s="586"/>
      <c r="D167" s="587"/>
      <c r="E167" s="591"/>
      <c r="G167" s="593"/>
    </row>
    <row r="168" spans="1:7">
      <c r="A168" s="584"/>
      <c r="B168" s="585"/>
      <c r="C168" s="586"/>
      <c r="D168" s="587"/>
      <c r="E168" s="591"/>
      <c r="G168" s="593"/>
    </row>
    <row r="169" spans="1:7">
      <c r="A169" s="584"/>
      <c r="B169" s="585"/>
      <c r="C169" s="586"/>
      <c r="D169" s="587"/>
      <c r="E169" s="591"/>
      <c r="G169" s="593"/>
    </row>
    <row r="170" spans="1:7">
      <c r="A170" s="584"/>
      <c r="B170" s="585"/>
      <c r="C170" s="586"/>
      <c r="D170" s="587"/>
      <c r="E170" s="591"/>
      <c r="G170" s="593"/>
    </row>
    <row r="171" spans="1:7">
      <c r="A171" s="584"/>
      <c r="B171" s="585"/>
      <c r="C171" s="586"/>
      <c r="D171" s="587"/>
      <c r="E171" s="591"/>
      <c r="G171" s="593"/>
    </row>
    <row r="172" spans="1:7">
      <c r="A172" s="584"/>
      <c r="B172" s="585"/>
      <c r="C172" s="586"/>
      <c r="D172" s="587"/>
      <c r="E172" s="591"/>
      <c r="G172" s="593"/>
    </row>
    <row r="173" spans="1:7">
      <c r="A173" s="584"/>
      <c r="B173" s="585"/>
      <c r="C173" s="586"/>
      <c r="D173" s="587"/>
      <c r="E173" s="591"/>
      <c r="G173" s="593"/>
    </row>
    <row r="174" spans="1:7">
      <c r="A174" s="584"/>
      <c r="B174" s="585"/>
      <c r="C174" s="586"/>
      <c r="D174" s="587"/>
      <c r="E174" s="591"/>
      <c r="G174" s="593"/>
    </row>
    <row r="175" spans="1:7">
      <c r="A175" s="584"/>
      <c r="B175" s="585"/>
      <c r="C175" s="586"/>
      <c r="D175" s="587"/>
      <c r="E175" s="591"/>
      <c r="G175" s="593"/>
    </row>
    <row r="176" spans="1:7">
      <c r="A176" s="584"/>
      <c r="B176" s="585"/>
      <c r="C176" s="586"/>
      <c r="D176" s="587"/>
      <c r="E176" s="591"/>
      <c r="G176" s="593"/>
    </row>
    <row r="177" spans="1:7">
      <c r="A177" s="584"/>
      <c r="B177" s="585"/>
      <c r="C177" s="586"/>
      <c r="D177" s="587"/>
      <c r="E177" s="591"/>
      <c r="G177" s="593"/>
    </row>
    <row r="178" spans="1:7">
      <c r="A178" s="584"/>
      <c r="B178" s="585"/>
      <c r="C178" s="586"/>
      <c r="D178" s="587"/>
      <c r="E178" s="591"/>
      <c r="G178" s="593"/>
    </row>
    <row r="179" spans="1:7">
      <c r="A179" s="584"/>
      <c r="B179" s="585"/>
      <c r="C179" s="586"/>
      <c r="D179" s="587"/>
      <c r="E179" s="591"/>
      <c r="G179" s="593"/>
    </row>
    <row r="180" spans="1:7">
      <c r="A180" s="584"/>
      <c r="B180" s="585"/>
      <c r="C180" s="586"/>
      <c r="D180" s="587"/>
      <c r="E180" s="591"/>
      <c r="G180" s="593"/>
    </row>
    <row r="181" spans="1:7">
      <c r="A181" s="584"/>
      <c r="B181" s="585"/>
      <c r="C181" s="586"/>
      <c r="D181" s="587"/>
      <c r="E181" s="591"/>
      <c r="G181" s="593"/>
    </row>
    <row r="182" spans="1:7">
      <c r="A182" s="584"/>
      <c r="B182" s="585"/>
      <c r="C182" s="586"/>
      <c r="D182" s="587"/>
      <c r="E182" s="591"/>
      <c r="G182" s="593"/>
    </row>
    <row r="183" spans="1:7">
      <c r="A183" s="584"/>
      <c r="B183" s="585"/>
      <c r="C183" s="586"/>
      <c r="D183" s="587"/>
      <c r="E183" s="591"/>
      <c r="G183" s="593"/>
    </row>
    <row r="184" spans="1:7">
      <c r="A184" s="584"/>
      <c r="B184" s="585"/>
      <c r="C184" s="586"/>
      <c r="D184" s="587"/>
      <c r="E184" s="591"/>
      <c r="G184" s="593"/>
    </row>
    <row r="185" spans="1:7">
      <c r="A185" s="584"/>
      <c r="B185" s="585"/>
      <c r="C185" s="586"/>
      <c r="D185" s="587"/>
      <c r="E185" s="591"/>
      <c r="G185" s="593"/>
    </row>
    <row r="186" spans="1:7">
      <c r="A186" s="584"/>
      <c r="B186" s="585"/>
      <c r="C186" s="586"/>
      <c r="D186" s="587"/>
      <c r="E186" s="591"/>
      <c r="G186" s="593"/>
    </row>
    <row r="187" spans="1:7">
      <c r="A187" s="584"/>
      <c r="B187" s="585"/>
      <c r="C187" s="586"/>
      <c r="D187" s="587"/>
      <c r="E187" s="591"/>
      <c r="G187" s="593"/>
    </row>
    <row r="188" spans="1:7">
      <c r="A188" s="584"/>
      <c r="B188" s="585"/>
      <c r="C188" s="586"/>
      <c r="D188" s="587"/>
      <c r="E188" s="591"/>
      <c r="G188" s="593"/>
    </row>
    <row r="189" spans="1:7">
      <c r="A189" s="584"/>
      <c r="B189" s="585"/>
      <c r="C189" s="586"/>
      <c r="D189" s="587"/>
      <c r="E189" s="591"/>
      <c r="G189" s="593"/>
    </row>
    <row r="190" spans="1:7">
      <c r="A190" s="584"/>
      <c r="B190" s="585"/>
      <c r="C190" s="586"/>
      <c r="D190" s="587"/>
      <c r="E190" s="591"/>
      <c r="G190" s="593"/>
    </row>
    <row r="191" spans="1:7">
      <c r="A191" s="584"/>
      <c r="B191" s="585"/>
      <c r="C191" s="586"/>
      <c r="D191" s="587"/>
      <c r="E191" s="591"/>
      <c r="G191" s="593"/>
    </row>
    <row r="192" spans="1:7">
      <c r="A192" s="584"/>
      <c r="B192" s="585"/>
      <c r="C192" s="586"/>
      <c r="D192" s="587"/>
      <c r="E192" s="591"/>
      <c r="G192" s="593"/>
    </row>
    <row r="193" spans="1:7">
      <c r="A193" s="584"/>
      <c r="B193" s="585"/>
      <c r="C193" s="586"/>
      <c r="D193" s="587"/>
      <c r="E193" s="591"/>
      <c r="G193" s="593"/>
    </row>
    <row r="194" spans="1:7">
      <c r="A194" s="584"/>
      <c r="B194" s="585"/>
      <c r="C194" s="586"/>
      <c r="D194" s="587"/>
      <c r="E194" s="591"/>
      <c r="G194" s="593"/>
    </row>
    <row r="195" spans="1:7">
      <c r="A195" s="584"/>
      <c r="B195" s="585"/>
      <c r="C195" s="586"/>
      <c r="D195" s="587"/>
      <c r="E195" s="591"/>
      <c r="G195" s="593"/>
    </row>
    <row r="196" spans="1:7">
      <c r="A196" s="584"/>
      <c r="B196" s="585"/>
      <c r="C196" s="586"/>
      <c r="D196" s="587"/>
      <c r="E196" s="591"/>
      <c r="G196" s="593"/>
    </row>
    <row r="197" spans="1:7">
      <c r="A197" s="584"/>
      <c r="B197" s="585"/>
      <c r="C197" s="586"/>
      <c r="D197" s="587"/>
      <c r="E197" s="591"/>
      <c r="G197" s="593"/>
    </row>
    <row r="198" spans="1:7">
      <c r="A198" s="584"/>
      <c r="B198" s="585"/>
      <c r="C198" s="586"/>
      <c r="D198" s="587"/>
      <c r="E198" s="591"/>
      <c r="G198" s="593"/>
    </row>
    <row r="199" spans="1:7">
      <c r="A199" s="584"/>
      <c r="B199" s="585"/>
      <c r="C199" s="586"/>
      <c r="D199" s="587"/>
      <c r="E199" s="591"/>
      <c r="G199" s="593"/>
    </row>
    <row r="200" spans="1:7">
      <c r="A200" s="584"/>
      <c r="B200" s="585"/>
      <c r="C200" s="586"/>
      <c r="D200" s="587"/>
      <c r="E200" s="591"/>
      <c r="G200" s="593"/>
    </row>
    <row r="201" spans="1:7">
      <c r="A201" s="584"/>
      <c r="B201" s="585"/>
      <c r="C201" s="586"/>
      <c r="D201" s="587"/>
      <c r="E201" s="591"/>
      <c r="G201" s="593"/>
    </row>
    <row r="202" spans="1:7">
      <c r="A202" s="584"/>
      <c r="B202" s="585"/>
      <c r="C202" s="586"/>
      <c r="D202" s="587"/>
      <c r="E202" s="591"/>
      <c r="G202" s="593"/>
    </row>
    <row r="203" spans="1:7">
      <c r="A203" s="584"/>
      <c r="B203" s="585"/>
      <c r="C203" s="586"/>
      <c r="D203" s="587"/>
      <c r="E203" s="591"/>
      <c r="G203" s="593"/>
    </row>
    <row r="204" spans="1:7">
      <c r="A204" s="584"/>
      <c r="B204" s="585"/>
      <c r="C204" s="586"/>
      <c r="D204" s="587"/>
      <c r="E204" s="591"/>
      <c r="G204" s="593"/>
    </row>
    <row r="205" spans="1:7">
      <c r="A205" s="584"/>
      <c r="B205" s="585"/>
      <c r="C205" s="586"/>
      <c r="D205" s="587"/>
      <c r="E205" s="591"/>
      <c r="G205" s="593"/>
    </row>
    <row r="206" spans="1:7">
      <c r="A206" s="584"/>
      <c r="B206" s="585"/>
      <c r="C206" s="586"/>
      <c r="D206" s="587"/>
      <c r="E206" s="591"/>
      <c r="G206" s="593"/>
    </row>
    <row r="207" spans="1:7">
      <c r="A207" s="584"/>
      <c r="B207" s="585"/>
      <c r="C207" s="586"/>
      <c r="D207" s="587"/>
      <c r="E207" s="591"/>
      <c r="G207" s="593"/>
    </row>
    <row r="208" spans="1:7">
      <c r="A208" s="584"/>
      <c r="B208" s="585"/>
      <c r="C208" s="586"/>
      <c r="D208" s="587"/>
      <c r="E208" s="591"/>
      <c r="G208" s="593"/>
    </row>
    <row r="209" spans="1:7">
      <c r="A209" s="584"/>
      <c r="B209" s="585"/>
      <c r="C209" s="586"/>
      <c r="D209" s="587"/>
      <c r="E209" s="591"/>
      <c r="G209" s="593"/>
    </row>
    <row r="210" spans="1:7">
      <c r="A210" s="584"/>
      <c r="B210" s="585"/>
      <c r="C210" s="586"/>
      <c r="D210" s="587"/>
      <c r="E210" s="591"/>
      <c r="G210" s="593"/>
    </row>
    <row r="211" spans="1:7">
      <c r="A211" s="584"/>
      <c r="B211" s="585"/>
      <c r="C211" s="586"/>
      <c r="D211" s="587"/>
      <c r="E211" s="591"/>
      <c r="G211" s="593"/>
    </row>
    <row r="212" spans="1:7">
      <c r="A212" s="584"/>
      <c r="B212" s="585"/>
      <c r="C212" s="586"/>
      <c r="D212" s="587"/>
      <c r="E212" s="591"/>
      <c r="G212" s="593"/>
    </row>
    <row r="213" spans="1:7">
      <c r="A213" s="584"/>
      <c r="B213" s="585"/>
      <c r="C213" s="586"/>
      <c r="D213" s="587"/>
      <c r="E213" s="591"/>
      <c r="G213" s="593"/>
    </row>
    <row r="214" spans="1:7">
      <c r="A214" s="584"/>
      <c r="B214" s="585"/>
      <c r="C214" s="586"/>
      <c r="D214" s="587"/>
      <c r="E214" s="591"/>
      <c r="G214" s="593"/>
    </row>
    <row r="215" spans="1:7">
      <c r="A215" s="584"/>
      <c r="B215" s="585"/>
      <c r="C215" s="586"/>
      <c r="D215" s="587"/>
      <c r="E215" s="591"/>
      <c r="G215" s="593"/>
    </row>
    <row r="216" spans="1:7">
      <c r="A216" s="584"/>
      <c r="B216" s="585"/>
      <c r="C216" s="586"/>
      <c r="D216" s="587"/>
      <c r="E216" s="591"/>
      <c r="G216" s="593"/>
    </row>
    <row r="217" spans="1:7">
      <c r="A217" s="584"/>
      <c r="B217" s="585"/>
      <c r="C217" s="586"/>
      <c r="D217" s="587"/>
      <c r="E217" s="591"/>
      <c r="G217" s="593"/>
    </row>
    <row r="218" spans="1:7">
      <c r="A218" s="584"/>
      <c r="B218" s="585"/>
      <c r="C218" s="586"/>
      <c r="D218" s="587"/>
      <c r="E218" s="591"/>
      <c r="G218" s="593"/>
    </row>
    <row r="219" spans="1:7">
      <c r="A219" s="584"/>
      <c r="B219" s="585"/>
      <c r="C219" s="586"/>
      <c r="D219" s="587"/>
      <c r="E219" s="591"/>
      <c r="G219" s="593"/>
    </row>
    <row r="220" spans="1:7">
      <c r="A220" s="584"/>
      <c r="B220" s="585"/>
      <c r="C220" s="586"/>
      <c r="D220" s="587"/>
      <c r="E220" s="591"/>
      <c r="G220" s="593"/>
    </row>
    <row r="221" spans="1:7">
      <c r="A221" s="584"/>
      <c r="B221" s="585"/>
      <c r="C221" s="586"/>
      <c r="D221" s="587"/>
      <c r="E221" s="591"/>
      <c r="G221" s="593"/>
    </row>
    <row r="222" spans="1:7">
      <c r="A222" s="584"/>
      <c r="B222" s="585"/>
      <c r="C222" s="586"/>
      <c r="D222" s="587"/>
      <c r="E222" s="591"/>
      <c r="G222" s="593"/>
    </row>
    <row r="223" spans="1:7">
      <c r="A223" s="584"/>
      <c r="B223" s="585"/>
      <c r="C223" s="586"/>
      <c r="D223" s="587"/>
      <c r="E223" s="591"/>
      <c r="G223" s="593"/>
    </row>
    <row r="224" spans="1:7">
      <c r="A224" s="584"/>
      <c r="B224" s="585"/>
      <c r="C224" s="586"/>
      <c r="D224" s="587"/>
      <c r="E224" s="591"/>
      <c r="G224" s="593"/>
    </row>
    <row r="225" spans="1:7">
      <c r="A225" s="584"/>
      <c r="B225" s="585"/>
      <c r="C225" s="586"/>
      <c r="D225" s="587"/>
      <c r="E225" s="591"/>
      <c r="G225" s="593"/>
    </row>
    <row r="226" spans="1:7">
      <c r="A226" s="584"/>
      <c r="B226" s="585"/>
      <c r="C226" s="586"/>
      <c r="D226" s="587"/>
      <c r="E226" s="591"/>
      <c r="G226" s="593"/>
    </row>
    <row r="227" spans="1:7">
      <c r="A227" s="584"/>
      <c r="B227" s="585"/>
      <c r="C227" s="586"/>
      <c r="D227" s="587"/>
      <c r="E227" s="591"/>
      <c r="G227" s="593"/>
    </row>
    <row r="228" spans="1:7">
      <c r="A228" s="584"/>
      <c r="B228" s="585"/>
      <c r="C228" s="586"/>
      <c r="D228" s="587"/>
      <c r="E228" s="591"/>
      <c r="G228" s="593"/>
    </row>
    <row r="229" spans="1:7">
      <c r="A229" s="584"/>
      <c r="B229" s="585"/>
      <c r="C229" s="586"/>
      <c r="D229" s="587"/>
      <c r="E229" s="591"/>
      <c r="G229" s="593"/>
    </row>
    <row r="230" spans="1:7">
      <c r="A230" s="584"/>
      <c r="B230" s="585"/>
      <c r="C230" s="586"/>
      <c r="D230" s="587"/>
      <c r="E230" s="591"/>
      <c r="G230" s="593"/>
    </row>
    <row r="231" spans="1:7">
      <c r="A231" s="584"/>
      <c r="B231" s="585"/>
      <c r="C231" s="586"/>
      <c r="D231" s="587"/>
      <c r="E231" s="591"/>
      <c r="G231" s="593"/>
    </row>
    <row r="232" spans="1:7">
      <c r="A232" s="584"/>
      <c r="B232" s="585"/>
      <c r="C232" s="586"/>
      <c r="D232" s="587"/>
      <c r="E232" s="591"/>
      <c r="G232" s="593"/>
    </row>
    <row r="233" spans="1:7">
      <c r="A233" s="584"/>
      <c r="B233" s="585"/>
      <c r="C233" s="586"/>
      <c r="D233" s="587"/>
      <c r="E233" s="591"/>
      <c r="G233" s="593"/>
    </row>
    <row r="234" spans="1:7">
      <c r="A234" s="584"/>
      <c r="B234" s="585"/>
      <c r="C234" s="586"/>
      <c r="D234" s="587"/>
      <c r="E234" s="591"/>
      <c r="G234" s="593"/>
    </row>
    <row r="235" spans="1:7">
      <c r="A235" s="584"/>
      <c r="B235" s="585"/>
      <c r="C235" s="586"/>
      <c r="D235" s="587"/>
      <c r="E235" s="591"/>
      <c r="G235" s="593"/>
    </row>
    <row r="236" spans="1:7">
      <c r="A236" s="584"/>
      <c r="B236" s="585"/>
      <c r="C236" s="586"/>
      <c r="D236" s="587"/>
      <c r="E236" s="591"/>
      <c r="G236" s="593"/>
    </row>
    <row r="237" spans="1:7">
      <c r="A237" s="584"/>
      <c r="B237" s="585"/>
      <c r="C237" s="586"/>
      <c r="D237" s="587"/>
      <c r="E237" s="591"/>
      <c r="G237" s="593"/>
    </row>
    <row r="238" spans="1:7">
      <c r="A238" s="584"/>
      <c r="B238" s="585"/>
      <c r="C238" s="586"/>
      <c r="D238" s="587"/>
      <c r="E238" s="591"/>
      <c r="G238" s="593"/>
    </row>
    <row r="239" spans="1:7">
      <c r="A239" s="584"/>
      <c r="B239" s="585"/>
      <c r="C239" s="586"/>
      <c r="D239" s="587"/>
      <c r="E239" s="591"/>
      <c r="G239" s="593"/>
    </row>
    <row r="240" spans="1:7">
      <c r="A240" s="584"/>
      <c r="B240" s="585"/>
      <c r="C240" s="586"/>
      <c r="D240" s="587"/>
      <c r="E240" s="591"/>
      <c r="G240" s="593"/>
    </row>
    <row r="241" spans="1:7">
      <c r="A241" s="584"/>
      <c r="B241" s="585"/>
      <c r="C241" s="586"/>
      <c r="D241" s="587"/>
      <c r="E241" s="591"/>
      <c r="G241" s="593"/>
    </row>
    <row r="242" spans="1:7">
      <c r="A242" s="584"/>
      <c r="B242" s="585"/>
      <c r="C242" s="586"/>
      <c r="D242" s="587"/>
      <c r="E242" s="591"/>
      <c r="G242" s="593"/>
    </row>
    <row r="243" spans="1:7">
      <c r="A243" s="584"/>
      <c r="B243" s="585"/>
      <c r="C243" s="586"/>
      <c r="D243" s="587"/>
      <c r="E243" s="591"/>
      <c r="G243" s="593"/>
    </row>
    <row r="244" spans="1:7">
      <c r="A244" s="584"/>
      <c r="B244" s="585"/>
      <c r="C244" s="586"/>
      <c r="D244" s="587"/>
      <c r="E244" s="591"/>
      <c r="G244" s="593"/>
    </row>
    <row r="245" spans="1:7">
      <c r="A245" s="584"/>
      <c r="B245" s="585"/>
      <c r="C245" s="586"/>
      <c r="D245" s="587"/>
      <c r="E245" s="591"/>
      <c r="G245" s="593"/>
    </row>
    <row r="246" spans="1:7">
      <c r="A246" s="584"/>
      <c r="B246" s="585"/>
      <c r="C246" s="586"/>
      <c r="D246" s="587"/>
      <c r="E246" s="591"/>
      <c r="G246" s="593"/>
    </row>
    <row r="247" spans="1:7">
      <c r="A247" s="584"/>
      <c r="B247" s="585"/>
      <c r="C247" s="586"/>
      <c r="D247" s="587"/>
      <c r="E247" s="591"/>
      <c r="G247" s="593"/>
    </row>
    <row r="248" spans="1:7">
      <c r="A248" s="584"/>
      <c r="B248" s="585"/>
      <c r="C248" s="586"/>
      <c r="D248" s="587"/>
      <c r="E248" s="591"/>
      <c r="G248" s="593"/>
    </row>
    <row r="249" spans="1:7">
      <c r="A249" s="584"/>
      <c r="B249" s="585"/>
      <c r="C249" s="586"/>
      <c r="D249" s="587"/>
      <c r="E249" s="591"/>
      <c r="G249" s="593"/>
    </row>
    <row r="250" spans="1:7">
      <c r="A250" s="584"/>
      <c r="B250" s="585"/>
      <c r="C250" s="586"/>
      <c r="D250" s="587"/>
      <c r="E250" s="591"/>
      <c r="G250" s="593"/>
    </row>
    <row r="251" spans="1:7">
      <c r="A251" s="584"/>
      <c r="B251" s="585"/>
      <c r="C251" s="586"/>
      <c r="D251" s="587"/>
      <c r="E251" s="591"/>
      <c r="G251" s="593"/>
    </row>
    <row r="252" spans="1:7">
      <c r="A252" s="584"/>
      <c r="B252" s="585"/>
      <c r="C252" s="586"/>
      <c r="D252" s="587"/>
      <c r="E252" s="591"/>
      <c r="G252" s="593"/>
    </row>
    <row r="253" spans="1:7">
      <c r="A253" s="584"/>
      <c r="B253" s="585"/>
      <c r="C253" s="586"/>
      <c r="D253" s="587"/>
      <c r="E253" s="591"/>
      <c r="G253" s="593"/>
    </row>
    <row r="254" spans="1:7">
      <c r="A254" s="584"/>
      <c r="B254" s="585"/>
      <c r="C254" s="586"/>
      <c r="D254" s="587"/>
      <c r="E254" s="591"/>
      <c r="G254" s="593"/>
    </row>
    <row r="255" spans="1:7">
      <c r="A255" s="584"/>
      <c r="B255" s="585"/>
      <c r="C255" s="586"/>
      <c r="D255" s="587"/>
      <c r="E255" s="591"/>
      <c r="G255" s="593"/>
    </row>
    <row r="256" spans="1:7">
      <c r="A256" s="584"/>
      <c r="B256" s="585"/>
      <c r="C256" s="586"/>
      <c r="D256" s="587"/>
      <c r="E256" s="591"/>
      <c r="G256" s="593"/>
    </row>
    <row r="257" spans="1:7">
      <c r="A257" s="584"/>
      <c r="B257" s="585"/>
      <c r="C257" s="586"/>
      <c r="D257" s="587"/>
      <c r="E257" s="591"/>
      <c r="G257" s="593"/>
    </row>
    <row r="258" spans="1:7">
      <c r="A258" s="584"/>
      <c r="B258" s="585"/>
      <c r="C258" s="586"/>
      <c r="D258" s="587"/>
      <c r="E258" s="591"/>
      <c r="G258" s="593"/>
    </row>
    <row r="259" spans="1:7">
      <c r="A259" s="584"/>
      <c r="B259" s="585"/>
      <c r="C259" s="586"/>
      <c r="D259" s="587"/>
      <c r="E259" s="591"/>
      <c r="G259" s="593"/>
    </row>
    <row r="260" spans="1:7">
      <c r="A260" s="584"/>
      <c r="B260" s="585"/>
      <c r="C260" s="586"/>
      <c r="D260" s="587"/>
      <c r="E260" s="591"/>
      <c r="G260" s="593"/>
    </row>
    <row r="261" spans="1:7">
      <c r="A261" s="584"/>
      <c r="B261" s="585"/>
      <c r="C261" s="586"/>
      <c r="D261" s="587"/>
      <c r="E261" s="591"/>
      <c r="G261" s="593"/>
    </row>
    <row r="262" spans="1:7">
      <c r="A262" s="584"/>
      <c r="B262" s="585"/>
      <c r="C262" s="586"/>
      <c r="D262" s="587"/>
      <c r="E262" s="591"/>
      <c r="G262" s="593"/>
    </row>
    <row r="263" spans="1:7">
      <c r="A263" s="584"/>
      <c r="B263" s="585"/>
      <c r="C263" s="586"/>
      <c r="D263" s="587"/>
      <c r="E263" s="591"/>
      <c r="G263" s="593"/>
    </row>
    <row r="264" spans="1:7">
      <c r="A264" s="584"/>
      <c r="B264" s="585"/>
      <c r="C264" s="586"/>
      <c r="D264" s="587"/>
      <c r="E264" s="591"/>
      <c r="G264" s="593"/>
    </row>
    <row r="265" spans="1:7">
      <c r="A265" s="584"/>
      <c r="B265" s="585"/>
      <c r="C265" s="586"/>
      <c r="D265" s="587"/>
      <c r="E265" s="591"/>
      <c r="G265" s="593"/>
    </row>
    <row r="266" spans="1:7">
      <c r="A266" s="584"/>
      <c r="B266" s="585"/>
      <c r="C266" s="586"/>
      <c r="D266" s="587"/>
      <c r="E266" s="591"/>
      <c r="G266" s="593"/>
    </row>
    <row r="267" spans="1:7">
      <c r="A267" s="584"/>
      <c r="B267" s="585"/>
      <c r="C267" s="586"/>
      <c r="D267" s="587"/>
      <c r="E267" s="591"/>
      <c r="G267" s="593"/>
    </row>
    <row r="268" spans="1:7">
      <c r="A268" s="584"/>
      <c r="B268" s="585"/>
      <c r="C268" s="586"/>
      <c r="D268" s="587"/>
      <c r="E268" s="591"/>
      <c r="G268" s="593"/>
    </row>
    <row r="269" spans="1:7">
      <c r="A269" s="584"/>
      <c r="B269" s="585"/>
      <c r="C269" s="586"/>
      <c r="D269" s="587"/>
      <c r="E269" s="591"/>
      <c r="G269" s="593"/>
    </row>
    <row r="270" spans="1:7">
      <c r="A270" s="584"/>
      <c r="B270" s="585"/>
      <c r="C270" s="586"/>
      <c r="D270" s="587"/>
      <c r="E270" s="591"/>
      <c r="G270" s="593"/>
    </row>
    <row r="271" spans="1:7">
      <c r="A271" s="584"/>
      <c r="B271" s="585"/>
      <c r="C271" s="586"/>
      <c r="D271" s="587"/>
      <c r="E271" s="591"/>
      <c r="G271" s="593"/>
    </row>
    <row r="272" spans="1:7">
      <c r="A272" s="584"/>
      <c r="B272" s="585"/>
      <c r="C272" s="586"/>
      <c r="D272" s="587"/>
      <c r="E272" s="591"/>
      <c r="G272" s="593"/>
    </row>
    <row r="273" spans="1:7">
      <c r="A273" s="584"/>
      <c r="B273" s="585"/>
      <c r="C273" s="586"/>
      <c r="D273" s="587"/>
      <c r="E273" s="591"/>
      <c r="G273" s="593"/>
    </row>
    <row r="274" spans="1:7">
      <c r="A274" s="584"/>
      <c r="B274" s="585"/>
      <c r="C274" s="586"/>
      <c r="D274" s="587"/>
      <c r="E274" s="591"/>
      <c r="G274" s="593"/>
    </row>
    <row r="275" spans="1:7">
      <c r="A275" s="584"/>
      <c r="B275" s="585"/>
      <c r="C275" s="586"/>
      <c r="D275" s="587"/>
      <c r="E275" s="591"/>
      <c r="G275" s="593"/>
    </row>
    <row r="276" spans="1:7">
      <c r="A276" s="584"/>
      <c r="B276" s="585"/>
      <c r="C276" s="586"/>
      <c r="D276" s="587"/>
      <c r="E276" s="591"/>
      <c r="G276" s="593"/>
    </row>
    <row r="277" spans="1:7">
      <c r="A277" s="584"/>
      <c r="B277" s="585"/>
      <c r="C277" s="586"/>
      <c r="D277" s="587"/>
      <c r="E277" s="591"/>
      <c r="G277" s="593"/>
    </row>
    <row r="278" spans="1:7">
      <c r="A278" s="584"/>
      <c r="B278" s="585"/>
      <c r="C278" s="586"/>
      <c r="D278" s="587"/>
      <c r="E278" s="591"/>
      <c r="G278" s="593"/>
    </row>
    <row r="279" spans="1:7">
      <c r="A279" s="584"/>
      <c r="B279" s="585"/>
      <c r="C279" s="586"/>
      <c r="D279" s="587"/>
      <c r="E279" s="591"/>
      <c r="G279" s="593"/>
    </row>
    <row r="280" spans="1:7">
      <c r="A280" s="584"/>
      <c r="B280" s="585"/>
      <c r="C280" s="586"/>
      <c r="D280" s="587"/>
      <c r="E280" s="591"/>
      <c r="G280" s="593"/>
    </row>
    <row r="281" spans="1:7">
      <c r="A281" s="584"/>
      <c r="B281" s="585"/>
      <c r="C281" s="586"/>
      <c r="D281" s="587"/>
      <c r="E281" s="591"/>
      <c r="G281" s="593"/>
    </row>
    <row r="282" spans="1:7">
      <c r="A282" s="584"/>
      <c r="B282" s="585"/>
      <c r="C282" s="586"/>
      <c r="D282" s="587"/>
      <c r="E282" s="591"/>
      <c r="G282" s="593"/>
    </row>
    <row r="283" spans="1:7">
      <c r="A283" s="584"/>
      <c r="B283" s="585"/>
      <c r="C283" s="586"/>
      <c r="D283" s="587"/>
      <c r="E283" s="591"/>
      <c r="G283" s="593"/>
    </row>
    <row r="284" spans="1:7">
      <c r="A284" s="584"/>
      <c r="B284" s="585"/>
      <c r="C284" s="586"/>
      <c r="D284" s="587"/>
      <c r="E284" s="591"/>
      <c r="G284" s="593"/>
    </row>
    <row r="285" spans="1:7">
      <c r="A285" s="584"/>
      <c r="B285" s="585"/>
      <c r="C285" s="586"/>
      <c r="D285" s="587"/>
      <c r="E285" s="591"/>
      <c r="G285" s="593"/>
    </row>
    <row r="286" spans="1:7">
      <c r="A286" s="584"/>
      <c r="B286" s="585"/>
      <c r="C286" s="586"/>
      <c r="D286" s="587"/>
      <c r="E286" s="591"/>
      <c r="G286" s="593"/>
    </row>
    <row r="287" spans="1:7">
      <c r="A287" s="584"/>
      <c r="B287" s="585"/>
      <c r="C287" s="586"/>
      <c r="D287" s="587"/>
      <c r="E287" s="591"/>
      <c r="G287" s="593"/>
    </row>
    <row r="288" spans="1:7">
      <c r="A288" s="584"/>
      <c r="B288" s="585"/>
      <c r="C288" s="586"/>
      <c r="D288" s="587"/>
      <c r="E288" s="591"/>
      <c r="G288" s="593"/>
    </row>
    <row r="289" spans="1:7">
      <c r="A289" s="584"/>
      <c r="B289" s="585"/>
      <c r="C289" s="586"/>
      <c r="D289" s="587"/>
      <c r="E289" s="591"/>
      <c r="G289" s="593"/>
    </row>
    <row r="290" spans="1:7">
      <c r="A290" s="584"/>
      <c r="B290" s="585"/>
      <c r="C290" s="586"/>
      <c r="D290" s="587"/>
      <c r="E290" s="591"/>
      <c r="G290" s="593"/>
    </row>
    <row r="291" spans="1:7">
      <c r="A291" s="584"/>
      <c r="B291" s="585"/>
      <c r="C291" s="586"/>
      <c r="D291" s="587"/>
      <c r="E291" s="591"/>
      <c r="G291" s="593"/>
    </row>
    <row r="292" spans="1:7">
      <c r="A292" s="584"/>
      <c r="B292" s="585"/>
      <c r="C292" s="586"/>
      <c r="D292" s="587"/>
      <c r="E292" s="591"/>
      <c r="G292" s="593"/>
    </row>
    <row r="293" spans="1:7">
      <c r="A293" s="584"/>
      <c r="B293" s="585"/>
      <c r="C293" s="586"/>
      <c r="D293" s="587"/>
      <c r="E293" s="591"/>
      <c r="G293" s="593"/>
    </row>
    <row r="294" spans="1:7">
      <c r="A294" s="584"/>
      <c r="B294" s="585"/>
      <c r="C294" s="586"/>
      <c r="D294" s="587"/>
      <c r="E294" s="591"/>
      <c r="G294" s="593"/>
    </row>
    <row r="295" spans="1:7">
      <c r="A295" s="584"/>
      <c r="B295" s="585"/>
      <c r="C295" s="586"/>
      <c r="D295" s="587"/>
      <c r="E295" s="591"/>
      <c r="G295" s="593"/>
    </row>
    <row r="296" spans="1:7">
      <c r="A296" s="584"/>
      <c r="B296" s="585"/>
      <c r="C296" s="586"/>
      <c r="D296" s="587"/>
      <c r="E296" s="591"/>
      <c r="G296" s="593"/>
    </row>
    <row r="297" spans="1:7">
      <c r="A297" s="584"/>
      <c r="B297" s="585"/>
      <c r="C297" s="586"/>
      <c r="D297" s="587"/>
      <c r="E297" s="591"/>
      <c r="G297" s="593"/>
    </row>
    <row r="298" spans="1:7">
      <c r="A298" s="584"/>
      <c r="B298" s="585"/>
      <c r="C298" s="586"/>
      <c r="D298" s="587"/>
      <c r="E298" s="591"/>
      <c r="G298" s="593"/>
    </row>
    <row r="299" spans="1:7">
      <c r="A299" s="584"/>
      <c r="B299" s="585"/>
      <c r="C299" s="586"/>
      <c r="D299" s="587"/>
      <c r="E299" s="591"/>
      <c r="G299" s="593"/>
    </row>
    <row r="300" spans="1:7">
      <c r="A300" s="584"/>
      <c r="B300" s="585"/>
      <c r="C300" s="586"/>
      <c r="D300" s="587"/>
      <c r="E300" s="591"/>
      <c r="G300" s="593"/>
    </row>
    <row r="301" spans="1:7">
      <c r="A301" s="584"/>
      <c r="B301" s="585"/>
      <c r="C301" s="586"/>
      <c r="D301" s="587"/>
      <c r="E301" s="591"/>
      <c r="G301" s="593"/>
    </row>
    <row r="302" spans="1:7">
      <c r="A302" s="584"/>
      <c r="B302" s="585"/>
      <c r="C302" s="586"/>
      <c r="D302" s="587"/>
      <c r="E302" s="591"/>
      <c r="G302" s="593"/>
    </row>
    <row r="303" spans="1:7">
      <c r="A303" s="584"/>
      <c r="B303" s="585"/>
      <c r="C303" s="586"/>
      <c r="D303" s="587"/>
      <c r="E303" s="591"/>
      <c r="G303" s="593"/>
    </row>
    <row r="304" spans="1:7">
      <c r="A304" s="584"/>
      <c r="B304" s="585"/>
      <c r="C304" s="586"/>
      <c r="D304" s="587"/>
      <c r="E304" s="591"/>
      <c r="G304" s="593"/>
    </row>
    <row r="305" spans="1:7">
      <c r="A305" s="584"/>
      <c r="B305" s="585"/>
      <c r="C305" s="586"/>
      <c r="D305" s="587"/>
      <c r="E305" s="591"/>
      <c r="G305" s="593"/>
    </row>
    <row r="306" spans="1:7">
      <c r="A306" s="584"/>
      <c r="B306" s="585"/>
      <c r="C306" s="586"/>
      <c r="D306" s="587"/>
      <c r="E306" s="591"/>
      <c r="G306" s="593"/>
    </row>
    <row r="307" spans="1:7">
      <c r="A307" s="584"/>
      <c r="B307" s="585"/>
      <c r="C307" s="586"/>
      <c r="D307" s="587"/>
      <c r="E307" s="591"/>
      <c r="G307" s="593"/>
    </row>
    <row r="308" spans="1:7">
      <c r="A308" s="584"/>
      <c r="B308" s="585"/>
      <c r="C308" s="586"/>
      <c r="D308" s="587"/>
      <c r="E308" s="591"/>
      <c r="G308" s="593"/>
    </row>
    <row r="309" spans="1:7">
      <c r="A309" s="584"/>
      <c r="B309" s="585"/>
      <c r="C309" s="586"/>
      <c r="D309" s="587"/>
      <c r="E309" s="591"/>
      <c r="G309" s="593"/>
    </row>
    <row r="310" spans="1:7">
      <c r="A310" s="584"/>
      <c r="B310" s="585"/>
      <c r="C310" s="586"/>
      <c r="D310" s="587"/>
      <c r="E310" s="591"/>
      <c r="G310" s="593"/>
    </row>
    <row r="311" spans="1:7">
      <c r="A311" s="584"/>
      <c r="B311" s="585"/>
      <c r="C311" s="586"/>
      <c r="D311" s="587"/>
      <c r="E311" s="591"/>
      <c r="G311" s="593"/>
    </row>
    <row r="312" spans="1:7">
      <c r="A312" s="584"/>
      <c r="B312" s="585"/>
      <c r="C312" s="586"/>
      <c r="D312" s="587"/>
      <c r="E312" s="591"/>
      <c r="G312" s="593"/>
    </row>
    <row r="313" spans="1:7">
      <c r="A313" s="584"/>
      <c r="B313" s="585"/>
      <c r="C313" s="586"/>
      <c r="D313" s="587"/>
      <c r="E313" s="591"/>
      <c r="G313" s="593"/>
    </row>
    <row r="314" spans="1:7">
      <c r="A314" s="584"/>
      <c r="B314" s="585"/>
      <c r="C314" s="586"/>
      <c r="D314" s="587"/>
      <c r="E314" s="591"/>
      <c r="G314" s="593"/>
    </row>
    <row r="315" spans="1:7">
      <c r="A315" s="584"/>
      <c r="B315" s="585"/>
      <c r="C315" s="586"/>
      <c r="D315" s="587"/>
      <c r="E315" s="591"/>
      <c r="G315" s="593"/>
    </row>
    <row r="316" spans="1:7">
      <c r="A316" s="584"/>
      <c r="B316" s="585"/>
      <c r="C316" s="586"/>
      <c r="D316" s="587"/>
      <c r="E316" s="591"/>
      <c r="G316" s="593"/>
    </row>
    <row r="317" spans="1:7">
      <c r="A317" s="584"/>
      <c r="B317" s="585"/>
      <c r="C317" s="586"/>
      <c r="D317" s="587"/>
      <c r="E317" s="591"/>
      <c r="G317" s="593"/>
    </row>
    <row r="318" spans="1:7">
      <c r="A318" s="584"/>
      <c r="B318" s="585"/>
      <c r="C318" s="586"/>
      <c r="D318" s="587"/>
      <c r="E318" s="591"/>
      <c r="G318" s="593"/>
    </row>
    <row r="319" spans="1:7">
      <c r="A319" s="584"/>
      <c r="B319" s="585"/>
      <c r="C319" s="586"/>
      <c r="D319" s="587"/>
      <c r="E319" s="591"/>
      <c r="G319" s="593"/>
    </row>
    <row r="320" spans="1:7">
      <c r="A320" s="584"/>
      <c r="B320" s="585"/>
      <c r="C320" s="586"/>
      <c r="D320" s="587"/>
      <c r="E320" s="591"/>
      <c r="G320" s="593"/>
    </row>
    <row r="321" spans="1:7">
      <c r="A321" s="584"/>
      <c r="B321" s="585"/>
      <c r="C321" s="586"/>
      <c r="D321" s="587"/>
      <c r="E321" s="591"/>
      <c r="G321" s="593"/>
    </row>
    <row r="322" spans="1:7">
      <c r="A322" s="584"/>
      <c r="B322" s="585"/>
      <c r="C322" s="586"/>
      <c r="D322" s="587"/>
      <c r="E322" s="591"/>
      <c r="G322" s="593"/>
    </row>
    <row r="323" spans="1:7">
      <c r="A323" s="584"/>
      <c r="B323" s="585"/>
      <c r="C323" s="586"/>
      <c r="D323" s="587"/>
      <c r="E323" s="591"/>
      <c r="G323" s="593"/>
    </row>
    <row r="324" spans="1:7">
      <c r="A324" s="584"/>
      <c r="B324" s="585"/>
      <c r="C324" s="586"/>
      <c r="D324" s="587"/>
      <c r="E324" s="591"/>
      <c r="G324" s="593"/>
    </row>
    <row r="325" spans="1:7">
      <c r="A325" s="584"/>
      <c r="B325" s="585"/>
      <c r="C325" s="586"/>
      <c r="D325" s="587"/>
      <c r="E325" s="591"/>
      <c r="G325" s="593"/>
    </row>
    <row r="326" spans="1:7">
      <c r="A326" s="584"/>
      <c r="B326" s="585"/>
      <c r="C326" s="586"/>
      <c r="D326" s="587"/>
      <c r="E326" s="591"/>
      <c r="G326" s="593"/>
    </row>
    <row r="327" spans="1:7">
      <c r="A327" s="584"/>
      <c r="B327" s="585"/>
      <c r="C327" s="586"/>
      <c r="D327" s="587"/>
      <c r="E327" s="591"/>
      <c r="G327" s="593"/>
    </row>
    <row r="328" spans="1:7">
      <c r="A328" s="584"/>
      <c r="B328" s="585"/>
      <c r="C328" s="586"/>
      <c r="D328" s="587"/>
      <c r="E328" s="591"/>
      <c r="G328" s="593"/>
    </row>
    <row r="329" spans="1:7">
      <c r="A329" s="584"/>
      <c r="B329" s="585"/>
      <c r="C329" s="586"/>
      <c r="D329" s="587"/>
      <c r="E329" s="591"/>
      <c r="G329" s="593"/>
    </row>
    <row r="330" spans="1:7">
      <c r="A330" s="584"/>
      <c r="B330" s="585"/>
      <c r="C330" s="586"/>
      <c r="D330" s="587"/>
      <c r="E330" s="591"/>
      <c r="G330" s="593"/>
    </row>
    <row r="331" spans="1:7">
      <c r="A331" s="584"/>
      <c r="B331" s="585"/>
      <c r="C331" s="586"/>
      <c r="D331" s="587"/>
      <c r="E331" s="591"/>
      <c r="G331" s="593"/>
    </row>
    <row r="332" spans="1:7">
      <c r="A332" s="584"/>
      <c r="B332" s="585"/>
      <c r="C332" s="586"/>
      <c r="D332" s="587"/>
      <c r="E332" s="591"/>
      <c r="G332" s="593"/>
    </row>
    <row r="333" spans="1:7">
      <c r="A333" s="584"/>
      <c r="B333" s="585"/>
      <c r="C333" s="586"/>
      <c r="D333" s="587"/>
      <c r="E333" s="591"/>
      <c r="G333" s="593"/>
    </row>
    <row r="334" spans="1:7">
      <c r="A334" s="584"/>
      <c r="B334" s="585"/>
      <c r="C334" s="586"/>
      <c r="D334" s="587"/>
      <c r="E334" s="591"/>
      <c r="G334" s="593"/>
    </row>
    <row r="335" spans="1:7">
      <c r="A335" s="584"/>
      <c r="B335" s="585"/>
      <c r="C335" s="586"/>
      <c r="D335" s="587"/>
      <c r="E335" s="591"/>
      <c r="G335" s="593"/>
    </row>
    <row r="336" spans="1:7">
      <c r="A336" s="584"/>
      <c r="B336" s="585"/>
      <c r="C336" s="586"/>
      <c r="D336" s="587"/>
      <c r="E336" s="591"/>
      <c r="G336" s="593"/>
    </row>
    <row r="337" spans="1:7">
      <c r="A337" s="584"/>
      <c r="B337" s="585"/>
      <c r="C337" s="586"/>
      <c r="D337" s="587"/>
      <c r="E337" s="591"/>
      <c r="G337" s="593"/>
    </row>
    <row r="338" spans="1:7">
      <c r="A338" s="584"/>
      <c r="B338" s="585"/>
      <c r="C338" s="586"/>
      <c r="D338" s="587"/>
      <c r="E338" s="591"/>
      <c r="G338" s="593"/>
    </row>
    <row r="339" spans="1:7">
      <c r="A339" s="584"/>
      <c r="B339" s="585"/>
      <c r="C339" s="586"/>
      <c r="D339" s="587"/>
      <c r="E339" s="591"/>
      <c r="G339" s="593"/>
    </row>
    <row r="340" spans="1:7">
      <c r="A340" s="584"/>
      <c r="B340" s="585"/>
      <c r="C340" s="586"/>
      <c r="D340" s="587"/>
      <c r="E340" s="591"/>
      <c r="G340" s="593"/>
    </row>
    <row r="341" spans="1:7">
      <c r="A341" s="584"/>
      <c r="B341" s="585"/>
      <c r="C341" s="586"/>
      <c r="D341" s="587"/>
      <c r="E341" s="591"/>
      <c r="G341" s="593"/>
    </row>
    <row r="342" spans="1:7">
      <c r="A342" s="584"/>
      <c r="B342" s="585"/>
      <c r="C342" s="586"/>
      <c r="D342" s="587"/>
      <c r="E342" s="591"/>
      <c r="G342" s="593"/>
    </row>
    <row r="343" spans="1:7">
      <c r="A343" s="584"/>
      <c r="B343" s="585"/>
      <c r="C343" s="586"/>
      <c r="D343" s="587"/>
      <c r="E343" s="591"/>
      <c r="G343" s="593"/>
    </row>
    <row r="344" spans="1:7">
      <c r="A344" s="584"/>
      <c r="B344" s="585"/>
      <c r="C344" s="586"/>
      <c r="D344" s="587"/>
      <c r="E344" s="591"/>
      <c r="G344" s="593"/>
    </row>
    <row r="345" spans="1:7">
      <c r="A345" s="584"/>
      <c r="B345" s="585"/>
      <c r="C345" s="586"/>
      <c r="D345" s="587"/>
      <c r="E345" s="591"/>
      <c r="G345" s="593"/>
    </row>
    <row r="346" spans="1:7">
      <c r="A346" s="584"/>
      <c r="B346" s="585"/>
      <c r="C346" s="586"/>
      <c r="D346" s="587"/>
      <c r="E346" s="591"/>
      <c r="G346" s="593"/>
    </row>
    <row r="347" spans="1:7">
      <c r="A347" s="584"/>
      <c r="B347" s="585"/>
      <c r="C347" s="586"/>
      <c r="D347" s="587"/>
      <c r="E347" s="591"/>
      <c r="G347" s="593"/>
    </row>
    <row r="348" spans="1:7">
      <c r="A348" s="584"/>
      <c r="B348" s="585"/>
      <c r="C348" s="586"/>
      <c r="D348" s="587"/>
      <c r="E348" s="591"/>
      <c r="G348" s="593"/>
    </row>
    <row r="349" spans="1:7">
      <c r="A349" s="584"/>
      <c r="B349" s="585"/>
      <c r="C349" s="586"/>
      <c r="D349" s="587"/>
      <c r="E349" s="591"/>
      <c r="G349" s="593"/>
    </row>
    <row r="350" spans="1:7">
      <c r="A350" s="584"/>
      <c r="B350" s="585"/>
      <c r="C350" s="586"/>
      <c r="D350" s="587"/>
      <c r="E350" s="591"/>
      <c r="G350" s="593"/>
    </row>
    <row r="351" spans="1:7">
      <c r="A351" s="584"/>
      <c r="B351" s="585"/>
      <c r="C351" s="586"/>
      <c r="D351" s="587"/>
      <c r="E351" s="591"/>
      <c r="G351" s="593"/>
    </row>
    <row r="352" spans="1:7">
      <c r="A352" s="584"/>
      <c r="B352" s="585"/>
      <c r="C352" s="586"/>
      <c r="D352" s="587"/>
      <c r="E352" s="591"/>
      <c r="G352" s="593"/>
    </row>
    <row r="353" spans="1:7">
      <c r="A353" s="584"/>
      <c r="B353" s="585"/>
      <c r="C353" s="586"/>
      <c r="D353" s="587"/>
      <c r="E353" s="591"/>
      <c r="G353" s="593"/>
    </row>
    <row r="354" spans="1:7">
      <c r="A354" s="584"/>
      <c r="B354" s="585"/>
      <c r="C354" s="586"/>
      <c r="D354" s="587"/>
      <c r="E354" s="591"/>
      <c r="G354" s="593"/>
    </row>
    <row r="355" spans="1:7">
      <c r="A355" s="584"/>
      <c r="B355" s="585"/>
      <c r="C355" s="586"/>
      <c r="D355" s="587"/>
      <c r="E355" s="591"/>
      <c r="G355" s="593"/>
    </row>
    <row r="356" spans="1:7">
      <c r="A356" s="584"/>
      <c r="B356" s="585"/>
      <c r="C356" s="586"/>
      <c r="D356" s="587"/>
      <c r="E356" s="591"/>
      <c r="G356" s="593"/>
    </row>
    <row r="357" spans="1:7">
      <c r="A357" s="584"/>
      <c r="B357" s="585"/>
      <c r="C357" s="586"/>
      <c r="D357" s="587"/>
      <c r="E357" s="591"/>
      <c r="G357" s="593"/>
    </row>
    <row r="358" spans="1:7">
      <c r="A358" s="584"/>
      <c r="B358" s="585"/>
      <c r="C358" s="586"/>
      <c r="D358" s="587"/>
      <c r="E358" s="591"/>
      <c r="G358" s="593"/>
    </row>
    <row r="359" spans="1:7">
      <c r="A359" s="584"/>
      <c r="B359" s="585"/>
      <c r="C359" s="586"/>
      <c r="D359" s="587"/>
      <c r="E359" s="591"/>
      <c r="G359" s="593"/>
    </row>
    <row r="360" spans="1:7">
      <c r="A360" s="584"/>
      <c r="B360" s="585"/>
      <c r="C360" s="586"/>
      <c r="D360" s="587"/>
      <c r="E360" s="591"/>
      <c r="G360" s="593"/>
    </row>
    <row r="361" spans="1:7">
      <c r="A361" s="584"/>
      <c r="B361" s="585"/>
      <c r="C361" s="586"/>
      <c r="D361" s="587"/>
      <c r="E361" s="591"/>
      <c r="G361" s="593"/>
    </row>
    <row r="362" spans="1:7">
      <c r="A362" s="584"/>
      <c r="B362" s="585"/>
      <c r="C362" s="586"/>
      <c r="D362" s="587"/>
      <c r="E362" s="591"/>
      <c r="G362" s="593"/>
    </row>
    <row r="363" spans="1:7">
      <c r="A363" s="584"/>
      <c r="B363" s="585"/>
      <c r="C363" s="586"/>
      <c r="D363" s="587"/>
      <c r="E363" s="591"/>
      <c r="G363" s="593"/>
    </row>
    <row r="364" spans="1:7">
      <c r="A364" s="584"/>
      <c r="B364" s="585"/>
      <c r="C364" s="586"/>
      <c r="D364" s="587"/>
      <c r="E364" s="591"/>
      <c r="G364" s="593"/>
    </row>
    <row r="365" spans="1:7">
      <c r="A365" s="584"/>
      <c r="B365" s="585"/>
      <c r="C365" s="586"/>
      <c r="D365" s="587"/>
      <c r="E365" s="591"/>
      <c r="G365" s="593"/>
    </row>
    <row r="366" spans="1:7">
      <c r="A366" s="584"/>
      <c r="B366" s="585"/>
      <c r="C366" s="586"/>
      <c r="D366" s="587"/>
      <c r="E366" s="591"/>
      <c r="G366" s="593"/>
    </row>
    <row r="367" spans="1:7">
      <c r="A367" s="584"/>
      <c r="B367" s="585"/>
      <c r="C367" s="586"/>
      <c r="D367" s="587"/>
      <c r="E367" s="591"/>
      <c r="G367" s="593"/>
    </row>
    <row r="368" spans="1:7">
      <c r="A368" s="584"/>
      <c r="B368" s="585"/>
      <c r="C368" s="586"/>
      <c r="D368" s="587"/>
      <c r="E368" s="591"/>
      <c r="G368" s="593"/>
    </row>
    <row r="369" spans="1:7">
      <c r="A369" s="584"/>
      <c r="B369" s="585"/>
      <c r="C369" s="586"/>
      <c r="D369" s="587"/>
      <c r="E369" s="591"/>
      <c r="G369" s="593"/>
    </row>
    <row r="370" spans="1:7">
      <c r="A370" s="584"/>
      <c r="B370" s="585"/>
      <c r="C370" s="586"/>
      <c r="D370" s="587"/>
      <c r="E370" s="591"/>
      <c r="G370" s="593"/>
    </row>
    <row r="371" spans="1:7">
      <c r="A371" s="584"/>
      <c r="B371" s="585"/>
      <c r="C371" s="586"/>
      <c r="D371" s="587"/>
      <c r="E371" s="591"/>
      <c r="G371" s="593"/>
    </row>
    <row r="372" spans="1:7">
      <c r="A372" s="584"/>
      <c r="B372" s="585"/>
      <c r="C372" s="586"/>
      <c r="D372" s="587"/>
      <c r="E372" s="591"/>
      <c r="G372" s="593"/>
    </row>
    <row r="373" spans="1:7">
      <c r="A373" s="584"/>
      <c r="B373" s="585"/>
      <c r="C373" s="586"/>
      <c r="D373" s="587"/>
      <c r="E373" s="591"/>
      <c r="G373" s="593"/>
    </row>
    <row r="374" spans="1:7">
      <c r="A374" s="584"/>
      <c r="B374" s="585"/>
      <c r="C374" s="586"/>
      <c r="D374" s="587"/>
      <c r="E374" s="591"/>
      <c r="G374" s="593"/>
    </row>
    <row r="375" spans="1:7">
      <c r="A375" s="584"/>
      <c r="B375" s="585"/>
      <c r="C375" s="586"/>
      <c r="D375" s="587"/>
      <c r="E375" s="591"/>
      <c r="G375" s="593"/>
    </row>
    <row r="376" spans="1:7">
      <c r="A376" s="584"/>
      <c r="B376" s="585"/>
      <c r="C376" s="586"/>
      <c r="D376" s="587"/>
      <c r="E376" s="591"/>
      <c r="G376" s="593"/>
    </row>
    <row r="377" spans="1:7">
      <c r="A377" s="584"/>
      <c r="B377" s="585"/>
      <c r="C377" s="586"/>
      <c r="D377" s="587"/>
      <c r="E377" s="591"/>
      <c r="G377" s="593"/>
    </row>
    <row r="378" spans="1:7">
      <c r="A378" s="584"/>
      <c r="B378" s="585"/>
      <c r="C378" s="586"/>
      <c r="D378" s="587"/>
      <c r="E378" s="591"/>
      <c r="G378" s="593"/>
    </row>
    <row r="379" spans="1:7">
      <c r="A379" s="584"/>
      <c r="B379" s="585"/>
      <c r="C379" s="586"/>
      <c r="D379" s="587"/>
      <c r="E379" s="591"/>
      <c r="G379" s="593"/>
    </row>
    <row r="380" spans="1:7">
      <c r="A380" s="584"/>
      <c r="B380" s="585"/>
      <c r="C380" s="586"/>
      <c r="D380" s="587"/>
      <c r="E380" s="591"/>
      <c r="G380" s="593"/>
    </row>
    <row r="381" spans="1:7">
      <c r="A381" s="584"/>
      <c r="B381" s="585"/>
      <c r="C381" s="586"/>
      <c r="D381" s="587"/>
      <c r="E381" s="591"/>
      <c r="G381" s="593"/>
    </row>
    <row r="382" spans="1:7">
      <c r="A382" s="584"/>
      <c r="B382" s="585"/>
      <c r="C382" s="586"/>
      <c r="D382" s="587"/>
      <c r="E382" s="591"/>
      <c r="G382" s="593"/>
    </row>
    <row r="383" spans="1:7">
      <c r="A383" s="584"/>
      <c r="B383" s="585"/>
      <c r="C383" s="586"/>
      <c r="D383" s="587"/>
      <c r="E383" s="591"/>
      <c r="G383" s="593"/>
    </row>
    <row r="384" spans="1:7">
      <c r="A384" s="584"/>
      <c r="B384" s="585"/>
      <c r="C384" s="586"/>
      <c r="D384" s="587"/>
      <c r="E384" s="591"/>
      <c r="G384" s="593"/>
    </row>
    <row r="385" spans="1:7">
      <c r="A385" s="584"/>
      <c r="B385" s="585"/>
      <c r="C385" s="586"/>
      <c r="D385" s="587"/>
      <c r="E385" s="591"/>
      <c r="G385" s="593"/>
    </row>
    <row r="386" spans="1:7">
      <c r="A386" s="584"/>
      <c r="B386" s="585"/>
      <c r="C386" s="586"/>
      <c r="D386" s="587"/>
      <c r="E386" s="591"/>
      <c r="G386" s="593"/>
    </row>
    <row r="387" spans="1:7">
      <c r="A387" s="584"/>
      <c r="B387" s="585"/>
      <c r="C387" s="586"/>
      <c r="D387" s="587"/>
      <c r="E387" s="591"/>
      <c r="G387" s="593"/>
    </row>
    <row r="388" spans="1:7">
      <c r="A388" s="584"/>
      <c r="B388" s="585"/>
      <c r="C388" s="586"/>
      <c r="D388" s="587"/>
      <c r="E388" s="591"/>
      <c r="G388" s="593"/>
    </row>
    <row r="389" spans="1:7">
      <c r="A389" s="584"/>
      <c r="B389" s="585"/>
      <c r="C389" s="586"/>
      <c r="D389" s="587"/>
      <c r="E389" s="591"/>
      <c r="G389" s="593"/>
    </row>
    <row r="390" spans="1:7">
      <c r="A390" s="584"/>
      <c r="B390" s="585"/>
      <c r="C390" s="586"/>
      <c r="D390" s="587"/>
      <c r="E390" s="591"/>
      <c r="G390" s="593"/>
    </row>
    <row r="391" spans="1:7">
      <c r="A391" s="584"/>
      <c r="B391" s="585"/>
      <c r="C391" s="586"/>
      <c r="D391" s="587"/>
      <c r="E391" s="591"/>
      <c r="G391" s="593"/>
    </row>
    <row r="392" spans="1:7">
      <c r="A392" s="584"/>
      <c r="B392" s="585"/>
      <c r="C392" s="586"/>
      <c r="D392" s="587"/>
      <c r="E392" s="591"/>
      <c r="G392" s="593"/>
    </row>
    <row r="393" spans="1:7">
      <c r="A393" s="584"/>
      <c r="B393" s="585"/>
      <c r="C393" s="586"/>
      <c r="D393" s="587"/>
      <c r="E393" s="591"/>
      <c r="G393" s="593"/>
    </row>
    <row r="394" spans="1:7">
      <c r="A394" s="584"/>
      <c r="B394" s="585"/>
      <c r="C394" s="586"/>
      <c r="D394" s="587"/>
      <c r="E394" s="591"/>
      <c r="G394" s="593"/>
    </row>
    <row r="395" spans="1:7">
      <c r="A395" s="584"/>
      <c r="B395" s="585"/>
      <c r="C395" s="586"/>
      <c r="D395" s="587"/>
      <c r="E395" s="591"/>
      <c r="G395" s="593"/>
    </row>
    <row r="396" spans="1:7">
      <c r="A396" s="584"/>
      <c r="B396" s="585"/>
      <c r="C396" s="586"/>
      <c r="D396" s="587"/>
      <c r="E396" s="591"/>
      <c r="G396" s="593"/>
    </row>
    <row r="397" spans="1:7">
      <c r="A397" s="584"/>
      <c r="B397" s="585"/>
      <c r="C397" s="586"/>
      <c r="D397" s="587"/>
      <c r="E397" s="591"/>
      <c r="G397" s="593"/>
    </row>
    <row r="398" spans="1:7">
      <c r="A398" s="584"/>
      <c r="B398" s="585"/>
      <c r="C398" s="586"/>
      <c r="D398" s="587"/>
      <c r="E398" s="591"/>
      <c r="G398" s="593"/>
    </row>
    <row r="399" spans="1:7">
      <c r="A399" s="584"/>
      <c r="B399" s="585"/>
      <c r="C399" s="586"/>
      <c r="D399" s="587"/>
      <c r="E399" s="591"/>
      <c r="G399" s="593"/>
    </row>
    <row r="400" spans="1:7">
      <c r="A400" s="584"/>
      <c r="B400" s="585"/>
      <c r="C400" s="586"/>
      <c r="D400" s="587"/>
      <c r="E400" s="591"/>
      <c r="G400" s="593"/>
    </row>
    <row r="401" spans="1:7">
      <c r="A401" s="584"/>
      <c r="B401" s="585"/>
      <c r="C401" s="586"/>
      <c r="D401" s="587"/>
      <c r="E401" s="591"/>
      <c r="G401" s="593"/>
    </row>
    <row r="402" spans="1:7">
      <c r="A402" s="584"/>
      <c r="B402" s="585"/>
      <c r="C402" s="586"/>
      <c r="D402" s="587"/>
      <c r="E402" s="591"/>
      <c r="G402" s="593"/>
    </row>
    <row r="403" spans="1:7">
      <c r="A403" s="584"/>
      <c r="B403" s="585"/>
      <c r="C403" s="586"/>
      <c r="D403" s="587"/>
      <c r="E403" s="591"/>
      <c r="G403" s="593"/>
    </row>
    <row r="404" spans="1:7">
      <c r="A404" s="584"/>
      <c r="B404" s="585"/>
      <c r="C404" s="586"/>
      <c r="D404" s="587"/>
      <c r="E404" s="591"/>
      <c r="G404" s="593"/>
    </row>
    <row r="405" spans="1:7">
      <c r="A405" s="584"/>
      <c r="B405" s="585"/>
      <c r="C405" s="586"/>
      <c r="D405" s="587"/>
      <c r="E405" s="591"/>
      <c r="G405" s="593"/>
    </row>
    <row r="406" spans="1:7">
      <c r="A406" s="584"/>
      <c r="B406" s="585"/>
      <c r="C406" s="586"/>
      <c r="D406" s="587"/>
      <c r="E406" s="591"/>
      <c r="G406" s="593"/>
    </row>
    <row r="407" spans="1:7">
      <c r="A407" s="584"/>
      <c r="B407" s="585"/>
      <c r="C407" s="586"/>
      <c r="D407" s="587"/>
      <c r="E407" s="591"/>
      <c r="G407" s="593"/>
    </row>
    <row r="408" spans="1:7">
      <c r="A408" s="584"/>
      <c r="B408" s="585"/>
      <c r="C408" s="586"/>
      <c r="D408" s="587"/>
      <c r="E408" s="591"/>
      <c r="G408" s="593"/>
    </row>
    <row r="409" spans="1:7">
      <c r="A409" s="584"/>
      <c r="B409" s="585"/>
      <c r="C409" s="586"/>
      <c r="D409" s="587"/>
      <c r="E409" s="591"/>
      <c r="G409" s="593"/>
    </row>
    <row r="410" spans="1:7">
      <c r="A410" s="584"/>
      <c r="B410" s="585"/>
      <c r="C410" s="586"/>
      <c r="D410" s="587"/>
      <c r="E410" s="591"/>
      <c r="G410" s="593"/>
    </row>
    <row r="411" spans="1:7">
      <c r="A411" s="584"/>
      <c r="B411" s="585"/>
      <c r="C411" s="586"/>
      <c r="D411" s="587"/>
      <c r="E411" s="591"/>
      <c r="G411" s="593"/>
    </row>
    <row r="412" spans="1:7">
      <c r="A412" s="584"/>
      <c r="B412" s="585"/>
      <c r="C412" s="586"/>
      <c r="D412" s="587"/>
      <c r="E412" s="591"/>
      <c r="G412" s="593"/>
    </row>
    <row r="413" spans="1:7">
      <c r="A413" s="584"/>
      <c r="B413" s="585"/>
      <c r="C413" s="586"/>
      <c r="D413" s="587"/>
      <c r="E413" s="591"/>
      <c r="G413" s="593"/>
    </row>
    <row r="414" spans="1:7">
      <c r="A414" s="584"/>
      <c r="B414" s="585"/>
      <c r="C414" s="586"/>
      <c r="D414" s="587"/>
      <c r="E414" s="591"/>
      <c r="G414" s="593"/>
    </row>
    <row r="415" spans="1:7">
      <c r="A415" s="584"/>
      <c r="B415" s="585"/>
      <c r="C415" s="586"/>
      <c r="D415" s="587"/>
      <c r="E415" s="591"/>
      <c r="G415" s="593"/>
    </row>
    <row r="416" spans="1:7">
      <c r="A416" s="584"/>
      <c r="B416" s="585"/>
      <c r="C416" s="586"/>
      <c r="D416" s="587"/>
      <c r="E416" s="591"/>
      <c r="G416" s="593"/>
    </row>
    <row r="417" spans="1:7">
      <c r="A417" s="584"/>
      <c r="B417" s="585"/>
      <c r="C417" s="586"/>
      <c r="D417" s="587"/>
      <c r="E417" s="591"/>
      <c r="G417" s="593"/>
    </row>
    <row r="418" spans="1:7">
      <c r="A418" s="584"/>
      <c r="B418" s="585"/>
      <c r="C418" s="586"/>
      <c r="D418" s="587"/>
      <c r="E418" s="591"/>
      <c r="G418" s="593"/>
    </row>
    <row r="419" spans="1:7">
      <c r="A419" s="584"/>
      <c r="B419" s="585"/>
      <c r="C419" s="586"/>
      <c r="D419" s="587"/>
      <c r="E419" s="591"/>
      <c r="G419" s="593"/>
    </row>
    <row r="420" spans="1:7">
      <c r="A420" s="584"/>
      <c r="B420" s="585"/>
      <c r="C420" s="586"/>
      <c r="D420" s="587"/>
      <c r="E420" s="591"/>
      <c r="G420" s="593"/>
    </row>
    <row r="421" spans="1:7">
      <c r="A421" s="584"/>
      <c r="B421" s="585"/>
      <c r="C421" s="586"/>
      <c r="D421" s="587"/>
      <c r="E421" s="591"/>
      <c r="G421" s="593"/>
    </row>
    <row r="422" spans="1:7">
      <c r="A422" s="584"/>
      <c r="B422" s="585"/>
      <c r="C422" s="586"/>
      <c r="D422" s="587"/>
      <c r="E422" s="591"/>
      <c r="G422" s="593"/>
    </row>
    <row r="423" spans="1:7">
      <c r="A423" s="584"/>
      <c r="B423" s="585"/>
      <c r="C423" s="586"/>
      <c r="D423" s="587"/>
      <c r="E423" s="591"/>
      <c r="G423" s="593"/>
    </row>
    <row r="424" spans="1:7">
      <c r="A424" s="584"/>
      <c r="B424" s="585"/>
      <c r="C424" s="586"/>
      <c r="D424" s="587"/>
      <c r="E424" s="591"/>
      <c r="G424" s="593"/>
    </row>
    <row r="425" spans="1:7">
      <c r="A425" s="584"/>
      <c r="B425" s="585"/>
      <c r="C425" s="586"/>
      <c r="D425" s="587"/>
      <c r="E425" s="591"/>
      <c r="G425" s="593"/>
    </row>
    <row r="426" spans="1:7">
      <c r="A426" s="584"/>
      <c r="B426" s="585"/>
      <c r="C426" s="586"/>
      <c r="D426" s="587"/>
      <c r="E426" s="591"/>
      <c r="G426" s="593"/>
    </row>
    <row r="427" spans="1:7">
      <c r="A427" s="584"/>
      <c r="B427" s="585"/>
      <c r="C427" s="586"/>
      <c r="D427" s="587"/>
      <c r="E427" s="591"/>
      <c r="G427" s="593"/>
    </row>
    <row r="428" spans="1:7">
      <c r="A428" s="584"/>
      <c r="B428" s="585"/>
      <c r="C428" s="586"/>
      <c r="D428" s="587"/>
      <c r="E428" s="591"/>
      <c r="G428" s="593"/>
    </row>
    <row r="429" spans="1:7">
      <c r="A429" s="584"/>
      <c r="B429" s="585"/>
      <c r="C429" s="586"/>
      <c r="D429" s="587"/>
      <c r="E429" s="591"/>
      <c r="G429" s="593"/>
    </row>
    <row r="430" spans="1:7">
      <c r="A430" s="584"/>
      <c r="B430" s="585"/>
      <c r="C430" s="586"/>
      <c r="D430" s="587"/>
      <c r="E430" s="591"/>
      <c r="G430" s="593"/>
    </row>
    <row r="431" spans="1:7">
      <c r="A431" s="584"/>
      <c r="B431" s="585"/>
      <c r="C431" s="586"/>
      <c r="D431" s="587"/>
      <c r="E431" s="591"/>
      <c r="G431" s="593"/>
    </row>
    <row r="432" spans="1:7">
      <c r="A432" s="584"/>
      <c r="B432" s="585"/>
      <c r="C432" s="586"/>
      <c r="D432" s="587"/>
      <c r="E432" s="591"/>
      <c r="G432" s="593"/>
    </row>
    <row r="433" spans="1:7">
      <c r="A433" s="584"/>
      <c r="B433" s="585"/>
      <c r="C433" s="586"/>
      <c r="D433" s="587"/>
      <c r="E433" s="591"/>
      <c r="G433" s="593"/>
    </row>
    <row r="434" spans="1:7">
      <c r="A434" s="584"/>
      <c r="B434" s="585"/>
      <c r="C434" s="586"/>
      <c r="D434" s="587"/>
      <c r="E434" s="591"/>
      <c r="G434" s="593"/>
    </row>
    <row r="435" spans="1:7">
      <c r="A435" s="584"/>
      <c r="B435" s="585"/>
      <c r="C435" s="586"/>
      <c r="D435" s="587"/>
      <c r="E435" s="591"/>
      <c r="G435" s="593"/>
    </row>
    <row r="436" spans="1:7">
      <c r="A436" s="584"/>
      <c r="B436" s="585"/>
      <c r="C436" s="586"/>
      <c r="D436" s="587"/>
      <c r="E436" s="591"/>
      <c r="G436" s="593"/>
    </row>
    <row r="437" spans="1:7">
      <c r="A437" s="584"/>
      <c r="B437" s="585"/>
      <c r="C437" s="586"/>
      <c r="D437" s="587"/>
      <c r="E437" s="591"/>
      <c r="G437" s="593"/>
    </row>
    <row r="438" spans="1:7">
      <c r="A438" s="584"/>
      <c r="B438" s="585"/>
      <c r="C438" s="586"/>
      <c r="D438" s="587"/>
      <c r="E438" s="591"/>
      <c r="G438" s="593"/>
    </row>
    <row r="439" spans="1:7">
      <c r="A439" s="584"/>
      <c r="B439" s="585"/>
      <c r="C439" s="586"/>
      <c r="D439" s="587"/>
      <c r="E439" s="591"/>
      <c r="G439" s="593"/>
    </row>
    <row r="440" spans="1:7">
      <c r="A440" s="584"/>
      <c r="B440" s="585"/>
      <c r="C440" s="586"/>
      <c r="D440" s="587"/>
      <c r="E440" s="591"/>
      <c r="G440" s="593"/>
    </row>
    <row r="441" spans="1:7">
      <c r="A441" s="584"/>
      <c r="B441" s="585"/>
      <c r="C441" s="586"/>
      <c r="D441" s="587"/>
      <c r="E441" s="591"/>
      <c r="G441" s="593"/>
    </row>
    <row r="442" spans="1:7">
      <c r="A442" s="584"/>
      <c r="B442" s="585"/>
      <c r="C442" s="586"/>
      <c r="D442" s="587"/>
      <c r="E442" s="591"/>
      <c r="G442" s="593"/>
    </row>
    <row r="443" spans="1:7">
      <c r="A443" s="584"/>
      <c r="B443" s="585"/>
      <c r="C443" s="586"/>
      <c r="D443" s="587"/>
      <c r="E443" s="591"/>
      <c r="G443" s="593"/>
    </row>
    <row r="444" spans="1:7">
      <c r="A444" s="584"/>
      <c r="B444" s="585"/>
      <c r="C444" s="586"/>
      <c r="D444" s="587"/>
      <c r="E444" s="591"/>
      <c r="G444" s="593"/>
    </row>
    <row r="445" spans="1:7">
      <c r="A445" s="584"/>
      <c r="B445" s="585"/>
      <c r="C445" s="586"/>
      <c r="D445" s="587"/>
      <c r="E445" s="591"/>
      <c r="G445" s="593"/>
    </row>
    <row r="446" spans="1:7">
      <c r="A446" s="584"/>
      <c r="B446" s="585"/>
      <c r="C446" s="586"/>
      <c r="D446" s="587"/>
      <c r="E446" s="591"/>
      <c r="G446" s="593"/>
    </row>
    <row r="447" spans="1:7">
      <c r="A447" s="584"/>
      <c r="B447" s="585"/>
      <c r="C447" s="586"/>
      <c r="D447" s="587"/>
      <c r="E447" s="591"/>
      <c r="G447" s="593"/>
    </row>
    <row r="448" spans="1:7">
      <c r="A448" s="584"/>
      <c r="B448" s="585"/>
      <c r="C448" s="586"/>
      <c r="D448" s="587"/>
      <c r="E448" s="591"/>
      <c r="G448" s="593"/>
    </row>
    <row r="449" spans="1:7">
      <c r="A449" s="584"/>
      <c r="B449" s="585"/>
      <c r="C449" s="586"/>
      <c r="D449" s="587"/>
      <c r="E449" s="591"/>
      <c r="G449" s="593"/>
    </row>
    <row r="450" spans="1:7">
      <c r="A450" s="584"/>
      <c r="B450" s="585"/>
      <c r="C450" s="586"/>
      <c r="D450" s="587"/>
      <c r="E450" s="591"/>
      <c r="G450" s="593"/>
    </row>
    <row r="451" spans="1:7">
      <c r="A451" s="584"/>
      <c r="B451" s="585"/>
      <c r="C451" s="586"/>
      <c r="D451" s="587"/>
      <c r="E451" s="591"/>
      <c r="G451" s="593"/>
    </row>
    <row r="452" spans="1:7">
      <c r="A452" s="584"/>
      <c r="B452" s="585"/>
      <c r="C452" s="586"/>
      <c r="D452" s="587"/>
      <c r="E452" s="591"/>
      <c r="G452" s="593"/>
    </row>
    <row r="453" spans="1:7">
      <c r="A453" s="584"/>
      <c r="B453" s="585"/>
      <c r="C453" s="586"/>
      <c r="D453" s="587"/>
      <c r="E453" s="591"/>
      <c r="G453" s="593"/>
    </row>
    <row r="454" spans="1:7">
      <c r="A454" s="584"/>
      <c r="B454" s="585"/>
      <c r="C454" s="586"/>
      <c r="D454" s="587"/>
      <c r="E454" s="591"/>
      <c r="G454" s="593"/>
    </row>
    <row r="455" spans="1:7">
      <c r="A455" s="584"/>
      <c r="B455" s="585"/>
      <c r="C455" s="586"/>
      <c r="D455" s="587"/>
      <c r="E455" s="591"/>
      <c r="G455" s="593"/>
    </row>
    <row r="456" spans="1:7">
      <c r="A456" s="584"/>
      <c r="B456" s="585"/>
      <c r="C456" s="586"/>
      <c r="D456" s="587"/>
      <c r="E456" s="591"/>
      <c r="G456" s="593"/>
    </row>
    <row r="457" spans="1:7">
      <c r="A457" s="584"/>
      <c r="B457" s="585"/>
      <c r="C457" s="586"/>
      <c r="D457" s="587"/>
      <c r="E457" s="591"/>
      <c r="G457" s="593"/>
    </row>
    <row r="458" spans="1:7">
      <c r="A458" s="584"/>
      <c r="B458" s="585"/>
      <c r="C458" s="586"/>
      <c r="D458" s="587"/>
      <c r="E458" s="591"/>
      <c r="G458" s="593"/>
    </row>
    <row r="459" spans="1:7">
      <c r="A459" s="584"/>
      <c r="B459" s="585"/>
      <c r="C459" s="586"/>
      <c r="D459" s="587"/>
      <c r="E459" s="591"/>
      <c r="G459" s="593"/>
    </row>
    <row r="460" spans="1:7">
      <c r="A460" s="584"/>
      <c r="B460" s="585"/>
      <c r="C460" s="586"/>
      <c r="D460" s="587"/>
      <c r="E460" s="591"/>
      <c r="G460" s="593"/>
    </row>
    <row r="461" spans="1:7">
      <c r="A461" s="584"/>
      <c r="B461" s="585"/>
      <c r="C461" s="586"/>
      <c r="D461" s="587"/>
      <c r="E461" s="591"/>
      <c r="G461" s="593"/>
    </row>
    <row r="462" spans="1:7">
      <c r="A462" s="584"/>
      <c r="B462" s="585"/>
      <c r="C462" s="586"/>
      <c r="D462" s="587"/>
      <c r="E462" s="591"/>
      <c r="G462" s="593"/>
    </row>
    <row r="463" spans="1:7">
      <c r="A463" s="584"/>
      <c r="B463" s="585"/>
      <c r="C463" s="586"/>
      <c r="D463" s="587"/>
      <c r="E463" s="591"/>
      <c r="G463" s="593"/>
    </row>
    <row r="464" spans="1:7">
      <c r="A464" s="584"/>
      <c r="B464" s="585"/>
      <c r="C464" s="586"/>
      <c r="D464" s="587"/>
      <c r="E464" s="591"/>
      <c r="G464" s="593"/>
    </row>
    <row r="465" spans="1:7">
      <c r="A465" s="584"/>
      <c r="B465" s="585"/>
      <c r="C465" s="586"/>
      <c r="D465" s="587"/>
      <c r="E465" s="591"/>
      <c r="G465" s="593"/>
    </row>
    <row r="466" spans="1:7">
      <c r="A466" s="584"/>
      <c r="B466" s="585"/>
      <c r="C466" s="586"/>
      <c r="D466" s="587"/>
      <c r="E466" s="591"/>
      <c r="G466" s="593"/>
    </row>
    <row r="467" spans="1:7">
      <c r="A467" s="584"/>
      <c r="B467" s="585"/>
      <c r="C467" s="586"/>
      <c r="D467" s="587"/>
      <c r="E467" s="591"/>
      <c r="G467" s="593"/>
    </row>
    <row r="468" spans="1:7">
      <c r="A468" s="584"/>
      <c r="B468" s="585"/>
      <c r="C468" s="586"/>
      <c r="D468" s="587"/>
      <c r="E468" s="591"/>
      <c r="G468" s="593"/>
    </row>
    <row r="469" spans="1:7">
      <c r="A469" s="584"/>
      <c r="B469" s="585"/>
      <c r="C469" s="586"/>
      <c r="D469" s="587"/>
      <c r="E469" s="591"/>
      <c r="G469" s="593"/>
    </row>
    <row r="470" spans="1:7">
      <c r="A470" s="584"/>
      <c r="B470" s="585"/>
      <c r="C470" s="586"/>
      <c r="D470" s="587"/>
      <c r="E470" s="591"/>
      <c r="G470" s="593"/>
    </row>
    <row r="471" spans="1:7">
      <c r="A471" s="584"/>
      <c r="B471" s="585"/>
      <c r="C471" s="586"/>
      <c r="D471" s="587"/>
      <c r="E471" s="591"/>
      <c r="G471" s="593"/>
    </row>
    <row r="472" spans="1:7">
      <c r="A472" s="584"/>
      <c r="B472" s="585"/>
      <c r="C472" s="586"/>
      <c r="D472" s="587"/>
      <c r="E472" s="591"/>
      <c r="G472" s="593"/>
    </row>
    <row r="473" spans="1:7">
      <c r="A473" s="584"/>
      <c r="B473" s="585"/>
      <c r="C473" s="586"/>
      <c r="D473" s="587"/>
      <c r="E473" s="591"/>
      <c r="G473" s="593"/>
    </row>
    <row r="474" spans="1:7">
      <c r="A474" s="584"/>
      <c r="B474" s="585"/>
      <c r="C474" s="586"/>
      <c r="D474" s="587"/>
      <c r="E474" s="591"/>
      <c r="G474" s="593"/>
    </row>
    <row r="475" spans="1:7">
      <c r="A475" s="584"/>
      <c r="B475" s="585"/>
      <c r="C475" s="586"/>
      <c r="D475" s="587"/>
      <c r="E475" s="591"/>
      <c r="G475" s="593"/>
    </row>
    <row r="476" spans="1:7">
      <c r="A476" s="584"/>
      <c r="B476" s="585"/>
      <c r="C476" s="586"/>
      <c r="D476" s="587"/>
      <c r="E476" s="591"/>
      <c r="G476" s="593"/>
    </row>
    <row r="477" spans="1:7">
      <c r="A477" s="584"/>
      <c r="B477" s="585"/>
      <c r="C477" s="586"/>
      <c r="D477" s="587"/>
      <c r="E477" s="591"/>
      <c r="G477" s="593"/>
    </row>
    <row r="478" spans="1:7">
      <c r="A478" s="584"/>
      <c r="B478" s="585"/>
      <c r="C478" s="586"/>
      <c r="D478" s="587"/>
      <c r="E478" s="591"/>
      <c r="G478" s="593"/>
    </row>
    <row r="479" spans="1:7">
      <c r="A479" s="584"/>
      <c r="B479" s="585"/>
      <c r="C479" s="586"/>
      <c r="D479" s="587"/>
      <c r="E479" s="591"/>
      <c r="G479" s="593"/>
    </row>
    <row r="480" spans="1:7">
      <c r="A480" s="584"/>
      <c r="B480" s="585"/>
      <c r="C480" s="586"/>
      <c r="D480" s="587"/>
      <c r="E480" s="591"/>
      <c r="G480" s="593"/>
    </row>
    <row r="481" spans="1:7">
      <c r="A481" s="584"/>
      <c r="B481" s="585"/>
      <c r="C481" s="586"/>
      <c r="D481" s="587"/>
      <c r="E481" s="591"/>
      <c r="G481" s="593"/>
    </row>
    <row r="482" spans="1:7">
      <c r="A482" s="584"/>
      <c r="B482" s="585"/>
      <c r="C482" s="586"/>
      <c r="D482" s="587"/>
      <c r="E482" s="591"/>
      <c r="G482" s="593"/>
    </row>
    <row r="483" spans="1:7">
      <c r="A483" s="584"/>
      <c r="B483" s="585"/>
      <c r="C483" s="586"/>
      <c r="D483" s="587"/>
      <c r="E483" s="591"/>
      <c r="G483" s="593"/>
    </row>
    <row r="484" spans="1:7">
      <c r="A484" s="584"/>
      <c r="B484" s="585"/>
      <c r="C484" s="586"/>
      <c r="D484" s="587"/>
      <c r="E484" s="591"/>
      <c r="G484" s="593"/>
    </row>
    <row r="485" spans="1:7">
      <c r="A485" s="584"/>
      <c r="B485" s="585"/>
      <c r="C485" s="586"/>
      <c r="D485" s="587"/>
      <c r="E485" s="591"/>
      <c r="G485" s="593"/>
    </row>
    <row r="486" spans="1:7">
      <c r="A486" s="584"/>
      <c r="B486" s="585"/>
      <c r="C486" s="586"/>
      <c r="D486" s="587"/>
      <c r="E486" s="591"/>
      <c r="G486" s="593"/>
    </row>
    <row r="487" spans="1:7">
      <c r="A487" s="584"/>
      <c r="B487" s="585"/>
      <c r="C487" s="586"/>
      <c r="D487" s="587"/>
      <c r="E487" s="591"/>
      <c r="G487" s="593"/>
    </row>
    <row r="488" spans="1:7">
      <c r="A488" s="584"/>
      <c r="B488" s="585"/>
      <c r="C488" s="586"/>
      <c r="D488" s="587"/>
      <c r="E488" s="591"/>
      <c r="G488" s="593"/>
    </row>
    <row r="489" spans="1:7">
      <c r="A489" s="584"/>
      <c r="B489" s="585"/>
      <c r="C489" s="586"/>
      <c r="D489" s="587"/>
      <c r="E489" s="591"/>
      <c r="G489" s="593"/>
    </row>
    <row r="490" spans="1:7">
      <c r="A490" s="584"/>
      <c r="B490" s="585"/>
      <c r="C490" s="586"/>
      <c r="D490" s="587"/>
      <c r="E490" s="591"/>
      <c r="G490" s="593"/>
    </row>
    <row r="491" spans="1:7">
      <c r="A491" s="584"/>
      <c r="B491" s="585"/>
      <c r="C491" s="586"/>
      <c r="D491" s="587"/>
      <c r="E491" s="591"/>
      <c r="G491" s="593"/>
    </row>
    <row r="492" spans="1:7">
      <c r="A492" s="584"/>
      <c r="B492" s="585"/>
      <c r="C492" s="586"/>
      <c r="D492" s="587"/>
      <c r="E492" s="591"/>
      <c r="G492" s="593"/>
    </row>
    <row r="493" spans="1:7">
      <c r="A493" s="584"/>
      <c r="B493" s="585"/>
      <c r="C493" s="586"/>
      <c r="D493" s="587"/>
      <c r="E493" s="591"/>
      <c r="G493" s="593"/>
    </row>
    <row r="494" spans="1:7">
      <c r="A494" s="584"/>
      <c r="B494" s="585"/>
      <c r="C494" s="586"/>
      <c r="D494" s="587"/>
      <c r="E494" s="591"/>
      <c r="G494" s="593"/>
    </row>
    <row r="495" spans="1:7">
      <c r="A495" s="584"/>
      <c r="B495" s="585"/>
      <c r="C495" s="586"/>
      <c r="D495" s="587"/>
      <c r="E495" s="591"/>
      <c r="G495" s="593"/>
    </row>
    <row r="496" spans="1:7">
      <c r="A496" s="584"/>
      <c r="B496" s="585"/>
      <c r="C496" s="586"/>
      <c r="D496" s="587"/>
      <c r="E496" s="591"/>
      <c r="G496" s="593"/>
    </row>
    <row r="497" spans="1:7">
      <c r="A497" s="584"/>
      <c r="B497" s="585"/>
      <c r="C497" s="586"/>
      <c r="D497" s="587"/>
      <c r="E497" s="591"/>
      <c r="G497" s="593"/>
    </row>
    <row r="498" spans="1:7">
      <c r="A498" s="584"/>
      <c r="B498" s="585"/>
      <c r="C498" s="586"/>
      <c r="D498" s="587"/>
      <c r="E498" s="591"/>
      <c r="G498" s="593"/>
    </row>
    <row r="499" spans="1:7">
      <c r="A499" s="584"/>
      <c r="B499" s="585"/>
      <c r="C499" s="586"/>
      <c r="D499" s="587"/>
      <c r="E499" s="591"/>
      <c r="G499" s="593"/>
    </row>
    <row r="500" spans="1:7">
      <c r="A500" s="584"/>
      <c r="B500" s="585"/>
      <c r="C500" s="586"/>
      <c r="D500" s="587"/>
      <c r="E500" s="591"/>
      <c r="G500" s="593"/>
    </row>
    <row r="501" spans="1:7">
      <c r="A501" s="584"/>
      <c r="B501" s="585"/>
      <c r="C501" s="586"/>
      <c r="D501" s="587"/>
      <c r="E501" s="591"/>
      <c r="G501" s="593"/>
    </row>
    <row r="502" spans="1:7">
      <c r="A502" s="584"/>
      <c r="B502" s="585"/>
      <c r="C502" s="586"/>
      <c r="D502" s="587"/>
      <c r="E502" s="591"/>
      <c r="G502" s="593"/>
    </row>
    <row r="503" spans="1:7">
      <c r="A503" s="584"/>
      <c r="B503" s="585"/>
      <c r="C503" s="586"/>
      <c r="D503" s="587"/>
      <c r="E503" s="591"/>
      <c r="G503" s="593"/>
    </row>
    <row r="504" spans="1:7">
      <c r="A504" s="584"/>
      <c r="B504" s="585"/>
      <c r="C504" s="586"/>
      <c r="D504" s="587"/>
      <c r="E504" s="591"/>
      <c r="G504" s="593"/>
    </row>
    <row r="505" spans="1:7">
      <c r="A505" s="584"/>
      <c r="B505" s="585"/>
      <c r="C505" s="586"/>
      <c r="D505" s="587"/>
      <c r="E505" s="591"/>
      <c r="G505" s="593"/>
    </row>
    <row r="506" spans="1:7">
      <c r="A506" s="584"/>
      <c r="B506" s="585"/>
      <c r="C506" s="586"/>
      <c r="D506" s="587"/>
      <c r="E506" s="591"/>
      <c r="G506" s="593"/>
    </row>
    <row r="507" spans="1:7">
      <c r="A507" s="584"/>
      <c r="B507" s="585"/>
      <c r="C507" s="586"/>
      <c r="D507" s="587"/>
      <c r="E507" s="591"/>
      <c r="G507" s="593"/>
    </row>
    <row r="508" spans="1:7">
      <c r="A508" s="584"/>
      <c r="B508" s="585"/>
      <c r="C508" s="586"/>
      <c r="D508" s="587"/>
      <c r="E508" s="591"/>
      <c r="G508" s="593"/>
    </row>
    <row r="509" spans="1:7">
      <c r="A509" s="584"/>
      <c r="B509" s="585"/>
      <c r="C509" s="586"/>
      <c r="D509" s="587"/>
      <c r="E509" s="591"/>
      <c r="G509" s="593"/>
    </row>
    <row r="510" spans="1:7">
      <c r="A510" s="584"/>
      <c r="B510" s="585"/>
      <c r="C510" s="586"/>
      <c r="D510" s="587"/>
      <c r="E510" s="591"/>
      <c r="G510" s="593"/>
    </row>
    <row r="511" spans="1:7">
      <c r="A511" s="584"/>
      <c r="B511" s="585"/>
      <c r="C511" s="586"/>
      <c r="D511" s="587"/>
      <c r="E511" s="591"/>
      <c r="G511" s="593"/>
    </row>
    <row r="512" spans="1:7">
      <c r="A512" s="584"/>
      <c r="B512" s="585"/>
      <c r="C512" s="586"/>
      <c r="D512" s="587"/>
      <c r="E512" s="591"/>
      <c r="G512" s="593"/>
    </row>
    <row r="513" spans="1:7">
      <c r="A513" s="584"/>
      <c r="B513" s="585"/>
      <c r="C513" s="586"/>
      <c r="D513" s="587"/>
      <c r="E513" s="591"/>
      <c r="G513" s="593"/>
    </row>
    <row r="514" spans="1:7">
      <c r="A514" s="584"/>
      <c r="B514" s="585"/>
      <c r="C514" s="586"/>
      <c r="D514" s="587"/>
      <c r="E514" s="591"/>
      <c r="G514" s="593"/>
    </row>
    <row r="515" spans="1:7">
      <c r="A515" s="584"/>
      <c r="B515" s="585"/>
      <c r="C515" s="586"/>
      <c r="D515" s="587"/>
      <c r="E515" s="591"/>
      <c r="G515" s="593"/>
    </row>
    <row r="516" spans="1:7">
      <c r="A516" s="584"/>
      <c r="B516" s="585"/>
      <c r="C516" s="586"/>
      <c r="D516" s="587"/>
      <c r="E516" s="591"/>
      <c r="G516" s="593"/>
    </row>
    <row r="517" spans="1:7">
      <c r="A517" s="584"/>
      <c r="B517" s="585"/>
      <c r="C517" s="586"/>
      <c r="D517" s="587"/>
      <c r="E517" s="591"/>
      <c r="G517" s="593"/>
    </row>
    <row r="518" spans="1:7">
      <c r="A518" s="584"/>
      <c r="B518" s="585"/>
      <c r="C518" s="586"/>
      <c r="D518" s="587"/>
      <c r="E518" s="591"/>
      <c r="G518" s="593"/>
    </row>
    <row r="519" spans="1:7">
      <c r="A519" s="584"/>
      <c r="B519" s="585"/>
      <c r="C519" s="586"/>
      <c r="D519" s="587"/>
      <c r="E519" s="591"/>
      <c r="G519" s="593"/>
    </row>
    <row r="520" spans="1:7">
      <c r="A520" s="584"/>
      <c r="B520" s="585"/>
      <c r="C520" s="586"/>
      <c r="D520" s="587"/>
      <c r="E520" s="591"/>
      <c r="G520" s="593"/>
    </row>
    <row r="521" spans="1:7">
      <c r="A521" s="584"/>
      <c r="B521" s="585"/>
      <c r="C521" s="586"/>
      <c r="D521" s="587"/>
      <c r="E521" s="591"/>
      <c r="G521" s="593"/>
    </row>
    <row r="522" spans="1:7">
      <c r="A522" s="584"/>
      <c r="B522" s="585"/>
      <c r="C522" s="586"/>
      <c r="D522" s="587"/>
      <c r="E522" s="591"/>
      <c r="G522" s="593"/>
    </row>
    <row r="523" spans="1:7">
      <c r="A523" s="584"/>
      <c r="B523" s="585"/>
      <c r="C523" s="586"/>
      <c r="D523" s="587"/>
      <c r="E523" s="591"/>
      <c r="G523" s="593"/>
    </row>
    <row r="524" spans="1:7">
      <c r="A524" s="584"/>
      <c r="B524" s="585"/>
      <c r="C524" s="586"/>
      <c r="D524" s="587"/>
      <c r="E524" s="591"/>
      <c r="G524" s="593"/>
    </row>
    <row r="525" spans="1:7">
      <c r="A525" s="584"/>
      <c r="B525" s="585"/>
      <c r="C525" s="586"/>
      <c r="D525" s="587"/>
      <c r="E525" s="591"/>
      <c r="G525" s="593"/>
    </row>
    <row r="526" spans="1:7">
      <c r="A526" s="584"/>
      <c r="B526" s="585"/>
      <c r="C526" s="586"/>
      <c r="D526" s="587"/>
      <c r="E526" s="591"/>
      <c r="G526" s="593"/>
    </row>
    <row r="527" spans="1:7">
      <c r="A527" s="584"/>
      <c r="B527" s="585"/>
      <c r="C527" s="586"/>
      <c r="D527" s="587"/>
      <c r="E527" s="591"/>
      <c r="G527" s="593"/>
    </row>
    <row r="528" spans="1:7">
      <c r="A528" s="584"/>
      <c r="B528" s="585"/>
      <c r="C528" s="586"/>
      <c r="D528" s="587"/>
      <c r="E528" s="591"/>
      <c r="G528" s="593"/>
    </row>
    <row r="529" spans="1:7">
      <c r="A529" s="584"/>
      <c r="B529" s="585"/>
      <c r="C529" s="586"/>
      <c r="D529" s="587"/>
      <c r="E529" s="591"/>
      <c r="G529" s="593"/>
    </row>
    <row r="530" spans="1:7">
      <c r="A530" s="584"/>
      <c r="B530" s="585"/>
      <c r="C530" s="586"/>
      <c r="D530" s="587"/>
      <c r="E530" s="591"/>
      <c r="G530" s="593"/>
    </row>
    <row r="531" spans="1:7">
      <c r="A531" s="584"/>
      <c r="B531" s="585"/>
      <c r="C531" s="586"/>
      <c r="D531" s="587"/>
      <c r="E531" s="591"/>
      <c r="G531" s="593"/>
    </row>
    <row r="532" spans="1:7">
      <c r="A532" s="584"/>
      <c r="B532" s="585"/>
      <c r="C532" s="586"/>
      <c r="D532" s="587"/>
      <c r="E532" s="591"/>
      <c r="G532" s="593"/>
    </row>
    <row r="533" spans="1:7">
      <c r="A533" s="584"/>
      <c r="B533" s="585"/>
      <c r="C533" s="586"/>
      <c r="D533" s="587"/>
      <c r="E533" s="591"/>
      <c r="G533" s="593"/>
    </row>
    <row r="534" spans="1:7">
      <c r="A534" s="584"/>
      <c r="B534" s="585"/>
      <c r="C534" s="586"/>
      <c r="D534" s="587"/>
      <c r="E534" s="591"/>
      <c r="G534" s="593"/>
    </row>
    <row r="535" spans="1:7">
      <c r="A535" s="584"/>
      <c r="B535" s="585"/>
      <c r="C535" s="586"/>
      <c r="D535" s="587"/>
      <c r="E535" s="591"/>
      <c r="G535" s="593"/>
    </row>
    <row r="536" spans="1:7">
      <c r="A536" s="584"/>
      <c r="B536" s="585"/>
      <c r="C536" s="586"/>
      <c r="D536" s="587"/>
      <c r="E536" s="591"/>
      <c r="G536" s="593"/>
    </row>
    <row r="537" spans="1:7">
      <c r="A537" s="584"/>
      <c r="B537" s="585"/>
      <c r="C537" s="586"/>
      <c r="D537" s="587"/>
      <c r="E537" s="591"/>
      <c r="G537" s="593"/>
    </row>
    <row r="538" spans="1:7">
      <c r="A538" s="584"/>
      <c r="B538" s="585"/>
      <c r="C538" s="586"/>
      <c r="D538" s="587"/>
      <c r="E538" s="591"/>
      <c r="G538" s="593"/>
    </row>
    <row r="539" spans="1:7">
      <c r="A539" s="584"/>
      <c r="B539" s="585"/>
      <c r="C539" s="586"/>
      <c r="D539" s="587"/>
      <c r="E539" s="591"/>
      <c r="G539" s="593"/>
    </row>
    <row r="540" spans="1:7">
      <c r="A540" s="584"/>
      <c r="B540" s="585"/>
      <c r="C540" s="586"/>
      <c r="D540" s="587"/>
      <c r="E540" s="591"/>
      <c r="G540" s="593"/>
    </row>
    <row r="541" spans="1:7">
      <c r="A541" s="584"/>
      <c r="B541" s="585"/>
      <c r="C541" s="586"/>
      <c r="D541" s="587"/>
      <c r="E541" s="591"/>
      <c r="G541" s="593"/>
    </row>
    <row r="542" spans="1:7">
      <c r="A542" s="584"/>
      <c r="B542" s="585"/>
      <c r="C542" s="586"/>
      <c r="D542" s="587"/>
      <c r="E542" s="591"/>
      <c r="G542" s="593"/>
    </row>
    <row r="543" spans="1:7">
      <c r="A543" s="584"/>
      <c r="B543" s="585"/>
      <c r="C543" s="586"/>
      <c r="D543" s="587"/>
      <c r="E543" s="591"/>
      <c r="G543" s="593"/>
    </row>
    <row r="544" spans="1:7">
      <c r="A544" s="584"/>
      <c r="B544" s="585"/>
      <c r="C544" s="586"/>
      <c r="D544" s="587"/>
      <c r="E544" s="591"/>
      <c r="G544" s="593"/>
    </row>
    <row r="545" spans="1:7">
      <c r="A545" s="584"/>
      <c r="B545" s="585"/>
      <c r="C545" s="586"/>
      <c r="D545" s="587"/>
      <c r="E545" s="591"/>
      <c r="G545" s="593"/>
    </row>
    <row r="546" spans="1:7">
      <c r="A546" s="584"/>
      <c r="B546" s="585"/>
      <c r="C546" s="586"/>
      <c r="D546" s="587"/>
      <c r="E546" s="591"/>
      <c r="G546" s="593"/>
    </row>
    <row r="547" spans="1:7">
      <c r="A547" s="584"/>
      <c r="B547" s="585"/>
      <c r="C547" s="586"/>
      <c r="D547" s="587"/>
      <c r="E547" s="591"/>
      <c r="G547" s="593"/>
    </row>
    <row r="548" spans="1:7">
      <c r="A548" s="584"/>
      <c r="B548" s="585"/>
      <c r="C548" s="586"/>
      <c r="D548" s="587"/>
      <c r="E548" s="591"/>
      <c r="G548" s="593"/>
    </row>
    <row r="549" spans="1:7">
      <c r="A549" s="584"/>
      <c r="B549" s="585"/>
      <c r="C549" s="586"/>
      <c r="D549" s="587"/>
      <c r="E549" s="591"/>
      <c r="G549" s="593"/>
    </row>
    <row r="550" spans="1:7">
      <c r="A550" s="584"/>
      <c r="B550" s="585"/>
      <c r="C550" s="586"/>
      <c r="D550" s="587"/>
      <c r="E550" s="591"/>
      <c r="G550" s="593"/>
    </row>
    <row r="551" spans="1:7">
      <c r="A551" s="584"/>
      <c r="B551" s="585"/>
      <c r="C551" s="586"/>
      <c r="D551" s="587"/>
      <c r="E551" s="591"/>
      <c r="G551" s="593"/>
    </row>
    <row r="552" spans="1:7">
      <c r="A552" s="584"/>
      <c r="B552" s="585"/>
      <c r="C552" s="586"/>
      <c r="D552" s="587"/>
      <c r="E552" s="591"/>
      <c r="G552" s="593"/>
    </row>
    <row r="553" spans="1:7">
      <c r="A553" s="584"/>
      <c r="B553" s="585"/>
      <c r="C553" s="586"/>
      <c r="D553" s="587"/>
      <c r="E553" s="591"/>
      <c r="G553" s="593"/>
    </row>
    <row r="554" spans="1:7">
      <c r="A554" s="584"/>
      <c r="B554" s="585"/>
      <c r="C554" s="586"/>
      <c r="D554" s="587"/>
      <c r="E554" s="591"/>
      <c r="G554" s="593"/>
    </row>
    <row r="555" spans="1:7">
      <c r="A555" s="584"/>
      <c r="B555" s="585"/>
      <c r="C555" s="586"/>
      <c r="D555" s="587"/>
      <c r="E555" s="591"/>
      <c r="G555" s="593"/>
    </row>
    <row r="556" spans="1:7">
      <c r="A556" s="584"/>
      <c r="B556" s="585"/>
      <c r="C556" s="586"/>
      <c r="D556" s="587"/>
      <c r="E556" s="591"/>
      <c r="G556" s="593"/>
    </row>
    <row r="557" spans="1:7">
      <c r="A557" s="584"/>
      <c r="B557" s="585"/>
      <c r="C557" s="586"/>
      <c r="D557" s="587"/>
      <c r="E557" s="591"/>
      <c r="G557" s="593"/>
    </row>
    <row r="558" spans="1:7">
      <c r="A558" s="584"/>
      <c r="B558" s="585"/>
      <c r="C558" s="586"/>
      <c r="D558" s="587"/>
      <c r="E558" s="591"/>
      <c r="G558" s="593"/>
    </row>
    <row r="559" spans="1:7">
      <c r="A559" s="584"/>
      <c r="B559" s="585"/>
      <c r="C559" s="586"/>
      <c r="D559" s="587"/>
      <c r="E559" s="591"/>
      <c r="G559" s="593"/>
    </row>
    <row r="560" spans="1:7">
      <c r="A560" s="584"/>
      <c r="B560" s="585"/>
      <c r="C560" s="586"/>
      <c r="D560" s="587"/>
      <c r="E560" s="591"/>
      <c r="G560" s="593"/>
    </row>
    <row r="561" spans="1:7">
      <c r="A561" s="584"/>
      <c r="B561" s="585"/>
      <c r="C561" s="586"/>
      <c r="D561" s="587"/>
      <c r="E561" s="591"/>
      <c r="G561" s="593"/>
    </row>
    <row r="562" spans="1:7">
      <c r="A562" s="584"/>
      <c r="B562" s="585"/>
      <c r="C562" s="586"/>
      <c r="D562" s="587"/>
      <c r="E562" s="591"/>
      <c r="G562" s="593"/>
    </row>
    <row r="563" spans="1:7">
      <c r="A563" s="584"/>
      <c r="B563" s="585"/>
      <c r="C563" s="586"/>
      <c r="D563" s="587"/>
      <c r="E563" s="591"/>
      <c r="G563" s="593"/>
    </row>
    <row r="564" spans="1:7">
      <c r="A564" s="584"/>
      <c r="B564" s="585"/>
      <c r="C564" s="586"/>
      <c r="D564" s="587"/>
      <c r="E564" s="591"/>
      <c r="G564" s="593"/>
    </row>
    <row r="565" spans="1:7">
      <c r="A565" s="584"/>
      <c r="B565" s="585"/>
      <c r="C565" s="586"/>
      <c r="D565" s="587"/>
      <c r="E565" s="591"/>
      <c r="G565" s="593"/>
    </row>
    <row r="566" spans="1:7">
      <c r="A566" s="584"/>
      <c r="B566" s="585"/>
      <c r="C566" s="586"/>
      <c r="D566" s="587"/>
      <c r="E566" s="591"/>
      <c r="G566" s="593"/>
    </row>
    <row r="567" spans="1:7">
      <c r="A567" s="584"/>
      <c r="B567" s="585"/>
      <c r="C567" s="586"/>
      <c r="D567" s="587"/>
      <c r="E567" s="591"/>
      <c r="G567" s="593"/>
    </row>
    <row r="568" spans="1:7">
      <c r="A568" s="584"/>
      <c r="B568" s="585"/>
      <c r="C568" s="586"/>
      <c r="D568" s="587"/>
      <c r="E568" s="591"/>
      <c r="G568" s="593"/>
    </row>
    <row r="569" spans="1:7">
      <c r="A569" s="584"/>
      <c r="B569" s="585"/>
      <c r="C569" s="586"/>
      <c r="D569" s="587"/>
      <c r="E569" s="591"/>
      <c r="G569" s="593"/>
    </row>
    <row r="570" spans="1:7">
      <c r="A570" s="584"/>
      <c r="B570" s="585"/>
      <c r="C570" s="586"/>
      <c r="D570" s="587"/>
      <c r="E570" s="591"/>
      <c r="G570" s="593"/>
    </row>
    <row r="571" spans="1:7">
      <c r="A571" s="584"/>
      <c r="B571" s="585"/>
      <c r="C571" s="586"/>
      <c r="D571" s="587"/>
      <c r="E571" s="591"/>
      <c r="G571" s="593"/>
    </row>
    <row r="572" spans="1:7">
      <c r="A572" s="584"/>
      <c r="B572" s="585"/>
      <c r="C572" s="586"/>
      <c r="D572" s="587"/>
      <c r="E572" s="591"/>
      <c r="G572" s="593"/>
    </row>
    <row r="573" spans="1:7">
      <c r="A573" s="584"/>
      <c r="B573" s="585"/>
      <c r="C573" s="586"/>
      <c r="D573" s="587"/>
      <c r="E573" s="591"/>
      <c r="G573" s="593"/>
    </row>
    <row r="574" spans="1:7">
      <c r="A574" s="584"/>
      <c r="B574" s="585"/>
      <c r="C574" s="586"/>
      <c r="D574" s="587"/>
      <c r="E574" s="591"/>
      <c r="G574" s="593"/>
    </row>
    <row r="575" spans="1:7">
      <c r="A575" s="584"/>
      <c r="B575" s="585"/>
      <c r="C575" s="586"/>
      <c r="D575" s="587"/>
      <c r="E575" s="591"/>
      <c r="G575" s="593"/>
    </row>
    <row r="576" spans="1:7">
      <c r="A576" s="584"/>
      <c r="B576" s="585"/>
      <c r="C576" s="586"/>
      <c r="D576" s="587"/>
      <c r="E576" s="591"/>
      <c r="G576" s="593"/>
    </row>
    <row r="577" spans="1:7">
      <c r="A577" s="584"/>
      <c r="B577" s="585"/>
      <c r="C577" s="586"/>
      <c r="D577" s="587"/>
      <c r="E577" s="591"/>
      <c r="G577" s="593"/>
    </row>
    <row r="578" spans="1:7">
      <c r="A578" s="584"/>
      <c r="B578" s="585"/>
      <c r="C578" s="586"/>
      <c r="D578" s="587"/>
      <c r="E578" s="591"/>
      <c r="G578" s="593"/>
    </row>
    <row r="579" spans="1:7">
      <c r="A579" s="584"/>
      <c r="B579" s="585"/>
      <c r="C579" s="586"/>
      <c r="D579" s="587"/>
      <c r="E579" s="591"/>
      <c r="G579" s="593"/>
    </row>
    <row r="580" spans="1:7">
      <c r="A580" s="584"/>
      <c r="B580" s="585"/>
      <c r="C580" s="586"/>
      <c r="D580" s="587"/>
      <c r="E580" s="591"/>
      <c r="G580" s="593"/>
    </row>
    <row r="581" spans="1:7">
      <c r="A581" s="584"/>
      <c r="B581" s="585"/>
      <c r="C581" s="586"/>
      <c r="D581" s="587"/>
      <c r="E581" s="591"/>
      <c r="G581" s="593"/>
    </row>
    <row r="582" spans="1:7">
      <c r="A582" s="584"/>
      <c r="B582" s="585"/>
      <c r="C582" s="586"/>
      <c r="D582" s="587"/>
      <c r="E582" s="591"/>
      <c r="G582" s="593"/>
    </row>
    <row r="583" spans="1:7">
      <c r="A583" s="584"/>
      <c r="B583" s="585"/>
      <c r="C583" s="586"/>
      <c r="D583" s="587"/>
      <c r="E583" s="591"/>
      <c r="G583" s="593"/>
    </row>
    <row r="584" spans="1:7">
      <c r="A584" s="584"/>
      <c r="B584" s="585"/>
      <c r="C584" s="586"/>
      <c r="D584" s="587"/>
      <c r="E584" s="591"/>
      <c r="G584" s="593"/>
    </row>
    <row r="585" spans="1:7">
      <c r="A585" s="584"/>
      <c r="B585" s="585"/>
      <c r="C585" s="586"/>
      <c r="D585" s="587"/>
      <c r="E585" s="591"/>
      <c r="G585" s="593"/>
    </row>
    <row r="586" spans="1:7">
      <c r="A586" s="584"/>
      <c r="B586" s="585"/>
      <c r="C586" s="586"/>
      <c r="D586" s="587"/>
      <c r="E586" s="591"/>
      <c r="G586" s="593"/>
    </row>
    <row r="587" spans="1:7">
      <c r="A587" s="584"/>
      <c r="B587" s="585"/>
      <c r="C587" s="586"/>
      <c r="D587" s="587"/>
      <c r="E587" s="591"/>
      <c r="G587" s="593"/>
    </row>
    <row r="588" spans="1:7">
      <c r="A588" s="584"/>
      <c r="B588" s="585"/>
      <c r="C588" s="586"/>
      <c r="D588" s="587"/>
      <c r="E588" s="591"/>
      <c r="G588" s="593"/>
    </row>
    <row r="589" spans="1:7">
      <c r="A589" s="584"/>
      <c r="B589" s="585"/>
      <c r="C589" s="586"/>
      <c r="D589" s="587"/>
      <c r="E589" s="591"/>
      <c r="G589" s="593"/>
    </row>
    <row r="590" spans="1:7">
      <c r="A590" s="584"/>
      <c r="B590" s="585"/>
      <c r="C590" s="586"/>
      <c r="D590" s="587"/>
      <c r="E590" s="591"/>
      <c r="G590" s="593"/>
    </row>
    <row r="591" spans="1:7">
      <c r="A591" s="584"/>
      <c r="B591" s="585"/>
      <c r="C591" s="586"/>
      <c r="D591" s="587"/>
      <c r="E591" s="591"/>
      <c r="G591" s="593"/>
    </row>
    <row r="592" spans="1:7">
      <c r="A592" s="584"/>
      <c r="B592" s="585"/>
      <c r="C592" s="586"/>
      <c r="D592" s="587"/>
      <c r="E592" s="591"/>
      <c r="G592" s="593"/>
    </row>
    <row r="593" spans="1:7">
      <c r="A593" s="584"/>
      <c r="B593" s="585"/>
      <c r="C593" s="586"/>
      <c r="D593" s="587"/>
      <c r="E593" s="591"/>
      <c r="G593" s="593"/>
    </row>
    <row r="594" spans="1:7">
      <c r="A594" s="584"/>
      <c r="B594" s="585"/>
      <c r="C594" s="586"/>
      <c r="D594" s="587"/>
      <c r="E594" s="591"/>
      <c r="G594" s="593"/>
    </row>
    <row r="595" spans="1:7">
      <c r="A595" s="584"/>
      <c r="B595" s="585"/>
      <c r="C595" s="586"/>
      <c r="D595" s="587"/>
      <c r="E595" s="591"/>
      <c r="G595" s="593"/>
    </row>
    <row r="596" spans="1:7">
      <c r="A596" s="584"/>
      <c r="B596" s="585"/>
      <c r="C596" s="586"/>
      <c r="D596" s="587"/>
      <c r="E596" s="591"/>
      <c r="G596" s="593"/>
    </row>
    <row r="597" spans="1:7">
      <c r="A597" s="584"/>
      <c r="B597" s="585"/>
      <c r="C597" s="586"/>
      <c r="D597" s="587"/>
      <c r="E597" s="591"/>
      <c r="G597" s="593"/>
    </row>
    <row r="598" spans="1:7">
      <c r="A598" s="584"/>
      <c r="B598" s="585"/>
      <c r="C598" s="586"/>
      <c r="D598" s="587"/>
      <c r="E598" s="591"/>
      <c r="G598" s="593"/>
    </row>
    <row r="599" spans="1:7">
      <c r="A599" s="584"/>
      <c r="B599" s="585"/>
      <c r="C599" s="586"/>
      <c r="D599" s="587"/>
      <c r="E599" s="591"/>
      <c r="G599" s="593"/>
    </row>
    <row r="600" spans="1:7">
      <c r="A600" s="584"/>
      <c r="B600" s="585"/>
      <c r="C600" s="586"/>
      <c r="D600" s="587"/>
      <c r="E600" s="591"/>
      <c r="G600" s="593"/>
    </row>
    <row r="601" spans="1:7">
      <c r="A601" s="584"/>
      <c r="B601" s="585"/>
      <c r="C601" s="586"/>
      <c r="D601" s="587"/>
      <c r="E601" s="591"/>
      <c r="G601" s="593"/>
    </row>
    <row r="602" spans="1:7">
      <c r="A602" s="584"/>
      <c r="B602" s="585"/>
      <c r="C602" s="586"/>
      <c r="D602" s="587"/>
      <c r="E602" s="591"/>
      <c r="G602" s="593"/>
    </row>
    <row r="603" spans="1:7">
      <c r="A603" s="584"/>
      <c r="B603" s="585"/>
      <c r="C603" s="586"/>
      <c r="D603" s="587"/>
      <c r="E603" s="591"/>
      <c r="G603" s="593"/>
    </row>
    <row r="604" spans="1:7">
      <c r="A604" s="584"/>
      <c r="B604" s="585"/>
      <c r="C604" s="586"/>
      <c r="D604" s="587"/>
      <c r="E604" s="591"/>
      <c r="G604" s="593"/>
    </row>
    <row r="605" spans="1:7">
      <c r="A605" s="584"/>
      <c r="B605" s="585"/>
      <c r="C605" s="586"/>
      <c r="D605" s="587"/>
      <c r="E605" s="591"/>
      <c r="G605" s="593"/>
    </row>
    <row r="606" spans="1:7">
      <c r="A606" s="584"/>
      <c r="B606" s="585"/>
      <c r="C606" s="586"/>
      <c r="D606" s="587"/>
      <c r="E606" s="591"/>
      <c r="G606" s="593"/>
    </row>
    <row r="607" spans="1:7">
      <c r="A607" s="584"/>
      <c r="B607" s="585"/>
      <c r="C607" s="586"/>
      <c r="D607" s="587"/>
      <c r="E607" s="591"/>
      <c r="G607" s="593"/>
    </row>
    <row r="608" spans="1:7">
      <c r="A608" s="584"/>
      <c r="B608" s="585"/>
      <c r="C608" s="586"/>
      <c r="D608" s="587"/>
      <c r="E608" s="591"/>
      <c r="G608" s="593"/>
    </row>
    <row r="609" spans="1:7">
      <c r="A609" s="584"/>
      <c r="B609" s="585"/>
      <c r="C609" s="586"/>
      <c r="D609" s="587"/>
      <c r="E609" s="591"/>
      <c r="G609" s="593"/>
    </row>
    <row r="610" spans="1:7">
      <c r="A610" s="584"/>
      <c r="B610" s="585"/>
      <c r="C610" s="586"/>
      <c r="D610" s="587"/>
      <c r="E610" s="591"/>
      <c r="G610" s="593"/>
    </row>
    <row r="611" spans="1:7">
      <c r="A611" s="584"/>
      <c r="B611" s="585"/>
      <c r="C611" s="586"/>
      <c r="D611" s="587"/>
      <c r="E611" s="591"/>
      <c r="G611" s="593"/>
    </row>
    <row r="612" spans="1:7">
      <c r="A612" s="584"/>
      <c r="B612" s="585"/>
      <c r="C612" s="586"/>
      <c r="D612" s="587"/>
      <c r="E612" s="591"/>
      <c r="G612" s="593"/>
    </row>
    <row r="613" spans="1:7">
      <c r="A613" s="584"/>
      <c r="B613" s="585"/>
      <c r="C613" s="586"/>
      <c r="D613" s="587"/>
      <c r="E613" s="591"/>
      <c r="G613" s="593"/>
    </row>
    <row r="614" spans="1:7">
      <c r="A614" s="584"/>
      <c r="B614" s="585"/>
      <c r="C614" s="586"/>
      <c r="D614" s="587"/>
      <c r="E614" s="591"/>
      <c r="G614" s="593"/>
    </row>
    <row r="615" spans="1:7">
      <c r="A615" s="584"/>
      <c r="B615" s="585"/>
      <c r="C615" s="586"/>
      <c r="D615" s="587"/>
      <c r="E615" s="591"/>
      <c r="G615" s="593"/>
    </row>
    <row r="616" spans="1:7">
      <c r="A616" s="584"/>
      <c r="B616" s="585"/>
      <c r="C616" s="586"/>
      <c r="D616" s="587"/>
      <c r="E616" s="591"/>
      <c r="G616" s="593"/>
    </row>
    <row r="617" spans="1:7">
      <c r="A617" s="584"/>
      <c r="B617" s="585"/>
      <c r="C617" s="586"/>
      <c r="D617" s="587"/>
      <c r="E617" s="591"/>
      <c r="G617" s="593"/>
    </row>
    <row r="618" spans="1:7">
      <c r="A618" s="584"/>
      <c r="B618" s="585"/>
      <c r="C618" s="586"/>
      <c r="D618" s="587"/>
      <c r="E618" s="591"/>
      <c r="G618" s="593"/>
    </row>
    <row r="619" spans="1:7">
      <c r="A619" s="584"/>
      <c r="B619" s="585"/>
      <c r="C619" s="586"/>
      <c r="D619" s="587"/>
      <c r="E619" s="591"/>
      <c r="G619" s="593"/>
    </row>
    <row r="620" spans="1:7">
      <c r="A620" s="584"/>
      <c r="B620" s="585"/>
      <c r="C620" s="586"/>
      <c r="D620" s="587"/>
      <c r="E620" s="591"/>
      <c r="G620" s="593"/>
    </row>
    <row r="621" spans="1:7">
      <c r="A621" s="584"/>
      <c r="B621" s="585"/>
      <c r="C621" s="586"/>
      <c r="D621" s="587"/>
      <c r="E621" s="591"/>
      <c r="G621" s="593"/>
    </row>
    <row r="622" spans="1:7">
      <c r="A622" s="584"/>
      <c r="B622" s="585"/>
      <c r="C622" s="586"/>
      <c r="D622" s="587"/>
      <c r="E622" s="591"/>
      <c r="G622" s="593"/>
    </row>
    <row r="623" spans="1:7">
      <c r="A623" s="584"/>
      <c r="B623" s="585"/>
      <c r="C623" s="586"/>
      <c r="D623" s="587"/>
      <c r="E623" s="591"/>
      <c r="G623" s="593"/>
    </row>
    <row r="624" spans="1:7">
      <c r="A624" s="584"/>
      <c r="B624" s="585"/>
      <c r="C624" s="586"/>
      <c r="D624" s="587"/>
      <c r="E624" s="591"/>
      <c r="G624" s="593"/>
    </row>
    <row r="625" spans="1:7">
      <c r="A625" s="584"/>
      <c r="B625" s="585"/>
      <c r="C625" s="586"/>
      <c r="D625" s="587"/>
      <c r="E625" s="591"/>
      <c r="G625" s="593"/>
    </row>
    <row r="626" spans="1:7">
      <c r="A626" s="584"/>
      <c r="B626" s="585"/>
      <c r="C626" s="586"/>
      <c r="D626" s="587"/>
      <c r="E626" s="591"/>
      <c r="G626" s="593"/>
    </row>
    <row r="627" spans="1:7">
      <c r="A627" s="584"/>
      <c r="B627" s="585"/>
      <c r="C627" s="586"/>
      <c r="D627" s="587"/>
      <c r="E627" s="591"/>
      <c r="G627" s="593"/>
    </row>
    <row r="628" spans="1:7">
      <c r="A628" s="584"/>
      <c r="B628" s="585"/>
      <c r="C628" s="586"/>
      <c r="D628" s="587"/>
      <c r="E628" s="591"/>
      <c r="G628" s="593"/>
    </row>
    <row r="629" spans="1:7">
      <c r="A629" s="584"/>
      <c r="B629" s="585"/>
      <c r="C629" s="586"/>
      <c r="D629" s="587"/>
      <c r="E629" s="591"/>
      <c r="G629" s="593"/>
    </row>
    <row r="630" spans="1:7">
      <c r="A630" s="584"/>
      <c r="B630" s="585"/>
      <c r="C630" s="586"/>
      <c r="D630" s="587"/>
      <c r="E630" s="591"/>
      <c r="G630" s="593"/>
    </row>
    <row r="631" spans="1:7">
      <c r="A631" s="584"/>
      <c r="B631" s="585"/>
      <c r="C631" s="586"/>
      <c r="D631" s="587"/>
      <c r="E631" s="591"/>
      <c r="G631" s="593"/>
    </row>
    <row r="632" spans="1:7">
      <c r="A632" s="584"/>
      <c r="B632" s="585"/>
      <c r="C632" s="586"/>
      <c r="D632" s="587"/>
      <c r="E632" s="591"/>
      <c r="G632" s="593"/>
    </row>
    <row r="633" spans="1:7">
      <c r="A633" s="584"/>
      <c r="B633" s="585"/>
      <c r="C633" s="586"/>
      <c r="D633" s="587"/>
      <c r="E633" s="591"/>
      <c r="G633" s="593"/>
    </row>
    <row r="634" spans="1:7">
      <c r="A634" s="584"/>
      <c r="B634" s="585"/>
      <c r="C634" s="586"/>
      <c r="D634" s="587"/>
      <c r="E634" s="591"/>
      <c r="G634" s="593"/>
    </row>
    <row r="635" spans="1:7">
      <c r="A635" s="584"/>
      <c r="B635" s="585"/>
      <c r="C635" s="586"/>
      <c r="D635" s="587"/>
      <c r="E635" s="591"/>
      <c r="G635" s="593"/>
    </row>
    <row r="636" spans="1:7">
      <c r="A636" s="584"/>
      <c r="B636" s="585"/>
      <c r="C636" s="586"/>
      <c r="D636" s="587"/>
      <c r="E636" s="591"/>
      <c r="G636" s="593"/>
    </row>
    <row r="637" spans="1:7">
      <c r="A637" s="584"/>
      <c r="B637" s="585"/>
      <c r="C637" s="586"/>
      <c r="D637" s="587"/>
      <c r="E637" s="591"/>
      <c r="G637" s="593"/>
    </row>
    <row r="638" spans="1:7">
      <c r="A638" s="584"/>
      <c r="B638" s="585"/>
      <c r="C638" s="586"/>
      <c r="D638" s="587"/>
      <c r="E638" s="591"/>
      <c r="G638" s="593"/>
    </row>
    <row r="639" spans="1:7">
      <c r="A639" s="584"/>
      <c r="B639" s="585"/>
      <c r="C639" s="586"/>
      <c r="D639" s="587"/>
      <c r="E639" s="591"/>
      <c r="G639" s="593"/>
    </row>
    <row r="640" spans="1:7">
      <c r="A640" s="584"/>
      <c r="B640" s="585"/>
      <c r="C640" s="586"/>
      <c r="D640" s="587"/>
      <c r="E640" s="591"/>
      <c r="G640" s="593"/>
    </row>
    <row r="641" spans="1:7">
      <c r="A641" s="584"/>
      <c r="B641" s="585"/>
      <c r="C641" s="586"/>
      <c r="D641" s="587"/>
      <c r="E641" s="591"/>
      <c r="G641" s="593"/>
    </row>
    <row r="642" spans="1:7">
      <c r="A642" s="584"/>
      <c r="B642" s="585"/>
      <c r="C642" s="586"/>
      <c r="D642" s="587"/>
      <c r="E642" s="591"/>
      <c r="G642" s="593"/>
    </row>
    <row r="643" spans="1:7">
      <c r="A643" s="584"/>
      <c r="B643" s="585"/>
      <c r="C643" s="586"/>
      <c r="D643" s="587"/>
      <c r="E643" s="591"/>
      <c r="G643" s="593"/>
    </row>
    <row r="644" spans="1:7">
      <c r="A644" s="584"/>
      <c r="B644" s="585"/>
      <c r="C644" s="586"/>
      <c r="D644" s="587"/>
      <c r="E644" s="591"/>
      <c r="G644" s="593"/>
    </row>
    <row r="645" spans="1:7">
      <c r="A645" s="584"/>
      <c r="B645" s="585"/>
      <c r="C645" s="586"/>
      <c r="D645" s="587"/>
      <c r="E645" s="591"/>
      <c r="G645" s="593"/>
    </row>
    <row r="646" spans="1:7">
      <c r="A646" s="584"/>
      <c r="B646" s="585"/>
      <c r="C646" s="586"/>
      <c r="D646" s="587"/>
      <c r="E646" s="591"/>
      <c r="G646" s="593"/>
    </row>
    <row r="647" spans="1:7">
      <c r="A647" s="584"/>
      <c r="B647" s="585"/>
      <c r="C647" s="586"/>
      <c r="D647" s="587"/>
      <c r="E647" s="591"/>
      <c r="G647" s="593"/>
    </row>
    <row r="648" spans="1:7">
      <c r="A648" s="584"/>
      <c r="B648" s="585"/>
      <c r="C648" s="586"/>
      <c r="D648" s="587"/>
      <c r="E648" s="591"/>
      <c r="G648" s="593"/>
    </row>
    <row r="649" spans="1:7">
      <c r="A649" s="584"/>
      <c r="B649" s="585"/>
      <c r="C649" s="586"/>
      <c r="D649" s="587"/>
      <c r="E649" s="591"/>
      <c r="G649" s="593"/>
    </row>
    <row r="650" spans="1:7">
      <c r="A650" s="584"/>
      <c r="B650" s="585"/>
      <c r="C650" s="586"/>
      <c r="D650" s="587"/>
      <c r="E650" s="591"/>
      <c r="G650" s="593"/>
    </row>
    <row r="651" spans="1:7">
      <c r="A651" s="584"/>
      <c r="B651" s="585"/>
      <c r="C651" s="586"/>
      <c r="D651" s="587"/>
      <c r="E651" s="591"/>
      <c r="G651" s="593"/>
    </row>
    <row r="652" spans="1:7">
      <c r="A652" s="584"/>
      <c r="B652" s="585"/>
      <c r="C652" s="586"/>
      <c r="D652" s="587"/>
      <c r="E652" s="591"/>
      <c r="G652" s="593"/>
    </row>
    <row r="653" spans="1:7">
      <c r="A653" s="584"/>
      <c r="B653" s="585"/>
      <c r="C653" s="586"/>
      <c r="D653" s="587"/>
      <c r="E653" s="591"/>
      <c r="G653" s="593"/>
    </row>
    <row r="654" spans="1:7">
      <c r="A654" s="584"/>
      <c r="B654" s="585"/>
      <c r="C654" s="586"/>
      <c r="D654" s="587"/>
      <c r="E654" s="591"/>
      <c r="G654" s="593"/>
    </row>
    <row r="655" spans="1:7">
      <c r="A655" s="584"/>
      <c r="B655" s="585"/>
      <c r="C655" s="586"/>
      <c r="D655" s="587"/>
      <c r="E655" s="591"/>
      <c r="G655" s="593"/>
    </row>
    <row r="656" spans="1:7">
      <c r="A656" s="584"/>
      <c r="B656" s="585"/>
      <c r="C656" s="586"/>
      <c r="D656" s="587"/>
      <c r="E656" s="591"/>
      <c r="G656" s="593"/>
    </row>
    <row r="657" spans="1:7">
      <c r="A657" s="584"/>
      <c r="B657" s="585"/>
      <c r="C657" s="586"/>
      <c r="D657" s="587"/>
      <c r="E657" s="591"/>
      <c r="G657" s="593"/>
    </row>
    <row r="658" spans="1:7">
      <c r="A658" s="584"/>
      <c r="B658" s="585"/>
      <c r="C658" s="586"/>
      <c r="D658" s="587"/>
      <c r="E658" s="591"/>
      <c r="G658" s="593"/>
    </row>
    <row r="659" spans="1:7">
      <c r="A659" s="584"/>
      <c r="B659" s="585"/>
      <c r="C659" s="586"/>
      <c r="D659" s="587"/>
      <c r="E659" s="591"/>
      <c r="G659" s="593"/>
    </row>
    <row r="660" spans="1:7">
      <c r="A660" s="584"/>
      <c r="B660" s="585"/>
      <c r="C660" s="586"/>
      <c r="D660" s="587"/>
      <c r="E660" s="591"/>
      <c r="G660" s="593"/>
    </row>
    <row r="661" spans="1:7">
      <c r="A661" s="584"/>
      <c r="B661" s="585"/>
      <c r="C661" s="586"/>
      <c r="D661" s="587"/>
      <c r="E661" s="591"/>
      <c r="G661" s="593"/>
    </row>
    <row r="662" spans="1:7">
      <c r="A662" s="584"/>
      <c r="B662" s="585"/>
      <c r="C662" s="586"/>
      <c r="D662" s="587"/>
      <c r="E662" s="591"/>
      <c r="G662" s="593"/>
    </row>
    <row r="663" spans="1:7">
      <c r="A663" s="584"/>
      <c r="B663" s="585"/>
      <c r="C663" s="586"/>
      <c r="D663" s="587"/>
      <c r="E663" s="591"/>
      <c r="G663" s="593"/>
    </row>
    <row r="664" spans="1:7">
      <c r="A664" s="584"/>
      <c r="B664" s="585"/>
      <c r="C664" s="586"/>
      <c r="D664" s="587"/>
      <c r="E664" s="591"/>
      <c r="G664" s="593"/>
    </row>
    <row r="665" spans="1:7">
      <c r="A665" s="584"/>
      <c r="B665" s="585"/>
      <c r="C665" s="586"/>
      <c r="D665" s="587"/>
      <c r="E665" s="591"/>
      <c r="G665" s="593"/>
    </row>
    <row r="666" spans="1:7">
      <c r="A666" s="584"/>
      <c r="B666" s="585"/>
      <c r="C666" s="586"/>
      <c r="D666" s="587"/>
      <c r="E666" s="591"/>
      <c r="G666" s="593"/>
    </row>
    <row r="667" spans="1:7">
      <c r="A667" s="584"/>
      <c r="B667" s="585"/>
      <c r="C667" s="586"/>
      <c r="D667" s="587"/>
      <c r="E667" s="591"/>
      <c r="G667" s="593"/>
    </row>
    <row r="668" spans="1:7">
      <c r="A668" s="584"/>
      <c r="B668" s="585"/>
      <c r="C668" s="586"/>
      <c r="D668" s="587"/>
      <c r="E668" s="591"/>
      <c r="G668" s="593"/>
    </row>
    <row r="669" spans="1:7">
      <c r="A669" s="584"/>
      <c r="B669" s="585"/>
      <c r="C669" s="586"/>
      <c r="D669" s="587"/>
      <c r="E669" s="591"/>
      <c r="G669" s="593"/>
    </row>
    <row r="670" spans="1:7">
      <c r="A670" s="584"/>
      <c r="B670" s="585"/>
      <c r="C670" s="586"/>
      <c r="D670" s="587"/>
      <c r="E670" s="591"/>
      <c r="G670" s="593"/>
    </row>
    <row r="671" spans="1:7">
      <c r="A671" s="584"/>
      <c r="B671" s="585"/>
      <c r="C671" s="586"/>
      <c r="D671" s="587"/>
      <c r="E671" s="591"/>
      <c r="G671" s="593"/>
    </row>
    <row r="672" spans="1:7">
      <c r="A672" s="584"/>
      <c r="B672" s="585"/>
      <c r="C672" s="586"/>
      <c r="D672" s="587"/>
      <c r="E672" s="591"/>
      <c r="G672" s="593"/>
    </row>
    <row r="673" spans="1:7">
      <c r="A673" s="584"/>
      <c r="B673" s="585"/>
      <c r="C673" s="586"/>
      <c r="D673" s="587"/>
      <c r="E673" s="591"/>
      <c r="G673" s="593"/>
    </row>
    <row r="674" spans="1:7">
      <c r="A674" s="584"/>
      <c r="B674" s="585"/>
      <c r="C674" s="586"/>
      <c r="D674" s="587"/>
      <c r="E674" s="591"/>
      <c r="G674" s="593"/>
    </row>
    <row r="675" spans="1:7">
      <c r="A675" s="584"/>
      <c r="B675" s="585"/>
      <c r="C675" s="586"/>
      <c r="D675" s="587"/>
      <c r="E675" s="591"/>
      <c r="G675" s="593"/>
    </row>
    <row r="676" spans="1:7">
      <c r="A676" s="584"/>
      <c r="B676" s="585"/>
      <c r="C676" s="586"/>
      <c r="D676" s="587"/>
      <c r="E676" s="591"/>
      <c r="G676" s="593"/>
    </row>
    <row r="677" spans="1:7">
      <c r="A677" s="584"/>
      <c r="B677" s="585"/>
      <c r="C677" s="586"/>
      <c r="D677" s="587"/>
      <c r="E677" s="591"/>
      <c r="G677" s="593"/>
    </row>
    <row r="678" spans="1:7">
      <c r="A678" s="584"/>
      <c r="B678" s="585"/>
      <c r="C678" s="586"/>
      <c r="D678" s="587"/>
      <c r="E678" s="591"/>
      <c r="G678" s="593"/>
    </row>
    <row r="679" spans="1:7">
      <c r="A679" s="584"/>
      <c r="B679" s="585"/>
      <c r="C679" s="586"/>
      <c r="D679" s="587"/>
      <c r="E679" s="591"/>
      <c r="G679" s="593"/>
    </row>
    <row r="680" spans="1:7">
      <c r="A680" s="584"/>
      <c r="B680" s="585"/>
      <c r="C680" s="586"/>
      <c r="D680" s="587"/>
      <c r="E680" s="591"/>
      <c r="G680" s="593"/>
    </row>
    <row r="681" spans="1:7">
      <c r="A681" s="584"/>
      <c r="B681" s="585"/>
      <c r="C681" s="586"/>
      <c r="D681" s="587"/>
      <c r="E681" s="591"/>
      <c r="G681" s="593"/>
    </row>
    <row r="682" spans="1:7">
      <c r="A682" s="584"/>
      <c r="B682" s="585"/>
      <c r="C682" s="586"/>
      <c r="D682" s="587"/>
      <c r="E682" s="591"/>
      <c r="G682" s="593"/>
    </row>
    <row r="683" spans="1:7">
      <c r="A683" s="584"/>
      <c r="B683" s="585"/>
      <c r="C683" s="586"/>
      <c r="D683" s="587"/>
      <c r="E683" s="591"/>
      <c r="G683" s="593"/>
    </row>
    <row r="684" spans="1:7">
      <c r="A684" s="584"/>
      <c r="B684" s="585"/>
      <c r="C684" s="586"/>
      <c r="D684" s="587"/>
      <c r="E684" s="591"/>
      <c r="G684" s="593"/>
    </row>
    <row r="685" spans="1:7">
      <c r="A685" s="584"/>
      <c r="B685" s="585"/>
      <c r="C685" s="586"/>
      <c r="D685" s="587"/>
      <c r="E685" s="591"/>
      <c r="G685" s="593"/>
    </row>
    <row r="686" spans="1:7">
      <c r="A686" s="584"/>
      <c r="B686" s="585"/>
      <c r="C686" s="586"/>
      <c r="D686" s="587"/>
      <c r="E686" s="591"/>
      <c r="G686" s="593"/>
    </row>
    <row r="687" spans="1:7">
      <c r="A687" s="584"/>
      <c r="B687" s="585"/>
      <c r="C687" s="586"/>
      <c r="D687" s="587"/>
      <c r="E687" s="591"/>
      <c r="G687" s="593"/>
    </row>
    <row r="688" spans="1:7">
      <c r="A688" s="584"/>
      <c r="B688" s="585"/>
      <c r="C688" s="586"/>
      <c r="D688" s="587"/>
      <c r="E688" s="591"/>
      <c r="G688" s="593"/>
    </row>
    <row r="689" spans="1:7">
      <c r="A689" s="584"/>
      <c r="B689" s="585"/>
      <c r="C689" s="586"/>
      <c r="D689" s="587"/>
      <c r="E689" s="591"/>
      <c r="G689" s="593"/>
    </row>
    <row r="690" spans="1:7">
      <c r="A690" s="584"/>
      <c r="B690" s="585"/>
      <c r="C690" s="586"/>
      <c r="D690" s="587"/>
      <c r="E690" s="591"/>
      <c r="G690" s="593"/>
    </row>
    <row r="691" spans="1:7">
      <c r="A691" s="584"/>
      <c r="B691" s="585"/>
      <c r="C691" s="586"/>
      <c r="D691" s="587"/>
      <c r="E691" s="591"/>
      <c r="G691" s="593"/>
    </row>
    <row r="692" spans="1:7">
      <c r="A692" s="584"/>
      <c r="B692" s="585"/>
      <c r="C692" s="586"/>
      <c r="D692" s="587"/>
      <c r="E692" s="591"/>
      <c r="G692" s="593"/>
    </row>
    <row r="693" spans="1:7">
      <c r="A693" s="584"/>
      <c r="B693" s="585"/>
      <c r="C693" s="586"/>
      <c r="D693" s="587"/>
      <c r="E693" s="591"/>
      <c r="G693" s="593"/>
    </row>
    <row r="694" spans="1:7">
      <c r="A694" s="584"/>
      <c r="B694" s="585"/>
      <c r="C694" s="586"/>
      <c r="D694" s="587"/>
      <c r="E694" s="591"/>
      <c r="G694" s="593"/>
    </row>
    <row r="695" spans="1:7">
      <c r="A695" s="584"/>
      <c r="B695" s="585"/>
      <c r="C695" s="586"/>
      <c r="D695" s="587"/>
      <c r="E695" s="591"/>
      <c r="G695" s="593"/>
    </row>
    <row r="696" spans="1:7">
      <c r="A696" s="584"/>
      <c r="B696" s="585"/>
      <c r="C696" s="586"/>
      <c r="D696" s="587"/>
      <c r="E696" s="591"/>
      <c r="G696" s="593"/>
    </row>
    <row r="697" spans="1:7">
      <c r="A697" s="584"/>
      <c r="B697" s="585"/>
      <c r="C697" s="586"/>
      <c r="D697" s="587"/>
      <c r="E697" s="591"/>
      <c r="G697" s="593"/>
    </row>
    <row r="698" spans="1:7">
      <c r="A698" s="584"/>
      <c r="B698" s="585"/>
      <c r="C698" s="586"/>
      <c r="D698" s="587"/>
      <c r="E698" s="591"/>
      <c r="G698" s="593"/>
    </row>
    <row r="699" spans="1:7">
      <c r="A699" s="584"/>
      <c r="B699" s="585"/>
      <c r="C699" s="586"/>
      <c r="D699" s="587"/>
      <c r="E699" s="591"/>
      <c r="G699" s="593"/>
    </row>
    <row r="700" spans="1:7">
      <c r="A700" s="584"/>
      <c r="B700" s="585"/>
      <c r="C700" s="586"/>
      <c r="D700" s="587"/>
      <c r="E700" s="591"/>
      <c r="G700" s="593"/>
    </row>
    <row r="701" spans="1:7">
      <c r="A701" s="584"/>
      <c r="B701" s="585"/>
      <c r="C701" s="586"/>
      <c r="D701" s="587"/>
      <c r="E701" s="591"/>
      <c r="G701" s="593"/>
    </row>
    <row r="702" spans="1:7">
      <c r="A702" s="584"/>
      <c r="B702" s="585"/>
      <c r="C702" s="586"/>
      <c r="D702" s="587"/>
      <c r="E702" s="591"/>
      <c r="G702" s="593"/>
    </row>
    <row r="703" spans="1:7">
      <c r="A703" s="584"/>
      <c r="B703" s="585"/>
      <c r="C703" s="586"/>
      <c r="D703" s="587"/>
      <c r="E703" s="591"/>
      <c r="G703" s="593"/>
    </row>
    <row r="704" spans="1:7">
      <c r="A704" s="584"/>
      <c r="B704" s="585"/>
      <c r="C704" s="586"/>
      <c r="D704" s="587"/>
      <c r="E704" s="591"/>
      <c r="G704" s="593"/>
    </row>
    <row r="705" spans="1:7">
      <c r="A705" s="584"/>
      <c r="B705" s="585"/>
      <c r="C705" s="586"/>
      <c r="D705" s="587"/>
      <c r="E705" s="591"/>
      <c r="G705" s="593"/>
    </row>
    <row r="706" spans="1:7">
      <c r="A706" s="584"/>
      <c r="B706" s="585"/>
      <c r="C706" s="586"/>
      <c r="D706" s="587"/>
      <c r="E706" s="591"/>
      <c r="G706" s="593"/>
    </row>
    <row r="707" spans="1:7">
      <c r="A707" s="584"/>
      <c r="B707" s="585"/>
      <c r="C707" s="586"/>
      <c r="D707" s="587"/>
      <c r="E707" s="591"/>
      <c r="G707" s="593"/>
    </row>
    <row r="708" spans="1:7">
      <c r="A708" s="584"/>
      <c r="B708" s="585"/>
      <c r="C708" s="586"/>
      <c r="D708" s="587"/>
      <c r="E708" s="591"/>
      <c r="G708" s="593"/>
    </row>
    <row r="709" spans="1:7">
      <c r="A709" s="584"/>
      <c r="B709" s="585"/>
      <c r="C709" s="586"/>
      <c r="D709" s="587"/>
      <c r="E709" s="591"/>
      <c r="G709" s="593"/>
    </row>
    <row r="710" spans="1:7">
      <c r="A710" s="584"/>
      <c r="B710" s="585"/>
      <c r="C710" s="586"/>
      <c r="D710" s="587"/>
      <c r="E710" s="591"/>
      <c r="G710" s="593"/>
    </row>
    <row r="711" spans="1:7">
      <c r="A711" s="584"/>
      <c r="B711" s="585"/>
      <c r="C711" s="586"/>
      <c r="D711" s="587"/>
      <c r="E711" s="591"/>
      <c r="G711" s="593"/>
    </row>
    <row r="712" spans="1:7">
      <c r="A712" s="584"/>
      <c r="B712" s="585"/>
      <c r="C712" s="586"/>
      <c r="D712" s="587"/>
      <c r="E712" s="591"/>
      <c r="G712" s="593"/>
    </row>
    <row r="713" spans="1:7">
      <c r="A713" s="584"/>
      <c r="B713" s="585"/>
      <c r="C713" s="586"/>
      <c r="D713" s="587"/>
      <c r="E713" s="591"/>
      <c r="G713" s="593"/>
    </row>
    <row r="714" spans="1:7">
      <c r="A714" s="584"/>
      <c r="B714" s="585"/>
      <c r="C714" s="586"/>
      <c r="D714" s="587"/>
      <c r="E714" s="591"/>
      <c r="G714" s="593"/>
    </row>
    <row r="715" spans="1:7">
      <c r="A715" s="584"/>
      <c r="B715" s="585"/>
      <c r="C715" s="586"/>
      <c r="D715" s="587"/>
      <c r="E715" s="591"/>
      <c r="G715" s="593"/>
    </row>
    <row r="716" spans="1:7">
      <c r="A716" s="584"/>
      <c r="B716" s="585"/>
      <c r="C716" s="586"/>
      <c r="D716" s="587"/>
      <c r="E716" s="591"/>
      <c r="G716" s="593"/>
    </row>
    <row r="717" spans="1:7">
      <c r="A717" s="584"/>
      <c r="B717" s="585"/>
      <c r="C717" s="586"/>
      <c r="D717" s="587"/>
      <c r="E717" s="591"/>
      <c r="G717" s="593"/>
    </row>
    <row r="718" spans="1:7">
      <c r="A718" s="584"/>
      <c r="B718" s="585"/>
      <c r="C718" s="586"/>
      <c r="D718" s="587"/>
      <c r="E718" s="591"/>
      <c r="G718" s="593"/>
    </row>
    <row r="719" spans="1:7">
      <c r="A719" s="584"/>
      <c r="B719" s="585"/>
      <c r="C719" s="586"/>
      <c r="D719" s="587"/>
      <c r="E719" s="591"/>
      <c r="G719" s="593"/>
    </row>
    <row r="720" spans="1:7">
      <c r="A720" s="584"/>
      <c r="B720" s="585"/>
      <c r="C720" s="586"/>
      <c r="D720" s="587"/>
      <c r="E720" s="591"/>
      <c r="G720" s="593"/>
    </row>
    <row r="721" spans="1:7">
      <c r="A721" s="584"/>
      <c r="B721" s="585"/>
      <c r="C721" s="586"/>
      <c r="D721" s="587"/>
      <c r="E721" s="591"/>
      <c r="G721" s="593"/>
    </row>
    <row r="722" spans="1:7">
      <c r="A722" s="584"/>
      <c r="B722" s="585"/>
      <c r="C722" s="586"/>
      <c r="D722" s="587"/>
      <c r="E722" s="591"/>
      <c r="G722" s="593"/>
    </row>
    <row r="723" spans="1:7">
      <c r="A723" s="584"/>
      <c r="B723" s="585"/>
      <c r="C723" s="586"/>
      <c r="D723" s="587"/>
      <c r="E723" s="591"/>
      <c r="G723" s="593"/>
    </row>
    <row r="724" spans="1:7">
      <c r="A724" s="584"/>
      <c r="B724" s="585"/>
      <c r="C724" s="586"/>
      <c r="D724" s="587"/>
      <c r="E724" s="591"/>
      <c r="G724" s="593"/>
    </row>
    <row r="725" spans="1:7">
      <c r="A725" s="584"/>
      <c r="B725" s="585"/>
      <c r="C725" s="586"/>
      <c r="D725" s="587"/>
      <c r="E725" s="591"/>
      <c r="G725" s="593"/>
    </row>
    <row r="726" spans="1:7">
      <c r="A726" s="584"/>
      <c r="B726" s="585"/>
      <c r="C726" s="586"/>
      <c r="D726" s="587"/>
      <c r="E726" s="591"/>
      <c r="G726" s="593"/>
    </row>
    <row r="727" spans="1:7">
      <c r="A727" s="584"/>
      <c r="B727" s="585"/>
      <c r="C727" s="586"/>
      <c r="D727" s="587"/>
      <c r="E727" s="591"/>
      <c r="G727" s="593"/>
    </row>
    <row r="728" spans="1:7">
      <c r="A728" s="584"/>
      <c r="B728" s="585"/>
      <c r="C728" s="586"/>
      <c r="D728" s="587"/>
      <c r="E728" s="591"/>
      <c r="G728" s="593"/>
    </row>
    <row r="729" spans="1:7">
      <c r="A729" s="584"/>
      <c r="B729" s="585"/>
      <c r="C729" s="586"/>
      <c r="D729" s="587"/>
      <c r="E729" s="591"/>
      <c r="G729" s="593"/>
    </row>
    <row r="730" spans="1:7">
      <c r="A730" s="584"/>
      <c r="B730" s="585"/>
      <c r="C730" s="586"/>
      <c r="D730" s="587"/>
      <c r="E730" s="591"/>
      <c r="G730" s="593"/>
    </row>
    <row r="731" spans="1:7">
      <c r="A731" s="584"/>
      <c r="B731" s="585"/>
      <c r="C731" s="586"/>
      <c r="D731" s="587"/>
      <c r="E731" s="591"/>
      <c r="G731" s="593"/>
    </row>
    <row r="732" spans="1:7">
      <c r="A732" s="584"/>
      <c r="B732" s="585"/>
      <c r="C732" s="586"/>
      <c r="D732" s="587"/>
      <c r="E732" s="591"/>
      <c r="G732" s="593"/>
    </row>
    <row r="733" spans="1:7">
      <c r="A733" s="584"/>
      <c r="B733" s="585"/>
      <c r="C733" s="586"/>
      <c r="D733" s="587"/>
      <c r="E733" s="591"/>
      <c r="G733" s="593"/>
    </row>
    <row r="734" spans="1:7">
      <c r="A734" s="584"/>
      <c r="B734" s="585"/>
      <c r="C734" s="586"/>
      <c r="D734" s="587"/>
      <c r="E734" s="591"/>
      <c r="G734" s="593"/>
    </row>
    <row r="735" spans="1:7">
      <c r="A735" s="584"/>
      <c r="B735" s="585"/>
      <c r="C735" s="586"/>
      <c r="D735" s="587"/>
      <c r="E735" s="591"/>
      <c r="G735" s="593"/>
    </row>
    <row r="736" spans="1:7">
      <c r="A736" s="584"/>
      <c r="B736" s="585"/>
      <c r="C736" s="586"/>
      <c r="D736" s="587"/>
      <c r="E736" s="591"/>
      <c r="G736" s="593"/>
    </row>
    <row r="737" spans="1:7">
      <c r="A737" s="584"/>
      <c r="B737" s="585"/>
      <c r="C737" s="586"/>
      <c r="D737" s="587"/>
      <c r="E737" s="591"/>
      <c r="G737" s="593"/>
    </row>
    <row r="738" spans="1:7">
      <c r="A738" s="584"/>
      <c r="B738" s="585"/>
      <c r="C738" s="586"/>
      <c r="D738" s="587"/>
      <c r="E738" s="591"/>
      <c r="G738" s="593"/>
    </row>
    <row r="739" spans="1:7">
      <c r="A739" s="584"/>
      <c r="B739" s="585"/>
      <c r="C739" s="586"/>
      <c r="D739" s="587"/>
      <c r="E739" s="591"/>
      <c r="G739" s="593"/>
    </row>
    <row r="740" spans="1:7">
      <c r="A740" s="584"/>
      <c r="B740" s="585"/>
      <c r="C740" s="586"/>
      <c r="D740" s="587"/>
      <c r="E740" s="591"/>
      <c r="G740" s="593"/>
    </row>
    <row r="741" spans="1:7">
      <c r="A741" s="584"/>
      <c r="B741" s="585"/>
      <c r="C741" s="586"/>
      <c r="D741" s="587"/>
      <c r="E741" s="591"/>
      <c r="G741" s="593"/>
    </row>
    <row r="742" spans="1:7">
      <c r="A742" s="584"/>
      <c r="B742" s="585"/>
      <c r="C742" s="586"/>
      <c r="D742" s="587"/>
      <c r="E742" s="591"/>
      <c r="G742" s="593"/>
    </row>
    <row r="743" spans="1:7">
      <c r="A743" s="584"/>
      <c r="B743" s="585"/>
      <c r="C743" s="586"/>
      <c r="D743" s="587"/>
      <c r="E743" s="591"/>
      <c r="G743" s="593"/>
    </row>
    <row r="744" spans="1:7">
      <c r="A744" s="584"/>
      <c r="B744" s="585"/>
      <c r="C744" s="586"/>
      <c r="D744" s="587"/>
      <c r="E744" s="591"/>
      <c r="G744" s="593"/>
    </row>
    <row r="745" spans="1:7">
      <c r="A745" s="584"/>
      <c r="B745" s="585"/>
      <c r="C745" s="586"/>
      <c r="D745" s="587"/>
      <c r="E745" s="591"/>
      <c r="G745" s="593"/>
    </row>
    <row r="746" spans="1:7">
      <c r="A746" s="584"/>
      <c r="B746" s="585"/>
      <c r="C746" s="586"/>
      <c r="D746" s="587"/>
      <c r="E746" s="591"/>
      <c r="G746" s="593"/>
    </row>
    <row r="747" spans="1:7">
      <c r="A747" s="584"/>
      <c r="B747" s="585"/>
      <c r="C747" s="586"/>
      <c r="D747" s="587"/>
      <c r="E747" s="591"/>
      <c r="G747" s="593"/>
    </row>
    <row r="748" spans="1:7">
      <c r="A748" s="584"/>
      <c r="B748" s="585"/>
      <c r="C748" s="586"/>
      <c r="D748" s="587"/>
      <c r="E748" s="591"/>
      <c r="G748" s="593"/>
    </row>
    <row r="749" spans="1:7">
      <c r="A749" s="584"/>
      <c r="B749" s="585"/>
      <c r="C749" s="586"/>
      <c r="D749" s="587"/>
      <c r="E749" s="591"/>
      <c r="G749" s="593"/>
    </row>
    <row r="750" spans="1:7">
      <c r="A750" s="584"/>
      <c r="B750" s="585"/>
      <c r="C750" s="586"/>
      <c r="D750" s="587"/>
      <c r="E750" s="591"/>
      <c r="G750" s="593"/>
    </row>
    <row r="751" spans="1:7">
      <c r="A751" s="584"/>
      <c r="B751" s="585"/>
      <c r="C751" s="586"/>
      <c r="D751" s="587"/>
      <c r="E751" s="591"/>
      <c r="G751" s="593"/>
    </row>
    <row r="752" spans="1:7">
      <c r="A752" s="584"/>
      <c r="B752" s="585"/>
      <c r="C752" s="586"/>
      <c r="D752" s="587"/>
      <c r="E752" s="591"/>
      <c r="G752" s="593"/>
    </row>
    <row r="753" spans="1:7">
      <c r="A753" s="584"/>
      <c r="B753" s="585"/>
      <c r="C753" s="586"/>
      <c r="D753" s="587"/>
      <c r="E753" s="591"/>
      <c r="G753" s="593"/>
    </row>
    <row r="754" spans="1:7">
      <c r="A754" s="584"/>
      <c r="B754" s="585"/>
      <c r="C754" s="586"/>
      <c r="D754" s="587"/>
      <c r="E754" s="591"/>
      <c r="G754" s="593"/>
    </row>
    <row r="755" spans="1:7">
      <c r="A755" s="584"/>
      <c r="B755" s="585"/>
      <c r="C755" s="586"/>
      <c r="D755" s="587"/>
      <c r="E755" s="591"/>
      <c r="G755" s="593"/>
    </row>
    <row r="756" spans="1:7">
      <c r="A756" s="584"/>
      <c r="B756" s="585"/>
      <c r="C756" s="586"/>
      <c r="D756" s="587"/>
      <c r="E756" s="591"/>
      <c r="G756" s="593"/>
    </row>
    <row r="757" spans="1:7">
      <c r="A757" s="584"/>
      <c r="B757" s="585"/>
      <c r="C757" s="586"/>
      <c r="D757" s="587"/>
      <c r="E757" s="591"/>
      <c r="G757" s="593"/>
    </row>
    <row r="758" spans="1:7">
      <c r="A758" s="584"/>
      <c r="B758" s="585"/>
      <c r="C758" s="586"/>
      <c r="D758" s="587"/>
      <c r="E758" s="591"/>
      <c r="G758" s="593"/>
    </row>
    <row r="759" spans="1:7">
      <c r="A759" s="584"/>
      <c r="B759" s="585"/>
      <c r="C759" s="586"/>
      <c r="D759" s="587"/>
      <c r="E759" s="591"/>
      <c r="G759" s="593"/>
    </row>
    <row r="760" spans="1:7">
      <c r="A760" s="584"/>
      <c r="B760" s="585"/>
      <c r="C760" s="586"/>
      <c r="D760" s="587"/>
      <c r="E760" s="591"/>
      <c r="G760" s="593"/>
    </row>
    <row r="761" spans="1:7">
      <c r="A761" s="584"/>
      <c r="B761" s="585"/>
      <c r="C761" s="586"/>
      <c r="D761" s="587"/>
      <c r="E761" s="591"/>
      <c r="G761" s="593"/>
    </row>
    <row r="762" spans="1:7">
      <c r="A762" s="584"/>
      <c r="B762" s="585"/>
      <c r="C762" s="586"/>
      <c r="D762" s="587"/>
      <c r="E762" s="591"/>
      <c r="G762" s="593"/>
    </row>
    <row r="763" spans="1:7">
      <c r="A763" s="584"/>
      <c r="B763" s="585"/>
      <c r="C763" s="586"/>
      <c r="D763" s="587"/>
      <c r="E763" s="591"/>
      <c r="G763" s="593"/>
    </row>
    <row r="764" spans="1:7">
      <c r="A764" s="584"/>
      <c r="B764" s="585"/>
      <c r="C764" s="586"/>
      <c r="D764" s="587"/>
      <c r="E764" s="591"/>
      <c r="G764" s="593"/>
    </row>
    <row r="765" spans="1:7">
      <c r="A765" s="584"/>
      <c r="B765" s="585"/>
      <c r="C765" s="586"/>
      <c r="D765" s="587"/>
      <c r="E765" s="591"/>
      <c r="G765" s="593"/>
    </row>
    <row r="766" spans="1:7">
      <c r="A766" s="584"/>
      <c r="B766" s="585"/>
      <c r="C766" s="586"/>
      <c r="D766" s="587"/>
      <c r="E766" s="591"/>
      <c r="G766" s="593"/>
    </row>
    <row r="767" spans="1:7">
      <c r="A767" s="584"/>
      <c r="B767" s="585"/>
      <c r="C767" s="586"/>
      <c r="D767" s="587"/>
      <c r="E767" s="591"/>
      <c r="G767" s="593"/>
    </row>
    <row r="768" spans="1:7">
      <c r="A768" s="584"/>
      <c r="B768" s="585"/>
      <c r="C768" s="586"/>
      <c r="D768" s="587"/>
      <c r="E768" s="591"/>
      <c r="G768" s="593"/>
    </row>
    <row r="769" spans="1:7">
      <c r="A769" s="584"/>
      <c r="B769" s="585"/>
      <c r="C769" s="586"/>
      <c r="D769" s="587"/>
      <c r="E769" s="591"/>
      <c r="G769" s="593"/>
    </row>
    <row r="770" spans="1:7">
      <c r="A770" s="584"/>
      <c r="B770" s="585"/>
      <c r="C770" s="586"/>
      <c r="D770" s="587"/>
      <c r="E770" s="591"/>
      <c r="G770" s="593"/>
    </row>
    <row r="771" spans="1:7">
      <c r="A771" s="584"/>
      <c r="B771" s="585"/>
      <c r="C771" s="586"/>
      <c r="D771" s="587"/>
      <c r="E771" s="591"/>
      <c r="G771" s="593"/>
    </row>
    <row r="772" spans="1:7">
      <c r="A772" s="584"/>
      <c r="B772" s="585"/>
      <c r="C772" s="586"/>
      <c r="D772" s="587"/>
      <c r="E772" s="591"/>
      <c r="G772" s="593"/>
    </row>
    <row r="773" spans="1:7">
      <c r="A773" s="584"/>
      <c r="B773" s="585"/>
      <c r="C773" s="586"/>
      <c r="D773" s="587"/>
      <c r="E773" s="591"/>
      <c r="G773" s="593"/>
    </row>
    <row r="774" spans="1:7">
      <c r="A774" s="584"/>
      <c r="B774" s="585"/>
      <c r="C774" s="586"/>
      <c r="D774" s="587"/>
      <c r="E774" s="591"/>
      <c r="G774" s="593"/>
    </row>
    <row r="775" spans="1:7">
      <c r="A775" s="584"/>
      <c r="B775" s="585"/>
      <c r="C775" s="586"/>
      <c r="D775" s="587"/>
      <c r="E775" s="591"/>
      <c r="G775" s="593"/>
    </row>
    <row r="776" spans="1:7">
      <c r="A776" s="584"/>
      <c r="B776" s="585"/>
      <c r="C776" s="586"/>
      <c r="D776" s="587"/>
      <c r="E776" s="591"/>
      <c r="G776" s="593"/>
    </row>
    <row r="777" spans="1:7">
      <c r="A777" s="584"/>
      <c r="B777" s="585"/>
      <c r="C777" s="586"/>
      <c r="D777" s="587"/>
      <c r="E777" s="591"/>
      <c r="G777" s="593"/>
    </row>
    <row r="778" spans="1:7">
      <c r="A778" s="584"/>
      <c r="B778" s="585"/>
      <c r="C778" s="586"/>
      <c r="D778" s="587"/>
      <c r="E778" s="591"/>
      <c r="G778" s="593"/>
    </row>
    <row r="779" spans="1:7">
      <c r="A779" s="584"/>
      <c r="B779" s="585"/>
      <c r="C779" s="586"/>
      <c r="D779" s="587"/>
      <c r="E779" s="591"/>
      <c r="G779" s="593"/>
    </row>
    <row r="780" spans="1:7">
      <c r="A780" s="584"/>
      <c r="B780" s="585"/>
      <c r="C780" s="586"/>
      <c r="D780" s="587"/>
      <c r="E780" s="591"/>
      <c r="G780" s="593"/>
    </row>
    <row r="781" spans="1:7">
      <c r="A781" s="584"/>
      <c r="B781" s="585"/>
      <c r="C781" s="586"/>
      <c r="D781" s="587"/>
      <c r="E781" s="591"/>
      <c r="G781" s="593"/>
    </row>
    <row r="782" spans="1:7">
      <c r="A782" s="584"/>
      <c r="B782" s="585"/>
      <c r="C782" s="586"/>
      <c r="D782" s="587"/>
      <c r="E782" s="591"/>
      <c r="G782" s="593"/>
    </row>
    <row r="783" spans="1:7">
      <c r="A783" s="584"/>
      <c r="B783" s="585"/>
      <c r="C783" s="586"/>
      <c r="D783" s="587"/>
      <c r="E783" s="591"/>
      <c r="G783" s="593"/>
    </row>
    <row r="784" spans="1:7">
      <c r="A784" s="584"/>
      <c r="B784" s="585"/>
      <c r="C784" s="586"/>
      <c r="D784" s="587"/>
      <c r="E784" s="591"/>
      <c r="G784" s="593"/>
    </row>
    <row r="785" spans="1:7">
      <c r="A785" s="584"/>
      <c r="B785" s="585"/>
      <c r="C785" s="586"/>
      <c r="D785" s="587"/>
      <c r="E785" s="591"/>
      <c r="G785" s="593"/>
    </row>
    <row r="786" spans="1:7">
      <c r="A786" s="584"/>
      <c r="B786" s="585"/>
      <c r="C786" s="586"/>
      <c r="D786" s="587"/>
      <c r="E786" s="591"/>
      <c r="G786" s="593"/>
    </row>
    <row r="787" spans="1:7">
      <c r="A787" s="584"/>
      <c r="B787" s="585"/>
      <c r="C787" s="586"/>
      <c r="D787" s="587"/>
      <c r="E787" s="591"/>
      <c r="G787" s="593"/>
    </row>
    <row r="788" spans="1:7">
      <c r="A788" s="584"/>
      <c r="B788" s="585"/>
      <c r="C788" s="586"/>
      <c r="D788" s="587"/>
      <c r="E788" s="591"/>
      <c r="G788" s="593"/>
    </row>
    <row r="789" spans="1:7">
      <c r="A789" s="584"/>
      <c r="B789" s="585"/>
      <c r="C789" s="586"/>
      <c r="D789" s="587"/>
      <c r="E789" s="591"/>
      <c r="G789" s="593"/>
    </row>
    <row r="790" spans="1:7">
      <c r="A790" s="584"/>
      <c r="B790" s="585"/>
      <c r="C790" s="586"/>
      <c r="D790" s="587"/>
      <c r="E790" s="591"/>
      <c r="G790" s="593"/>
    </row>
    <row r="791" spans="1:7">
      <c r="A791" s="584"/>
      <c r="B791" s="585"/>
      <c r="C791" s="586"/>
      <c r="D791" s="587"/>
      <c r="E791" s="591"/>
      <c r="G791" s="593"/>
    </row>
    <row r="792" spans="1:7">
      <c r="A792" s="584"/>
      <c r="B792" s="585"/>
      <c r="C792" s="586"/>
      <c r="D792" s="587"/>
      <c r="E792" s="591"/>
      <c r="G792" s="593"/>
    </row>
    <row r="793" spans="1:7">
      <c r="A793" s="584"/>
      <c r="B793" s="585"/>
      <c r="C793" s="586"/>
      <c r="D793" s="587"/>
      <c r="E793" s="591"/>
      <c r="G793" s="593"/>
    </row>
    <row r="794" spans="1:7">
      <c r="A794" s="584"/>
      <c r="B794" s="585"/>
      <c r="C794" s="586"/>
      <c r="D794" s="587"/>
      <c r="E794" s="591"/>
      <c r="G794" s="593"/>
    </row>
    <row r="795" spans="1:7">
      <c r="A795" s="584"/>
      <c r="B795" s="585"/>
      <c r="C795" s="586"/>
      <c r="D795" s="587"/>
      <c r="E795" s="591"/>
      <c r="G795" s="593"/>
    </row>
    <row r="796" spans="1:7">
      <c r="A796" s="584"/>
      <c r="B796" s="585"/>
      <c r="C796" s="586"/>
      <c r="D796" s="587"/>
      <c r="E796" s="591"/>
      <c r="G796" s="593"/>
    </row>
    <row r="797" spans="1:7">
      <c r="A797" s="584"/>
      <c r="B797" s="585"/>
      <c r="C797" s="586"/>
      <c r="D797" s="587"/>
      <c r="E797" s="591"/>
      <c r="G797" s="593"/>
    </row>
    <row r="798" spans="1:7">
      <c r="A798" s="584"/>
      <c r="B798" s="585"/>
      <c r="C798" s="586"/>
      <c r="D798" s="587"/>
      <c r="E798" s="591"/>
      <c r="G798" s="593"/>
    </row>
    <row r="799" spans="1:7">
      <c r="A799" s="584"/>
      <c r="B799" s="585"/>
      <c r="C799" s="586"/>
      <c r="D799" s="587"/>
      <c r="E799" s="591"/>
      <c r="G799" s="593"/>
    </row>
    <row r="800" spans="1:7">
      <c r="A800" s="584"/>
      <c r="B800" s="585"/>
      <c r="C800" s="586"/>
      <c r="D800" s="587"/>
      <c r="E800" s="591"/>
      <c r="G800" s="593"/>
    </row>
    <row r="801" spans="1:7">
      <c r="A801" s="584"/>
      <c r="B801" s="585"/>
      <c r="C801" s="586"/>
      <c r="D801" s="587"/>
      <c r="E801" s="591"/>
      <c r="G801" s="593"/>
    </row>
    <row r="802" spans="1:7">
      <c r="A802" s="584"/>
      <c r="B802" s="585"/>
      <c r="C802" s="586"/>
      <c r="D802" s="587"/>
      <c r="E802" s="591"/>
      <c r="G802" s="593"/>
    </row>
    <row r="803" spans="1:7">
      <c r="A803" s="584"/>
      <c r="B803" s="585"/>
      <c r="C803" s="586"/>
      <c r="D803" s="587"/>
      <c r="E803" s="591"/>
      <c r="G803" s="593"/>
    </row>
    <row r="804" spans="1:7">
      <c r="A804" s="584"/>
      <c r="B804" s="585"/>
      <c r="C804" s="586"/>
      <c r="D804" s="587"/>
      <c r="E804" s="591"/>
      <c r="G804" s="593"/>
    </row>
    <row r="805" spans="1:7">
      <c r="A805" s="584"/>
      <c r="B805" s="585"/>
      <c r="C805" s="586"/>
      <c r="D805" s="587"/>
      <c r="E805" s="591"/>
      <c r="G805" s="593"/>
    </row>
    <row r="806" spans="1:7">
      <c r="A806" s="584"/>
      <c r="B806" s="585"/>
      <c r="C806" s="586"/>
      <c r="D806" s="587"/>
      <c r="E806" s="591"/>
      <c r="G806" s="593"/>
    </row>
    <row r="807" spans="1:7">
      <c r="A807" s="584"/>
      <c r="B807" s="585"/>
      <c r="C807" s="586"/>
      <c r="D807" s="587"/>
      <c r="E807" s="591"/>
      <c r="G807" s="593"/>
    </row>
    <row r="808" spans="1:7">
      <c r="A808" s="584"/>
      <c r="B808" s="585"/>
      <c r="C808" s="586"/>
      <c r="D808" s="587"/>
      <c r="E808" s="591"/>
      <c r="G808" s="593"/>
    </row>
    <row r="809" spans="1:7">
      <c r="A809" s="584"/>
      <c r="B809" s="585"/>
      <c r="C809" s="586"/>
      <c r="D809" s="587"/>
      <c r="E809" s="591"/>
      <c r="G809" s="593"/>
    </row>
    <row r="810" spans="1:7">
      <c r="A810" s="584"/>
      <c r="B810" s="585"/>
      <c r="C810" s="586"/>
      <c r="D810" s="587"/>
      <c r="E810" s="591"/>
      <c r="G810" s="593"/>
    </row>
    <row r="811" spans="1:7">
      <c r="A811" s="584"/>
      <c r="B811" s="585"/>
      <c r="C811" s="586"/>
      <c r="D811" s="587"/>
      <c r="E811" s="591"/>
      <c r="G811" s="593"/>
    </row>
    <row r="812" spans="1:7">
      <c r="A812" s="584"/>
      <c r="B812" s="585"/>
      <c r="C812" s="586"/>
      <c r="D812" s="587"/>
      <c r="E812" s="591"/>
      <c r="G812" s="593"/>
    </row>
    <row r="813" spans="1:7">
      <c r="A813" s="584"/>
      <c r="B813" s="585"/>
      <c r="C813" s="586"/>
      <c r="D813" s="587"/>
      <c r="E813" s="591"/>
      <c r="G813" s="593"/>
    </row>
    <row r="814" spans="1:7">
      <c r="A814" s="584"/>
      <c r="B814" s="585"/>
      <c r="C814" s="586"/>
      <c r="D814" s="587"/>
      <c r="E814" s="591"/>
      <c r="G814" s="593"/>
    </row>
    <row r="815" spans="1:7">
      <c r="A815" s="584"/>
      <c r="B815" s="585"/>
      <c r="C815" s="586"/>
      <c r="D815" s="587"/>
      <c r="E815" s="591"/>
      <c r="G815" s="593"/>
    </row>
    <row r="816" spans="1:7">
      <c r="A816" s="584"/>
      <c r="B816" s="585"/>
      <c r="C816" s="586"/>
      <c r="D816" s="587"/>
      <c r="E816" s="591"/>
      <c r="G816" s="593"/>
    </row>
    <row r="817" spans="1:7">
      <c r="A817" s="584"/>
      <c r="B817" s="585"/>
      <c r="C817" s="586"/>
      <c r="D817" s="587"/>
      <c r="E817" s="591"/>
      <c r="G817" s="593"/>
    </row>
    <row r="818" spans="1:7">
      <c r="A818" s="584"/>
      <c r="B818" s="585"/>
      <c r="C818" s="586"/>
      <c r="D818" s="587"/>
      <c r="E818" s="591"/>
      <c r="G818" s="593"/>
    </row>
    <row r="819" spans="1:7">
      <c r="A819" s="584"/>
      <c r="B819" s="585"/>
      <c r="C819" s="586"/>
      <c r="D819" s="587"/>
      <c r="E819" s="591"/>
      <c r="G819" s="593"/>
    </row>
    <row r="820" spans="1:7">
      <c r="A820" s="584"/>
      <c r="B820" s="585"/>
      <c r="C820" s="586"/>
      <c r="D820" s="587"/>
      <c r="E820" s="591"/>
      <c r="G820" s="593"/>
    </row>
    <row r="821" spans="1:7">
      <c r="A821" s="584"/>
      <c r="B821" s="585"/>
      <c r="C821" s="586"/>
      <c r="D821" s="587"/>
      <c r="E821" s="591"/>
      <c r="G821" s="593"/>
    </row>
    <row r="822" spans="1:7">
      <c r="A822" s="584"/>
      <c r="B822" s="585"/>
      <c r="C822" s="586"/>
      <c r="D822" s="587"/>
      <c r="E822" s="591"/>
      <c r="G822" s="593"/>
    </row>
    <row r="823" spans="1:7">
      <c r="A823" s="584"/>
      <c r="B823" s="585"/>
      <c r="C823" s="586"/>
      <c r="D823" s="587"/>
      <c r="E823" s="591"/>
      <c r="G823" s="593"/>
    </row>
    <row r="824" spans="1:7">
      <c r="A824" s="584"/>
      <c r="B824" s="585"/>
      <c r="C824" s="586"/>
      <c r="D824" s="587"/>
      <c r="E824" s="591"/>
      <c r="G824" s="593"/>
    </row>
    <row r="825" spans="1:7">
      <c r="A825" s="584"/>
      <c r="B825" s="585"/>
      <c r="C825" s="586"/>
      <c r="D825" s="587"/>
      <c r="E825" s="591"/>
      <c r="G825" s="593"/>
    </row>
    <row r="826" spans="1:7">
      <c r="A826" s="584"/>
      <c r="B826" s="585"/>
      <c r="C826" s="586"/>
      <c r="D826" s="587"/>
      <c r="E826" s="591"/>
      <c r="G826" s="593"/>
    </row>
    <row r="827" spans="1:7">
      <c r="A827" s="584"/>
      <c r="B827" s="585"/>
      <c r="C827" s="586"/>
      <c r="D827" s="587"/>
      <c r="E827" s="591"/>
      <c r="G827" s="593"/>
    </row>
    <row r="828" spans="1:7">
      <c r="A828" s="584"/>
      <c r="B828" s="585"/>
      <c r="C828" s="586"/>
      <c r="D828" s="587"/>
      <c r="E828" s="591"/>
      <c r="G828" s="593"/>
    </row>
    <row r="829" spans="1:7">
      <c r="A829" s="584"/>
      <c r="B829" s="585"/>
      <c r="C829" s="586"/>
      <c r="D829" s="587"/>
      <c r="E829" s="591"/>
      <c r="G829" s="593"/>
    </row>
    <row r="830" spans="1:7">
      <c r="A830" s="584"/>
      <c r="B830" s="585"/>
      <c r="C830" s="586"/>
      <c r="D830" s="587"/>
      <c r="E830" s="591"/>
      <c r="G830" s="593"/>
    </row>
    <row r="831" spans="1:7">
      <c r="A831" s="584"/>
      <c r="B831" s="585"/>
      <c r="C831" s="586"/>
      <c r="D831" s="587"/>
      <c r="E831" s="591"/>
      <c r="G831" s="593"/>
    </row>
    <row r="832" spans="1:7">
      <c r="A832" s="584"/>
      <c r="B832" s="585"/>
      <c r="C832" s="586"/>
      <c r="D832" s="587"/>
      <c r="E832" s="591"/>
      <c r="G832" s="593"/>
    </row>
    <row r="833" spans="1:7">
      <c r="A833" s="584"/>
      <c r="B833" s="585"/>
      <c r="C833" s="586"/>
      <c r="D833" s="587"/>
      <c r="E833" s="591"/>
      <c r="G833" s="593"/>
    </row>
    <row r="834" spans="1:7">
      <c r="A834" s="584"/>
      <c r="B834" s="585"/>
      <c r="C834" s="586"/>
      <c r="D834" s="587"/>
      <c r="E834" s="591"/>
      <c r="G834" s="593"/>
    </row>
    <row r="835" spans="1:7">
      <c r="A835" s="584"/>
      <c r="B835" s="585"/>
      <c r="C835" s="586"/>
      <c r="D835" s="587"/>
      <c r="E835" s="591"/>
      <c r="G835" s="593"/>
    </row>
    <row r="836" spans="1:7">
      <c r="A836" s="584"/>
      <c r="B836" s="585"/>
      <c r="C836" s="586"/>
      <c r="D836" s="587"/>
      <c r="E836" s="591"/>
      <c r="G836" s="593"/>
    </row>
    <row r="837" spans="1:7">
      <c r="A837" s="584"/>
      <c r="B837" s="585"/>
      <c r="C837" s="586"/>
      <c r="D837" s="587"/>
      <c r="E837" s="591"/>
      <c r="G837" s="593"/>
    </row>
    <row r="838" spans="1:7">
      <c r="A838" s="584"/>
      <c r="B838" s="585"/>
      <c r="C838" s="586"/>
      <c r="D838" s="587"/>
      <c r="E838" s="591"/>
      <c r="G838" s="593"/>
    </row>
    <row r="839" spans="1:7">
      <c r="A839" s="584"/>
      <c r="B839" s="585"/>
      <c r="C839" s="586"/>
      <c r="D839" s="587"/>
      <c r="E839" s="591"/>
      <c r="G839" s="593"/>
    </row>
    <row r="840" spans="1:7">
      <c r="A840" s="584"/>
      <c r="B840" s="585"/>
      <c r="C840" s="586"/>
      <c r="D840" s="587"/>
      <c r="E840" s="591"/>
      <c r="G840" s="593"/>
    </row>
    <row r="841" spans="1:7">
      <c r="A841" s="584"/>
      <c r="B841" s="585"/>
      <c r="C841" s="586"/>
      <c r="D841" s="587"/>
      <c r="E841" s="591"/>
      <c r="G841" s="593"/>
    </row>
    <row r="842" spans="1:7">
      <c r="A842" s="584"/>
      <c r="B842" s="585"/>
      <c r="C842" s="586"/>
      <c r="D842" s="587"/>
      <c r="E842" s="591"/>
      <c r="G842" s="593"/>
    </row>
    <row r="843" spans="1:7">
      <c r="A843" s="584"/>
      <c r="B843" s="585"/>
      <c r="C843" s="586"/>
      <c r="D843" s="587"/>
      <c r="E843" s="591"/>
      <c r="G843" s="593"/>
    </row>
    <row r="844" spans="1:7">
      <c r="A844" s="584"/>
      <c r="B844" s="585"/>
      <c r="C844" s="586"/>
      <c r="D844" s="587"/>
      <c r="E844" s="591"/>
      <c r="G844" s="593"/>
    </row>
    <row r="845" spans="1:7">
      <c r="A845" s="584"/>
      <c r="B845" s="585"/>
      <c r="C845" s="586"/>
      <c r="D845" s="587"/>
      <c r="E845" s="591"/>
      <c r="G845" s="593"/>
    </row>
    <row r="846" spans="1:7">
      <c r="A846" s="584"/>
      <c r="B846" s="585"/>
      <c r="C846" s="586"/>
      <c r="D846" s="587"/>
      <c r="E846" s="591"/>
      <c r="G846" s="593"/>
    </row>
    <row r="847" spans="1:7">
      <c r="A847" s="584"/>
      <c r="B847" s="585"/>
      <c r="C847" s="586"/>
      <c r="D847" s="587"/>
      <c r="E847" s="591"/>
      <c r="G847" s="593"/>
    </row>
    <row r="848" spans="1:7">
      <c r="A848" s="584"/>
      <c r="B848" s="585"/>
      <c r="C848" s="586"/>
      <c r="D848" s="587"/>
      <c r="E848" s="591"/>
      <c r="G848" s="593"/>
    </row>
    <row r="849" spans="1:7">
      <c r="A849" s="584"/>
      <c r="B849" s="585"/>
      <c r="C849" s="586"/>
      <c r="D849" s="587"/>
      <c r="E849" s="591"/>
      <c r="G849" s="593"/>
    </row>
    <row r="850" spans="1:7">
      <c r="A850" s="584"/>
      <c r="B850" s="585"/>
      <c r="C850" s="586"/>
      <c r="D850" s="587"/>
      <c r="E850" s="591"/>
      <c r="G850" s="593"/>
    </row>
    <row r="851" spans="1:7">
      <c r="A851" s="584"/>
      <c r="B851" s="585"/>
      <c r="C851" s="586"/>
      <c r="D851" s="587"/>
      <c r="E851" s="591"/>
      <c r="G851" s="593"/>
    </row>
    <row r="852" spans="1:7">
      <c r="A852" s="584"/>
      <c r="B852" s="585"/>
      <c r="C852" s="586"/>
      <c r="D852" s="587"/>
      <c r="E852" s="591"/>
      <c r="G852" s="593"/>
    </row>
    <row r="853" spans="1:7">
      <c r="A853" s="584"/>
      <c r="B853" s="585"/>
      <c r="C853" s="586"/>
      <c r="D853" s="587"/>
      <c r="E853" s="591"/>
      <c r="G853" s="593"/>
    </row>
    <row r="854" spans="1:7">
      <c r="A854" s="584"/>
      <c r="B854" s="585"/>
      <c r="C854" s="586"/>
      <c r="D854" s="587"/>
      <c r="E854" s="591"/>
      <c r="G854" s="593"/>
    </row>
    <row r="855" spans="1:7">
      <c r="A855" s="584"/>
      <c r="B855" s="585"/>
      <c r="C855" s="586"/>
      <c r="D855" s="587"/>
      <c r="E855" s="591"/>
      <c r="G855" s="593"/>
    </row>
    <row r="856" spans="1:7">
      <c r="A856" s="584"/>
      <c r="B856" s="585"/>
      <c r="C856" s="586"/>
      <c r="D856" s="587"/>
      <c r="E856" s="591"/>
      <c r="G856" s="593"/>
    </row>
    <row r="857" spans="1:7">
      <c r="A857" s="584"/>
      <c r="B857" s="585"/>
      <c r="C857" s="586"/>
      <c r="D857" s="587"/>
      <c r="E857" s="591"/>
      <c r="G857" s="593"/>
    </row>
    <row r="858" spans="1:7">
      <c r="A858" s="584"/>
      <c r="B858" s="585"/>
      <c r="C858" s="586"/>
      <c r="D858" s="587"/>
      <c r="E858" s="591"/>
      <c r="G858" s="593"/>
    </row>
    <row r="859" spans="1:7">
      <c r="A859" s="584"/>
      <c r="B859" s="585"/>
      <c r="C859" s="586"/>
      <c r="D859" s="587"/>
      <c r="E859" s="591"/>
      <c r="G859" s="593"/>
    </row>
    <row r="860" spans="1:7">
      <c r="A860" s="584"/>
      <c r="B860" s="585"/>
      <c r="C860" s="586"/>
      <c r="D860" s="587"/>
      <c r="E860" s="591"/>
      <c r="G860" s="593"/>
    </row>
    <row r="861" spans="1:7">
      <c r="A861" s="584"/>
      <c r="B861" s="585"/>
      <c r="C861" s="586"/>
      <c r="D861" s="587"/>
      <c r="E861" s="591"/>
      <c r="G861" s="593"/>
    </row>
    <row r="862" spans="1:7">
      <c r="A862" s="584"/>
      <c r="B862" s="585"/>
      <c r="C862" s="586"/>
      <c r="D862" s="587"/>
      <c r="E862" s="591"/>
      <c r="G862" s="593"/>
    </row>
    <row r="863" spans="1:7">
      <c r="A863" s="584"/>
      <c r="B863" s="585"/>
      <c r="C863" s="586"/>
      <c r="D863" s="587"/>
      <c r="E863" s="591"/>
      <c r="G863" s="593"/>
    </row>
    <row r="864" spans="1:7">
      <c r="A864" s="584"/>
      <c r="B864" s="585"/>
      <c r="C864" s="586"/>
      <c r="D864" s="587"/>
      <c r="E864" s="591"/>
      <c r="G864" s="593"/>
    </row>
    <row r="865" spans="1:7">
      <c r="A865" s="584"/>
      <c r="B865" s="585"/>
      <c r="C865" s="586"/>
      <c r="D865" s="587"/>
      <c r="E865" s="591"/>
      <c r="G865" s="593"/>
    </row>
    <row r="866" spans="1:7">
      <c r="A866" s="584"/>
      <c r="B866" s="585"/>
      <c r="C866" s="586"/>
      <c r="D866" s="587"/>
      <c r="E866" s="591"/>
      <c r="G866" s="593"/>
    </row>
    <row r="867" spans="1:7">
      <c r="A867" s="584"/>
      <c r="B867" s="585"/>
      <c r="C867" s="586"/>
      <c r="D867" s="587"/>
      <c r="E867" s="591"/>
      <c r="G867" s="593"/>
    </row>
    <row r="868" spans="1:7">
      <c r="A868" s="584"/>
      <c r="B868" s="585"/>
      <c r="C868" s="586"/>
      <c r="D868" s="587"/>
      <c r="E868" s="591"/>
      <c r="G868" s="593"/>
    </row>
    <row r="869" spans="1:7">
      <c r="A869" s="584"/>
      <c r="B869" s="585"/>
      <c r="C869" s="586"/>
      <c r="D869" s="587"/>
      <c r="E869" s="591"/>
      <c r="G869" s="593"/>
    </row>
    <row r="870" spans="1:7">
      <c r="A870" s="584"/>
      <c r="B870" s="585"/>
      <c r="C870" s="586"/>
      <c r="D870" s="587"/>
      <c r="E870" s="591"/>
      <c r="G870" s="593"/>
    </row>
    <row r="871" spans="1:7">
      <c r="A871" s="584"/>
      <c r="B871" s="585"/>
      <c r="C871" s="586"/>
      <c r="D871" s="587"/>
      <c r="E871" s="591"/>
      <c r="G871" s="593"/>
    </row>
    <row r="872" spans="1:7">
      <c r="A872" s="584"/>
      <c r="B872" s="585"/>
      <c r="C872" s="586"/>
      <c r="D872" s="587"/>
      <c r="E872" s="591"/>
      <c r="G872" s="593"/>
    </row>
    <row r="873" spans="1:7">
      <c r="A873" s="584"/>
      <c r="B873" s="585"/>
      <c r="C873" s="586"/>
      <c r="D873" s="587"/>
      <c r="E873" s="591"/>
      <c r="G873" s="593"/>
    </row>
    <row r="874" spans="1:7">
      <c r="A874" s="584"/>
      <c r="B874" s="585"/>
      <c r="C874" s="586"/>
      <c r="D874" s="587"/>
      <c r="E874" s="591"/>
      <c r="G874" s="593"/>
    </row>
    <row r="875" spans="1:7">
      <c r="A875" s="584"/>
      <c r="B875" s="585"/>
      <c r="C875" s="586"/>
      <c r="D875" s="587"/>
      <c r="E875" s="591"/>
      <c r="G875" s="593"/>
    </row>
    <row r="876" spans="1:7">
      <c r="A876" s="584"/>
      <c r="B876" s="585"/>
      <c r="C876" s="586"/>
      <c r="D876" s="587"/>
      <c r="E876" s="591"/>
      <c r="G876" s="593"/>
    </row>
    <row r="877" spans="1:7">
      <c r="A877" s="584"/>
      <c r="B877" s="585"/>
      <c r="C877" s="586"/>
      <c r="D877" s="587"/>
      <c r="E877" s="591"/>
      <c r="G877" s="593"/>
    </row>
    <row r="878" spans="1:7">
      <c r="A878" s="584"/>
      <c r="B878" s="585"/>
      <c r="C878" s="586"/>
      <c r="D878" s="587"/>
      <c r="E878" s="591"/>
      <c r="G878" s="593"/>
    </row>
    <row r="879" spans="1:7">
      <c r="A879" s="584"/>
      <c r="B879" s="585"/>
      <c r="C879" s="586"/>
      <c r="D879" s="587"/>
      <c r="E879" s="591"/>
      <c r="G879" s="593"/>
    </row>
    <row r="880" spans="1:7">
      <c r="A880" s="584"/>
      <c r="B880" s="585"/>
      <c r="C880" s="586"/>
      <c r="D880" s="587"/>
      <c r="E880" s="591"/>
      <c r="G880" s="593"/>
    </row>
    <row r="881" spans="1:7">
      <c r="A881" s="584"/>
      <c r="B881" s="585"/>
      <c r="C881" s="586"/>
      <c r="D881" s="587"/>
      <c r="E881" s="591"/>
      <c r="G881" s="593"/>
    </row>
    <row r="882" spans="1:7">
      <c r="A882" s="584"/>
      <c r="B882" s="585"/>
      <c r="C882" s="586"/>
      <c r="D882" s="587"/>
      <c r="E882" s="591"/>
      <c r="G882" s="593"/>
    </row>
    <row r="883" spans="1:7">
      <c r="A883" s="584"/>
      <c r="B883" s="585"/>
      <c r="C883" s="586"/>
      <c r="D883" s="587"/>
      <c r="E883" s="591"/>
      <c r="G883" s="593"/>
    </row>
    <row r="884" spans="1:7">
      <c r="A884" s="584"/>
      <c r="B884" s="585"/>
      <c r="C884" s="586"/>
      <c r="D884" s="587"/>
      <c r="E884" s="591"/>
      <c r="G884" s="593"/>
    </row>
    <row r="885" spans="1:7">
      <c r="A885" s="584"/>
      <c r="B885" s="585"/>
      <c r="C885" s="586"/>
      <c r="D885" s="587"/>
      <c r="E885" s="591"/>
      <c r="G885" s="593"/>
    </row>
    <row r="886" spans="1:7">
      <c r="A886" s="584"/>
      <c r="B886" s="585"/>
      <c r="C886" s="586"/>
      <c r="D886" s="587"/>
      <c r="E886" s="591"/>
      <c r="G886" s="593"/>
    </row>
    <row r="887" spans="1:7">
      <c r="A887" s="584"/>
      <c r="B887" s="585"/>
      <c r="C887" s="586"/>
      <c r="D887" s="587"/>
      <c r="E887" s="591"/>
      <c r="G887" s="593"/>
    </row>
    <row r="888" spans="1:7">
      <c r="A888" s="584"/>
      <c r="B888" s="585"/>
      <c r="C888" s="586"/>
      <c r="D888" s="587"/>
      <c r="E888" s="591"/>
      <c r="G888" s="593"/>
    </row>
    <row r="889" spans="1:7">
      <c r="A889" s="584"/>
      <c r="B889" s="585"/>
      <c r="C889" s="586"/>
      <c r="D889" s="587"/>
      <c r="E889" s="591"/>
      <c r="G889" s="593"/>
    </row>
    <row r="890" spans="1:7">
      <c r="A890" s="584"/>
      <c r="B890" s="585"/>
      <c r="C890" s="586"/>
      <c r="D890" s="587"/>
      <c r="E890" s="591"/>
      <c r="G890" s="593"/>
    </row>
    <row r="891" spans="1:7">
      <c r="A891" s="584"/>
      <c r="B891" s="585"/>
      <c r="C891" s="586"/>
      <c r="D891" s="587"/>
      <c r="E891" s="591"/>
      <c r="G891" s="593"/>
    </row>
    <row r="892" spans="1:7">
      <c r="A892" s="584"/>
      <c r="B892" s="585"/>
      <c r="C892" s="586"/>
      <c r="D892" s="587"/>
      <c r="E892" s="591"/>
      <c r="G892" s="593"/>
    </row>
    <row r="893" spans="1:7">
      <c r="A893" s="584"/>
      <c r="B893" s="585"/>
      <c r="C893" s="586"/>
      <c r="D893" s="587"/>
      <c r="E893" s="591"/>
      <c r="G893" s="593"/>
    </row>
    <row r="894" spans="1:7">
      <c r="A894" s="584"/>
      <c r="B894" s="585"/>
      <c r="C894" s="586"/>
      <c r="D894" s="587"/>
      <c r="E894" s="591"/>
      <c r="G894" s="593"/>
    </row>
    <row r="895" spans="1:7">
      <c r="A895" s="584"/>
      <c r="B895" s="585"/>
      <c r="C895" s="586"/>
      <c r="D895" s="587"/>
      <c r="E895" s="591"/>
      <c r="G895" s="593"/>
    </row>
    <row r="896" spans="1:7">
      <c r="A896" s="584"/>
      <c r="B896" s="585"/>
      <c r="C896" s="586"/>
      <c r="D896" s="587"/>
      <c r="E896" s="591"/>
      <c r="G896" s="593"/>
    </row>
    <row r="897" spans="1:7">
      <c r="A897" s="584"/>
      <c r="B897" s="585"/>
      <c r="C897" s="586"/>
      <c r="D897" s="587"/>
      <c r="E897" s="591"/>
      <c r="G897" s="593"/>
    </row>
    <row r="898" spans="1:7">
      <c r="A898" s="584"/>
      <c r="B898" s="585"/>
      <c r="C898" s="586"/>
      <c r="D898" s="587"/>
      <c r="E898" s="591"/>
      <c r="G898" s="593"/>
    </row>
    <row r="899" spans="1:7">
      <c r="A899" s="584"/>
      <c r="B899" s="585"/>
      <c r="C899" s="586"/>
      <c r="D899" s="587"/>
      <c r="E899" s="591"/>
      <c r="G899" s="593"/>
    </row>
    <row r="900" spans="1:7">
      <c r="A900" s="584"/>
      <c r="B900" s="585"/>
      <c r="C900" s="586"/>
      <c r="D900" s="587"/>
      <c r="E900" s="591"/>
      <c r="G900" s="593"/>
    </row>
    <row r="901" spans="1:7">
      <c r="A901" s="584"/>
      <c r="B901" s="585"/>
      <c r="C901" s="586"/>
      <c r="D901" s="587"/>
      <c r="E901" s="591"/>
      <c r="G901" s="593"/>
    </row>
    <row r="902" spans="1:7">
      <c r="A902" s="584"/>
      <c r="B902" s="585"/>
      <c r="C902" s="586"/>
      <c r="D902" s="587"/>
      <c r="E902" s="591"/>
      <c r="G902" s="593"/>
    </row>
    <row r="903" spans="1:7">
      <c r="A903" s="584"/>
      <c r="B903" s="585"/>
      <c r="C903" s="586"/>
      <c r="D903" s="587"/>
      <c r="E903" s="591"/>
      <c r="G903" s="593"/>
    </row>
    <row r="904" spans="1:7">
      <c r="A904" s="584"/>
      <c r="B904" s="585"/>
      <c r="C904" s="586"/>
      <c r="D904" s="587"/>
      <c r="E904" s="591"/>
      <c r="G904" s="593"/>
    </row>
    <row r="905" spans="1:7">
      <c r="A905" s="584"/>
      <c r="B905" s="585"/>
      <c r="C905" s="586"/>
      <c r="D905" s="587"/>
      <c r="E905" s="591"/>
      <c r="G905" s="593"/>
    </row>
    <row r="906" spans="1:7">
      <c r="A906" s="584"/>
      <c r="B906" s="585"/>
      <c r="C906" s="586"/>
      <c r="D906" s="587"/>
      <c r="E906" s="591"/>
      <c r="G906" s="593"/>
    </row>
    <row r="907" spans="1:7">
      <c r="A907" s="584"/>
      <c r="B907" s="585"/>
      <c r="C907" s="586"/>
      <c r="D907" s="587"/>
      <c r="E907" s="591"/>
      <c r="G907" s="593"/>
    </row>
    <row r="908" spans="1:7">
      <c r="A908" s="584"/>
      <c r="B908" s="585"/>
      <c r="C908" s="586"/>
      <c r="D908" s="587"/>
      <c r="E908" s="591"/>
      <c r="G908" s="593"/>
    </row>
    <row r="909" spans="1:7">
      <c r="A909" s="584"/>
      <c r="B909" s="585"/>
      <c r="C909" s="586"/>
      <c r="D909" s="587"/>
      <c r="E909" s="591"/>
      <c r="G909" s="593"/>
    </row>
    <row r="910" spans="1:7">
      <c r="A910" s="584"/>
      <c r="B910" s="585"/>
      <c r="C910" s="586"/>
      <c r="D910" s="587"/>
      <c r="E910" s="591"/>
      <c r="G910" s="593"/>
    </row>
    <row r="911" spans="1:7">
      <c r="A911" s="584"/>
      <c r="B911" s="585"/>
      <c r="C911" s="586"/>
      <c r="D911" s="587"/>
      <c r="E911" s="591"/>
      <c r="G911" s="593"/>
    </row>
    <row r="912" spans="1:7">
      <c r="A912" s="584"/>
      <c r="B912" s="585"/>
      <c r="C912" s="586"/>
      <c r="D912" s="587"/>
      <c r="E912" s="591"/>
      <c r="G912" s="593"/>
    </row>
    <row r="913" spans="1:7">
      <c r="A913" s="584"/>
      <c r="B913" s="585"/>
      <c r="C913" s="586"/>
      <c r="D913" s="587"/>
      <c r="E913" s="591"/>
      <c r="G913" s="593"/>
    </row>
    <row r="914" spans="1:7">
      <c r="A914" s="584"/>
      <c r="B914" s="585"/>
      <c r="C914" s="586"/>
      <c r="D914" s="587"/>
      <c r="E914" s="591"/>
      <c r="G914" s="593"/>
    </row>
    <row r="915" spans="1:7">
      <c r="A915" s="584"/>
      <c r="B915" s="585"/>
      <c r="C915" s="586"/>
      <c r="D915" s="587"/>
      <c r="E915" s="591"/>
      <c r="G915" s="593"/>
    </row>
    <row r="916" spans="1:7">
      <c r="A916" s="584"/>
      <c r="B916" s="585"/>
      <c r="C916" s="586"/>
      <c r="D916" s="587"/>
      <c r="E916" s="591"/>
      <c r="G916" s="593"/>
    </row>
    <row r="917" spans="1:7">
      <c r="A917" s="584"/>
      <c r="B917" s="585"/>
      <c r="C917" s="586"/>
      <c r="D917" s="587"/>
      <c r="E917" s="591"/>
      <c r="G917" s="593"/>
    </row>
    <row r="918" spans="1:7">
      <c r="A918" s="584"/>
      <c r="B918" s="585"/>
      <c r="C918" s="586"/>
      <c r="D918" s="587"/>
      <c r="E918" s="591"/>
      <c r="G918" s="593"/>
    </row>
    <row r="919" spans="1:7">
      <c r="A919" s="584"/>
      <c r="B919" s="585"/>
      <c r="C919" s="586"/>
      <c r="D919" s="587"/>
      <c r="E919" s="591"/>
      <c r="G919" s="593"/>
    </row>
    <row r="920" spans="1:7">
      <c r="A920" s="584"/>
      <c r="B920" s="585"/>
      <c r="C920" s="586"/>
      <c r="D920" s="587"/>
      <c r="E920" s="591"/>
      <c r="G920" s="593"/>
    </row>
    <row r="921" spans="1:7">
      <c r="A921" s="584"/>
      <c r="B921" s="585"/>
      <c r="C921" s="586"/>
      <c r="D921" s="587"/>
      <c r="E921" s="591"/>
      <c r="G921" s="593"/>
    </row>
    <row r="922" spans="1:7">
      <c r="A922" s="584"/>
      <c r="B922" s="585"/>
      <c r="C922" s="586"/>
      <c r="D922" s="587"/>
      <c r="E922" s="591"/>
      <c r="G922" s="593"/>
    </row>
    <row r="923" spans="1:7">
      <c r="A923" s="584"/>
      <c r="B923" s="585"/>
      <c r="C923" s="586"/>
      <c r="D923" s="587"/>
      <c r="E923" s="591"/>
      <c r="G923" s="593"/>
    </row>
    <row r="924" spans="1:7">
      <c r="A924" s="584"/>
      <c r="B924" s="585"/>
      <c r="C924" s="586"/>
      <c r="D924" s="587"/>
      <c r="E924" s="591"/>
      <c r="G924" s="593"/>
    </row>
    <row r="925" spans="1:7">
      <c r="A925" s="584"/>
      <c r="B925" s="585"/>
      <c r="C925" s="586"/>
      <c r="D925" s="587"/>
      <c r="E925" s="591"/>
      <c r="G925" s="593"/>
    </row>
    <row r="926" spans="1:7">
      <c r="A926" s="584"/>
      <c r="B926" s="585"/>
      <c r="C926" s="586"/>
      <c r="D926" s="587"/>
      <c r="E926" s="591"/>
      <c r="G926" s="593"/>
    </row>
    <row r="927" spans="1:7">
      <c r="A927" s="584"/>
      <c r="B927" s="585"/>
      <c r="C927" s="586"/>
      <c r="D927" s="587"/>
      <c r="E927" s="591"/>
      <c r="G927" s="593"/>
    </row>
    <row r="928" spans="1:7">
      <c r="A928" s="584"/>
      <c r="B928" s="585"/>
      <c r="C928" s="586"/>
      <c r="D928" s="587"/>
      <c r="E928" s="591"/>
      <c r="G928" s="593"/>
    </row>
    <row r="929" spans="1:7">
      <c r="A929" s="584"/>
      <c r="B929" s="585"/>
      <c r="C929" s="586"/>
      <c r="D929" s="587"/>
      <c r="E929" s="591"/>
      <c r="G929" s="593"/>
    </row>
    <row r="930" spans="1:7">
      <c r="A930" s="584"/>
      <c r="B930" s="585"/>
      <c r="C930" s="586"/>
      <c r="D930" s="587"/>
      <c r="E930" s="591"/>
      <c r="G930" s="593"/>
    </row>
    <row r="931" spans="1:7">
      <c r="A931" s="584"/>
      <c r="B931" s="585"/>
      <c r="C931" s="586"/>
      <c r="D931" s="587"/>
      <c r="E931" s="591"/>
      <c r="G931" s="593"/>
    </row>
    <row r="932" spans="1:7">
      <c r="A932" s="584"/>
      <c r="B932" s="585"/>
      <c r="C932" s="586"/>
      <c r="D932" s="587"/>
      <c r="E932" s="591"/>
      <c r="G932" s="593"/>
    </row>
    <row r="933" spans="1:7">
      <c r="A933" s="584"/>
      <c r="B933" s="585"/>
      <c r="C933" s="586"/>
      <c r="D933" s="587"/>
      <c r="E933" s="591"/>
      <c r="G933" s="593"/>
    </row>
    <row r="934" spans="1:7">
      <c r="A934" s="584"/>
      <c r="B934" s="585"/>
      <c r="C934" s="586"/>
      <c r="D934" s="587"/>
      <c r="E934" s="591"/>
      <c r="G934" s="593"/>
    </row>
    <row r="935" spans="1:7">
      <c r="A935" s="584"/>
      <c r="B935" s="585"/>
      <c r="C935" s="586"/>
      <c r="D935" s="587"/>
      <c r="E935" s="591"/>
      <c r="G935" s="593"/>
    </row>
    <row r="936" spans="1:7">
      <c r="A936" s="584"/>
      <c r="B936" s="585"/>
      <c r="C936" s="586"/>
      <c r="D936" s="587"/>
      <c r="E936" s="591"/>
      <c r="G936" s="593"/>
    </row>
    <row r="937" spans="1:7">
      <c r="A937" s="584"/>
      <c r="B937" s="585"/>
      <c r="C937" s="586"/>
      <c r="D937" s="587"/>
      <c r="E937" s="591"/>
      <c r="G937" s="593"/>
    </row>
    <row r="938" spans="1:7">
      <c r="A938" s="584"/>
      <c r="B938" s="585"/>
      <c r="C938" s="586"/>
      <c r="D938" s="587"/>
      <c r="E938" s="591"/>
      <c r="G938" s="593"/>
    </row>
    <row r="939" spans="1:7">
      <c r="A939" s="584"/>
      <c r="B939" s="585"/>
      <c r="C939" s="586"/>
      <c r="D939" s="587"/>
      <c r="E939" s="591"/>
      <c r="G939" s="593"/>
    </row>
    <row r="940" spans="1:7">
      <c r="A940" s="584"/>
      <c r="B940" s="585"/>
      <c r="C940" s="586"/>
      <c r="D940" s="587"/>
      <c r="E940" s="591"/>
      <c r="G940" s="593"/>
    </row>
    <row r="941" spans="1:7">
      <c r="A941" s="584"/>
      <c r="B941" s="585"/>
      <c r="C941" s="586"/>
      <c r="D941" s="587"/>
      <c r="E941" s="591"/>
      <c r="G941" s="593"/>
    </row>
    <row r="942" spans="1:7">
      <c r="A942" s="584"/>
      <c r="B942" s="585"/>
      <c r="C942" s="586"/>
      <c r="D942" s="587"/>
      <c r="E942" s="591"/>
      <c r="G942" s="593"/>
    </row>
    <row r="943" spans="1:7">
      <c r="A943" s="584"/>
      <c r="B943" s="585"/>
      <c r="C943" s="586"/>
      <c r="D943" s="587"/>
      <c r="E943" s="591"/>
      <c r="G943" s="593"/>
    </row>
    <row r="944" spans="1:7">
      <c r="A944" s="584"/>
      <c r="B944" s="585"/>
      <c r="C944" s="586"/>
      <c r="D944" s="587"/>
      <c r="E944" s="591"/>
      <c r="G944" s="593"/>
    </row>
    <row r="945" spans="1:7">
      <c r="A945" s="584"/>
      <c r="B945" s="585"/>
      <c r="C945" s="586"/>
      <c r="D945" s="587"/>
      <c r="E945" s="591"/>
      <c r="G945" s="593"/>
    </row>
    <row r="946" spans="1:7">
      <c r="A946" s="584"/>
      <c r="B946" s="585"/>
      <c r="C946" s="586"/>
      <c r="D946" s="587"/>
      <c r="E946" s="591"/>
      <c r="G946" s="593"/>
    </row>
    <row r="947" spans="1:7">
      <c r="A947" s="584"/>
      <c r="B947" s="585"/>
      <c r="C947" s="586"/>
      <c r="D947" s="587"/>
      <c r="E947" s="591"/>
      <c r="G947" s="593"/>
    </row>
    <row r="948" spans="1:7">
      <c r="A948" s="584"/>
      <c r="B948" s="585"/>
      <c r="C948" s="586"/>
      <c r="D948" s="587"/>
      <c r="E948" s="591"/>
      <c r="G948" s="593"/>
    </row>
    <row r="949" spans="1:7">
      <c r="A949" s="584"/>
      <c r="B949" s="585"/>
      <c r="C949" s="586"/>
      <c r="D949" s="587"/>
      <c r="E949" s="591"/>
      <c r="G949" s="593"/>
    </row>
    <row r="950" spans="1:7">
      <c r="A950" s="584"/>
      <c r="B950" s="585"/>
      <c r="C950" s="586"/>
      <c r="D950" s="587"/>
      <c r="E950" s="591"/>
      <c r="G950" s="593"/>
    </row>
    <row r="951" spans="1:7">
      <c r="A951" s="584"/>
      <c r="B951" s="585"/>
      <c r="C951" s="586"/>
      <c r="D951" s="587"/>
      <c r="E951" s="591"/>
      <c r="G951" s="593"/>
    </row>
    <row r="952" spans="1:7">
      <c r="A952" s="584"/>
      <c r="B952" s="585"/>
      <c r="C952" s="586"/>
      <c r="D952" s="587"/>
      <c r="E952" s="591"/>
      <c r="G952" s="593"/>
    </row>
    <row r="953" spans="1:7">
      <c r="A953" s="584"/>
      <c r="B953" s="585"/>
      <c r="C953" s="586"/>
      <c r="D953" s="587"/>
      <c r="E953" s="591"/>
      <c r="G953" s="593"/>
    </row>
    <row r="954" spans="1:7">
      <c r="A954" s="584"/>
      <c r="B954" s="585"/>
      <c r="C954" s="586"/>
      <c r="D954" s="587"/>
      <c r="E954" s="591"/>
      <c r="G954" s="593"/>
    </row>
    <row r="955" spans="1:7">
      <c r="A955" s="584"/>
      <c r="B955" s="585"/>
      <c r="C955" s="586"/>
      <c r="D955" s="587"/>
      <c r="E955" s="591"/>
      <c r="G955" s="593"/>
    </row>
    <row r="956" spans="1:7">
      <c r="A956" s="584"/>
      <c r="B956" s="585"/>
      <c r="C956" s="586"/>
      <c r="D956" s="587"/>
      <c r="E956" s="591"/>
      <c r="G956" s="593"/>
    </row>
    <row r="957" spans="1:7">
      <c r="A957" s="584"/>
      <c r="B957" s="585"/>
      <c r="C957" s="586"/>
      <c r="D957" s="587"/>
      <c r="E957" s="591"/>
      <c r="G957" s="593"/>
    </row>
    <row r="958" spans="1:7">
      <c r="A958" s="584"/>
      <c r="B958" s="585"/>
      <c r="C958" s="586"/>
      <c r="D958" s="587"/>
      <c r="E958" s="591"/>
      <c r="G958" s="593"/>
    </row>
    <row r="959" spans="1:7">
      <c r="A959" s="584"/>
      <c r="B959" s="585"/>
      <c r="C959" s="586"/>
      <c r="D959" s="587"/>
      <c r="E959" s="591"/>
      <c r="G959" s="593"/>
    </row>
    <row r="960" spans="1:7">
      <c r="A960" s="584"/>
      <c r="B960" s="585"/>
      <c r="C960" s="586"/>
      <c r="D960" s="587"/>
      <c r="E960" s="591"/>
      <c r="G960" s="593"/>
    </row>
    <row r="961" spans="1:7">
      <c r="A961" s="584"/>
      <c r="B961" s="585"/>
      <c r="C961" s="586"/>
      <c r="D961" s="587"/>
      <c r="E961" s="591"/>
      <c r="G961" s="593"/>
    </row>
    <row r="962" spans="1:7">
      <c r="A962" s="584"/>
      <c r="B962" s="585"/>
      <c r="C962" s="586"/>
      <c r="D962" s="587"/>
      <c r="E962" s="591"/>
      <c r="G962" s="593"/>
    </row>
    <row r="963" spans="1:7">
      <c r="A963" s="584"/>
      <c r="B963" s="585"/>
      <c r="C963" s="586"/>
      <c r="D963" s="587"/>
      <c r="E963" s="591"/>
      <c r="G963" s="593"/>
    </row>
    <row r="964" spans="1:7">
      <c r="A964" s="584"/>
      <c r="B964" s="585"/>
      <c r="C964" s="586"/>
      <c r="D964" s="587"/>
      <c r="E964" s="591"/>
      <c r="G964" s="593"/>
    </row>
    <row r="965" spans="1:7">
      <c r="A965" s="584"/>
      <c r="B965" s="585"/>
      <c r="C965" s="586"/>
      <c r="D965" s="587"/>
      <c r="E965" s="591"/>
      <c r="G965" s="593"/>
    </row>
    <row r="966" spans="1:7">
      <c r="A966" s="584"/>
      <c r="B966" s="585"/>
      <c r="C966" s="586"/>
      <c r="D966" s="587"/>
      <c r="E966" s="591"/>
      <c r="G966" s="593"/>
    </row>
    <row r="967" spans="1:7">
      <c r="A967" s="584"/>
      <c r="B967" s="585"/>
      <c r="C967" s="586"/>
      <c r="D967" s="587"/>
      <c r="E967" s="591"/>
      <c r="G967" s="593"/>
    </row>
    <row r="968" spans="1:7">
      <c r="A968" s="584"/>
      <c r="B968" s="585"/>
      <c r="C968" s="586"/>
      <c r="D968" s="587"/>
      <c r="E968" s="591"/>
      <c r="G968" s="593"/>
    </row>
    <row r="969" spans="1:7">
      <c r="A969" s="584"/>
      <c r="B969" s="585"/>
      <c r="C969" s="586"/>
      <c r="D969" s="587"/>
      <c r="E969" s="591"/>
      <c r="G969" s="593"/>
    </row>
    <row r="970" spans="1:7">
      <c r="A970" s="584"/>
      <c r="B970" s="585"/>
      <c r="C970" s="586"/>
      <c r="D970" s="587"/>
      <c r="E970" s="591"/>
      <c r="G970" s="593"/>
    </row>
    <row r="971" spans="1:7">
      <c r="A971" s="584"/>
      <c r="B971" s="585"/>
      <c r="C971" s="586"/>
      <c r="D971" s="587"/>
      <c r="E971" s="591"/>
      <c r="G971" s="593"/>
    </row>
    <row r="972" spans="1:7">
      <c r="A972" s="584"/>
      <c r="B972" s="585"/>
      <c r="C972" s="586"/>
      <c r="D972" s="587"/>
      <c r="E972" s="591"/>
      <c r="G972" s="593"/>
    </row>
    <row r="973" spans="1:7">
      <c r="A973" s="584"/>
      <c r="B973" s="585"/>
      <c r="C973" s="586"/>
      <c r="D973" s="587"/>
      <c r="E973" s="591"/>
      <c r="G973" s="593"/>
    </row>
    <row r="974" spans="1:7">
      <c r="A974" s="584"/>
      <c r="B974" s="585"/>
      <c r="C974" s="586"/>
      <c r="D974" s="587"/>
      <c r="E974" s="591"/>
      <c r="G974" s="593"/>
    </row>
    <row r="975" spans="1:7">
      <c r="A975" s="584"/>
      <c r="B975" s="585"/>
      <c r="C975" s="586"/>
      <c r="D975" s="587"/>
      <c r="E975" s="591"/>
      <c r="G975" s="593"/>
    </row>
    <row r="976" spans="1:7">
      <c r="A976" s="584"/>
      <c r="B976" s="585"/>
      <c r="C976" s="586"/>
      <c r="D976" s="587"/>
      <c r="E976" s="591"/>
      <c r="G976" s="593"/>
    </row>
    <row r="977" spans="1:7">
      <c r="A977" s="584"/>
      <c r="B977" s="585"/>
      <c r="C977" s="586"/>
      <c r="D977" s="587"/>
      <c r="E977" s="591"/>
      <c r="G977" s="593"/>
    </row>
    <row r="978" spans="1:7">
      <c r="A978" s="584"/>
      <c r="B978" s="585"/>
      <c r="C978" s="586"/>
      <c r="D978" s="587"/>
      <c r="E978" s="591"/>
      <c r="G978" s="593"/>
    </row>
    <row r="979" spans="1:7">
      <c r="A979" s="584"/>
      <c r="B979" s="585"/>
      <c r="C979" s="586"/>
      <c r="D979" s="587"/>
      <c r="E979" s="591"/>
      <c r="G979" s="593"/>
    </row>
    <row r="980" spans="1:7">
      <c r="A980" s="584"/>
      <c r="B980" s="585"/>
      <c r="C980" s="586"/>
      <c r="D980" s="587"/>
      <c r="E980" s="591"/>
      <c r="G980" s="593"/>
    </row>
    <row r="981" spans="1:7">
      <c r="A981" s="584"/>
      <c r="B981" s="585"/>
      <c r="C981" s="586"/>
      <c r="D981" s="587"/>
      <c r="E981" s="591"/>
      <c r="G981" s="593"/>
    </row>
    <row r="982" spans="1:7">
      <c r="A982" s="584"/>
      <c r="B982" s="585"/>
      <c r="C982" s="586"/>
      <c r="D982" s="587"/>
      <c r="E982" s="591"/>
      <c r="G982" s="593"/>
    </row>
    <row r="983" spans="1:7">
      <c r="A983" s="584"/>
      <c r="B983" s="585"/>
      <c r="C983" s="586"/>
      <c r="D983" s="587"/>
      <c r="E983" s="591"/>
      <c r="G983" s="593"/>
    </row>
    <row r="984" spans="1:7">
      <c r="A984" s="584"/>
      <c r="B984" s="585"/>
      <c r="C984" s="586"/>
      <c r="D984" s="587"/>
      <c r="E984" s="591"/>
      <c r="G984" s="593"/>
    </row>
    <row r="985" spans="1:7">
      <c r="A985" s="584"/>
      <c r="B985" s="585"/>
      <c r="C985" s="586"/>
      <c r="D985" s="587"/>
      <c r="E985" s="591"/>
      <c r="G985" s="593"/>
    </row>
    <row r="986" spans="1:7">
      <c r="A986" s="584"/>
      <c r="B986" s="585"/>
      <c r="C986" s="586"/>
      <c r="D986" s="587"/>
      <c r="E986" s="591"/>
      <c r="G986" s="593"/>
    </row>
    <row r="987" spans="1:7">
      <c r="A987" s="584"/>
      <c r="B987" s="585"/>
      <c r="C987" s="586"/>
      <c r="D987" s="587"/>
      <c r="E987" s="591"/>
      <c r="G987" s="593"/>
    </row>
    <row r="988" spans="1:7">
      <c r="A988" s="584"/>
      <c r="B988" s="585"/>
      <c r="C988" s="586"/>
      <c r="D988" s="587"/>
      <c r="E988" s="591"/>
      <c r="G988" s="593"/>
    </row>
    <row r="989" spans="1:7">
      <c r="A989" s="584"/>
      <c r="B989" s="585"/>
      <c r="C989" s="586"/>
      <c r="D989" s="587"/>
      <c r="E989" s="591"/>
      <c r="G989" s="593"/>
    </row>
    <row r="990" spans="1:7">
      <c r="A990" s="584"/>
      <c r="B990" s="585"/>
      <c r="C990" s="586"/>
      <c r="D990" s="587"/>
      <c r="E990" s="591"/>
      <c r="G990" s="593"/>
    </row>
    <row r="991" spans="1:7">
      <c r="A991" s="584"/>
      <c r="B991" s="585"/>
      <c r="C991" s="586"/>
      <c r="D991" s="587"/>
      <c r="E991" s="591"/>
      <c r="G991" s="593"/>
    </row>
    <row r="992" spans="1:7">
      <c r="A992" s="584"/>
      <c r="B992" s="585"/>
      <c r="C992" s="586"/>
      <c r="D992" s="587"/>
      <c r="E992" s="591"/>
      <c r="G992" s="593"/>
    </row>
    <row r="993" spans="1:7">
      <c r="A993" s="584"/>
      <c r="B993" s="585"/>
      <c r="C993" s="586"/>
      <c r="D993" s="587"/>
      <c r="E993" s="591"/>
      <c r="G993" s="593"/>
    </row>
    <row r="994" spans="1:7">
      <c r="A994" s="584"/>
      <c r="B994" s="585"/>
      <c r="C994" s="586"/>
      <c r="D994" s="587"/>
      <c r="E994" s="591"/>
      <c r="G994" s="593"/>
    </row>
    <row r="995" spans="1:7">
      <c r="A995" s="584"/>
      <c r="B995" s="585"/>
      <c r="C995" s="586"/>
      <c r="D995" s="587"/>
      <c r="E995" s="591"/>
      <c r="G995" s="593"/>
    </row>
    <row r="996" spans="1:7">
      <c r="A996" s="584"/>
      <c r="B996" s="585"/>
      <c r="C996" s="586"/>
      <c r="D996" s="587"/>
      <c r="E996" s="591"/>
      <c r="G996" s="593"/>
    </row>
    <row r="997" spans="1:7">
      <c r="A997" s="584"/>
      <c r="B997" s="585"/>
      <c r="C997" s="586"/>
      <c r="D997" s="587"/>
      <c r="E997" s="591"/>
      <c r="G997" s="593"/>
    </row>
    <row r="998" spans="1:7">
      <c r="A998" s="584"/>
      <c r="B998" s="585"/>
      <c r="C998" s="586"/>
      <c r="D998" s="587"/>
      <c r="E998" s="591"/>
      <c r="G998" s="593"/>
    </row>
    <row r="999" spans="1:7">
      <c r="A999" s="584"/>
      <c r="B999" s="585"/>
      <c r="C999" s="586"/>
      <c r="D999" s="587"/>
      <c r="E999" s="591"/>
      <c r="G999" s="593"/>
    </row>
    <row r="1000" spans="1:7">
      <c r="A1000" s="584"/>
      <c r="B1000" s="585"/>
      <c r="C1000" s="586"/>
      <c r="D1000" s="587"/>
      <c r="E1000" s="591"/>
      <c r="G1000" s="593"/>
    </row>
    <row r="1001" spans="1:7">
      <c r="A1001" s="584"/>
      <c r="B1001" s="585"/>
      <c r="C1001" s="586"/>
      <c r="D1001" s="587"/>
      <c r="E1001" s="591"/>
      <c r="G1001" s="593"/>
    </row>
    <row r="1002" spans="1:7">
      <c r="A1002" s="584"/>
      <c r="B1002" s="585"/>
      <c r="C1002" s="586"/>
      <c r="D1002" s="587"/>
      <c r="E1002" s="591"/>
      <c r="G1002" s="593"/>
    </row>
    <row r="1003" spans="1:7">
      <c r="A1003" s="584"/>
      <c r="B1003" s="585"/>
      <c r="C1003" s="586"/>
      <c r="D1003" s="587"/>
      <c r="E1003" s="591"/>
      <c r="G1003" s="593"/>
    </row>
    <row r="1004" spans="1:7">
      <c r="A1004" s="584"/>
      <c r="B1004" s="585"/>
      <c r="C1004" s="586"/>
      <c r="D1004" s="587"/>
      <c r="E1004" s="591"/>
      <c r="G1004" s="593"/>
    </row>
    <row r="1005" spans="1:7">
      <c r="A1005" s="584"/>
      <c r="B1005" s="585"/>
      <c r="C1005" s="586"/>
      <c r="D1005" s="587"/>
      <c r="E1005" s="591"/>
      <c r="G1005" s="593"/>
    </row>
    <row r="1006" spans="1:7">
      <c r="A1006" s="584"/>
      <c r="B1006" s="585"/>
      <c r="C1006" s="586"/>
      <c r="D1006" s="587"/>
      <c r="E1006" s="591"/>
      <c r="G1006" s="593"/>
    </row>
    <row r="1007" spans="1:7">
      <c r="A1007" s="584"/>
      <c r="B1007" s="585"/>
      <c r="C1007" s="586"/>
      <c r="D1007" s="587"/>
      <c r="E1007" s="591"/>
      <c r="G1007" s="593"/>
    </row>
    <row r="1008" spans="1:7">
      <c r="A1008" s="584"/>
      <c r="B1008" s="585"/>
      <c r="C1008" s="586"/>
      <c r="D1008" s="587"/>
      <c r="E1008" s="591"/>
      <c r="G1008" s="593"/>
    </row>
    <row r="1009" spans="1:7">
      <c r="A1009" s="584"/>
      <c r="B1009" s="585"/>
      <c r="C1009" s="586"/>
      <c r="D1009" s="587"/>
      <c r="E1009" s="591"/>
      <c r="G1009" s="593"/>
    </row>
    <row r="1010" spans="1:7">
      <c r="A1010" s="584"/>
      <c r="B1010" s="585"/>
      <c r="C1010" s="586"/>
      <c r="D1010" s="587"/>
      <c r="E1010" s="591"/>
      <c r="G1010" s="593"/>
    </row>
    <row r="1011" spans="1:7">
      <c r="A1011" s="584"/>
      <c r="B1011" s="585"/>
      <c r="C1011" s="586"/>
      <c r="D1011" s="587"/>
      <c r="E1011" s="591"/>
      <c r="G1011" s="593"/>
    </row>
    <row r="1012" spans="1:7">
      <c r="A1012" s="584"/>
      <c r="B1012" s="585"/>
      <c r="C1012" s="586"/>
      <c r="D1012" s="587"/>
      <c r="E1012" s="591"/>
      <c r="G1012" s="593"/>
    </row>
    <row r="1013" spans="1:7">
      <c r="A1013" s="584"/>
      <c r="B1013" s="585"/>
      <c r="C1013" s="586"/>
      <c r="D1013" s="587"/>
      <c r="E1013" s="591"/>
      <c r="G1013" s="593"/>
    </row>
    <row r="1014" spans="1:7">
      <c r="A1014" s="584"/>
      <c r="B1014" s="585"/>
      <c r="C1014" s="586"/>
      <c r="D1014" s="587"/>
      <c r="E1014" s="591"/>
      <c r="G1014" s="593"/>
    </row>
    <row r="1015" spans="1:7">
      <c r="A1015" s="584"/>
      <c r="B1015" s="585"/>
      <c r="C1015" s="586"/>
      <c r="D1015" s="587"/>
      <c r="E1015" s="591"/>
      <c r="G1015" s="593"/>
    </row>
    <row r="1016" spans="1:7">
      <c r="A1016" s="584"/>
      <c r="B1016" s="585"/>
      <c r="C1016" s="586"/>
      <c r="D1016" s="587"/>
      <c r="E1016" s="591"/>
      <c r="G1016" s="593"/>
    </row>
    <row r="1017" spans="1:7">
      <c r="A1017" s="584"/>
      <c r="B1017" s="585"/>
      <c r="C1017" s="586"/>
      <c r="D1017" s="587"/>
      <c r="E1017" s="591"/>
      <c r="G1017" s="593"/>
    </row>
    <row r="1018" spans="1:7">
      <c r="A1018" s="584"/>
      <c r="B1018" s="585"/>
      <c r="C1018" s="586"/>
      <c r="D1018" s="587"/>
      <c r="E1018" s="591"/>
      <c r="G1018" s="593"/>
    </row>
    <row r="1019" spans="1:7">
      <c r="A1019" s="584"/>
      <c r="B1019" s="585"/>
      <c r="C1019" s="586"/>
      <c r="D1019" s="587"/>
      <c r="E1019" s="591"/>
      <c r="G1019" s="593"/>
    </row>
    <row r="1020" spans="1:7">
      <c r="A1020" s="584"/>
      <c r="B1020" s="585"/>
      <c r="C1020" s="586"/>
      <c r="D1020" s="587"/>
      <c r="E1020" s="591"/>
      <c r="G1020" s="593"/>
    </row>
    <row r="1021" spans="1:7">
      <c r="A1021" s="584"/>
      <c r="B1021" s="585"/>
      <c r="C1021" s="586"/>
      <c r="D1021" s="587"/>
      <c r="E1021" s="591"/>
      <c r="G1021" s="593"/>
    </row>
    <row r="1022" spans="1:7">
      <c r="A1022" s="584"/>
      <c r="B1022" s="585"/>
      <c r="C1022" s="586"/>
      <c r="D1022" s="587"/>
      <c r="E1022" s="591"/>
      <c r="G1022" s="593"/>
    </row>
    <row r="1023" spans="1:7">
      <c r="A1023" s="584"/>
      <c r="B1023" s="585"/>
      <c r="C1023" s="586"/>
      <c r="D1023" s="587"/>
      <c r="E1023" s="591"/>
      <c r="G1023" s="593"/>
    </row>
    <row r="1024" spans="1:7">
      <c r="A1024" s="584"/>
      <c r="B1024" s="585"/>
      <c r="C1024" s="586"/>
      <c r="D1024" s="587"/>
      <c r="E1024" s="591"/>
      <c r="G1024" s="593"/>
    </row>
    <row r="1025" spans="1:7">
      <c r="A1025" s="584"/>
      <c r="B1025" s="585"/>
      <c r="C1025" s="586"/>
      <c r="D1025" s="587"/>
      <c r="E1025" s="591"/>
      <c r="G1025" s="593"/>
    </row>
    <row r="1026" spans="1:7">
      <c r="A1026" s="584"/>
      <c r="B1026" s="585"/>
      <c r="C1026" s="586"/>
      <c r="D1026" s="587"/>
      <c r="E1026" s="591"/>
      <c r="G1026" s="593"/>
    </row>
    <row r="1027" spans="1:7">
      <c r="A1027" s="584"/>
      <c r="B1027" s="585"/>
      <c r="C1027" s="586"/>
      <c r="D1027" s="587"/>
      <c r="E1027" s="591"/>
      <c r="G1027" s="593"/>
    </row>
    <row r="1028" spans="1:7">
      <c r="A1028" s="584"/>
      <c r="B1028" s="585"/>
      <c r="C1028" s="586"/>
      <c r="D1028" s="587"/>
      <c r="E1028" s="591"/>
      <c r="G1028" s="593"/>
    </row>
    <row r="1029" spans="1:7">
      <c r="A1029" s="584"/>
      <c r="B1029" s="585"/>
      <c r="C1029" s="586"/>
      <c r="D1029" s="587"/>
      <c r="E1029" s="591"/>
      <c r="G1029" s="593"/>
    </row>
    <row r="1030" spans="1:7">
      <c r="A1030" s="584"/>
      <c r="B1030" s="585"/>
      <c r="C1030" s="586"/>
      <c r="D1030" s="587"/>
      <c r="E1030" s="591"/>
      <c r="G1030" s="593"/>
    </row>
    <row r="1031" spans="1:7">
      <c r="A1031" s="584"/>
      <c r="B1031" s="585"/>
      <c r="C1031" s="586"/>
      <c r="D1031" s="587"/>
      <c r="E1031" s="591"/>
      <c r="G1031" s="593"/>
    </row>
    <row r="1032" spans="1:7">
      <c r="A1032" s="584"/>
      <c r="B1032" s="585"/>
      <c r="C1032" s="586"/>
      <c r="D1032" s="587"/>
      <c r="E1032" s="591"/>
      <c r="G1032" s="593"/>
    </row>
    <row r="1033" spans="1:7">
      <c r="A1033" s="584"/>
      <c r="B1033" s="585"/>
      <c r="C1033" s="586"/>
      <c r="D1033" s="587"/>
      <c r="E1033" s="591"/>
      <c r="G1033" s="593"/>
    </row>
    <row r="1034" spans="1:7">
      <c r="A1034" s="584"/>
      <c r="B1034" s="585"/>
      <c r="C1034" s="586"/>
      <c r="D1034" s="587"/>
      <c r="E1034" s="591"/>
      <c r="G1034" s="593"/>
    </row>
    <row r="1035" spans="1:7">
      <c r="A1035" s="584"/>
      <c r="B1035" s="585"/>
      <c r="C1035" s="586"/>
      <c r="D1035" s="587"/>
      <c r="E1035" s="591"/>
      <c r="G1035" s="593"/>
    </row>
    <row r="1036" spans="1:7">
      <c r="A1036" s="584"/>
      <c r="B1036" s="585"/>
      <c r="C1036" s="586"/>
      <c r="D1036" s="587"/>
      <c r="E1036" s="591"/>
      <c r="G1036" s="593"/>
    </row>
    <row r="1037" spans="1:7">
      <c r="A1037" s="584"/>
      <c r="B1037" s="585"/>
      <c r="C1037" s="586"/>
      <c r="D1037" s="587"/>
      <c r="E1037" s="591"/>
      <c r="G1037" s="593"/>
    </row>
    <row r="1038" spans="1:7">
      <c r="A1038" s="584"/>
      <c r="B1038" s="585"/>
      <c r="C1038" s="586"/>
      <c r="D1038" s="587"/>
      <c r="E1038" s="591"/>
      <c r="G1038" s="593"/>
    </row>
    <row r="1039" spans="1:7">
      <c r="A1039" s="584"/>
      <c r="B1039" s="585"/>
      <c r="C1039" s="586"/>
      <c r="D1039" s="587"/>
      <c r="E1039" s="591"/>
      <c r="G1039" s="593"/>
    </row>
    <row r="1040" spans="1:7">
      <c r="A1040" s="584"/>
      <c r="B1040" s="585"/>
      <c r="C1040" s="586"/>
      <c r="D1040" s="587"/>
      <c r="E1040" s="591"/>
      <c r="G1040" s="593"/>
    </row>
    <row r="1041" spans="1:7">
      <c r="A1041" s="584"/>
      <c r="B1041" s="585"/>
      <c r="C1041" s="586"/>
      <c r="D1041" s="587"/>
      <c r="E1041" s="591"/>
      <c r="G1041" s="593"/>
    </row>
    <row r="1042" spans="1:7">
      <c r="A1042" s="584"/>
      <c r="B1042" s="585"/>
      <c r="C1042" s="586"/>
      <c r="D1042" s="587"/>
      <c r="E1042" s="591"/>
      <c r="G1042" s="593"/>
    </row>
    <row r="1043" spans="1:7">
      <c r="A1043" s="584"/>
      <c r="B1043" s="585"/>
      <c r="C1043" s="586"/>
      <c r="D1043" s="587"/>
      <c r="E1043" s="591"/>
      <c r="G1043" s="593"/>
    </row>
    <row r="1044" spans="1:7">
      <c r="A1044" s="584"/>
      <c r="B1044" s="585"/>
      <c r="C1044" s="586"/>
      <c r="D1044" s="587"/>
      <c r="E1044" s="591"/>
      <c r="G1044" s="593"/>
    </row>
    <row r="1045" spans="1:7">
      <c r="A1045" s="584"/>
      <c r="B1045" s="585"/>
      <c r="C1045" s="586"/>
      <c r="D1045" s="587"/>
      <c r="E1045" s="591"/>
      <c r="G1045" s="593"/>
    </row>
    <row r="1046" spans="1:7">
      <c r="A1046" s="584"/>
      <c r="B1046" s="585"/>
      <c r="C1046" s="586"/>
      <c r="D1046" s="587"/>
      <c r="E1046" s="591"/>
      <c r="G1046" s="593"/>
    </row>
    <row r="1047" spans="1:7">
      <c r="A1047" s="584"/>
      <c r="B1047" s="585"/>
      <c r="C1047" s="586"/>
      <c r="D1047" s="587"/>
      <c r="E1047" s="591"/>
      <c r="G1047" s="593"/>
    </row>
    <row r="1048" spans="1:7">
      <c r="A1048" s="584"/>
      <c r="B1048" s="585"/>
      <c r="C1048" s="586"/>
      <c r="D1048" s="587"/>
      <c r="E1048" s="591"/>
      <c r="G1048" s="593"/>
    </row>
    <row r="1049" spans="1:7">
      <c r="A1049" s="584"/>
      <c r="B1049" s="585"/>
      <c r="C1049" s="586"/>
      <c r="D1049" s="587"/>
      <c r="E1049" s="591"/>
      <c r="G1049" s="593"/>
    </row>
    <row r="1050" spans="1:7">
      <c r="A1050" s="584"/>
      <c r="B1050" s="585"/>
      <c r="C1050" s="586"/>
      <c r="D1050" s="587"/>
      <c r="E1050" s="591"/>
      <c r="G1050" s="593"/>
    </row>
    <row r="1051" spans="1:7">
      <c r="A1051" s="584"/>
      <c r="B1051" s="585"/>
      <c r="C1051" s="586"/>
      <c r="D1051" s="587"/>
      <c r="E1051" s="591"/>
      <c r="G1051" s="593"/>
    </row>
    <row r="1052" spans="1:7">
      <c r="A1052" s="584"/>
      <c r="B1052" s="585"/>
      <c r="C1052" s="586"/>
      <c r="D1052" s="587"/>
      <c r="E1052" s="591"/>
      <c r="G1052" s="593"/>
    </row>
    <row r="1053" spans="1:7">
      <c r="A1053" s="584"/>
      <c r="B1053" s="585"/>
      <c r="C1053" s="586"/>
      <c r="D1053" s="587"/>
      <c r="E1053" s="591"/>
      <c r="G1053" s="593"/>
    </row>
    <row r="1054" spans="1:7">
      <c r="A1054" s="584"/>
      <c r="B1054" s="585"/>
      <c r="C1054" s="586"/>
      <c r="D1054" s="587"/>
      <c r="E1054" s="591"/>
      <c r="G1054" s="593"/>
    </row>
    <row r="1055" spans="1:7">
      <c r="A1055" s="584"/>
      <c r="B1055" s="585"/>
      <c r="C1055" s="586"/>
      <c r="D1055" s="587"/>
      <c r="E1055" s="591"/>
      <c r="G1055" s="593"/>
    </row>
    <row r="1056" spans="1:7">
      <c r="A1056" s="584"/>
      <c r="B1056" s="585"/>
      <c r="C1056" s="586"/>
      <c r="D1056" s="587"/>
      <c r="E1056" s="591"/>
      <c r="G1056" s="593"/>
    </row>
    <row r="1057" spans="1:7">
      <c r="A1057" s="584"/>
      <c r="B1057" s="585"/>
      <c r="C1057" s="586"/>
      <c r="D1057" s="587"/>
      <c r="E1057" s="591"/>
      <c r="G1057" s="593"/>
    </row>
    <row r="1058" spans="1:7">
      <c r="A1058" s="584"/>
      <c r="B1058" s="585"/>
      <c r="C1058" s="586"/>
      <c r="D1058" s="587"/>
      <c r="E1058" s="591"/>
      <c r="G1058" s="593"/>
    </row>
    <row r="1059" spans="1:7">
      <c r="A1059" s="584"/>
      <c r="B1059" s="585"/>
      <c r="C1059" s="586"/>
      <c r="D1059" s="587"/>
      <c r="E1059" s="591"/>
      <c r="G1059" s="593"/>
    </row>
    <row r="1060" spans="1:7">
      <c r="A1060" s="584"/>
      <c r="B1060" s="585"/>
      <c r="C1060" s="586"/>
      <c r="D1060" s="587"/>
      <c r="E1060" s="591"/>
      <c r="G1060" s="593"/>
    </row>
    <row r="1061" spans="1:7">
      <c r="A1061" s="584"/>
      <c r="B1061" s="585"/>
      <c r="C1061" s="586"/>
      <c r="D1061" s="587"/>
      <c r="E1061" s="591"/>
      <c r="G1061" s="593"/>
    </row>
    <row r="1062" spans="1:7">
      <c r="A1062" s="584"/>
      <c r="B1062" s="585"/>
      <c r="C1062" s="586"/>
      <c r="D1062" s="587"/>
      <c r="E1062" s="591"/>
      <c r="G1062" s="593"/>
    </row>
    <row r="1063" spans="1:7">
      <c r="A1063" s="584"/>
      <c r="B1063" s="585"/>
      <c r="C1063" s="586"/>
      <c r="D1063" s="587"/>
      <c r="E1063" s="591"/>
      <c r="G1063" s="593"/>
    </row>
    <row r="1064" spans="1:7">
      <c r="A1064" s="584"/>
      <c r="B1064" s="585"/>
      <c r="C1064" s="586"/>
      <c r="D1064" s="587"/>
      <c r="E1064" s="591"/>
      <c r="G1064" s="593"/>
    </row>
    <row r="1065" spans="1:7">
      <c r="A1065" s="584"/>
      <c r="B1065" s="585"/>
      <c r="C1065" s="586"/>
      <c r="D1065" s="587"/>
      <c r="E1065" s="591"/>
      <c r="G1065" s="593"/>
    </row>
    <row r="1066" spans="1:7">
      <c r="A1066" s="584"/>
      <c r="B1066" s="585"/>
      <c r="C1066" s="586"/>
      <c r="D1066" s="587"/>
      <c r="E1066" s="591"/>
      <c r="G1066" s="593"/>
    </row>
    <row r="1067" spans="1:7">
      <c r="A1067" s="584"/>
      <c r="B1067" s="585"/>
      <c r="C1067" s="586"/>
      <c r="D1067" s="587"/>
      <c r="E1067" s="591"/>
      <c r="G1067" s="593"/>
    </row>
    <row r="1068" spans="1:7">
      <c r="A1068" s="584"/>
      <c r="B1068" s="585"/>
      <c r="C1068" s="586"/>
      <c r="D1068" s="587"/>
      <c r="E1068" s="591"/>
      <c r="G1068" s="593"/>
    </row>
    <row r="1069" spans="1:7">
      <c r="A1069" s="584"/>
      <c r="B1069" s="585"/>
      <c r="C1069" s="586"/>
      <c r="D1069" s="587"/>
      <c r="E1069" s="591"/>
      <c r="G1069" s="593"/>
    </row>
    <row r="1070" spans="1:7">
      <c r="A1070" s="584"/>
      <c r="B1070" s="585"/>
      <c r="C1070" s="586"/>
      <c r="D1070" s="587"/>
      <c r="E1070" s="591"/>
      <c r="G1070" s="593"/>
    </row>
    <row r="1071" spans="1:7">
      <c r="A1071" s="584"/>
      <c r="B1071" s="585"/>
      <c r="C1071" s="586"/>
      <c r="D1071" s="587"/>
      <c r="E1071" s="591"/>
      <c r="G1071" s="593"/>
    </row>
    <row r="1072" spans="1:7">
      <c r="A1072" s="584"/>
      <c r="B1072" s="585"/>
      <c r="C1072" s="586"/>
      <c r="D1072" s="587"/>
      <c r="E1072" s="591"/>
      <c r="G1072" s="593"/>
    </row>
    <row r="1073" spans="1:7">
      <c r="A1073" s="584"/>
      <c r="B1073" s="585"/>
      <c r="C1073" s="586"/>
      <c r="D1073" s="587"/>
      <c r="E1073" s="591"/>
      <c r="G1073" s="593"/>
    </row>
    <row r="1074" spans="1:7">
      <c r="A1074" s="584"/>
      <c r="B1074" s="585"/>
      <c r="C1074" s="586"/>
      <c r="D1074" s="587"/>
      <c r="E1074" s="591"/>
      <c r="G1074" s="593"/>
    </row>
    <row r="1075" spans="1:7">
      <c r="A1075" s="584"/>
      <c r="B1075" s="585"/>
      <c r="C1075" s="586"/>
      <c r="D1075" s="587"/>
      <c r="E1075" s="591"/>
      <c r="G1075" s="593"/>
    </row>
    <row r="1076" spans="1:7">
      <c r="A1076" s="584"/>
      <c r="B1076" s="585"/>
      <c r="C1076" s="586"/>
      <c r="D1076" s="587"/>
      <c r="E1076" s="591"/>
      <c r="G1076" s="593"/>
    </row>
    <row r="1077" spans="1:7">
      <c r="A1077" s="584"/>
      <c r="B1077" s="585"/>
      <c r="C1077" s="586"/>
      <c r="D1077" s="587"/>
      <c r="E1077" s="591"/>
      <c r="G1077" s="593"/>
    </row>
    <row r="1078" spans="1:7">
      <c r="A1078" s="584"/>
      <c r="B1078" s="585"/>
      <c r="C1078" s="586"/>
      <c r="D1078" s="587"/>
      <c r="E1078" s="591"/>
      <c r="G1078" s="593"/>
    </row>
    <row r="1079" spans="1:7">
      <c r="A1079" s="584"/>
      <c r="B1079" s="585"/>
      <c r="C1079" s="586"/>
      <c r="D1079" s="587"/>
      <c r="E1079" s="591"/>
      <c r="G1079" s="593"/>
    </row>
    <row r="1080" spans="1:7">
      <c r="A1080" s="584"/>
      <c r="B1080" s="585"/>
      <c r="C1080" s="586"/>
      <c r="D1080" s="587"/>
      <c r="E1080" s="591"/>
      <c r="G1080" s="593"/>
    </row>
    <row r="1081" spans="1:7">
      <c r="A1081" s="584"/>
      <c r="B1081" s="585"/>
      <c r="C1081" s="586"/>
      <c r="D1081" s="587"/>
      <c r="E1081" s="591"/>
      <c r="G1081" s="593"/>
    </row>
    <row r="1082" spans="1:7">
      <c r="A1082" s="584"/>
      <c r="B1082" s="585"/>
      <c r="C1082" s="586"/>
      <c r="D1082" s="587"/>
      <c r="E1082" s="591"/>
      <c r="G1082" s="593"/>
    </row>
    <row r="1083" spans="1:7">
      <c r="A1083" s="584"/>
      <c r="B1083" s="585"/>
      <c r="C1083" s="586"/>
      <c r="D1083" s="587"/>
      <c r="E1083" s="591"/>
      <c r="G1083" s="593"/>
    </row>
    <row r="1084" spans="1:7">
      <c r="A1084" s="584"/>
      <c r="B1084" s="585"/>
      <c r="C1084" s="586"/>
      <c r="D1084" s="587"/>
      <c r="E1084" s="591"/>
      <c r="G1084" s="593"/>
    </row>
    <row r="1085" spans="1:7">
      <c r="A1085" s="584"/>
      <c r="B1085" s="585"/>
      <c r="C1085" s="586"/>
      <c r="D1085" s="587"/>
      <c r="E1085" s="591"/>
      <c r="G1085" s="593"/>
    </row>
    <row r="1086" spans="1:7">
      <c r="A1086" s="584"/>
      <c r="B1086" s="585"/>
      <c r="C1086" s="586"/>
      <c r="D1086" s="587"/>
      <c r="E1086" s="591"/>
      <c r="G1086" s="593"/>
    </row>
    <row r="1087" spans="1:7">
      <c r="A1087" s="584"/>
      <c r="B1087" s="585"/>
      <c r="C1087" s="586"/>
      <c r="D1087" s="587"/>
      <c r="E1087" s="591"/>
      <c r="G1087" s="593"/>
    </row>
    <row r="1088" spans="1:7">
      <c r="A1088" s="584"/>
      <c r="B1088" s="585"/>
      <c r="C1088" s="586"/>
      <c r="D1088" s="587"/>
      <c r="E1088" s="591"/>
      <c r="G1088" s="593"/>
    </row>
    <row r="1089" spans="1:7">
      <c r="A1089" s="584"/>
      <c r="B1089" s="585"/>
      <c r="C1089" s="586"/>
      <c r="D1089" s="587"/>
      <c r="E1089" s="591"/>
      <c r="G1089" s="593"/>
    </row>
    <row r="1090" spans="1:7">
      <c r="A1090" s="584"/>
      <c r="B1090" s="585"/>
      <c r="C1090" s="586"/>
      <c r="D1090" s="587"/>
      <c r="E1090" s="591"/>
      <c r="G1090" s="593"/>
    </row>
    <row r="1091" spans="1:7">
      <c r="A1091" s="584"/>
      <c r="B1091" s="585"/>
      <c r="C1091" s="586"/>
      <c r="D1091" s="587"/>
      <c r="E1091" s="591"/>
      <c r="G1091" s="593"/>
    </row>
    <row r="1092" spans="1:7">
      <c r="A1092" s="584"/>
      <c r="B1092" s="585"/>
      <c r="C1092" s="586"/>
      <c r="D1092" s="587"/>
      <c r="E1092" s="591"/>
      <c r="G1092" s="593"/>
    </row>
    <row r="1093" spans="1:7">
      <c r="A1093" s="584"/>
      <c r="B1093" s="585"/>
      <c r="C1093" s="586"/>
      <c r="D1093" s="587"/>
      <c r="E1093" s="591"/>
      <c r="G1093" s="593"/>
    </row>
    <row r="1094" spans="1:7">
      <c r="A1094" s="584"/>
      <c r="B1094" s="585"/>
      <c r="C1094" s="586"/>
      <c r="D1094" s="587"/>
      <c r="E1094" s="591"/>
      <c r="G1094" s="593"/>
    </row>
    <row r="1095" spans="1:7">
      <c r="A1095" s="584"/>
      <c r="B1095" s="585"/>
      <c r="C1095" s="586"/>
      <c r="D1095" s="587"/>
      <c r="E1095" s="591"/>
      <c r="G1095" s="593"/>
    </row>
    <row r="1096" spans="1:7">
      <c r="A1096" s="584"/>
      <c r="B1096" s="585"/>
      <c r="C1096" s="586"/>
      <c r="D1096" s="587"/>
      <c r="E1096" s="591"/>
      <c r="G1096" s="593"/>
    </row>
    <row r="1097" spans="1:7">
      <c r="A1097" s="584"/>
      <c r="B1097" s="585"/>
      <c r="C1097" s="586"/>
      <c r="D1097" s="587"/>
      <c r="E1097" s="591"/>
      <c r="G1097" s="593"/>
    </row>
    <row r="1098" spans="1:7">
      <c r="A1098" s="584"/>
      <c r="B1098" s="585"/>
      <c r="C1098" s="586"/>
      <c r="D1098" s="587"/>
      <c r="E1098" s="591"/>
      <c r="G1098" s="593"/>
    </row>
    <row r="1099" spans="1:7">
      <c r="A1099" s="584"/>
      <c r="B1099" s="585"/>
      <c r="C1099" s="586"/>
      <c r="D1099" s="587"/>
      <c r="E1099" s="591"/>
      <c r="G1099" s="593"/>
    </row>
    <row r="1100" spans="1:7">
      <c r="A1100" s="584"/>
      <c r="B1100" s="585"/>
      <c r="C1100" s="586"/>
      <c r="D1100" s="587"/>
      <c r="E1100" s="591"/>
      <c r="G1100" s="593"/>
    </row>
    <row r="1101" spans="1:7">
      <c r="A1101" s="584"/>
      <c r="B1101" s="585"/>
      <c r="C1101" s="586"/>
      <c r="D1101" s="587"/>
      <c r="E1101" s="591"/>
      <c r="G1101" s="593"/>
    </row>
    <row r="1102" spans="1:7">
      <c r="A1102" s="584"/>
      <c r="B1102" s="585"/>
      <c r="C1102" s="586"/>
      <c r="D1102" s="587"/>
      <c r="E1102" s="591"/>
      <c r="G1102" s="593"/>
    </row>
    <row r="1103" spans="1:7">
      <c r="A1103" s="584"/>
      <c r="B1103" s="585"/>
      <c r="C1103" s="586"/>
      <c r="D1103" s="587"/>
      <c r="E1103" s="591"/>
      <c r="G1103" s="593"/>
    </row>
    <row r="1104" spans="1:7">
      <c r="A1104" s="584"/>
      <c r="B1104" s="585"/>
      <c r="C1104" s="586"/>
      <c r="D1104" s="587"/>
      <c r="E1104" s="591"/>
      <c r="G1104" s="593"/>
    </row>
    <row r="1105" spans="1:7">
      <c r="A1105" s="584"/>
      <c r="B1105" s="585"/>
      <c r="C1105" s="586"/>
      <c r="D1105" s="587"/>
      <c r="E1105" s="591"/>
      <c r="G1105" s="593"/>
    </row>
    <row r="1106" spans="1:7">
      <c r="A1106" s="584"/>
      <c r="B1106" s="585"/>
      <c r="C1106" s="586"/>
      <c r="D1106" s="587"/>
      <c r="E1106" s="591"/>
      <c r="G1106" s="593"/>
    </row>
    <row r="1107" spans="1:7">
      <c r="A1107" s="584"/>
      <c r="B1107" s="585"/>
      <c r="C1107" s="586"/>
      <c r="D1107" s="587"/>
      <c r="E1107" s="591"/>
      <c r="G1107" s="593"/>
    </row>
    <row r="1108" spans="1:7">
      <c r="A1108" s="584"/>
      <c r="B1108" s="585"/>
      <c r="C1108" s="586"/>
      <c r="D1108" s="587"/>
      <c r="E1108" s="591"/>
      <c r="G1108" s="593"/>
    </row>
    <row r="1109" spans="1:7">
      <c r="A1109" s="584"/>
      <c r="B1109" s="585"/>
      <c r="C1109" s="586"/>
      <c r="D1109" s="587"/>
      <c r="E1109" s="591"/>
      <c r="G1109" s="593"/>
    </row>
    <row r="1110" spans="1:7">
      <c r="A1110" s="584"/>
      <c r="B1110" s="585"/>
      <c r="C1110" s="586"/>
      <c r="D1110" s="587"/>
      <c r="E1110" s="591"/>
      <c r="G1110" s="593"/>
    </row>
    <row r="1111" spans="1:7">
      <c r="A1111" s="584"/>
      <c r="B1111" s="585"/>
      <c r="C1111" s="586"/>
      <c r="D1111" s="587"/>
      <c r="E1111" s="591"/>
      <c r="G1111" s="593"/>
    </row>
    <row r="1112" spans="1:7">
      <c r="A1112" s="584"/>
      <c r="B1112" s="585"/>
      <c r="C1112" s="586"/>
      <c r="D1112" s="587"/>
      <c r="E1112" s="591"/>
      <c r="G1112" s="593"/>
    </row>
    <row r="1113" spans="1:7">
      <c r="A1113" s="584"/>
      <c r="B1113" s="585"/>
      <c r="C1113" s="586"/>
      <c r="D1113" s="587"/>
      <c r="E1113" s="591"/>
      <c r="G1113" s="593"/>
    </row>
    <row r="1114" spans="1:7">
      <c r="A1114" s="584"/>
      <c r="B1114" s="585"/>
      <c r="C1114" s="586"/>
      <c r="D1114" s="587"/>
      <c r="E1114" s="591"/>
      <c r="G1114" s="593"/>
    </row>
    <row r="1115" spans="1:7">
      <c r="A1115" s="584"/>
      <c r="B1115" s="585"/>
      <c r="C1115" s="586"/>
      <c r="D1115" s="587"/>
      <c r="E1115" s="591"/>
      <c r="G1115" s="593"/>
    </row>
    <row r="1116" spans="1:7">
      <c r="A1116" s="584"/>
      <c r="B1116" s="585"/>
      <c r="C1116" s="586"/>
      <c r="D1116" s="587"/>
      <c r="E1116" s="591"/>
      <c r="G1116" s="593"/>
    </row>
    <row r="1117" spans="1:7">
      <c r="A1117" s="584"/>
      <c r="B1117" s="585"/>
      <c r="C1117" s="586"/>
      <c r="D1117" s="587"/>
      <c r="E1117" s="591"/>
      <c r="G1117" s="593"/>
    </row>
    <row r="1118" spans="1:7">
      <c r="A1118" s="584"/>
      <c r="B1118" s="585"/>
      <c r="C1118" s="586"/>
      <c r="D1118" s="587"/>
      <c r="E1118" s="591"/>
      <c r="G1118" s="593"/>
    </row>
    <row r="1119" spans="1:7">
      <c r="A1119" s="584"/>
      <c r="B1119" s="585"/>
      <c r="C1119" s="586"/>
      <c r="D1119" s="587"/>
      <c r="E1119" s="591"/>
      <c r="G1119" s="593"/>
    </row>
    <row r="1120" spans="1:7">
      <c r="A1120" s="584"/>
      <c r="B1120" s="585"/>
      <c r="C1120" s="586"/>
      <c r="D1120" s="587"/>
      <c r="E1120" s="591"/>
      <c r="G1120" s="593"/>
    </row>
    <row r="1121" spans="1:7">
      <c r="A1121" s="584"/>
      <c r="B1121" s="585"/>
      <c r="C1121" s="586"/>
      <c r="D1121" s="587"/>
      <c r="E1121" s="591"/>
      <c r="G1121" s="593"/>
    </row>
    <row r="1122" spans="1:7">
      <c r="A1122" s="584"/>
      <c r="B1122" s="585"/>
      <c r="C1122" s="586"/>
      <c r="D1122" s="587"/>
      <c r="E1122" s="591"/>
      <c r="G1122" s="593"/>
    </row>
    <row r="1123" spans="1:7">
      <c r="A1123" s="584"/>
      <c r="B1123" s="585"/>
      <c r="C1123" s="586"/>
      <c r="D1123" s="587"/>
      <c r="E1123" s="591"/>
      <c r="G1123" s="593"/>
    </row>
    <row r="1124" spans="1:7">
      <c r="A1124" s="584"/>
      <c r="B1124" s="585"/>
      <c r="C1124" s="586"/>
      <c r="D1124" s="587"/>
      <c r="E1124" s="591"/>
      <c r="G1124" s="593"/>
    </row>
    <row r="1125" spans="1:7">
      <c r="A1125" s="584"/>
      <c r="B1125" s="585"/>
      <c r="C1125" s="586"/>
      <c r="D1125" s="587"/>
      <c r="E1125" s="591"/>
      <c r="G1125" s="593"/>
    </row>
    <row r="1126" spans="1:7">
      <c r="A1126" s="584"/>
      <c r="B1126" s="585"/>
      <c r="C1126" s="586"/>
      <c r="D1126" s="587"/>
      <c r="E1126" s="591"/>
      <c r="G1126" s="593"/>
    </row>
    <row r="1127" spans="1:7">
      <c r="A1127" s="584"/>
      <c r="B1127" s="585"/>
      <c r="C1127" s="586"/>
      <c r="D1127" s="587"/>
      <c r="E1127" s="591"/>
      <c r="G1127" s="593"/>
    </row>
    <row r="1128" spans="1:7">
      <c r="A1128" s="584"/>
      <c r="B1128" s="585"/>
      <c r="C1128" s="586"/>
      <c r="D1128" s="587"/>
      <c r="E1128" s="591"/>
      <c r="G1128" s="593"/>
    </row>
    <row r="1129" spans="1:7">
      <c r="A1129" s="584"/>
      <c r="B1129" s="585"/>
      <c r="C1129" s="586"/>
      <c r="D1129" s="587"/>
      <c r="E1129" s="591"/>
      <c r="G1129" s="593"/>
    </row>
    <row r="1130" spans="1:7">
      <c r="A1130" s="584"/>
      <c r="B1130" s="585"/>
      <c r="C1130" s="586"/>
      <c r="D1130" s="587"/>
      <c r="E1130" s="591"/>
      <c r="G1130" s="593"/>
    </row>
    <row r="1131" spans="1:7">
      <c r="A1131" s="584"/>
      <c r="B1131" s="585"/>
      <c r="C1131" s="586"/>
      <c r="D1131" s="587"/>
      <c r="E1131" s="591"/>
      <c r="G1131" s="593"/>
    </row>
    <row r="1132" spans="1:7">
      <c r="A1132" s="584"/>
      <c r="B1132" s="585"/>
      <c r="C1132" s="586"/>
      <c r="D1132" s="587"/>
      <c r="E1132" s="591"/>
      <c r="G1132" s="593"/>
    </row>
    <row r="1133" spans="1:7">
      <c r="A1133" s="584"/>
      <c r="B1133" s="585"/>
      <c r="C1133" s="586"/>
      <c r="D1133" s="587"/>
      <c r="E1133" s="591"/>
      <c r="G1133" s="593"/>
    </row>
    <row r="1134" spans="1:7">
      <c r="A1134" s="584"/>
      <c r="B1134" s="585"/>
      <c r="C1134" s="586"/>
      <c r="D1134" s="587"/>
      <c r="E1134" s="591"/>
      <c r="G1134" s="593"/>
    </row>
    <row r="1135" spans="1:7">
      <c r="A1135" s="584"/>
      <c r="B1135" s="585"/>
      <c r="C1135" s="586"/>
      <c r="D1135" s="587"/>
      <c r="E1135" s="591"/>
      <c r="G1135" s="593"/>
    </row>
    <row r="1136" spans="1:7">
      <c r="A1136" s="584"/>
      <c r="B1136" s="585"/>
      <c r="C1136" s="586"/>
      <c r="D1136" s="587"/>
      <c r="E1136" s="591"/>
      <c r="G1136" s="593"/>
    </row>
    <row r="1137" spans="1:7">
      <c r="A1137" s="584"/>
      <c r="B1137" s="585"/>
      <c r="C1137" s="586"/>
      <c r="D1137" s="587"/>
      <c r="E1137" s="591"/>
      <c r="G1137" s="593"/>
    </row>
    <row r="1138" spans="1:7">
      <c r="A1138" s="584"/>
      <c r="B1138" s="585"/>
      <c r="C1138" s="586"/>
      <c r="D1138" s="587"/>
      <c r="E1138" s="591"/>
      <c r="G1138" s="593"/>
    </row>
    <row r="1139" spans="1:7">
      <c r="A1139" s="584"/>
      <c r="B1139" s="585"/>
      <c r="C1139" s="586"/>
      <c r="D1139" s="587"/>
      <c r="E1139" s="591"/>
      <c r="G1139" s="593"/>
    </row>
    <row r="1140" spans="1:7">
      <c r="A1140" s="584"/>
      <c r="B1140" s="585"/>
      <c r="C1140" s="586"/>
      <c r="D1140" s="587"/>
      <c r="E1140" s="591"/>
      <c r="G1140" s="593"/>
    </row>
    <row r="1141" spans="1:7">
      <c r="A1141" s="584"/>
      <c r="B1141" s="585"/>
      <c r="C1141" s="586"/>
      <c r="D1141" s="587"/>
      <c r="E1141" s="591"/>
      <c r="G1141" s="593"/>
    </row>
    <row r="1142" spans="1:7">
      <c r="A1142" s="584"/>
      <c r="B1142" s="585"/>
      <c r="C1142" s="586"/>
      <c r="D1142" s="587"/>
      <c r="E1142" s="591"/>
      <c r="G1142" s="593"/>
    </row>
    <row r="1143" spans="1:7">
      <c r="A1143" s="584"/>
      <c r="B1143" s="585"/>
      <c r="C1143" s="586"/>
      <c r="D1143" s="587"/>
      <c r="E1143" s="591"/>
      <c r="G1143" s="593"/>
    </row>
    <row r="1144" spans="1:7">
      <c r="A1144" s="584"/>
      <c r="B1144" s="585"/>
      <c r="C1144" s="586"/>
      <c r="D1144" s="587"/>
      <c r="E1144" s="591"/>
      <c r="G1144" s="593"/>
    </row>
    <row r="1145" spans="1:7">
      <c r="A1145" s="584"/>
      <c r="B1145" s="585"/>
      <c r="C1145" s="586"/>
      <c r="D1145" s="587"/>
      <c r="E1145" s="591"/>
      <c r="G1145" s="593"/>
    </row>
    <row r="1146" spans="1:7">
      <c r="A1146" s="584"/>
      <c r="B1146" s="585"/>
      <c r="C1146" s="586"/>
      <c r="D1146" s="587"/>
      <c r="E1146" s="591"/>
      <c r="G1146" s="593"/>
    </row>
    <row r="1147" spans="1:7">
      <c r="A1147" s="584"/>
      <c r="B1147" s="585"/>
      <c r="C1147" s="586"/>
      <c r="D1147" s="587"/>
      <c r="E1147" s="591"/>
      <c r="G1147" s="593"/>
    </row>
    <row r="1148" spans="1:7">
      <c r="A1148" s="584"/>
      <c r="B1148" s="585"/>
      <c r="C1148" s="586"/>
      <c r="D1148" s="587"/>
      <c r="E1148" s="591"/>
      <c r="G1148" s="593"/>
    </row>
    <row r="1149" spans="1:7">
      <c r="A1149" s="584"/>
      <c r="B1149" s="585"/>
      <c r="C1149" s="586"/>
      <c r="D1149" s="587"/>
      <c r="E1149" s="591"/>
      <c r="G1149" s="593"/>
    </row>
    <row r="1150" spans="1:7">
      <c r="A1150" s="584"/>
      <c r="B1150" s="585"/>
      <c r="C1150" s="586"/>
      <c r="D1150" s="587"/>
      <c r="E1150" s="591"/>
      <c r="G1150" s="593"/>
    </row>
    <row r="1151" spans="1:7">
      <c r="A1151" s="584"/>
      <c r="B1151" s="585"/>
      <c r="C1151" s="586"/>
      <c r="D1151" s="587"/>
      <c r="E1151" s="591"/>
      <c r="G1151" s="593"/>
    </row>
    <row r="1152" spans="1:7">
      <c r="A1152" s="584"/>
      <c r="B1152" s="585"/>
      <c r="C1152" s="586"/>
      <c r="D1152" s="587"/>
      <c r="E1152" s="591"/>
      <c r="G1152" s="593"/>
    </row>
    <row r="1153" spans="1:7">
      <c r="A1153" s="584"/>
      <c r="B1153" s="585"/>
      <c r="C1153" s="586"/>
      <c r="D1153" s="587"/>
      <c r="E1153" s="591"/>
      <c r="G1153" s="593"/>
    </row>
    <row r="1154" spans="1:7">
      <c r="A1154" s="584"/>
      <c r="B1154" s="585"/>
      <c r="C1154" s="586"/>
      <c r="D1154" s="587"/>
      <c r="E1154" s="591"/>
      <c r="G1154" s="593"/>
    </row>
    <row r="1155" spans="1:7">
      <c r="A1155" s="584"/>
      <c r="B1155" s="585"/>
      <c r="C1155" s="586"/>
      <c r="D1155" s="587"/>
      <c r="E1155" s="591"/>
      <c r="G1155" s="593"/>
    </row>
    <row r="1156" spans="1:7">
      <c r="A1156" s="584"/>
      <c r="B1156" s="585"/>
      <c r="C1156" s="586"/>
      <c r="D1156" s="587"/>
      <c r="E1156" s="591"/>
      <c r="G1156" s="593"/>
    </row>
    <row r="1157" spans="1:7">
      <c r="A1157" s="584"/>
      <c r="B1157" s="585"/>
      <c r="C1157" s="586"/>
      <c r="D1157" s="587"/>
      <c r="E1157" s="591"/>
      <c r="G1157" s="593"/>
    </row>
    <row r="1158" spans="1:7">
      <c r="A1158" s="584"/>
      <c r="B1158" s="585"/>
      <c r="C1158" s="586"/>
      <c r="D1158" s="587"/>
      <c r="E1158" s="591"/>
      <c r="G1158" s="593"/>
    </row>
    <row r="1159" spans="1:7">
      <c r="A1159" s="584"/>
      <c r="B1159" s="585"/>
      <c r="C1159" s="586"/>
      <c r="D1159" s="587"/>
      <c r="E1159" s="591"/>
      <c r="G1159" s="593"/>
    </row>
    <row r="1160" spans="1:7">
      <c r="A1160" s="584"/>
      <c r="B1160" s="585"/>
      <c r="C1160" s="586"/>
      <c r="D1160" s="587"/>
      <c r="E1160" s="591"/>
      <c r="G1160" s="593"/>
    </row>
    <row r="1161" spans="1:7">
      <c r="A1161" s="584"/>
      <c r="B1161" s="585"/>
      <c r="C1161" s="586"/>
      <c r="D1161" s="587"/>
      <c r="E1161" s="591"/>
      <c r="G1161" s="593"/>
    </row>
    <row r="1162" spans="1:7">
      <c r="A1162" s="584"/>
      <c r="B1162" s="585"/>
      <c r="C1162" s="586"/>
      <c r="D1162" s="587"/>
      <c r="E1162" s="591"/>
      <c r="G1162" s="593"/>
    </row>
    <row r="1163" spans="1:7">
      <c r="A1163" s="584"/>
      <c r="B1163" s="585"/>
      <c r="C1163" s="586"/>
      <c r="D1163" s="587"/>
      <c r="E1163" s="591"/>
      <c r="G1163" s="593"/>
    </row>
    <row r="1164" spans="1:7">
      <c r="A1164" s="584"/>
      <c r="B1164" s="585"/>
      <c r="C1164" s="586"/>
      <c r="D1164" s="587"/>
      <c r="E1164" s="591"/>
      <c r="G1164" s="593"/>
    </row>
    <row r="1165" spans="1:7">
      <c r="A1165" s="584"/>
      <c r="B1165" s="585"/>
      <c r="C1165" s="586"/>
      <c r="D1165" s="587"/>
      <c r="E1165" s="591"/>
      <c r="G1165" s="593"/>
    </row>
    <row r="1166" spans="1:7">
      <c r="A1166" s="584"/>
      <c r="B1166" s="585"/>
      <c r="C1166" s="586"/>
      <c r="D1166" s="587"/>
      <c r="E1166" s="591"/>
      <c r="G1166" s="593"/>
    </row>
    <row r="1167" spans="1:7">
      <c r="A1167" s="584"/>
      <c r="B1167" s="585"/>
      <c r="C1167" s="586"/>
      <c r="D1167" s="587"/>
      <c r="E1167" s="591"/>
      <c r="G1167" s="593"/>
    </row>
    <row r="1168" spans="1:7">
      <c r="A1168" s="584"/>
      <c r="B1168" s="585"/>
      <c r="C1168" s="586"/>
      <c r="D1168" s="587"/>
      <c r="E1168" s="591"/>
      <c r="G1168" s="593"/>
    </row>
    <row r="1169" spans="1:7">
      <c r="A1169" s="584"/>
      <c r="B1169" s="585"/>
      <c r="C1169" s="586"/>
      <c r="D1169" s="587"/>
      <c r="E1169" s="591"/>
      <c r="G1169" s="593"/>
    </row>
    <row r="1170" spans="1:7">
      <c r="A1170" s="584"/>
      <c r="B1170" s="585"/>
      <c r="C1170" s="586"/>
      <c r="D1170" s="587"/>
      <c r="E1170" s="591"/>
      <c r="G1170" s="593"/>
    </row>
    <row r="1171" spans="1:7">
      <c r="A1171" s="584"/>
      <c r="B1171" s="585"/>
      <c r="C1171" s="586"/>
      <c r="D1171" s="587"/>
      <c r="E1171" s="591"/>
      <c r="G1171" s="593"/>
    </row>
    <row r="1172" spans="1:7">
      <c r="A1172" s="584"/>
      <c r="B1172" s="585"/>
      <c r="C1172" s="586"/>
      <c r="D1172" s="587"/>
      <c r="E1172" s="591"/>
      <c r="G1172" s="593"/>
    </row>
    <row r="1173" spans="1:7">
      <c r="A1173" s="584"/>
      <c r="B1173" s="585"/>
      <c r="C1173" s="586"/>
      <c r="D1173" s="587"/>
      <c r="E1173" s="591"/>
      <c r="G1173" s="593"/>
    </row>
    <row r="1174" spans="1:7">
      <c r="A1174" s="584"/>
      <c r="B1174" s="585"/>
      <c r="C1174" s="586"/>
      <c r="D1174" s="587"/>
      <c r="E1174" s="591"/>
      <c r="G1174" s="593"/>
    </row>
    <row r="1175" spans="1:7">
      <c r="A1175" s="584"/>
      <c r="B1175" s="585"/>
      <c r="C1175" s="586"/>
      <c r="D1175" s="587"/>
      <c r="E1175" s="591"/>
      <c r="G1175" s="593"/>
    </row>
    <row r="1176" spans="1:7">
      <c r="A1176" s="584"/>
      <c r="B1176" s="585"/>
      <c r="C1176" s="586"/>
      <c r="D1176" s="587"/>
      <c r="E1176" s="591"/>
      <c r="G1176" s="593"/>
    </row>
    <row r="1177" spans="1:7">
      <c r="A1177" s="584"/>
      <c r="B1177" s="585"/>
      <c r="C1177" s="586"/>
      <c r="D1177" s="587"/>
      <c r="E1177" s="591"/>
      <c r="G1177" s="593"/>
    </row>
    <row r="1178" spans="1:7">
      <c r="A1178" s="584"/>
      <c r="B1178" s="585"/>
      <c r="C1178" s="586"/>
      <c r="D1178" s="587"/>
      <c r="E1178" s="591"/>
      <c r="G1178" s="593"/>
    </row>
    <row r="1179" spans="1:7">
      <c r="A1179" s="584"/>
      <c r="B1179" s="585"/>
      <c r="C1179" s="586"/>
      <c r="D1179" s="587"/>
      <c r="E1179" s="591"/>
      <c r="G1179" s="593"/>
    </row>
    <row r="1180" spans="1:7">
      <c r="A1180" s="584"/>
      <c r="B1180" s="585"/>
      <c r="C1180" s="586"/>
      <c r="D1180" s="587"/>
      <c r="E1180" s="591"/>
      <c r="G1180" s="593"/>
    </row>
    <row r="1181" spans="1:7">
      <c r="A1181" s="584"/>
      <c r="B1181" s="585"/>
      <c r="C1181" s="586"/>
      <c r="D1181" s="587"/>
      <c r="E1181" s="591"/>
      <c r="G1181" s="593"/>
    </row>
    <row r="1182" spans="1:7">
      <c r="A1182" s="584"/>
      <c r="B1182" s="585"/>
      <c r="C1182" s="586"/>
      <c r="D1182" s="587"/>
      <c r="E1182" s="591"/>
      <c r="G1182" s="593"/>
    </row>
    <row r="1183" spans="1:7">
      <c r="A1183" s="584"/>
      <c r="B1183" s="585"/>
      <c r="C1183" s="586"/>
      <c r="D1183" s="587"/>
      <c r="E1183" s="591"/>
      <c r="G1183" s="593"/>
    </row>
    <row r="1184" spans="1:7">
      <c r="A1184" s="584"/>
      <c r="B1184" s="585"/>
      <c r="C1184" s="586"/>
      <c r="D1184" s="587"/>
      <c r="E1184" s="591"/>
      <c r="G1184" s="593"/>
    </row>
    <row r="1185" spans="1:7">
      <c r="A1185" s="584"/>
      <c r="B1185" s="585"/>
      <c r="C1185" s="586"/>
      <c r="D1185" s="587"/>
      <c r="E1185" s="591"/>
      <c r="G1185" s="593"/>
    </row>
    <row r="1186" spans="1:7">
      <c r="A1186" s="584"/>
      <c r="B1186" s="585"/>
      <c r="C1186" s="586"/>
      <c r="D1186" s="587"/>
      <c r="E1186" s="591"/>
      <c r="G1186" s="593"/>
    </row>
    <row r="1187" spans="1:7">
      <c r="A1187" s="584"/>
      <c r="B1187" s="585"/>
      <c r="C1187" s="586"/>
      <c r="D1187" s="587"/>
      <c r="E1187" s="591"/>
      <c r="G1187" s="593"/>
    </row>
    <row r="1188" spans="1:7">
      <c r="A1188" s="584"/>
      <c r="B1188" s="585"/>
      <c r="C1188" s="586"/>
      <c r="D1188" s="587"/>
      <c r="E1188" s="591"/>
      <c r="G1188" s="593"/>
    </row>
    <row r="1189" spans="1:7">
      <c r="A1189" s="584"/>
      <c r="B1189" s="585"/>
      <c r="C1189" s="586"/>
      <c r="D1189" s="587"/>
      <c r="E1189" s="591"/>
      <c r="G1189" s="593"/>
    </row>
    <row r="1190" spans="1:7">
      <c r="A1190" s="584"/>
      <c r="B1190" s="585"/>
      <c r="C1190" s="586"/>
      <c r="D1190" s="587"/>
      <c r="E1190" s="591"/>
      <c r="G1190" s="593"/>
    </row>
    <row r="1191" spans="1:7">
      <c r="A1191" s="584"/>
      <c r="B1191" s="585"/>
      <c r="C1191" s="586"/>
      <c r="D1191" s="587"/>
      <c r="E1191" s="591"/>
      <c r="G1191" s="593"/>
    </row>
    <row r="1192" spans="1:7">
      <c r="A1192" s="584"/>
      <c r="B1192" s="585"/>
      <c r="C1192" s="586"/>
      <c r="D1192" s="587"/>
      <c r="E1192" s="591"/>
      <c r="G1192" s="593"/>
    </row>
    <row r="1193" spans="1:7">
      <c r="A1193" s="584"/>
      <c r="B1193" s="585"/>
      <c r="C1193" s="586"/>
      <c r="D1193" s="587"/>
      <c r="E1193" s="591"/>
      <c r="G1193" s="593"/>
    </row>
    <row r="1194" spans="1:7">
      <c r="A1194" s="584"/>
      <c r="B1194" s="585"/>
      <c r="C1194" s="586"/>
      <c r="D1194" s="587"/>
      <c r="E1194" s="591"/>
      <c r="G1194" s="593"/>
    </row>
    <row r="1195" spans="1:7">
      <c r="A1195" s="584"/>
      <c r="B1195" s="585"/>
      <c r="C1195" s="586"/>
      <c r="D1195" s="587"/>
      <c r="E1195" s="591"/>
      <c r="G1195" s="593"/>
    </row>
    <row r="1196" spans="1:7">
      <c r="A1196" s="584"/>
      <c r="B1196" s="585"/>
      <c r="C1196" s="586"/>
      <c r="D1196" s="587"/>
      <c r="E1196" s="591"/>
      <c r="G1196" s="593"/>
    </row>
    <row r="1197" spans="1:7">
      <c r="A1197" s="584"/>
      <c r="B1197" s="585"/>
      <c r="C1197" s="586"/>
      <c r="D1197" s="587"/>
      <c r="E1197" s="591"/>
      <c r="G1197" s="593"/>
    </row>
    <row r="1198" spans="1:7">
      <c r="A1198" s="584"/>
      <c r="B1198" s="585"/>
      <c r="C1198" s="586"/>
      <c r="D1198" s="587"/>
      <c r="E1198" s="591"/>
      <c r="G1198" s="593"/>
    </row>
    <row r="1199" spans="1:7">
      <c r="A1199" s="584"/>
      <c r="B1199" s="585"/>
      <c r="C1199" s="586"/>
      <c r="D1199" s="587"/>
      <c r="E1199" s="591"/>
      <c r="G1199" s="593"/>
    </row>
    <row r="1200" spans="1:7">
      <c r="A1200" s="584"/>
      <c r="B1200" s="585"/>
      <c r="C1200" s="586"/>
      <c r="D1200" s="587"/>
      <c r="E1200" s="591"/>
      <c r="G1200" s="593"/>
    </row>
    <row r="1201" spans="1:7">
      <c r="A1201" s="584"/>
      <c r="B1201" s="585"/>
      <c r="C1201" s="586"/>
      <c r="D1201" s="587"/>
      <c r="E1201" s="591"/>
      <c r="G1201" s="593"/>
    </row>
    <row r="1202" spans="1:7">
      <c r="A1202" s="584"/>
      <c r="B1202" s="585"/>
      <c r="C1202" s="586"/>
      <c r="D1202" s="587"/>
      <c r="E1202" s="591"/>
      <c r="G1202" s="593"/>
    </row>
    <row r="1203" spans="1:7">
      <c r="A1203" s="584"/>
      <c r="B1203" s="585"/>
      <c r="C1203" s="586"/>
      <c r="D1203" s="587"/>
      <c r="E1203" s="591"/>
      <c r="G1203" s="593"/>
    </row>
    <row r="1204" spans="1:7">
      <c r="A1204" s="584"/>
      <c r="B1204" s="585"/>
      <c r="C1204" s="586"/>
      <c r="D1204" s="587"/>
      <c r="E1204" s="591"/>
      <c r="G1204" s="593"/>
    </row>
    <row r="1205" spans="1:7">
      <c r="A1205" s="584"/>
      <c r="B1205" s="585"/>
      <c r="C1205" s="586"/>
      <c r="D1205" s="587"/>
      <c r="E1205" s="591"/>
      <c r="G1205" s="593"/>
    </row>
    <row r="1206" spans="1:7">
      <c r="A1206" s="584"/>
      <c r="B1206" s="585"/>
      <c r="C1206" s="586"/>
      <c r="D1206" s="587"/>
      <c r="E1206" s="591"/>
      <c r="G1206" s="593"/>
    </row>
    <row r="1207" spans="1:7">
      <c r="A1207" s="584"/>
      <c r="B1207" s="585"/>
      <c r="C1207" s="586"/>
      <c r="D1207" s="587"/>
      <c r="E1207" s="591"/>
      <c r="G1207" s="593"/>
    </row>
    <row r="1208" spans="1:7">
      <c r="A1208" s="584"/>
      <c r="B1208" s="585"/>
      <c r="C1208" s="586"/>
      <c r="D1208" s="587"/>
      <c r="E1208" s="591"/>
      <c r="G1208" s="593"/>
    </row>
    <row r="1209" spans="1:7">
      <c r="A1209" s="584"/>
      <c r="B1209" s="585"/>
      <c r="C1209" s="586"/>
      <c r="D1209" s="587"/>
      <c r="E1209" s="591"/>
      <c r="G1209" s="593"/>
    </row>
    <row r="1210" spans="1:7">
      <c r="A1210" s="584"/>
      <c r="B1210" s="585"/>
      <c r="C1210" s="586"/>
      <c r="D1210" s="587"/>
      <c r="E1210" s="591"/>
      <c r="G1210" s="593"/>
    </row>
    <row r="1211" spans="1:7">
      <c r="A1211" s="584"/>
      <c r="B1211" s="585"/>
      <c r="C1211" s="586"/>
      <c r="D1211" s="587"/>
      <c r="E1211" s="591"/>
      <c r="G1211" s="593"/>
    </row>
    <row r="1212" spans="1:7">
      <c r="A1212" s="584"/>
      <c r="B1212" s="585"/>
      <c r="C1212" s="586"/>
      <c r="D1212" s="587"/>
      <c r="E1212" s="591"/>
      <c r="G1212" s="593"/>
    </row>
    <row r="1213" spans="1:7">
      <c r="A1213" s="584"/>
      <c r="B1213" s="585"/>
      <c r="C1213" s="586"/>
      <c r="D1213" s="587"/>
      <c r="E1213" s="591"/>
      <c r="G1213" s="593"/>
    </row>
    <row r="1214" spans="1:7">
      <c r="A1214" s="584"/>
      <c r="B1214" s="585"/>
      <c r="C1214" s="586"/>
      <c r="D1214" s="587"/>
      <c r="E1214" s="591"/>
      <c r="G1214" s="593"/>
    </row>
    <row r="1215" spans="1:7">
      <c r="A1215" s="584"/>
      <c r="B1215" s="585"/>
      <c r="C1215" s="586"/>
      <c r="D1215" s="587"/>
      <c r="E1215" s="591"/>
      <c r="G1215" s="593"/>
    </row>
    <row r="1216" spans="1:7">
      <c r="A1216" s="584"/>
      <c r="B1216" s="585"/>
      <c r="C1216" s="586"/>
      <c r="D1216" s="587"/>
      <c r="E1216" s="591"/>
      <c r="G1216" s="593"/>
    </row>
    <row r="1217" spans="1:7">
      <c r="A1217" s="584"/>
      <c r="B1217" s="585"/>
      <c r="C1217" s="586"/>
      <c r="D1217" s="587"/>
      <c r="E1217" s="591"/>
      <c r="G1217" s="593"/>
    </row>
    <row r="1218" spans="1:7">
      <c r="A1218" s="584"/>
      <c r="B1218" s="585"/>
      <c r="C1218" s="586"/>
      <c r="D1218" s="587"/>
      <c r="E1218" s="591"/>
      <c r="G1218" s="593"/>
    </row>
    <row r="1219" spans="1:7">
      <c r="A1219" s="584"/>
      <c r="B1219" s="585"/>
      <c r="C1219" s="586"/>
      <c r="D1219" s="587"/>
      <c r="E1219" s="591"/>
      <c r="G1219" s="593"/>
    </row>
    <row r="1220" spans="1:7">
      <c r="A1220" s="584"/>
      <c r="B1220" s="585"/>
      <c r="C1220" s="586"/>
      <c r="D1220" s="587"/>
      <c r="E1220" s="591"/>
      <c r="G1220" s="593"/>
    </row>
    <row r="1221" spans="1:7">
      <c r="A1221" s="584"/>
      <c r="B1221" s="585"/>
      <c r="C1221" s="586"/>
      <c r="D1221" s="587"/>
      <c r="E1221" s="591"/>
      <c r="G1221" s="593"/>
    </row>
    <row r="1222" spans="1:7">
      <c r="A1222" s="584"/>
      <c r="B1222" s="585"/>
      <c r="C1222" s="586"/>
      <c r="D1222" s="587"/>
      <c r="E1222" s="591"/>
      <c r="G1222" s="593"/>
    </row>
    <row r="1223" spans="1:7">
      <c r="A1223" s="584"/>
      <c r="B1223" s="585"/>
      <c r="C1223" s="586"/>
      <c r="D1223" s="587"/>
      <c r="E1223" s="591"/>
      <c r="G1223" s="593"/>
    </row>
    <row r="1224" spans="1:7">
      <c r="A1224" s="584"/>
      <c r="B1224" s="585"/>
      <c r="C1224" s="586"/>
      <c r="D1224" s="587"/>
      <c r="E1224" s="591"/>
      <c r="G1224" s="593"/>
    </row>
    <row r="1225" spans="1:7">
      <c r="A1225" s="584"/>
      <c r="B1225" s="585"/>
      <c r="C1225" s="586"/>
      <c r="D1225" s="587"/>
      <c r="E1225" s="591"/>
      <c r="G1225" s="593"/>
    </row>
    <row r="1226" spans="1:7">
      <c r="A1226" s="584"/>
      <c r="B1226" s="585"/>
      <c r="C1226" s="586"/>
      <c r="D1226" s="587"/>
      <c r="E1226" s="591"/>
      <c r="G1226" s="593"/>
    </row>
    <row r="1227" spans="1:7">
      <c r="A1227" s="584"/>
      <c r="B1227" s="585"/>
      <c r="C1227" s="586"/>
      <c r="D1227" s="587"/>
      <c r="E1227" s="591"/>
      <c r="G1227" s="593"/>
    </row>
    <row r="1228" spans="1:7">
      <c r="A1228" s="584"/>
      <c r="B1228" s="585"/>
      <c r="C1228" s="586"/>
      <c r="D1228" s="587"/>
      <c r="E1228" s="591"/>
      <c r="G1228" s="593"/>
    </row>
    <row r="1229" spans="1:7">
      <c r="A1229" s="584"/>
      <c r="B1229" s="585"/>
      <c r="C1229" s="586"/>
      <c r="D1229" s="587"/>
      <c r="E1229" s="591"/>
      <c r="G1229" s="593"/>
    </row>
    <row r="1230" spans="1:7">
      <c r="A1230" s="584"/>
      <c r="B1230" s="585"/>
      <c r="C1230" s="586"/>
      <c r="D1230" s="587"/>
      <c r="E1230" s="591"/>
      <c r="G1230" s="593"/>
    </row>
    <row r="1231" spans="1:7">
      <c r="A1231" s="584"/>
      <c r="B1231" s="585"/>
      <c r="C1231" s="586"/>
      <c r="D1231" s="587"/>
      <c r="E1231" s="591"/>
      <c r="G1231" s="593"/>
    </row>
    <row r="1232" spans="1:7">
      <c r="A1232" s="584"/>
      <c r="B1232" s="585"/>
      <c r="C1232" s="586"/>
      <c r="D1232" s="587"/>
      <c r="E1232" s="591"/>
      <c r="G1232" s="593"/>
    </row>
    <row r="1233" spans="1:7">
      <c r="A1233" s="584"/>
      <c r="B1233" s="585"/>
      <c r="C1233" s="586"/>
      <c r="D1233" s="587"/>
      <c r="E1233" s="591"/>
      <c r="G1233" s="593"/>
    </row>
    <row r="1234" spans="1:7">
      <c r="A1234" s="584"/>
      <c r="B1234" s="585"/>
      <c r="C1234" s="586"/>
      <c r="D1234" s="587"/>
      <c r="E1234" s="591"/>
      <c r="G1234" s="593"/>
    </row>
    <row r="1235" spans="1:7">
      <c r="A1235" s="584"/>
      <c r="B1235" s="585"/>
      <c r="C1235" s="586"/>
      <c r="D1235" s="587"/>
      <c r="E1235" s="591"/>
      <c r="G1235" s="593"/>
    </row>
    <row r="1236" spans="1:7">
      <c r="A1236" s="584"/>
      <c r="B1236" s="585"/>
      <c r="C1236" s="586"/>
      <c r="D1236" s="587"/>
      <c r="E1236" s="591"/>
      <c r="G1236" s="593"/>
    </row>
    <row r="1237" spans="1:7">
      <c r="A1237" s="584"/>
      <c r="B1237" s="585"/>
      <c r="C1237" s="586"/>
      <c r="D1237" s="587"/>
      <c r="E1237" s="591"/>
      <c r="G1237" s="593"/>
    </row>
    <row r="1238" spans="1:7">
      <c r="A1238" s="584"/>
      <c r="B1238" s="585"/>
      <c r="C1238" s="586"/>
      <c r="D1238" s="587"/>
      <c r="E1238" s="591"/>
      <c r="G1238" s="593"/>
    </row>
    <row r="1239" spans="1:7">
      <c r="A1239" s="584"/>
      <c r="B1239" s="585"/>
      <c r="C1239" s="586"/>
      <c r="D1239" s="587"/>
      <c r="E1239" s="591"/>
      <c r="G1239" s="593"/>
    </row>
    <row r="1240" spans="1:7">
      <c r="A1240" s="584"/>
      <c r="B1240" s="585"/>
      <c r="C1240" s="586"/>
      <c r="D1240" s="587"/>
      <c r="E1240" s="591"/>
      <c r="G1240" s="593"/>
    </row>
    <row r="1241" spans="1:7">
      <c r="A1241" s="584"/>
      <c r="B1241" s="585"/>
      <c r="C1241" s="586"/>
      <c r="D1241" s="587"/>
      <c r="E1241" s="591"/>
      <c r="G1241" s="593"/>
    </row>
    <row r="1242" spans="1:7">
      <c r="A1242" s="584"/>
      <c r="B1242" s="585"/>
      <c r="C1242" s="586"/>
      <c r="D1242" s="587"/>
      <c r="E1242" s="591"/>
      <c r="G1242" s="593"/>
    </row>
    <row r="1243" spans="1:7">
      <c r="A1243" s="584"/>
      <c r="B1243" s="585"/>
      <c r="C1243" s="586"/>
      <c r="D1243" s="587"/>
      <c r="E1243" s="591"/>
      <c r="G1243" s="593"/>
    </row>
    <row r="1244" spans="1:7">
      <c r="A1244" s="584"/>
      <c r="B1244" s="585"/>
      <c r="C1244" s="586"/>
      <c r="D1244" s="587"/>
      <c r="E1244" s="591"/>
      <c r="G1244" s="593"/>
    </row>
    <row r="1245" spans="1:7">
      <c r="A1245" s="584"/>
      <c r="B1245" s="585"/>
      <c r="C1245" s="586"/>
      <c r="D1245" s="587"/>
      <c r="E1245" s="591"/>
      <c r="G1245" s="593"/>
    </row>
    <row r="1246" spans="1:7">
      <c r="A1246" s="584"/>
      <c r="B1246" s="585"/>
      <c r="C1246" s="586"/>
      <c r="D1246" s="587"/>
      <c r="E1246" s="591"/>
      <c r="G1246" s="593"/>
    </row>
    <row r="1247" spans="1:7">
      <c r="A1247" s="584"/>
      <c r="B1247" s="585"/>
      <c r="C1247" s="586"/>
      <c r="D1247" s="587"/>
      <c r="E1247" s="591"/>
      <c r="G1247" s="593"/>
    </row>
    <row r="1248" spans="1:7">
      <c r="A1248" s="584"/>
      <c r="B1248" s="585"/>
      <c r="C1248" s="586"/>
      <c r="D1248" s="587"/>
      <c r="E1248" s="591"/>
      <c r="G1248" s="593"/>
    </row>
    <row r="1249" spans="1:7">
      <c r="A1249" s="584"/>
      <c r="B1249" s="585"/>
      <c r="C1249" s="586"/>
      <c r="D1249" s="587"/>
      <c r="E1249" s="591"/>
      <c r="G1249" s="593"/>
    </row>
    <row r="1250" spans="1:7">
      <c r="A1250" s="584"/>
      <c r="B1250" s="585"/>
      <c r="C1250" s="586"/>
      <c r="D1250" s="587"/>
      <c r="E1250" s="591"/>
      <c r="G1250" s="593"/>
    </row>
    <row r="1251" spans="1:7">
      <c r="A1251" s="584"/>
      <c r="B1251" s="585"/>
      <c r="C1251" s="586"/>
      <c r="D1251" s="587"/>
      <c r="E1251" s="591"/>
      <c r="G1251" s="593"/>
    </row>
    <row r="1252" spans="1:7">
      <c r="A1252" s="584"/>
      <c r="B1252" s="585"/>
      <c r="C1252" s="586"/>
      <c r="D1252" s="587"/>
      <c r="E1252" s="591"/>
      <c r="G1252" s="593"/>
    </row>
    <row r="1253" spans="1:7">
      <c r="A1253" s="584"/>
      <c r="B1253" s="585"/>
      <c r="C1253" s="586"/>
      <c r="D1253" s="587"/>
      <c r="E1253" s="591"/>
      <c r="G1253" s="593"/>
    </row>
    <row r="1254" spans="1:7">
      <c r="A1254" s="584"/>
      <c r="B1254" s="585"/>
      <c r="C1254" s="586"/>
      <c r="D1254" s="587"/>
      <c r="E1254" s="591"/>
      <c r="G1254" s="593"/>
    </row>
    <row r="1255" spans="1:7">
      <c r="A1255" s="584"/>
      <c r="B1255" s="585"/>
      <c r="C1255" s="586"/>
      <c r="D1255" s="587"/>
      <c r="E1255" s="591"/>
      <c r="G1255" s="593"/>
    </row>
    <row r="1256" spans="1:7">
      <c r="A1256" s="584"/>
      <c r="B1256" s="585"/>
      <c r="C1256" s="586"/>
      <c r="D1256" s="587"/>
      <c r="E1256" s="591"/>
      <c r="G1256" s="593"/>
    </row>
    <row r="1257" spans="1:7">
      <c r="A1257" s="584"/>
      <c r="B1257" s="585"/>
      <c r="C1257" s="586"/>
      <c r="D1257" s="587"/>
      <c r="E1257" s="591"/>
      <c r="G1257" s="593"/>
    </row>
    <row r="1258" spans="1:7">
      <c r="A1258" s="584"/>
      <c r="B1258" s="585"/>
      <c r="C1258" s="586"/>
      <c r="D1258" s="587"/>
      <c r="E1258" s="591"/>
      <c r="G1258" s="593"/>
    </row>
    <row r="1259" spans="1:7">
      <c r="A1259" s="584"/>
      <c r="B1259" s="585"/>
      <c r="C1259" s="586"/>
      <c r="D1259" s="587"/>
      <c r="E1259" s="591"/>
      <c r="G1259" s="593"/>
    </row>
    <row r="1260" spans="1:7">
      <c r="A1260" s="584"/>
      <c r="B1260" s="585"/>
      <c r="C1260" s="586"/>
      <c r="D1260" s="587"/>
      <c r="E1260" s="591"/>
      <c r="G1260" s="593"/>
    </row>
    <row r="1261" spans="1:7">
      <c r="A1261" s="584"/>
      <c r="B1261" s="585"/>
      <c r="C1261" s="586"/>
      <c r="D1261" s="587"/>
      <c r="E1261" s="591"/>
      <c r="G1261" s="593"/>
    </row>
    <row r="1262" spans="1:7">
      <c r="A1262" s="584"/>
      <c r="B1262" s="585"/>
      <c r="C1262" s="586"/>
      <c r="D1262" s="587"/>
      <c r="E1262" s="591"/>
      <c r="G1262" s="593"/>
    </row>
    <row r="1263" spans="1:7">
      <c r="A1263" s="584"/>
      <c r="B1263" s="585"/>
      <c r="C1263" s="586"/>
      <c r="D1263" s="587"/>
      <c r="E1263" s="591"/>
      <c r="G1263" s="593"/>
    </row>
    <row r="1264" spans="1:7">
      <c r="A1264" s="584"/>
      <c r="B1264" s="585"/>
      <c r="C1264" s="586"/>
      <c r="D1264" s="587"/>
      <c r="E1264" s="591"/>
      <c r="G1264" s="593"/>
    </row>
    <row r="1265" spans="1:7">
      <c r="A1265" s="584"/>
      <c r="B1265" s="585"/>
      <c r="C1265" s="586"/>
      <c r="D1265" s="587"/>
      <c r="E1265" s="591"/>
      <c r="G1265" s="593"/>
    </row>
    <row r="1266" spans="1:7">
      <c r="A1266" s="584"/>
      <c r="B1266" s="585"/>
      <c r="C1266" s="586"/>
      <c r="D1266" s="587"/>
      <c r="E1266" s="591"/>
      <c r="G1266" s="593"/>
    </row>
    <row r="1267" spans="1:7">
      <c r="A1267" s="584"/>
      <c r="B1267" s="585"/>
      <c r="C1267" s="586"/>
      <c r="D1267" s="587"/>
      <c r="E1267" s="591"/>
      <c r="G1267" s="593"/>
    </row>
    <row r="1268" spans="1:7">
      <c r="A1268" s="584"/>
      <c r="B1268" s="585"/>
      <c r="C1268" s="586"/>
      <c r="D1268" s="587"/>
      <c r="E1268" s="591"/>
      <c r="G1268" s="593"/>
    </row>
    <row r="1269" spans="1:7">
      <c r="A1269" s="584"/>
      <c r="B1269" s="585"/>
      <c r="C1269" s="586"/>
      <c r="D1269" s="587"/>
      <c r="E1269" s="591"/>
      <c r="G1269" s="593"/>
    </row>
    <row r="1270" spans="1:7">
      <c r="A1270" s="584"/>
      <c r="B1270" s="585"/>
      <c r="C1270" s="586"/>
      <c r="D1270" s="587"/>
      <c r="E1270" s="591"/>
      <c r="G1270" s="593"/>
    </row>
    <row r="1271" spans="1:7">
      <c r="A1271" s="584"/>
      <c r="B1271" s="585"/>
      <c r="C1271" s="586"/>
      <c r="D1271" s="587"/>
      <c r="E1271" s="591"/>
      <c r="G1271" s="593"/>
    </row>
    <row r="1272" spans="1:7">
      <c r="A1272" s="584"/>
      <c r="B1272" s="585"/>
      <c r="C1272" s="586"/>
      <c r="D1272" s="587"/>
      <c r="E1272" s="591"/>
      <c r="G1272" s="593"/>
    </row>
    <row r="1273" spans="1:7">
      <c r="A1273" s="584"/>
      <c r="B1273" s="585"/>
      <c r="C1273" s="586"/>
      <c r="D1273" s="587"/>
      <c r="E1273" s="591"/>
      <c r="G1273" s="593"/>
    </row>
    <row r="1274" spans="1:7">
      <c r="A1274" s="584"/>
      <c r="B1274" s="585"/>
      <c r="C1274" s="586"/>
      <c r="D1274" s="587"/>
      <c r="E1274" s="591"/>
      <c r="G1274" s="593"/>
    </row>
    <row r="1275" spans="1:7">
      <c r="A1275" s="584"/>
      <c r="B1275" s="585"/>
      <c r="C1275" s="586"/>
      <c r="D1275" s="587"/>
      <c r="E1275" s="591"/>
      <c r="G1275" s="593"/>
    </row>
    <row r="1276" spans="1:7">
      <c r="A1276" s="584"/>
      <c r="B1276" s="585"/>
      <c r="C1276" s="586"/>
      <c r="D1276" s="587"/>
      <c r="E1276" s="591"/>
      <c r="G1276" s="593"/>
    </row>
    <row r="1277" spans="1:7">
      <c r="A1277" s="584"/>
      <c r="B1277" s="585"/>
      <c r="C1277" s="586"/>
      <c r="D1277" s="587"/>
      <c r="E1277" s="591"/>
      <c r="G1277" s="593"/>
    </row>
    <row r="1278" spans="1:7">
      <c r="A1278" s="584"/>
      <c r="B1278" s="585"/>
      <c r="C1278" s="586"/>
      <c r="D1278" s="587"/>
      <c r="E1278" s="591"/>
      <c r="G1278" s="593"/>
    </row>
    <row r="1279" spans="1:7">
      <c r="A1279" s="584"/>
      <c r="B1279" s="585"/>
      <c r="C1279" s="586"/>
      <c r="D1279" s="587"/>
      <c r="E1279" s="591"/>
      <c r="G1279" s="593"/>
    </row>
    <row r="1280" spans="1:7">
      <c r="A1280" s="584"/>
      <c r="B1280" s="585"/>
      <c r="C1280" s="586"/>
      <c r="D1280" s="587"/>
      <c r="E1280" s="591"/>
      <c r="G1280" s="593"/>
    </row>
    <row r="1281" spans="1:7">
      <c r="A1281" s="584"/>
      <c r="B1281" s="585"/>
      <c r="C1281" s="586"/>
      <c r="D1281" s="587"/>
      <c r="E1281" s="591"/>
      <c r="G1281" s="593"/>
    </row>
    <row r="1282" spans="1:7">
      <c r="A1282" s="584"/>
      <c r="B1282" s="585"/>
      <c r="C1282" s="586"/>
      <c r="D1282" s="587"/>
      <c r="E1282" s="591"/>
      <c r="G1282" s="593"/>
    </row>
    <row r="1283" spans="1:7">
      <c r="A1283" s="584"/>
      <c r="B1283" s="585"/>
      <c r="C1283" s="586"/>
      <c r="D1283" s="587"/>
      <c r="E1283" s="591"/>
      <c r="G1283" s="593"/>
    </row>
    <row r="1284" spans="1:7">
      <c r="A1284" s="584"/>
      <c r="B1284" s="585"/>
      <c r="C1284" s="586"/>
      <c r="D1284" s="587"/>
      <c r="E1284" s="591"/>
      <c r="G1284" s="593"/>
    </row>
    <row r="1285" spans="1:7">
      <c r="A1285" s="584"/>
      <c r="B1285" s="585"/>
      <c r="C1285" s="586"/>
      <c r="D1285" s="587"/>
      <c r="E1285" s="591"/>
      <c r="G1285" s="593"/>
    </row>
    <row r="1286" spans="1:7">
      <c r="A1286" s="584"/>
      <c r="B1286" s="585"/>
      <c r="C1286" s="586"/>
      <c r="D1286" s="587"/>
      <c r="E1286" s="591"/>
      <c r="G1286" s="593"/>
    </row>
    <row r="1287" spans="1:7">
      <c r="A1287" s="584"/>
      <c r="B1287" s="585"/>
      <c r="C1287" s="586"/>
      <c r="D1287" s="587"/>
      <c r="E1287" s="591"/>
      <c r="G1287" s="593"/>
    </row>
    <row r="1288" spans="1:7">
      <c r="A1288" s="584"/>
      <c r="B1288" s="585"/>
      <c r="C1288" s="586"/>
      <c r="D1288" s="587"/>
      <c r="E1288" s="591"/>
      <c r="G1288" s="593"/>
    </row>
    <row r="1289" spans="1:7">
      <c r="A1289" s="584"/>
      <c r="B1289" s="585"/>
      <c r="C1289" s="586"/>
      <c r="D1289" s="587"/>
      <c r="E1289" s="591"/>
      <c r="G1289" s="593"/>
    </row>
    <row r="1290" spans="1:7">
      <c r="A1290" s="584"/>
      <c r="B1290" s="585"/>
      <c r="C1290" s="586"/>
      <c r="D1290" s="587"/>
      <c r="E1290" s="591"/>
      <c r="G1290" s="593"/>
    </row>
    <row r="1291" spans="1:7">
      <c r="A1291" s="584"/>
      <c r="B1291" s="585"/>
      <c r="C1291" s="586"/>
      <c r="D1291" s="587"/>
      <c r="E1291" s="591"/>
      <c r="G1291" s="593"/>
    </row>
    <row r="1292" spans="1:7">
      <c r="A1292" s="584"/>
      <c r="B1292" s="585"/>
      <c r="C1292" s="586"/>
      <c r="D1292" s="587"/>
      <c r="E1292" s="591"/>
      <c r="G1292" s="593"/>
    </row>
    <row r="1293" spans="1:7">
      <c r="A1293" s="584"/>
      <c r="B1293" s="585"/>
      <c r="C1293" s="586"/>
      <c r="D1293" s="587"/>
      <c r="E1293" s="591"/>
      <c r="G1293" s="593"/>
    </row>
    <row r="1294" spans="1:7">
      <c r="A1294" s="584"/>
      <c r="B1294" s="585"/>
      <c r="C1294" s="586"/>
      <c r="D1294" s="587"/>
      <c r="E1294" s="591"/>
      <c r="G1294" s="593"/>
    </row>
    <row r="1295" spans="1:7">
      <c r="A1295" s="584"/>
      <c r="B1295" s="585"/>
      <c r="C1295" s="586"/>
      <c r="D1295" s="587"/>
      <c r="E1295" s="591"/>
      <c r="G1295" s="593"/>
    </row>
    <row r="1296" spans="1:7">
      <c r="A1296" s="584"/>
      <c r="B1296" s="585"/>
      <c r="C1296" s="586"/>
      <c r="D1296" s="587"/>
      <c r="E1296" s="591"/>
      <c r="G1296" s="593"/>
    </row>
    <row r="1297" spans="1:7">
      <c r="A1297" s="584"/>
      <c r="B1297" s="585"/>
      <c r="C1297" s="586"/>
      <c r="D1297" s="587"/>
      <c r="E1297" s="591"/>
      <c r="G1297" s="593"/>
    </row>
    <row r="1298" spans="1:7">
      <c r="A1298" s="584"/>
      <c r="B1298" s="585"/>
      <c r="C1298" s="586"/>
      <c r="D1298" s="587"/>
      <c r="E1298" s="591"/>
      <c r="G1298" s="593"/>
    </row>
    <row r="1299" spans="1:7">
      <c r="A1299" s="584"/>
      <c r="B1299" s="585"/>
      <c r="C1299" s="586"/>
      <c r="D1299" s="587"/>
      <c r="E1299" s="591"/>
      <c r="G1299" s="593"/>
    </row>
    <row r="1300" spans="1:7">
      <c r="A1300" s="584"/>
      <c r="B1300" s="585"/>
      <c r="C1300" s="586"/>
      <c r="D1300" s="587"/>
      <c r="E1300" s="591"/>
      <c r="G1300" s="593"/>
    </row>
    <row r="1301" spans="1:7">
      <c r="A1301" s="584"/>
      <c r="B1301" s="585"/>
      <c r="C1301" s="586"/>
      <c r="D1301" s="587"/>
      <c r="E1301" s="591"/>
      <c r="G1301" s="593"/>
    </row>
    <row r="1302" spans="1:7">
      <c r="A1302" s="584"/>
      <c r="B1302" s="585"/>
      <c r="C1302" s="586"/>
      <c r="D1302" s="587"/>
      <c r="E1302" s="591"/>
      <c r="G1302" s="593"/>
    </row>
    <row r="1303" spans="1:7">
      <c r="A1303" s="584"/>
      <c r="B1303" s="585"/>
      <c r="C1303" s="586"/>
      <c r="D1303" s="587"/>
      <c r="E1303" s="591"/>
      <c r="G1303" s="593"/>
    </row>
    <row r="1304" spans="1:7">
      <c r="A1304" s="584"/>
      <c r="B1304" s="585"/>
      <c r="C1304" s="586"/>
      <c r="D1304" s="587"/>
      <c r="E1304" s="591"/>
      <c r="G1304" s="593"/>
    </row>
    <row r="1305" spans="1:7">
      <c r="A1305" s="584"/>
      <c r="B1305" s="585"/>
      <c r="C1305" s="586"/>
      <c r="D1305" s="587"/>
      <c r="E1305" s="591"/>
      <c r="G1305" s="593"/>
    </row>
    <row r="1306" spans="1:7">
      <c r="A1306" s="584"/>
      <c r="B1306" s="585"/>
      <c r="C1306" s="586"/>
      <c r="D1306" s="587"/>
      <c r="E1306" s="591"/>
      <c r="G1306" s="593"/>
    </row>
    <row r="1307" spans="1:7">
      <c r="A1307" s="584"/>
      <c r="B1307" s="585"/>
      <c r="C1307" s="586"/>
      <c r="D1307" s="587"/>
      <c r="E1307" s="591"/>
      <c r="G1307" s="593"/>
    </row>
    <row r="1308" spans="1:7">
      <c r="A1308" s="584"/>
      <c r="B1308" s="585"/>
      <c r="C1308" s="586"/>
      <c r="D1308" s="587"/>
      <c r="E1308" s="591"/>
      <c r="G1308" s="593"/>
    </row>
    <row r="1309" spans="1:7">
      <c r="A1309" s="584"/>
      <c r="B1309" s="585"/>
      <c r="C1309" s="586"/>
      <c r="D1309" s="587"/>
      <c r="E1309" s="591"/>
      <c r="G1309" s="593"/>
    </row>
    <row r="1310" spans="1:7">
      <c r="A1310" s="584"/>
      <c r="B1310" s="585"/>
      <c r="C1310" s="586"/>
      <c r="D1310" s="587"/>
      <c r="E1310" s="591"/>
      <c r="G1310" s="593"/>
    </row>
    <row r="1311" spans="1:7">
      <c r="A1311" s="584"/>
      <c r="B1311" s="585"/>
      <c r="C1311" s="586"/>
      <c r="D1311" s="587"/>
      <c r="E1311" s="591"/>
      <c r="G1311" s="593"/>
    </row>
    <row r="1312" spans="1:7">
      <c r="A1312" s="584"/>
      <c r="B1312" s="585"/>
      <c r="C1312" s="586"/>
      <c r="D1312" s="587"/>
      <c r="E1312" s="591"/>
      <c r="G1312" s="593"/>
    </row>
    <row r="1313" spans="1:7">
      <c r="A1313" s="584"/>
      <c r="B1313" s="585"/>
      <c r="C1313" s="586"/>
      <c r="D1313" s="587"/>
      <c r="E1313" s="591"/>
      <c r="G1313" s="593"/>
    </row>
    <row r="1314" spans="1:7">
      <c r="A1314" s="584"/>
      <c r="B1314" s="585"/>
      <c r="C1314" s="586"/>
      <c r="D1314" s="587"/>
      <c r="E1314" s="591"/>
      <c r="G1314" s="593"/>
    </row>
    <row r="1315" spans="1:7">
      <c r="A1315" s="584"/>
      <c r="B1315" s="585"/>
      <c r="C1315" s="586"/>
      <c r="D1315" s="587"/>
      <c r="E1315" s="591"/>
      <c r="G1315" s="593"/>
    </row>
    <row r="1316" spans="1:7">
      <c r="A1316" s="584"/>
      <c r="B1316" s="585"/>
      <c r="C1316" s="586"/>
      <c r="D1316" s="587"/>
      <c r="E1316" s="591"/>
      <c r="G1316" s="593"/>
    </row>
    <row r="1317" spans="1:7">
      <c r="A1317" s="584"/>
      <c r="B1317" s="585"/>
      <c r="C1317" s="586"/>
      <c r="D1317" s="587"/>
      <c r="E1317" s="591"/>
      <c r="G1317" s="593"/>
    </row>
    <row r="1318" spans="1:7">
      <c r="A1318" s="584"/>
      <c r="B1318" s="585"/>
      <c r="C1318" s="586"/>
      <c r="D1318" s="587"/>
      <c r="E1318" s="591"/>
      <c r="G1318" s="593"/>
    </row>
    <row r="1319" spans="1:7">
      <c r="A1319" s="584"/>
      <c r="B1319" s="585"/>
      <c r="C1319" s="586"/>
      <c r="D1319" s="587"/>
      <c r="E1319" s="591"/>
      <c r="G1319" s="593"/>
    </row>
    <row r="1320" spans="1:7">
      <c r="A1320" s="584"/>
      <c r="B1320" s="585"/>
      <c r="C1320" s="586"/>
      <c r="D1320" s="587"/>
      <c r="E1320" s="591"/>
      <c r="G1320" s="593"/>
    </row>
    <row r="1321" spans="1:7">
      <c r="A1321" s="584"/>
      <c r="B1321" s="585"/>
      <c r="C1321" s="586"/>
      <c r="D1321" s="587"/>
      <c r="E1321" s="591"/>
      <c r="G1321" s="593"/>
    </row>
    <row r="1322" spans="1:7">
      <c r="A1322" s="584"/>
      <c r="B1322" s="585"/>
      <c r="C1322" s="586"/>
      <c r="D1322" s="587"/>
      <c r="E1322" s="591"/>
      <c r="G1322" s="593"/>
    </row>
    <row r="1323" spans="1:7">
      <c r="A1323" s="584"/>
      <c r="B1323" s="585"/>
      <c r="C1323" s="586"/>
      <c r="D1323" s="587"/>
      <c r="E1323" s="591"/>
      <c r="G1323" s="593"/>
    </row>
    <row r="1324" spans="1:7">
      <c r="A1324" s="584"/>
      <c r="B1324" s="585"/>
      <c r="C1324" s="586"/>
      <c r="D1324" s="587"/>
      <c r="E1324" s="591"/>
      <c r="G1324" s="593"/>
    </row>
    <row r="1325" spans="1:7">
      <c r="A1325" s="584"/>
      <c r="B1325" s="585"/>
      <c r="C1325" s="586"/>
      <c r="D1325" s="587"/>
      <c r="E1325" s="591"/>
      <c r="G1325" s="593"/>
    </row>
    <row r="1326" spans="1:7">
      <c r="A1326" s="584"/>
      <c r="B1326" s="585"/>
      <c r="C1326" s="586"/>
      <c r="D1326" s="587"/>
      <c r="E1326" s="591"/>
      <c r="G1326" s="593"/>
    </row>
    <row r="1327" spans="1:7">
      <c r="A1327" s="584"/>
      <c r="B1327" s="585"/>
      <c r="C1327" s="586"/>
      <c r="D1327" s="587"/>
      <c r="E1327" s="591"/>
      <c r="G1327" s="593"/>
    </row>
    <row r="1328" spans="1:7">
      <c r="A1328" s="584"/>
      <c r="B1328" s="585"/>
      <c r="C1328" s="586"/>
      <c r="D1328" s="587"/>
      <c r="E1328" s="591"/>
      <c r="G1328" s="593"/>
    </row>
    <row r="1329" spans="1:7">
      <c r="A1329" s="584"/>
      <c r="B1329" s="585"/>
      <c r="C1329" s="586"/>
      <c r="D1329" s="587"/>
      <c r="E1329" s="591"/>
      <c r="G1329" s="593"/>
    </row>
    <row r="1330" spans="1:7">
      <c r="A1330" s="584"/>
      <c r="B1330" s="585"/>
      <c r="C1330" s="586"/>
      <c r="D1330" s="587"/>
      <c r="E1330" s="591"/>
      <c r="G1330" s="593"/>
    </row>
    <row r="1331" spans="1:7">
      <c r="A1331" s="584"/>
      <c r="B1331" s="585"/>
      <c r="C1331" s="586"/>
      <c r="D1331" s="587"/>
      <c r="E1331" s="591"/>
      <c r="G1331" s="593"/>
    </row>
    <row r="1332" spans="1:7">
      <c r="A1332" s="584"/>
      <c r="B1332" s="585"/>
      <c r="C1332" s="586"/>
      <c r="D1332" s="587"/>
      <c r="E1332" s="591"/>
      <c r="G1332" s="593"/>
    </row>
    <row r="1333" spans="1:7">
      <c r="A1333" s="584"/>
      <c r="B1333" s="585"/>
      <c r="C1333" s="586"/>
      <c r="D1333" s="587"/>
      <c r="E1333" s="591"/>
      <c r="G1333" s="593"/>
    </row>
    <row r="1334" spans="1:7">
      <c r="A1334" s="584"/>
      <c r="B1334" s="585"/>
      <c r="C1334" s="586"/>
      <c r="D1334" s="587"/>
      <c r="E1334" s="591"/>
      <c r="G1334" s="593"/>
    </row>
    <row r="1335" spans="1:7">
      <c r="A1335" s="584"/>
      <c r="B1335" s="585"/>
      <c r="C1335" s="586"/>
      <c r="D1335" s="587"/>
      <c r="E1335" s="591"/>
      <c r="G1335" s="593"/>
    </row>
    <row r="1336" spans="1:7">
      <c r="A1336" s="584"/>
      <c r="B1336" s="585"/>
      <c r="C1336" s="586"/>
      <c r="D1336" s="587"/>
      <c r="E1336" s="591"/>
      <c r="G1336" s="593"/>
    </row>
    <row r="1337" spans="1:7">
      <c r="A1337" s="584"/>
      <c r="B1337" s="585"/>
      <c r="C1337" s="586"/>
      <c r="D1337" s="587"/>
      <c r="E1337" s="591"/>
      <c r="G1337" s="593"/>
    </row>
    <row r="1338" spans="1:7">
      <c r="A1338" s="584"/>
      <c r="B1338" s="585"/>
      <c r="C1338" s="586"/>
      <c r="D1338" s="587"/>
      <c r="E1338" s="591"/>
      <c r="G1338" s="593"/>
    </row>
    <row r="1339" spans="1:7">
      <c r="A1339" s="584"/>
      <c r="B1339" s="585"/>
      <c r="C1339" s="586"/>
      <c r="D1339" s="587"/>
      <c r="E1339" s="591"/>
      <c r="G1339" s="593"/>
    </row>
    <row r="1340" spans="1:7">
      <c r="A1340" s="584"/>
      <c r="B1340" s="585"/>
      <c r="C1340" s="586"/>
      <c r="D1340" s="587"/>
      <c r="E1340" s="591"/>
      <c r="G1340" s="593"/>
    </row>
    <row r="1341" spans="1:7">
      <c r="A1341" s="584"/>
      <c r="B1341" s="585"/>
      <c r="C1341" s="586"/>
      <c r="D1341" s="587"/>
      <c r="E1341" s="591"/>
      <c r="G1341" s="593"/>
    </row>
    <row r="1342" spans="1:7">
      <c r="A1342" s="584"/>
      <c r="B1342" s="585"/>
      <c r="C1342" s="586"/>
      <c r="D1342" s="587"/>
      <c r="E1342" s="591"/>
      <c r="G1342" s="593"/>
    </row>
    <row r="1343" spans="1:7">
      <c r="A1343" s="584"/>
      <c r="B1343" s="585"/>
      <c r="C1343" s="586"/>
      <c r="D1343" s="587"/>
      <c r="E1343" s="591"/>
      <c r="G1343" s="593"/>
    </row>
    <row r="1344" spans="1:7">
      <c r="A1344" s="584"/>
      <c r="B1344" s="585"/>
      <c r="C1344" s="586"/>
      <c r="D1344" s="587"/>
      <c r="E1344" s="591"/>
      <c r="G1344" s="593"/>
    </row>
    <row r="1345" spans="1:7">
      <c r="A1345" s="584"/>
      <c r="B1345" s="585"/>
      <c r="C1345" s="586"/>
      <c r="D1345" s="587"/>
      <c r="E1345" s="591"/>
      <c r="G1345" s="593"/>
    </row>
    <row r="1346" spans="1:7">
      <c r="A1346" s="584"/>
      <c r="B1346" s="585"/>
      <c r="C1346" s="586"/>
      <c r="D1346" s="587"/>
      <c r="E1346" s="591"/>
      <c r="G1346" s="593"/>
    </row>
    <row r="1347" spans="1:7">
      <c r="A1347" s="584"/>
      <c r="B1347" s="585"/>
      <c r="C1347" s="586"/>
      <c r="D1347" s="587"/>
      <c r="E1347" s="591"/>
      <c r="G1347" s="593"/>
    </row>
    <row r="1348" spans="1:7">
      <c r="A1348" s="584"/>
      <c r="B1348" s="585"/>
      <c r="C1348" s="586"/>
      <c r="D1348" s="587"/>
      <c r="E1348" s="591"/>
      <c r="G1348" s="593"/>
    </row>
    <row r="1349" spans="1:7">
      <c r="A1349" s="584"/>
      <c r="B1349" s="585"/>
      <c r="C1349" s="586"/>
      <c r="D1349" s="587"/>
      <c r="E1349" s="591"/>
      <c r="G1349" s="593"/>
    </row>
    <row r="1350" spans="1:7">
      <c r="A1350" s="584"/>
      <c r="B1350" s="585"/>
      <c r="C1350" s="586"/>
      <c r="D1350" s="587"/>
      <c r="E1350" s="591"/>
      <c r="G1350" s="593"/>
    </row>
    <row r="1351" spans="1:7">
      <c r="A1351" s="584"/>
      <c r="B1351" s="585"/>
      <c r="C1351" s="586"/>
      <c r="D1351" s="587"/>
      <c r="E1351" s="591"/>
      <c r="G1351" s="593"/>
    </row>
    <row r="1352" spans="1:7">
      <c r="A1352" s="584"/>
      <c r="B1352" s="585"/>
      <c r="C1352" s="586"/>
      <c r="D1352" s="587"/>
      <c r="E1352" s="591"/>
      <c r="G1352" s="593"/>
    </row>
    <row r="1353" spans="1:7">
      <c r="A1353" s="584"/>
      <c r="B1353" s="585"/>
      <c r="C1353" s="586"/>
      <c r="D1353" s="587"/>
      <c r="E1353" s="591"/>
      <c r="G1353" s="593"/>
    </row>
    <row r="1354" spans="1:7">
      <c r="A1354" s="584"/>
      <c r="B1354" s="585"/>
      <c r="C1354" s="586"/>
      <c r="D1354" s="587"/>
      <c r="E1354" s="591"/>
      <c r="G1354" s="593"/>
    </row>
    <row r="1355" spans="1:7">
      <c r="A1355" s="584"/>
      <c r="B1355" s="585"/>
      <c r="C1355" s="586"/>
      <c r="D1355" s="587"/>
      <c r="E1355" s="591"/>
      <c r="G1355" s="593"/>
    </row>
    <row r="1356" spans="1:7">
      <c r="A1356" s="584"/>
      <c r="B1356" s="585"/>
      <c r="C1356" s="586"/>
      <c r="D1356" s="587"/>
      <c r="E1356" s="591"/>
      <c r="G1356" s="593"/>
    </row>
    <row r="1357" spans="1:7">
      <c r="A1357" s="584"/>
      <c r="B1357" s="585"/>
      <c r="C1357" s="586"/>
      <c r="D1357" s="587"/>
      <c r="E1357" s="591"/>
      <c r="G1357" s="593"/>
    </row>
    <row r="1358" spans="1:7">
      <c r="A1358" s="584"/>
      <c r="B1358" s="585"/>
      <c r="C1358" s="586"/>
      <c r="D1358" s="587"/>
      <c r="E1358" s="591"/>
      <c r="G1358" s="593"/>
    </row>
    <row r="1359" spans="1:7">
      <c r="A1359" s="584"/>
      <c r="B1359" s="585"/>
      <c r="C1359" s="586"/>
      <c r="D1359" s="587"/>
      <c r="E1359" s="591"/>
      <c r="G1359" s="593"/>
    </row>
    <row r="1360" spans="1:7">
      <c r="A1360" s="584"/>
      <c r="B1360" s="585"/>
      <c r="C1360" s="586"/>
      <c r="D1360" s="587"/>
      <c r="E1360" s="591"/>
      <c r="G1360" s="593"/>
    </row>
    <row r="1361" spans="1:7">
      <c r="A1361" s="584"/>
      <c r="B1361" s="585"/>
      <c r="C1361" s="586"/>
      <c r="D1361" s="587"/>
      <c r="E1361" s="591"/>
      <c r="G1361" s="593"/>
    </row>
    <row r="1362" spans="1:7">
      <c r="A1362" s="584"/>
      <c r="B1362" s="585"/>
      <c r="C1362" s="586"/>
      <c r="D1362" s="587"/>
      <c r="E1362" s="591"/>
      <c r="G1362" s="593"/>
    </row>
    <row r="1363" spans="1:7">
      <c r="A1363" s="584"/>
      <c r="B1363" s="585"/>
      <c r="C1363" s="586"/>
      <c r="D1363" s="587"/>
      <c r="E1363" s="591"/>
      <c r="G1363" s="593"/>
    </row>
    <row r="1364" spans="1:7">
      <c r="A1364" s="584"/>
      <c r="B1364" s="585"/>
      <c r="C1364" s="586"/>
      <c r="D1364" s="587"/>
      <c r="E1364" s="591"/>
      <c r="G1364" s="593"/>
    </row>
    <row r="1365" spans="1:7">
      <c r="A1365" s="584"/>
      <c r="B1365" s="585"/>
      <c r="C1365" s="586"/>
      <c r="D1365" s="587"/>
      <c r="E1365" s="591"/>
      <c r="G1365" s="593"/>
    </row>
    <row r="1366" spans="1:7">
      <c r="A1366" s="584"/>
      <c r="B1366" s="585"/>
      <c r="C1366" s="586"/>
      <c r="D1366" s="587"/>
      <c r="E1366" s="591"/>
      <c r="G1366" s="593"/>
    </row>
    <row r="1367" spans="1:7">
      <c r="A1367" s="584"/>
      <c r="B1367" s="585"/>
      <c r="C1367" s="586"/>
      <c r="D1367" s="587"/>
      <c r="E1367" s="591"/>
      <c r="G1367" s="593"/>
    </row>
    <row r="1368" spans="1:7">
      <c r="A1368" s="584"/>
      <c r="B1368" s="585"/>
      <c r="C1368" s="586"/>
      <c r="D1368" s="587"/>
      <c r="E1368" s="591"/>
      <c r="G1368" s="593"/>
    </row>
    <row r="1369" spans="1:7">
      <c r="A1369" s="584"/>
      <c r="B1369" s="585"/>
      <c r="C1369" s="586"/>
      <c r="D1369" s="587"/>
      <c r="E1369" s="591"/>
      <c r="G1369" s="593"/>
    </row>
    <row r="1370" spans="1:7">
      <c r="A1370" s="584"/>
      <c r="B1370" s="585"/>
      <c r="C1370" s="586"/>
      <c r="D1370" s="587"/>
      <c r="E1370" s="591"/>
      <c r="G1370" s="593"/>
    </row>
    <row r="1371" spans="1:7">
      <c r="A1371" s="584"/>
      <c r="B1371" s="585"/>
      <c r="C1371" s="586"/>
      <c r="D1371" s="587"/>
      <c r="E1371" s="591"/>
      <c r="G1371" s="593"/>
    </row>
    <row r="1372" spans="1:7">
      <c r="A1372" s="584"/>
      <c r="B1372" s="585"/>
      <c r="C1372" s="586"/>
      <c r="D1372" s="587"/>
      <c r="E1372" s="591"/>
      <c r="G1372" s="593"/>
    </row>
    <row r="1373" spans="1:7">
      <c r="A1373" s="584"/>
      <c r="B1373" s="585"/>
      <c r="C1373" s="586"/>
      <c r="D1373" s="587"/>
      <c r="E1373" s="591"/>
      <c r="G1373" s="593"/>
    </row>
    <row r="1374" spans="1:7">
      <c r="A1374" s="584"/>
      <c r="B1374" s="585"/>
      <c r="C1374" s="586"/>
      <c r="D1374" s="587"/>
      <c r="E1374" s="591"/>
      <c r="G1374" s="593"/>
    </row>
    <row r="1375" spans="1:7">
      <c r="A1375" s="584"/>
      <c r="B1375" s="585"/>
      <c r="C1375" s="586"/>
      <c r="D1375" s="587"/>
      <c r="E1375" s="591"/>
      <c r="G1375" s="593"/>
    </row>
    <row r="1376" spans="1:7">
      <c r="A1376" s="584"/>
      <c r="B1376" s="585"/>
      <c r="C1376" s="586"/>
      <c r="D1376" s="587"/>
      <c r="E1376" s="591"/>
      <c r="G1376" s="593"/>
    </row>
    <row r="1377" spans="1:7">
      <c r="A1377" s="584"/>
      <c r="B1377" s="585"/>
      <c r="C1377" s="586"/>
      <c r="D1377" s="587"/>
      <c r="E1377" s="591"/>
      <c r="G1377" s="593"/>
    </row>
    <row r="1378" spans="1:7">
      <c r="A1378" s="584"/>
      <c r="B1378" s="585"/>
      <c r="C1378" s="586"/>
      <c r="D1378" s="587"/>
      <c r="E1378" s="591"/>
      <c r="G1378" s="593"/>
    </row>
    <row r="1379" spans="1:7">
      <c r="A1379" s="584"/>
      <c r="B1379" s="585"/>
      <c r="C1379" s="586"/>
      <c r="D1379" s="587"/>
      <c r="E1379" s="591"/>
      <c r="G1379" s="593"/>
    </row>
    <row r="1380" spans="1:7">
      <c r="A1380" s="584"/>
      <c r="B1380" s="585"/>
      <c r="C1380" s="586"/>
      <c r="D1380" s="587"/>
      <c r="E1380" s="591"/>
      <c r="G1380" s="593"/>
    </row>
    <row r="1381" spans="1:7">
      <c r="A1381" s="584"/>
      <c r="B1381" s="585"/>
      <c r="C1381" s="586"/>
      <c r="D1381" s="587"/>
      <c r="E1381" s="591"/>
      <c r="G1381" s="593"/>
    </row>
    <row r="1382" spans="1:7">
      <c r="A1382" s="584"/>
      <c r="B1382" s="585"/>
      <c r="C1382" s="586"/>
      <c r="D1382" s="587"/>
      <c r="E1382" s="591"/>
      <c r="G1382" s="593"/>
    </row>
    <row r="1383" spans="1:7">
      <c r="A1383" s="584"/>
      <c r="B1383" s="585"/>
      <c r="C1383" s="586"/>
      <c r="D1383" s="587"/>
      <c r="E1383" s="591"/>
      <c r="G1383" s="593"/>
    </row>
    <row r="1384" spans="1:7">
      <c r="A1384" s="584"/>
      <c r="B1384" s="585"/>
      <c r="C1384" s="586"/>
      <c r="D1384" s="587"/>
      <c r="E1384" s="591"/>
      <c r="G1384" s="593"/>
    </row>
    <row r="1385" spans="1:7">
      <c r="A1385" s="584"/>
      <c r="B1385" s="585"/>
      <c r="C1385" s="586"/>
      <c r="D1385" s="587"/>
      <c r="E1385" s="591"/>
      <c r="G1385" s="593"/>
    </row>
    <row r="1386" spans="1:7">
      <c r="A1386" s="584"/>
      <c r="B1386" s="585"/>
      <c r="C1386" s="586"/>
      <c r="D1386" s="587"/>
      <c r="E1386" s="591"/>
      <c r="G1386" s="593"/>
    </row>
    <row r="1387" spans="1:7">
      <c r="A1387" s="584"/>
      <c r="B1387" s="585"/>
      <c r="C1387" s="586"/>
      <c r="D1387" s="587"/>
      <c r="E1387" s="591"/>
      <c r="G1387" s="593"/>
    </row>
    <row r="1388" spans="1:7">
      <c r="A1388" s="584"/>
      <c r="B1388" s="585"/>
      <c r="C1388" s="586"/>
      <c r="D1388" s="587"/>
      <c r="E1388" s="591"/>
      <c r="G1388" s="593"/>
    </row>
    <row r="1389" spans="1:7">
      <c r="A1389" s="584"/>
      <c r="B1389" s="585"/>
      <c r="C1389" s="586"/>
      <c r="D1389" s="587"/>
      <c r="E1389" s="591"/>
      <c r="G1389" s="593"/>
    </row>
    <row r="1390" spans="1:7">
      <c r="A1390" s="584"/>
      <c r="B1390" s="585"/>
      <c r="C1390" s="586"/>
      <c r="D1390" s="587"/>
      <c r="E1390" s="591"/>
      <c r="G1390" s="593"/>
    </row>
    <row r="1391" spans="1:7">
      <c r="A1391" s="584"/>
      <c r="B1391" s="585"/>
      <c r="C1391" s="586"/>
      <c r="D1391" s="587"/>
      <c r="E1391" s="591"/>
      <c r="G1391" s="593"/>
    </row>
    <row r="1392" spans="1:7">
      <c r="A1392" s="584"/>
      <c r="B1392" s="585"/>
      <c r="C1392" s="586"/>
      <c r="D1392" s="587"/>
      <c r="E1392" s="591"/>
      <c r="G1392" s="593"/>
    </row>
    <row r="1393" spans="1:7">
      <c r="A1393" s="584"/>
      <c r="B1393" s="585"/>
      <c r="C1393" s="586"/>
      <c r="D1393" s="587"/>
      <c r="E1393" s="591"/>
      <c r="G1393" s="593"/>
    </row>
    <row r="1394" spans="1:7">
      <c r="A1394" s="584"/>
      <c r="B1394" s="585"/>
      <c r="C1394" s="586"/>
      <c r="D1394" s="587"/>
      <c r="E1394" s="591"/>
      <c r="G1394" s="593"/>
    </row>
    <row r="1395" spans="1:7">
      <c r="A1395" s="584"/>
      <c r="B1395" s="585"/>
      <c r="C1395" s="586"/>
      <c r="D1395" s="587"/>
      <c r="E1395" s="591"/>
      <c r="G1395" s="593"/>
    </row>
    <row r="1396" spans="1:7">
      <c r="A1396" s="584"/>
      <c r="B1396" s="585"/>
      <c r="C1396" s="586"/>
      <c r="D1396" s="587"/>
      <c r="E1396" s="591"/>
      <c r="G1396" s="593"/>
    </row>
    <row r="1397" spans="1:7">
      <c r="A1397" s="584"/>
      <c r="B1397" s="585"/>
      <c r="C1397" s="586"/>
      <c r="D1397" s="587"/>
      <c r="E1397" s="591"/>
      <c r="G1397" s="593"/>
    </row>
    <row r="1398" spans="1:7">
      <c r="A1398" s="584"/>
      <c r="B1398" s="585"/>
      <c r="C1398" s="586"/>
      <c r="D1398" s="587"/>
      <c r="E1398" s="591"/>
      <c r="G1398" s="593"/>
    </row>
    <row r="1399" spans="1:7">
      <c r="A1399" s="584"/>
      <c r="B1399" s="585"/>
      <c r="C1399" s="586"/>
      <c r="D1399" s="587"/>
      <c r="E1399" s="591"/>
      <c r="G1399" s="593"/>
    </row>
    <row r="1400" spans="1:7">
      <c r="A1400" s="584"/>
      <c r="B1400" s="585"/>
      <c r="C1400" s="586"/>
      <c r="D1400" s="587"/>
      <c r="E1400" s="591"/>
      <c r="G1400" s="593"/>
    </row>
    <row r="1401" spans="1:7">
      <c r="A1401" s="584"/>
      <c r="B1401" s="585"/>
      <c r="C1401" s="586"/>
      <c r="D1401" s="587"/>
      <c r="E1401" s="591"/>
      <c r="G1401" s="593"/>
    </row>
    <row r="1402" spans="1:7">
      <c r="A1402" s="584"/>
      <c r="B1402" s="585"/>
      <c r="C1402" s="586"/>
      <c r="D1402" s="587"/>
      <c r="E1402" s="591"/>
      <c r="G1402" s="593"/>
    </row>
    <row r="1403" spans="1:7">
      <c r="A1403" s="584"/>
      <c r="B1403" s="585"/>
      <c r="C1403" s="586"/>
      <c r="D1403" s="587"/>
      <c r="E1403" s="591"/>
      <c r="G1403" s="593"/>
    </row>
    <row r="1404" spans="1:7">
      <c r="A1404" s="584"/>
      <c r="B1404" s="585"/>
      <c r="C1404" s="586"/>
      <c r="D1404" s="587"/>
      <c r="E1404" s="591"/>
      <c r="G1404" s="593"/>
    </row>
    <row r="1405" spans="1:7">
      <c r="A1405" s="584"/>
      <c r="B1405" s="585"/>
      <c r="C1405" s="586"/>
      <c r="D1405" s="587"/>
      <c r="E1405" s="591"/>
      <c r="G1405" s="593"/>
    </row>
    <row r="1406" spans="1:7">
      <c r="A1406" s="584"/>
      <c r="B1406" s="585"/>
      <c r="C1406" s="586"/>
      <c r="D1406" s="587"/>
      <c r="E1406" s="591"/>
      <c r="G1406" s="593"/>
    </row>
    <row r="1407" spans="1:7">
      <c r="A1407" s="584"/>
      <c r="B1407" s="585"/>
      <c r="C1407" s="586"/>
      <c r="D1407" s="587"/>
      <c r="E1407" s="591"/>
      <c r="G1407" s="593"/>
    </row>
    <row r="1408" spans="1:7">
      <c r="A1408" s="584"/>
      <c r="B1408" s="585"/>
      <c r="C1408" s="586"/>
      <c r="D1408" s="587"/>
      <c r="E1408" s="591"/>
      <c r="G1408" s="593"/>
    </row>
    <row r="1409" spans="1:7">
      <c r="A1409" s="584"/>
      <c r="B1409" s="585"/>
      <c r="C1409" s="586"/>
      <c r="D1409" s="587"/>
      <c r="E1409" s="591"/>
      <c r="G1409" s="593"/>
    </row>
    <row r="1410" spans="1:7">
      <c r="A1410" s="584"/>
      <c r="B1410" s="585"/>
      <c r="C1410" s="586"/>
      <c r="D1410" s="587"/>
      <c r="E1410" s="591"/>
      <c r="G1410" s="593"/>
    </row>
    <row r="1411" spans="1:7">
      <c r="A1411" s="584"/>
      <c r="B1411" s="585"/>
      <c r="C1411" s="586"/>
      <c r="D1411" s="587"/>
      <c r="E1411" s="591"/>
      <c r="G1411" s="593"/>
    </row>
    <row r="1412" spans="1:7">
      <c r="A1412" s="584"/>
      <c r="B1412" s="585"/>
      <c r="C1412" s="586"/>
      <c r="D1412" s="587"/>
      <c r="E1412" s="591"/>
      <c r="G1412" s="593"/>
    </row>
    <row r="1413" spans="1:7">
      <c r="A1413" s="584"/>
      <c r="B1413" s="585"/>
      <c r="C1413" s="586"/>
      <c r="D1413" s="587"/>
      <c r="E1413" s="591"/>
      <c r="G1413" s="593"/>
    </row>
    <row r="1414" spans="1:7">
      <c r="A1414" s="584"/>
      <c r="B1414" s="585"/>
      <c r="C1414" s="586"/>
      <c r="D1414" s="587"/>
      <c r="E1414" s="591"/>
      <c r="G1414" s="593"/>
    </row>
    <row r="1415" spans="1:7">
      <c r="A1415" s="584"/>
      <c r="B1415" s="585"/>
      <c r="C1415" s="586"/>
      <c r="D1415" s="587"/>
      <c r="E1415" s="591"/>
      <c r="G1415" s="593"/>
    </row>
    <row r="1416" spans="1:7">
      <c r="A1416" s="584"/>
      <c r="B1416" s="585"/>
      <c r="C1416" s="586"/>
      <c r="D1416" s="587"/>
      <c r="E1416" s="591"/>
      <c r="G1416" s="593"/>
    </row>
    <row r="1417" spans="1:7">
      <c r="A1417" s="584"/>
      <c r="B1417" s="585"/>
      <c r="C1417" s="586"/>
      <c r="D1417" s="587"/>
      <c r="E1417" s="591"/>
      <c r="G1417" s="593"/>
    </row>
    <row r="1418" spans="1:7">
      <c r="A1418" s="584"/>
      <c r="B1418" s="585"/>
      <c r="C1418" s="586"/>
      <c r="D1418" s="587"/>
      <c r="E1418" s="591"/>
      <c r="G1418" s="593"/>
    </row>
    <row r="1419" spans="1:7">
      <c r="A1419" s="584"/>
      <c r="B1419" s="585"/>
      <c r="C1419" s="586"/>
      <c r="D1419" s="587"/>
      <c r="E1419" s="591"/>
      <c r="G1419" s="593"/>
    </row>
    <row r="1420" spans="1:7">
      <c r="A1420" s="584"/>
      <c r="B1420" s="585"/>
      <c r="C1420" s="586"/>
      <c r="D1420" s="587"/>
      <c r="E1420" s="591"/>
      <c r="G1420" s="593"/>
    </row>
    <row r="1421" spans="1:7">
      <c r="A1421" s="584"/>
      <c r="B1421" s="585"/>
      <c r="C1421" s="586"/>
      <c r="D1421" s="587"/>
      <c r="E1421" s="591"/>
      <c r="G1421" s="593"/>
    </row>
    <row r="1422" spans="1:7">
      <c r="A1422" s="584"/>
      <c r="B1422" s="585"/>
      <c r="C1422" s="586"/>
      <c r="D1422" s="587"/>
      <c r="E1422" s="591"/>
      <c r="G1422" s="593"/>
    </row>
    <row r="1423" spans="1:7">
      <c r="A1423" s="584"/>
      <c r="B1423" s="585"/>
      <c r="C1423" s="586"/>
      <c r="D1423" s="587"/>
      <c r="E1423" s="591"/>
      <c r="G1423" s="593"/>
    </row>
    <row r="1424" spans="1:7">
      <c r="A1424" s="584"/>
      <c r="B1424" s="585"/>
      <c r="C1424" s="586"/>
      <c r="D1424" s="587"/>
      <c r="E1424" s="591"/>
      <c r="G1424" s="593"/>
    </row>
    <row r="1425" spans="1:7">
      <c r="A1425" s="584"/>
      <c r="B1425" s="585"/>
      <c r="C1425" s="586"/>
      <c r="D1425" s="587"/>
      <c r="E1425" s="591"/>
      <c r="G1425" s="593"/>
    </row>
    <row r="1426" spans="1:7">
      <c r="A1426" s="584"/>
      <c r="B1426" s="585"/>
      <c r="C1426" s="586"/>
      <c r="D1426" s="587"/>
      <c r="E1426" s="591"/>
      <c r="G1426" s="593"/>
    </row>
    <row r="1427" spans="1:7">
      <c r="A1427" s="584"/>
      <c r="B1427" s="585"/>
      <c r="C1427" s="586"/>
      <c r="D1427" s="587"/>
      <c r="E1427" s="591"/>
      <c r="G1427" s="593"/>
    </row>
    <row r="1428" spans="1:7">
      <c r="A1428" s="584"/>
      <c r="B1428" s="585"/>
      <c r="C1428" s="586"/>
      <c r="D1428" s="587"/>
      <c r="E1428" s="591"/>
      <c r="G1428" s="593"/>
    </row>
    <row r="1429" spans="1:7">
      <c r="A1429" s="584"/>
      <c r="B1429" s="585"/>
      <c r="C1429" s="586"/>
      <c r="D1429" s="587"/>
      <c r="E1429" s="591"/>
      <c r="G1429" s="593"/>
    </row>
    <row r="1430" spans="1:7">
      <c r="A1430" s="584"/>
      <c r="B1430" s="585"/>
      <c r="C1430" s="586"/>
      <c r="D1430" s="587"/>
      <c r="E1430" s="591"/>
      <c r="G1430" s="593"/>
    </row>
    <row r="1431" spans="1:7">
      <c r="A1431" s="584"/>
      <c r="B1431" s="585"/>
      <c r="C1431" s="586"/>
      <c r="D1431" s="587"/>
      <c r="E1431" s="591"/>
      <c r="G1431" s="593"/>
    </row>
    <row r="1432" spans="1:7">
      <c r="A1432" s="584"/>
      <c r="B1432" s="585"/>
      <c r="C1432" s="586"/>
      <c r="D1432" s="587"/>
      <c r="E1432" s="591"/>
      <c r="G1432" s="593"/>
    </row>
    <row r="1433" spans="1:7">
      <c r="A1433" s="584"/>
      <c r="B1433" s="585"/>
      <c r="C1433" s="586"/>
      <c r="D1433" s="587"/>
      <c r="E1433" s="591"/>
      <c r="G1433" s="593"/>
    </row>
    <row r="1434" spans="1:7">
      <c r="A1434" s="584"/>
      <c r="B1434" s="585"/>
      <c r="C1434" s="586"/>
      <c r="D1434" s="587"/>
      <c r="E1434" s="591"/>
      <c r="G1434" s="593"/>
    </row>
    <row r="1435" spans="1:7">
      <c r="A1435" s="584"/>
      <c r="B1435" s="585"/>
      <c r="C1435" s="586"/>
      <c r="D1435" s="587"/>
      <c r="E1435" s="591"/>
      <c r="G1435" s="593"/>
    </row>
    <row r="1436" spans="1:7">
      <c r="A1436" s="584"/>
      <c r="B1436" s="585"/>
      <c r="C1436" s="586"/>
      <c r="D1436" s="587"/>
      <c r="E1436" s="591"/>
      <c r="G1436" s="593"/>
    </row>
    <row r="1437" spans="1:7">
      <c r="A1437" s="584"/>
      <c r="B1437" s="585"/>
      <c r="C1437" s="586"/>
      <c r="D1437" s="587"/>
      <c r="E1437" s="591"/>
      <c r="G1437" s="593"/>
    </row>
    <row r="1438" spans="1:7">
      <c r="A1438" s="584"/>
      <c r="B1438" s="585"/>
      <c r="C1438" s="586"/>
      <c r="D1438" s="587"/>
      <c r="E1438" s="591"/>
      <c r="G1438" s="593"/>
    </row>
    <row r="1439" spans="1:7">
      <c r="A1439" s="584"/>
      <c r="B1439" s="585"/>
      <c r="C1439" s="586"/>
      <c r="D1439" s="587"/>
      <c r="E1439" s="591"/>
      <c r="G1439" s="593"/>
    </row>
    <row r="1440" spans="1:7">
      <c r="A1440" s="584"/>
      <c r="B1440" s="585"/>
      <c r="C1440" s="586"/>
      <c r="D1440" s="587"/>
      <c r="E1440" s="591"/>
      <c r="G1440" s="593"/>
    </row>
    <row r="1441" spans="1:7">
      <c r="A1441" s="584"/>
      <c r="B1441" s="585"/>
      <c r="C1441" s="586"/>
      <c r="D1441" s="587"/>
      <c r="E1441" s="591"/>
      <c r="G1441" s="593"/>
    </row>
    <row r="1442" spans="1:7">
      <c r="A1442" s="584"/>
      <c r="B1442" s="585"/>
      <c r="C1442" s="586"/>
      <c r="D1442" s="587"/>
      <c r="E1442" s="591"/>
      <c r="G1442" s="593"/>
    </row>
    <row r="1443" spans="1:7">
      <c r="A1443" s="584"/>
      <c r="B1443" s="585"/>
      <c r="C1443" s="586"/>
      <c r="D1443" s="587"/>
      <c r="E1443" s="591"/>
      <c r="G1443" s="593"/>
    </row>
    <row r="1444" spans="1:7">
      <c r="A1444" s="584"/>
      <c r="B1444" s="585"/>
      <c r="C1444" s="586"/>
      <c r="D1444" s="587"/>
      <c r="E1444" s="591"/>
      <c r="G1444" s="593"/>
    </row>
    <row r="1445" spans="1:7">
      <c r="A1445" s="584"/>
      <c r="B1445" s="585"/>
      <c r="C1445" s="586"/>
      <c r="D1445" s="587"/>
      <c r="E1445" s="591"/>
      <c r="G1445" s="593"/>
    </row>
    <row r="1446" spans="1:7">
      <c r="A1446" s="584"/>
      <c r="B1446" s="585"/>
      <c r="C1446" s="586"/>
      <c r="D1446" s="587"/>
      <c r="E1446" s="591"/>
      <c r="G1446" s="593"/>
    </row>
    <row r="1447" spans="1:7">
      <c r="A1447" s="584"/>
      <c r="B1447" s="585"/>
      <c r="C1447" s="586"/>
      <c r="D1447" s="587"/>
      <c r="E1447" s="591"/>
      <c r="G1447" s="593"/>
    </row>
    <row r="1448" spans="1:7">
      <c r="A1448" s="584"/>
      <c r="B1448" s="585"/>
      <c r="C1448" s="586"/>
      <c r="D1448" s="587"/>
      <c r="E1448" s="591"/>
      <c r="G1448" s="593"/>
    </row>
    <row r="1449" spans="1:7">
      <c r="A1449" s="584"/>
      <c r="B1449" s="585"/>
      <c r="C1449" s="586"/>
      <c r="D1449" s="587"/>
      <c r="E1449" s="591"/>
      <c r="G1449" s="593"/>
    </row>
    <row r="1450" spans="1:7">
      <c r="A1450" s="584"/>
      <c r="B1450" s="585"/>
      <c r="C1450" s="586"/>
      <c r="D1450" s="587"/>
      <c r="E1450" s="591"/>
      <c r="G1450" s="593"/>
    </row>
    <row r="1451" spans="1:7">
      <c r="A1451" s="584"/>
      <c r="B1451" s="585"/>
      <c r="C1451" s="586"/>
      <c r="D1451" s="587"/>
      <c r="E1451" s="591"/>
      <c r="G1451" s="593"/>
    </row>
    <row r="1452" spans="1:7">
      <c r="A1452" s="584"/>
      <c r="B1452" s="585"/>
      <c r="C1452" s="586"/>
      <c r="D1452" s="587"/>
      <c r="E1452" s="591"/>
      <c r="G1452" s="593"/>
    </row>
    <row r="1453" spans="1:7">
      <c r="A1453" s="584"/>
      <c r="B1453" s="585"/>
      <c r="C1453" s="586"/>
      <c r="D1453" s="587"/>
      <c r="E1453" s="591"/>
      <c r="G1453" s="593"/>
    </row>
    <row r="1454" spans="1:7">
      <c r="A1454" s="584"/>
      <c r="B1454" s="585"/>
      <c r="C1454" s="586"/>
      <c r="D1454" s="587"/>
      <c r="E1454" s="591"/>
      <c r="G1454" s="593"/>
    </row>
    <row r="1455" spans="1:7">
      <c r="A1455" s="584"/>
      <c r="B1455" s="585"/>
      <c r="C1455" s="586"/>
      <c r="D1455" s="587"/>
      <c r="E1455" s="591"/>
      <c r="G1455" s="593"/>
    </row>
    <row r="1456" spans="1:7">
      <c r="A1456" s="584"/>
      <c r="B1456" s="585"/>
      <c r="C1456" s="586"/>
      <c r="D1456" s="587"/>
      <c r="E1456" s="591"/>
      <c r="G1456" s="593"/>
    </row>
    <row r="1457" spans="1:7">
      <c r="A1457" s="584"/>
      <c r="B1457" s="585"/>
      <c r="C1457" s="586"/>
      <c r="D1457" s="587"/>
      <c r="E1457" s="591"/>
      <c r="G1457" s="593"/>
    </row>
    <row r="1458" spans="1:7">
      <c r="A1458" s="584"/>
      <c r="B1458" s="585"/>
      <c r="C1458" s="586"/>
      <c r="D1458" s="587"/>
      <c r="E1458" s="591"/>
      <c r="G1458" s="593"/>
    </row>
    <row r="1459" spans="1:7">
      <c r="A1459" s="584"/>
      <c r="B1459" s="585"/>
      <c r="C1459" s="586"/>
      <c r="D1459" s="587"/>
      <c r="E1459" s="591"/>
      <c r="G1459" s="593"/>
    </row>
    <row r="1460" spans="1:7">
      <c r="A1460" s="584"/>
      <c r="B1460" s="585"/>
      <c r="C1460" s="586"/>
      <c r="D1460" s="587"/>
      <c r="E1460" s="591"/>
      <c r="G1460" s="593"/>
    </row>
    <row r="1461" spans="1:7">
      <c r="A1461" s="584"/>
      <c r="B1461" s="585"/>
      <c r="C1461" s="586"/>
      <c r="D1461" s="587"/>
      <c r="E1461" s="591"/>
      <c r="G1461" s="593"/>
    </row>
    <row r="1462" spans="1:7">
      <c r="A1462" s="584"/>
      <c r="B1462" s="585"/>
      <c r="C1462" s="586"/>
      <c r="D1462" s="587"/>
      <c r="E1462" s="591"/>
      <c r="G1462" s="593"/>
    </row>
    <row r="1463" spans="1:7">
      <c r="A1463" s="584"/>
      <c r="B1463" s="585"/>
      <c r="C1463" s="586"/>
      <c r="D1463" s="587"/>
      <c r="E1463" s="591"/>
      <c r="G1463" s="593"/>
    </row>
    <row r="1464" spans="1:7">
      <c r="A1464" s="584"/>
      <c r="B1464" s="585"/>
      <c r="C1464" s="586"/>
      <c r="D1464" s="587"/>
      <c r="E1464" s="591"/>
      <c r="G1464" s="593"/>
    </row>
    <row r="1465" spans="1:7">
      <c r="A1465" s="584"/>
      <c r="B1465" s="585"/>
      <c r="C1465" s="586"/>
      <c r="D1465" s="587"/>
      <c r="E1465" s="591"/>
      <c r="G1465" s="593"/>
    </row>
    <row r="1466" spans="1:7">
      <c r="A1466" s="584"/>
      <c r="B1466" s="585"/>
      <c r="C1466" s="586"/>
      <c r="D1466" s="587"/>
      <c r="E1466" s="591"/>
      <c r="G1466" s="593"/>
    </row>
    <row r="1467" spans="1:7">
      <c r="A1467" s="584"/>
      <c r="B1467" s="585"/>
      <c r="C1467" s="586"/>
      <c r="D1467" s="587"/>
      <c r="E1467" s="591"/>
      <c r="G1467" s="593"/>
    </row>
    <row r="1468" spans="1:7">
      <c r="A1468" s="584"/>
      <c r="B1468" s="585"/>
      <c r="C1468" s="586"/>
      <c r="D1468" s="587"/>
      <c r="E1468" s="591"/>
      <c r="G1468" s="593"/>
    </row>
    <row r="1469" spans="1:7">
      <c r="A1469" s="584"/>
      <c r="B1469" s="585"/>
      <c r="C1469" s="586"/>
      <c r="D1469" s="587"/>
      <c r="E1469" s="591"/>
      <c r="G1469" s="593"/>
    </row>
    <row r="1470" spans="1:7">
      <c r="A1470" s="584"/>
      <c r="B1470" s="585"/>
      <c r="C1470" s="586"/>
      <c r="D1470" s="587"/>
      <c r="E1470" s="591"/>
      <c r="G1470" s="593"/>
    </row>
    <row r="1471" spans="1:7">
      <c r="A1471" s="584"/>
      <c r="B1471" s="585"/>
      <c r="C1471" s="586"/>
      <c r="D1471" s="587"/>
      <c r="E1471" s="591"/>
      <c r="G1471" s="593"/>
    </row>
    <row r="1472" spans="1:7">
      <c r="A1472" s="584"/>
      <c r="B1472" s="585"/>
      <c r="C1472" s="586"/>
      <c r="D1472" s="587"/>
      <c r="E1472" s="591"/>
      <c r="G1472" s="593"/>
    </row>
    <row r="1473" spans="1:7">
      <c r="A1473" s="584"/>
      <c r="B1473" s="585"/>
      <c r="C1473" s="586"/>
      <c r="D1473" s="587"/>
      <c r="E1473" s="591"/>
      <c r="G1473" s="593"/>
    </row>
    <row r="1474" spans="1:7">
      <c r="A1474" s="584"/>
      <c r="B1474" s="585"/>
      <c r="C1474" s="586"/>
      <c r="D1474" s="587"/>
      <c r="E1474" s="591"/>
      <c r="G1474" s="593"/>
    </row>
    <row r="1475" spans="1:7">
      <c r="A1475" s="584"/>
      <c r="B1475" s="585"/>
      <c r="C1475" s="586"/>
      <c r="D1475" s="587"/>
      <c r="E1475" s="591"/>
      <c r="G1475" s="593"/>
    </row>
    <row r="1476" spans="1:7">
      <c r="A1476" s="584"/>
      <c r="B1476" s="585"/>
      <c r="C1476" s="586"/>
      <c r="D1476" s="587"/>
      <c r="E1476" s="591"/>
      <c r="G1476" s="593"/>
    </row>
    <row r="1477" spans="1:7">
      <c r="A1477" s="584"/>
      <c r="B1477" s="585"/>
      <c r="C1477" s="586"/>
      <c r="D1477" s="587"/>
      <c r="E1477" s="591"/>
      <c r="G1477" s="593"/>
    </row>
    <row r="1478" spans="1:7">
      <c r="A1478" s="584"/>
      <c r="B1478" s="585"/>
      <c r="C1478" s="586"/>
      <c r="D1478" s="587"/>
      <c r="E1478" s="591"/>
      <c r="G1478" s="593"/>
    </row>
    <row r="1479" spans="1:7">
      <c r="A1479" s="584"/>
      <c r="B1479" s="585"/>
      <c r="C1479" s="586"/>
      <c r="D1479" s="587"/>
      <c r="E1479" s="591"/>
      <c r="G1479" s="593"/>
    </row>
    <row r="1480" spans="1:7">
      <c r="A1480" s="584"/>
      <c r="B1480" s="585"/>
      <c r="C1480" s="586"/>
      <c r="D1480" s="587"/>
      <c r="E1480" s="591"/>
      <c r="G1480" s="593"/>
    </row>
    <row r="1481" spans="1:7">
      <c r="A1481" s="584"/>
      <c r="B1481" s="585"/>
      <c r="C1481" s="586"/>
      <c r="D1481" s="587"/>
      <c r="E1481" s="591"/>
      <c r="G1481" s="593"/>
    </row>
    <row r="1482" spans="1:7">
      <c r="A1482" s="584"/>
      <c r="B1482" s="585"/>
      <c r="C1482" s="586"/>
      <c r="D1482" s="587"/>
      <c r="E1482" s="591"/>
      <c r="G1482" s="593"/>
    </row>
    <row r="1483" spans="1:7">
      <c r="A1483" s="584"/>
      <c r="B1483" s="585"/>
      <c r="C1483" s="586"/>
      <c r="D1483" s="587"/>
      <c r="E1483" s="591"/>
      <c r="G1483" s="593"/>
    </row>
    <row r="1484" spans="1:7">
      <c r="A1484" s="584"/>
      <c r="B1484" s="585"/>
      <c r="C1484" s="586"/>
      <c r="D1484" s="587"/>
      <c r="E1484" s="591"/>
      <c r="G1484" s="593"/>
    </row>
    <row r="1485" spans="1:7">
      <c r="A1485" s="584"/>
      <c r="B1485" s="585"/>
      <c r="C1485" s="586"/>
      <c r="D1485" s="587"/>
      <c r="E1485" s="591"/>
      <c r="G1485" s="593"/>
    </row>
    <row r="1486" spans="1:7">
      <c r="A1486" s="584"/>
      <c r="B1486" s="585"/>
      <c r="C1486" s="586"/>
      <c r="D1486" s="587"/>
      <c r="E1486" s="591"/>
      <c r="G1486" s="593"/>
    </row>
    <row r="1487" spans="1:7">
      <c r="A1487" s="584"/>
      <c r="B1487" s="585"/>
      <c r="C1487" s="586"/>
      <c r="D1487" s="587"/>
      <c r="E1487" s="591"/>
      <c r="G1487" s="593"/>
    </row>
    <row r="1488" spans="1:7">
      <c r="A1488" s="584"/>
      <c r="B1488" s="585"/>
      <c r="C1488" s="586"/>
      <c r="D1488" s="587"/>
      <c r="E1488" s="591"/>
      <c r="G1488" s="593"/>
    </row>
    <row r="1489" spans="1:7">
      <c r="A1489" s="584"/>
      <c r="B1489" s="585"/>
      <c r="C1489" s="586"/>
      <c r="D1489" s="587"/>
      <c r="E1489" s="591"/>
      <c r="G1489" s="593"/>
    </row>
    <row r="1490" spans="1:7">
      <c r="A1490" s="584"/>
      <c r="B1490" s="585"/>
      <c r="C1490" s="586"/>
      <c r="D1490" s="587"/>
      <c r="E1490" s="591"/>
      <c r="G1490" s="593"/>
    </row>
    <row r="1491" spans="1:7">
      <c r="A1491" s="584"/>
      <c r="B1491" s="585"/>
      <c r="C1491" s="586"/>
      <c r="D1491" s="587"/>
      <c r="E1491" s="591"/>
      <c r="G1491" s="593"/>
    </row>
    <row r="1492" spans="1:7">
      <c r="A1492" s="584"/>
      <c r="B1492" s="585"/>
      <c r="C1492" s="586"/>
      <c r="D1492" s="587"/>
      <c r="E1492" s="591"/>
      <c r="G1492" s="593"/>
    </row>
    <row r="1493" spans="1:7">
      <c r="A1493" s="584"/>
      <c r="B1493" s="585"/>
      <c r="C1493" s="586"/>
      <c r="D1493" s="587"/>
      <c r="E1493" s="591"/>
      <c r="G1493" s="593"/>
    </row>
    <row r="1494" spans="1:7">
      <c r="A1494" s="584"/>
      <c r="B1494" s="585"/>
      <c r="C1494" s="586"/>
      <c r="D1494" s="587"/>
      <c r="E1494" s="591"/>
      <c r="G1494" s="593"/>
    </row>
    <row r="1495" spans="1:7">
      <c r="A1495" s="584"/>
      <c r="B1495" s="585"/>
      <c r="C1495" s="586"/>
      <c r="D1495" s="587"/>
      <c r="E1495" s="591"/>
      <c r="G1495" s="593"/>
    </row>
    <row r="1496" spans="1:7">
      <c r="A1496" s="584"/>
      <c r="B1496" s="585"/>
      <c r="C1496" s="586"/>
      <c r="D1496" s="587"/>
      <c r="E1496" s="591"/>
      <c r="G1496" s="593"/>
    </row>
    <row r="1497" spans="1:7">
      <c r="A1497" s="584"/>
      <c r="B1497" s="585"/>
      <c r="C1497" s="586"/>
      <c r="D1497" s="587"/>
      <c r="E1497" s="591"/>
      <c r="G1497" s="593"/>
    </row>
    <row r="1498" spans="1:7">
      <c r="A1498" s="584"/>
      <c r="B1498" s="585"/>
      <c r="C1498" s="586"/>
      <c r="D1498" s="587"/>
      <c r="E1498" s="591"/>
      <c r="G1498" s="593"/>
    </row>
    <row r="1499" spans="1:7">
      <c r="A1499" s="584"/>
      <c r="B1499" s="585"/>
      <c r="C1499" s="586"/>
      <c r="D1499" s="587"/>
      <c r="E1499" s="591"/>
      <c r="G1499" s="593"/>
    </row>
    <row r="1500" spans="1:7">
      <c r="A1500" s="584"/>
      <c r="B1500" s="585"/>
      <c r="C1500" s="586"/>
      <c r="D1500" s="587"/>
      <c r="E1500" s="591"/>
      <c r="G1500" s="593"/>
    </row>
    <row r="1501" spans="1:7">
      <c r="A1501" s="584"/>
      <c r="B1501" s="585"/>
      <c r="C1501" s="586"/>
      <c r="D1501" s="587"/>
      <c r="E1501" s="591"/>
      <c r="G1501" s="593"/>
    </row>
    <row r="1502" spans="1:7">
      <c r="A1502" s="584"/>
      <c r="B1502" s="585"/>
      <c r="C1502" s="586"/>
      <c r="D1502" s="587"/>
      <c r="E1502" s="591"/>
      <c r="G1502" s="593"/>
    </row>
    <row r="1503" spans="1:7">
      <c r="A1503" s="584"/>
      <c r="B1503" s="585"/>
      <c r="C1503" s="586"/>
      <c r="D1503" s="587"/>
      <c r="E1503" s="591"/>
      <c r="G1503" s="593"/>
    </row>
    <row r="1504" spans="1:7">
      <c r="A1504" s="584"/>
      <c r="B1504" s="585"/>
      <c r="C1504" s="586"/>
      <c r="D1504" s="587"/>
      <c r="E1504" s="591"/>
      <c r="G1504" s="593"/>
    </row>
    <row r="1505" spans="1:7">
      <c r="A1505" s="584"/>
      <c r="B1505" s="585"/>
      <c r="C1505" s="586"/>
      <c r="D1505" s="587"/>
      <c r="E1505" s="591"/>
      <c r="G1505" s="593"/>
    </row>
    <row r="1506" spans="1:7">
      <c r="A1506" s="584"/>
      <c r="B1506" s="585"/>
      <c r="C1506" s="586"/>
      <c r="D1506" s="587"/>
      <c r="E1506" s="591"/>
      <c r="G1506" s="593"/>
    </row>
    <row r="1507" spans="1:7">
      <c r="A1507" s="584"/>
      <c r="B1507" s="585"/>
      <c r="C1507" s="586"/>
      <c r="D1507" s="587"/>
      <c r="E1507" s="591"/>
      <c r="G1507" s="593"/>
    </row>
    <row r="1508" spans="1:7">
      <c r="A1508" s="584"/>
      <c r="B1508" s="585"/>
      <c r="C1508" s="586"/>
      <c r="D1508" s="587"/>
      <c r="E1508" s="591"/>
      <c r="G1508" s="593"/>
    </row>
    <row r="1509" spans="1:7">
      <c r="A1509" s="584"/>
      <c r="B1509" s="585"/>
      <c r="C1509" s="586"/>
      <c r="D1509" s="587"/>
      <c r="E1509" s="591"/>
      <c r="G1509" s="593"/>
    </row>
    <row r="1510" spans="1:7">
      <c r="A1510" s="584"/>
      <c r="B1510" s="585"/>
      <c r="C1510" s="586"/>
      <c r="D1510" s="587"/>
      <c r="E1510" s="591"/>
      <c r="G1510" s="593"/>
    </row>
    <row r="1511" spans="1:7">
      <c r="A1511" s="584"/>
      <c r="B1511" s="585"/>
      <c r="C1511" s="586"/>
      <c r="D1511" s="587"/>
      <c r="E1511" s="591"/>
      <c r="G1511" s="593"/>
    </row>
    <row r="1512" spans="1:7">
      <c r="A1512" s="584"/>
      <c r="B1512" s="585"/>
      <c r="C1512" s="586"/>
      <c r="D1512" s="587"/>
      <c r="E1512" s="591"/>
      <c r="G1512" s="593"/>
    </row>
    <row r="1513" spans="1:7">
      <c r="A1513" s="584"/>
      <c r="B1513" s="585"/>
      <c r="C1513" s="586"/>
      <c r="D1513" s="587"/>
      <c r="E1513" s="591"/>
      <c r="G1513" s="593"/>
    </row>
    <row r="1514" spans="1:7">
      <c r="A1514" s="584"/>
      <c r="B1514" s="585"/>
      <c r="C1514" s="586"/>
      <c r="D1514" s="587"/>
      <c r="E1514" s="591"/>
      <c r="G1514" s="593"/>
    </row>
    <row r="1515" spans="1:7">
      <c r="A1515" s="584"/>
      <c r="B1515" s="585"/>
      <c r="C1515" s="586"/>
      <c r="D1515" s="587"/>
      <c r="E1515" s="591"/>
      <c r="G1515" s="593"/>
    </row>
    <row r="1516" spans="1:7">
      <c r="A1516" s="584"/>
      <c r="B1516" s="585"/>
      <c r="C1516" s="586"/>
      <c r="D1516" s="587"/>
      <c r="E1516" s="591"/>
      <c r="G1516" s="593"/>
    </row>
    <row r="1517" spans="1:7">
      <c r="A1517" s="584"/>
      <c r="B1517" s="585"/>
      <c r="C1517" s="586"/>
      <c r="D1517" s="587"/>
      <c r="E1517" s="591"/>
      <c r="G1517" s="593"/>
    </row>
    <row r="1518" spans="1:7">
      <c r="A1518" s="584"/>
      <c r="B1518" s="585"/>
      <c r="C1518" s="586"/>
      <c r="D1518" s="587"/>
      <c r="E1518" s="591"/>
      <c r="G1518" s="593"/>
    </row>
    <row r="1519" spans="1:7">
      <c r="A1519" s="584"/>
      <c r="B1519" s="585"/>
      <c r="C1519" s="586"/>
      <c r="D1519" s="587"/>
      <c r="E1519" s="591"/>
      <c r="G1519" s="593"/>
    </row>
    <row r="1520" spans="1:7">
      <c r="A1520" s="584"/>
      <c r="B1520" s="585"/>
      <c r="C1520" s="586"/>
      <c r="D1520" s="587"/>
      <c r="E1520" s="591"/>
      <c r="G1520" s="593"/>
    </row>
    <row r="1521" spans="1:7">
      <c r="A1521" s="584"/>
      <c r="B1521" s="585"/>
      <c r="C1521" s="586"/>
      <c r="D1521" s="587"/>
      <c r="E1521" s="591"/>
      <c r="G1521" s="593"/>
    </row>
    <row r="1522" spans="1:7">
      <c r="A1522" s="584"/>
      <c r="B1522" s="585"/>
      <c r="C1522" s="586"/>
      <c r="D1522" s="587"/>
      <c r="E1522" s="591"/>
      <c r="G1522" s="593"/>
    </row>
    <row r="1523" spans="1:7">
      <c r="A1523" s="584"/>
      <c r="B1523" s="585"/>
      <c r="C1523" s="586"/>
      <c r="D1523" s="587"/>
      <c r="E1523" s="591"/>
      <c r="G1523" s="593"/>
    </row>
    <row r="1524" spans="1:7">
      <c r="A1524" s="584"/>
      <c r="B1524" s="585"/>
      <c r="C1524" s="586"/>
      <c r="D1524" s="587"/>
      <c r="E1524" s="591"/>
      <c r="G1524" s="593"/>
    </row>
    <row r="1525" spans="1:7">
      <c r="A1525" s="584"/>
      <c r="B1525" s="585"/>
      <c r="C1525" s="586"/>
      <c r="D1525" s="587"/>
      <c r="E1525" s="591"/>
      <c r="G1525" s="593"/>
    </row>
    <row r="1526" spans="1:7">
      <c r="A1526" s="584"/>
      <c r="B1526" s="585"/>
      <c r="C1526" s="586"/>
      <c r="D1526" s="587"/>
      <c r="E1526" s="591"/>
      <c r="G1526" s="593"/>
    </row>
    <row r="1527" spans="1:7">
      <c r="A1527" s="584"/>
      <c r="B1527" s="585"/>
      <c r="C1527" s="586"/>
      <c r="D1527" s="587"/>
      <c r="E1527" s="591"/>
      <c r="G1527" s="593"/>
    </row>
    <row r="1528" spans="1:7">
      <c r="A1528" s="584"/>
      <c r="B1528" s="585"/>
      <c r="C1528" s="586"/>
      <c r="D1528" s="587"/>
      <c r="E1528" s="591"/>
      <c r="G1528" s="593"/>
    </row>
    <row r="1529" spans="1:7">
      <c r="A1529" s="584"/>
      <c r="B1529" s="585"/>
      <c r="C1529" s="586"/>
      <c r="D1529" s="587"/>
      <c r="E1529" s="591"/>
      <c r="G1529" s="593"/>
    </row>
    <row r="1530" spans="1:7">
      <c r="A1530" s="584"/>
      <c r="B1530" s="585"/>
      <c r="C1530" s="586"/>
      <c r="D1530" s="587"/>
      <c r="E1530" s="591"/>
      <c r="G1530" s="593"/>
    </row>
    <row r="1531" spans="1:7">
      <c r="A1531" s="584"/>
      <c r="B1531" s="585"/>
      <c r="C1531" s="586"/>
      <c r="D1531" s="587"/>
      <c r="E1531" s="591"/>
      <c r="G1531" s="593"/>
    </row>
    <row r="1532" spans="1:7">
      <c r="A1532" s="584"/>
      <c r="B1532" s="585"/>
      <c r="C1532" s="586"/>
      <c r="D1532" s="587"/>
      <c r="E1532" s="591"/>
      <c r="G1532" s="593"/>
    </row>
    <row r="1533" spans="1:7">
      <c r="A1533" s="584"/>
      <c r="B1533" s="585"/>
      <c r="C1533" s="586"/>
      <c r="D1533" s="587"/>
      <c r="E1533" s="591"/>
      <c r="G1533" s="593"/>
    </row>
    <row r="1534" spans="1:7">
      <c r="A1534" s="584"/>
      <c r="B1534" s="585"/>
      <c r="C1534" s="586"/>
      <c r="D1534" s="587"/>
      <c r="E1534" s="591"/>
      <c r="G1534" s="593"/>
    </row>
    <row r="1535" spans="1:7">
      <c r="A1535" s="584"/>
      <c r="B1535" s="585"/>
      <c r="C1535" s="586"/>
      <c r="D1535" s="587"/>
      <c r="E1535" s="591"/>
      <c r="G1535" s="593"/>
    </row>
    <row r="1536" spans="1:7">
      <c r="A1536" s="584"/>
      <c r="B1536" s="585"/>
      <c r="C1536" s="586"/>
      <c r="D1536" s="587"/>
      <c r="E1536" s="591"/>
      <c r="G1536" s="593"/>
    </row>
    <row r="1537" spans="1:7">
      <c r="A1537" s="584"/>
      <c r="B1537" s="585"/>
      <c r="C1537" s="586"/>
      <c r="D1537" s="587"/>
      <c r="E1537" s="591"/>
      <c r="G1537" s="593"/>
    </row>
    <row r="1538" spans="1:7">
      <c r="A1538" s="584"/>
      <c r="B1538" s="585"/>
      <c r="C1538" s="586"/>
      <c r="D1538" s="587"/>
      <c r="E1538" s="591"/>
      <c r="G1538" s="593"/>
    </row>
    <row r="1539" spans="1:7">
      <c r="A1539" s="584"/>
      <c r="B1539" s="585"/>
      <c r="C1539" s="586"/>
      <c r="D1539" s="587"/>
      <c r="E1539" s="591"/>
      <c r="G1539" s="593"/>
    </row>
    <row r="1540" spans="1:7">
      <c r="A1540" s="584"/>
      <c r="B1540" s="585"/>
      <c r="C1540" s="586"/>
      <c r="D1540" s="587"/>
      <c r="E1540" s="591"/>
      <c r="G1540" s="593"/>
    </row>
    <row r="1541" spans="1:7">
      <c r="A1541" s="584"/>
      <c r="B1541" s="585"/>
      <c r="C1541" s="586"/>
      <c r="D1541" s="587"/>
      <c r="E1541" s="591"/>
      <c r="G1541" s="593"/>
    </row>
    <row r="1542" spans="1:7">
      <c r="A1542" s="584"/>
      <c r="B1542" s="585"/>
      <c r="C1542" s="586"/>
      <c r="D1542" s="587"/>
      <c r="E1542" s="591"/>
      <c r="G1542" s="593"/>
    </row>
    <row r="1543" spans="1:7">
      <c r="A1543" s="584"/>
      <c r="B1543" s="585"/>
      <c r="C1543" s="586"/>
      <c r="D1543" s="587"/>
      <c r="E1543" s="591"/>
      <c r="G1543" s="593"/>
    </row>
    <row r="1544" spans="1:7">
      <c r="A1544" s="584"/>
      <c r="B1544" s="585"/>
      <c r="C1544" s="586"/>
      <c r="D1544" s="587"/>
      <c r="E1544" s="591"/>
      <c r="G1544" s="593"/>
    </row>
    <row r="1545" spans="1:7">
      <c r="A1545" s="584"/>
      <c r="B1545" s="585"/>
      <c r="C1545" s="586"/>
      <c r="D1545" s="587"/>
      <c r="E1545" s="591"/>
      <c r="G1545" s="593"/>
    </row>
    <row r="1546" spans="1:7">
      <c r="A1546" s="584"/>
      <c r="B1546" s="585"/>
      <c r="C1546" s="586"/>
      <c r="D1546" s="587"/>
      <c r="E1546" s="591"/>
      <c r="G1546" s="593"/>
    </row>
    <row r="1547" spans="1:7">
      <c r="A1547" s="584"/>
      <c r="B1547" s="585"/>
      <c r="C1547" s="586"/>
      <c r="D1547" s="587"/>
      <c r="E1547" s="591"/>
      <c r="G1547" s="593"/>
    </row>
    <row r="1548" spans="1:7">
      <c r="A1548" s="584"/>
      <c r="B1548" s="585"/>
      <c r="C1548" s="586"/>
      <c r="D1548" s="587"/>
      <c r="E1548" s="591"/>
      <c r="G1548" s="593"/>
    </row>
    <row r="1549" spans="1:7">
      <c r="A1549" s="584"/>
      <c r="B1549" s="585"/>
      <c r="C1549" s="586"/>
      <c r="D1549" s="587"/>
      <c r="E1549" s="591"/>
      <c r="G1549" s="593"/>
    </row>
    <row r="1550" spans="1:7">
      <c r="A1550" s="584"/>
      <c r="B1550" s="585"/>
      <c r="C1550" s="586"/>
      <c r="D1550" s="587"/>
      <c r="E1550" s="591"/>
      <c r="G1550" s="593"/>
    </row>
    <row r="1551" spans="1:7">
      <c r="A1551" s="584"/>
      <c r="B1551" s="585"/>
      <c r="C1551" s="586"/>
      <c r="D1551" s="587"/>
      <c r="E1551" s="591"/>
      <c r="G1551" s="593"/>
    </row>
    <row r="1552" spans="1:7">
      <c r="A1552" s="584"/>
      <c r="B1552" s="585"/>
      <c r="C1552" s="586"/>
      <c r="D1552" s="587"/>
      <c r="E1552" s="591"/>
      <c r="G1552" s="593"/>
    </row>
    <row r="1553" spans="1:7">
      <c r="A1553" s="584"/>
      <c r="B1553" s="585"/>
      <c r="C1553" s="586"/>
      <c r="D1553" s="587"/>
      <c r="E1553" s="591"/>
      <c r="G1553" s="593"/>
    </row>
    <row r="1554" spans="1:7">
      <c r="A1554" s="584"/>
      <c r="B1554" s="585"/>
      <c r="C1554" s="586"/>
      <c r="D1554" s="587"/>
      <c r="E1554" s="591"/>
      <c r="G1554" s="593"/>
    </row>
    <row r="1555" spans="1:7">
      <c r="A1555" s="584"/>
      <c r="B1555" s="585"/>
      <c r="C1555" s="586"/>
      <c r="D1555" s="587"/>
      <c r="E1555" s="591"/>
      <c r="G1555" s="593"/>
    </row>
    <row r="1556" spans="1:7">
      <c r="A1556" s="584"/>
      <c r="B1556" s="585"/>
      <c r="C1556" s="586"/>
      <c r="D1556" s="587"/>
      <c r="E1556" s="591"/>
      <c r="G1556" s="593"/>
    </row>
    <row r="1557" spans="1:7">
      <c r="A1557" s="584"/>
      <c r="B1557" s="585"/>
      <c r="C1557" s="586"/>
      <c r="D1557" s="587"/>
      <c r="E1557" s="591"/>
      <c r="G1557" s="593"/>
    </row>
    <row r="1558" spans="1:7">
      <c r="A1558" s="584"/>
      <c r="B1558" s="585"/>
      <c r="C1558" s="586"/>
      <c r="D1558" s="587"/>
      <c r="E1558" s="591"/>
      <c r="G1558" s="593"/>
    </row>
    <row r="1559" spans="1:7">
      <c r="A1559" s="584"/>
      <c r="B1559" s="585"/>
      <c r="C1559" s="586"/>
      <c r="D1559" s="587"/>
      <c r="E1559" s="591"/>
      <c r="G1559" s="593"/>
    </row>
    <row r="1560" spans="1:7">
      <c r="A1560" s="584"/>
      <c r="B1560" s="585"/>
      <c r="C1560" s="586"/>
      <c r="D1560" s="587"/>
      <c r="E1560" s="591"/>
      <c r="G1560" s="593"/>
    </row>
    <row r="1561" spans="1:7">
      <c r="A1561" s="584"/>
      <c r="B1561" s="585"/>
      <c r="C1561" s="586"/>
      <c r="D1561" s="587"/>
      <c r="E1561" s="591"/>
      <c r="G1561" s="593"/>
    </row>
    <row r="1562" spans="1:7">
      <c r="A1562" s="584"/>
      <c r="B1562" s="585"/>
      <c r="C1562" s="586"/>
      <c r="D1562" s="587"/>
      <c r="E1562" s="591"/>
      <c r="G1562" s="593"/>
    </row>
    <row r="1563" spans="1:7">
      <c r="A1563" s="584"/>
      <c r="B1563" s="585"/>
      <c r="C1563" s="586"/>
      <c r="D1563" s="587"/>
      <c r="E1563" s="591"/>
      <c r="G1563" s="593"/>
    </row>
    <row r="1564" spans="1:7">
      <c r="A1564" s="584"/>
      <c r="B1564" s="585"/>
      <c r="C1564" s="586"/>
      <c r="D1564" s="587"/>
      <c r="E1564" s="591"/>
      <c r="G1564" s="593"/>
    </row>
    <row r="1565" spans="1:7">
      <c r="A1565" s="584"/>
      <c r="B1565" s="585"/>
      <c r="C1565" s="586"/>
      <c r="D1565" s="587"/>
      <c r="E1565" s="591"/>
      <c r="G1565" s="593"/>
    </row>
    <row r="1566" spans="1:7">
      <c r="A1566" s="584"/>
      <c r="B1566" s="585"/>
      <c r="C1566" s="586"/>
      <c r="D1566" s="587"/>
      <c r="E1566" s="591"/>
      <c r="G1566" s="593"/>
    </row>
    <row r="1567" spans="1:7">
      <c r="A1567" s="584"/>
      <c r="B1567" s="585"/>
      <c r="C1567" s="586"/>
      <c r="D1567" s="587"/>
      <c r="E1567" s="591"/>
      <c r="G1567" s="593"/>
    </row>
    <row r="1568" spans="1:7">
      <c r="A1568" s="584"/>
      <c r="B1568" s="585"/>
      <c r="C1568" s="586"/>
      <c r="D1568" s="587"/>
      <c r="E1568" s="591"/>
      <c r="G1568" s="593"/>
    </row>
    <row r="1569" spans="1:7">
      <c r="A1569" s="584"/>
      <c r="B1569" s="585"/>
      <c r="C1569" s="586"/>
      <c r="D1569" s="587"/>
      <c r="E1569" s="591"/>
      <c r="G1569" s="593"/>
    </row>
    <row r="1570" spans="1:7">
      <c r="A1570" s="584"/>
      <c r="B1570" s="585"/>
      <c r="C1570" s="586"/>
      <c r="D1570" s="587"/>
      <c r="E1570" s="591"/>
      <c r="G1570" s="593"/>
    </row>
    <row r="1571" spans="1:7">
      <c r="A1571" s="584"/>
      <c r="B1571" s="585"/>
      <c r="C1571" s="586"/>
      <c r="D1571" s="587"/>
      <c r="E1571" s="591"/>
      <c r="G1571" s="593"/>
    </row>
    <row r="1572" spans="1:7">
      <c r="A1572" s="584"/>
      <c r="B1572" s="585"/>
      <c r="C1572" s="586"/>
      <c r="D1572" s="587"/>
      <c r="E1572" s="591"/>
      <c r="G1572" s="593"/>
    </row>
    <row r="1573" spans="1:7">
      <c r="A1573" s="584"/>
      <c r="B1573" s="585"/>
      <c r="C1573" s="586"/>
      <c r="D1573" s="587"/>
      <c r="E1573" s="591"/>
      <c r="G1573" s="593"/>
    </row>
    <row r="1574" spans="1:7">
      <c r="A1574" s="584"/>
      <c r="B1574" s="585"/>
      <c r="C1574" s="586"/>
      <c r="D1574" s="587"/>
      <c r="E1574" s="591"/>
      <c r="G1574" s="593"/>
    </row>
    <row r="1575" spans="1:7">
      <c r="A1575" s="584"/>
      <c r="B1575" s="585"/>
      <c r="C1575" s="586"/>
      <c r="D1575" s="587"/>
      <c r="E1575" s="591"/>
      <c r="G1575" s="593"/>
    </row>
    <row r="1576" spans="1:7">
      <c r="A1576" s="584"/>
      <c r="B1576" s="585"/>
      <c r="C1576" s="586"/>
      <c r="D1576" s="587"/>
      <c r="E1576" s="591"/>
      <c r="G1576" s="593"/>
    </row>
    <row r="1577" spans="1:7">
      <c r="A1577" s="584"/>
      <c r="B1577" s="585"/>
      <c r="C1577" s="586"/>
      <c r="D1577" s="587"/>
      <c r="E1577" s="591"/>
      <c r="G1577" s="593"/>
    </row>
    <row r="1578" spans="1:7">
      <c r="A1578" s="584"/>
      <c r="B1578" s="585"/>
      <c r="C1578" s="586"/>
      <c r="D1578" s="587"/>
      <c r="E1578" s="591"/>
      <c r="G1578" s="593"/>
    </row>
    <row r="1579" spans="1:7">
      <c r="A1579" s="584"/>
      <c r="B1579" s="585"/>
      <c r="C1579" s="586"/>
      <c r="D1579" s="587"/>
      <c r="E1579" s="591"/>
      <c r="G1579" s="593"/>
    </row>
    <row r="1580" spans="1:7">
      <c r="A1580" s="584"/>
      <c r="B1580" s="585"/>
      <c r="C1580" s="586"/>
      <c r="D1580" s="587"/>
      <c r="E1580" s="591"/>
      <c r="G1580" s="593"/>
    </row>
    <row r="1581" spans="1:7">
      <c r="A1581" s="584"/>
      <c r="B1581" s="585"/>
      <c r="C1581" s="586"/>
      <c r="D1581" s="587"/>
      <c r="E1581" s="591"/>
      <c r="G1581" s="593"/>
    </row>
    <row r="1582" spans="1:7">
      <c r="A1582" s="584"/>
      <c r="B1582" s="585"/>
      <c r="C1582" s="586"/>
      <c r="D1582" s="587"/>
      <c r="E1582" s="591"/>
      <c r="G1582" s="593"/>
    </row>
    <row r="1583" spans="1:7">
      <c r="A1583" s="584"/>
      <c r="B1583" s="585"/>
      <c r="C1583" s="586"/>
      <c r="D1583" s="587"/>
      <c r="E1583" s="591"/>
      <c r="G1583" s="593"/>
    </row>
    <row r="1584" spans="1:7">
      <c r="A1584" s="584"/>
      <c r="B1584" s="585"/>
      <c r="C1584" s="586"/>
      <c r="D1584" s="587"/>
      <c r="E1584" s="591"/>
      <c r="G1584" s="593"/>
    </row>
    <row r="1585" spans="1:7">
      <c r="A1585" s="584"/>
      <c r="B1585" s="585"/>
      <c r="C1585" s="586"/>
      <c r="D1585" s="587"/>
      <c r="E1585" s="591"/>
      <c r="G1585" s="593"/>
    </row>
    <row r="1586" spans="1:7">
      <c r="A1586" s="584"/>
      <c r="B1586" s="585"/>
      <c r="C1586" s="586"/>
      <c r="D1586" s="587"/>
      <c r="E1586" s="591"/>
      <c r="G1586" s="593"/>
    </row>
    <row r="1587" spans="1:7">
      <c r="A1587" s="584"/>
      <c r="B1587" s="585"/>
      <c r="C1587" s="586"/>
      <c r="D1587" s="587"/>
      <c r="E1587" s="591"/>
      <c r="G1587" s="593"/>
    </row>
    <row r="1588" spans="1:7">
      <c r="A1588" s="584"/>
      <c r="B1588" s="585"/>
      <c r="C1588" s="586"/>
      <c r="D1588" s="587"/>
      <c r="E1588" s="591"/>
      <c r="G1588" s="593"/>
    </row>
    <row r="1589" spans="1:7">
      <c r="A1589" s="584"/>
      <c r="B1589" s="585"/>
      <c r="C1589" s="586"/>
      <c r="D1589" s="587"/>
      <c r="E1589" s="591"/>
      <c r="G1589" s="593"/>
    </row>
    <row r="1590" spans="1:7">
      <c r="A1590" s="584"/>
      <c r="B1590" s="585"/>
      <c r="C1590" s="586"/>
      <c r="D1590" s="587"/>
      <c r="E1590" s="591"/>
      <c r="G1590" s="593"/>
    </row>
    <row r="1591" spans="1:7">
      <c r="A1591" s="584"/>
      <c r="B1591" s="585"/>
      <c r="C1591" s="586"/>
      <c r="D1591" s="587"/>
      <c r="E1591" s="591"/>
      <c r="G1591" s="593"/>
    </row>
    <row r="1592" spans="1:7">
      <c r="A1592" s="584"/>
      <c r="B1592" s="585"/>
      <c r="C1592" s="586"/>
      <c r="D1592" s="587"/>
      <c r="E1592" s="591"/>
      <c r="G1592" s="593"/>
    </row>
    <row r="1593" spans="1:7">
      <c r="A1593" s="584"/>
      <c r="B1593" s="585"/>
      <c r="C1593" s="586"/>
      <c r="D1593" s="587"/>
      <c r="E1593" s="591"/>
      <c r="G1593" s="593"/>
    </row>
    <row r="1594" spans="1:7">
      <c r="A1594" s="584"/>
      <c r="B1594" s="585"/>
      <c r="C1594" s="586"/>
      <c r="D1594" s="587"/>
      <c r="E1594" s="591"/>
      <c r="G1594" s="593"/>
    </row>
    <row r="1595" spans="1:7">
      <c r="A1595" s="584"/>
      <c r="B1595" s="585"/>
      <c r="C1595" s="586"/>
      <c r="D1595" s="587"/>
      <c r="E1595" s="591"/>
      <c r="G1595" s="593"/>
    </row>
    <row r="1596" spans="1:7">
      <c r="A1596" s="584"/>
      <c r="B1596" s="585"/>
      <c r="C1596" s="586"/>
      <c r="D1596" s="587"/>
      <c r="E1596" s="591"/>
      <c r="G1596" s="593"/>
    </row>
    <row r="1597" spans="1:7">
      <c r="A1597" s="584"/>
      <c r="B1597" s="585"/>
      <c r="C1597" s="586"/>
      <c r="D1597" s="587"/>
      <c r="E1597" s="591"/>
      <c r="G1597" s="593"/>
    </row>
    <row r="1598" spans="1:7">
      <c r="A1598" s="584"/>
      <c r="B1598" s="585"/>
      <c r="C1598" s="586"/>
      <c r="D1598" s="587"/>
      <c r="E1598" s="591"/>
      <c r="G1598" s="593"/>
    </row>
    <row r="1599" spans="1:7">
      <c r="A1599" s="584"/>
      <c r="B1599" s="585"/>
      <c r="C1599" s="586"/>
      <c r="D1599" s="587"/>
      <c r="E1599" s="591"/>
      <c r="G1599" s="593"/>
    </row>
    <row r="1600" spans="1:7">
      <c r="A1600" s="584"/>
      <c r="B1600" s="585"/>
      <c r="C1600" s="586"/>
      <c r="D1600" s="587"/>
      <c r="E1600" s="591"/>
      <c r="G1600" s="593"/>
    </row>
    <row r="1601" spans="1:7">
      <c r="A1601" s="584"/>
      <c r="B1601" s="585"/>
      <c r="C1601" s="586"/>
      <c r="D1601" s="587"/>
      <c r="E1601" s="591"/>
      <c r="G1601" s="593"/>
    </row>
    <row r="1602" spans="1:7">
      <c r="A1602" s="584"/>
      <c r="B1602" s="585"/>
      <c r="C1602" s="586"/>
      <c r="D1602" s="587"/>
      <c r="E1602" s="591"/>
      <c r="G1602" s="593"/>
    </row>
    <row r="1603" spans="1:7">
      <c r="A1603" s="584"/>
      <c r="B1603" s="585"/>
      <c r="C1603" s="586"/>
      <c r="D1603" s="587"/>
      <c r="E1603" s="591"/>
      <c r="G1603" s="593"/>
    </row>
    <row r="1604" spans="1:7">
      <c r="A1604" s="584"/>
      <c r="B1604" s="585"/>
      <c r="C1604" s="586"/>
      <c r="D1604" s="587"/>
      <c r="E1604" s="591"/>
      <c r="G1604" s="593"/>
    </row>
    <row r="1605" spans="1:7">
      <c r="A1605" s="584"/>
      <c r="B1605" s="585"/>
      <c r="C1605" s="586"/>
      <c r="D1605" s="587"/>
      <c r="E1605" s="591"/>
      <c r="G1605" s="593"/>
    </row>
    <row r="1606" spans="1:7">
      <c r="A1606" s="584"/>
      <c r="B1606" s="585"/>
      <c r="C1606" s="586"/>
      <c r="D1606" s="587"/>
      <c r="E1606" s="591"/>
      <c r="G1606" s="593"/>
    </row>
    <row r="1607" spans="1:7">
      <c r="A1607" s="584"/>
      <c r="B1607" s="585"/>
      <c r="C1607" s="586"/>
      <c r="D1607" s="587"/>
      <c r="E1607" s="591"/>
      <c r="G1607" s="593"/>
    </row>
    <row r="1608" spans="1:7">
      <c r="A1608" s="584"/>
      <c r="B1608" s="585"/>
      <c r="C1608" s="586"/>
      <c r="D1608" s="587"/>
      <c r="E1608" s="591"/>
      <c r="G1608" s="593"/>
    </row>
    <row r="1609" spans="1:7">
      <c r="A1609" s="584"/>
      <c r="B1609" s="585"/>
      <c r="C1609" s="586"/>
      <c r="D1609" s="587"/>
      <c r="E1609" s="591"/>
      <c r="G1609" s="593"/>
    </row>
    <row r="1610" spans="1:7">
      <c r="A1610" s="584"/>
      <c r="B1610" s="585"/>
      <c r="C1610" s="586"/>
      <c r="D1610" s="587"/>
      <c r="E1610" s="591"/>
      <c r="G1610" s="593"/>
    </row>
    <row r="1611" spans="1:7">
      <c r="A1611" s="584"/>
      <c r="B1611" s="585"/>
      <c r="C1611" s="586"/>
      <c r="D1611" s="587"/>
      <c r="E1611" s="591"/>
      <c r="G1611" s="593"/>
    </row>
    <row r="1612" spans="1:7">
      <c r="A1612" s="584"/>
      <c r="B1612" s="585"/>
      <c r="C1612" s="586"/>
      <c r="D1612" s="587"/>
      <c r="E1612" s="591"/>
      <c r="G1612" s="593"/>
    </row>
    <row r="1613" spans="1:7">
      <c r="A1613" s="584"/>
      <c r="B1613" s="585"/>
      <c r="C1613" s="586"/>
      <c r="D1613" s="587"/>
      <c r="E1613" s="591"/>
      <c r="G1613" s="593"/>
    </row>
    <row r="1614" spans="1:7">
      <c r="A1614" s="584"/>
      <c r="B1614" s="585"/>
      <c r="C1614" s="586"/>
      <c r="D1614" s="587"/>
      <c r="E1614" s="591"/>
      <c r="G1614" s="593"/>
    </row>
    <row r="1615" spans="1:7">
      <c r="A1615" s="584"/>
      <c r="B1615" s="585"/>
      <c r="C1615" s="586"/>
      <c r="D1615" s="587"/>
      <c r="E1615" s="591"/>
      <c r="G1615" s="593"/>
    </row>
    <row r="1616" spans="1:7">
      <c r="A1616" s="584"/>
      <c r="B1616" s="585"/>
      <c r="C1616" s="586"/>
      <c r="D1616" s="587"/>
      <c r="E1616" s="591"/>
      <c r="G1616" s="593"/>
    </row>
    <row r="1617" spans="1:7">
      <c r="A1617" s="584"/>
      <c r="B1617" s="585"/>
      <c r="C1617" s="586"/>
      <c r="D1617" s="587"/>
      <c r="E1617" s="591"/>
      <c r="G1617" s="593"/>
    </row>
    <row r="1618" spans="1:7">
      <c r="A1618" s="584"/>
      <c r="B1618" s="585"/>
      <c r="C1618" s="586"/>
      <c r="D1618" s="587"/>
      <c r="E1618" s="591"/>
      <c r="G1618" s="593"/>
    </row>
    <row r="1619" spans="1:7">
      <c r="A1619" s="584"/>
      <c r="B1619" s="585"/>
      <c r="C1619" s="586"/>
      <c r="D1619" s="587"/>
      <c r="E1619" s="591"/>
      <c r="G1619" s="593"/>
    </row>
    <row r="1620" spans="1:7">
      <c r="A1620" s="584"/>
      <c r="B1620" s="585"/>
      <c r="C1620" s="586"/>
      <c r="D1620" s="587"/>
      <c r="E1620" s="591"/>
      <c r="G1620" s="593"/>
    </row>
    <row r="1621" spans="1:7">
      <c r="A1621" s="584"/>
      <c r="B1621" s="585"/>
      <c r="C1621" s="586"/>
      <c r="D1621" s="587"/>
      <c r="E1621" s="591"/>
      <c r="G1621" s="593"/>
    </row>
    <row r="1622" spans="1:7">
      <c r="A1622" s="584"/>
      <c r="B1622" s="585"/>
      <c r="C1622" s="586"/>
      <c r="D1622" s="587"/>
      <c r="E1622" s="591"/>
      <c r="G1622" s="593"/>
    </row>
    <row r="1623" spans="1:7">
      <c r="A1623" s="584"/>
      <c r="B1623" s="585"/>
      <c r="C1623" s="586"/>
      <c r="D1623" s="587"/>
      <c r="E1623" s="591"/>
      <c r="G1623" s="593"/>
    </row>
    <row r="1624" spans="1:7">
      <c r="A1624" s="584"/>
      <c r="B1624" s="585"/>
      <c r="C1624" s="586"/>
      <c r="D1624" s="587"/>
      <c r="E1624" s="591"/>
      <c r="G1624" s="593"/>
    </row>
    <row r="1625" spans="1:7">
      <c r="A1625" s="584"/>
      <c r="B1625" s="585"/>
      <c r="C1625" s="586"/>
      <c r="D1625" s="587"/>
      <c r="E1625" s="591"/>
      <c r="G1625" s="593"/>
    </row>
    <row r="1626" spans="1:7">
      <c r="A1626" s="584"/>
      <c r="B1626" s="585"/>
      <c r="C1626" s="586"/>
      <c r="D1626" s="587"/>
      <c r="E1626" s="591"/>
      <c r="G1626" s="593"/>
    </row>
    <row r="1627" spans="1:7">
      <c r="A1627" s="584"/>
      <c r="B1627" s="585"/>
      <c r="C1627" s="586"/>
      <c r="D1627" s="587"/>
      <c r="E1627" s="591"/>
      <c r="G1627" s="593"/>
    </row>
    <row r="1628" spans="1:7">
      <c r="A1628" s="584"/>
      <c r="B1628" s="585"/>
      <c r="C1628" s="586"/>
      <c r="D1628" s="587"/>
      <c r="E1628" s="591"/>
      <c r="G1628" s="593"/>
    </row>
    <row r="1629" spans="1:7">
      <c r="A1629" s="584"/>
      <c r="B1629" s="585"/>
      <c r="C1629" s="586"/>
      <c r="D1629" s="587"/>
      <c r="E1629" s="591"/>
      <c r="G1629" s="593"/>
    </row>
    <row r="1630" spans="1:7">
      <c r="A1630" s="584"/>
      <c r="B1630" s="585"/>
      <c r="C1630" s="586"/>
      <c r="D1630" s="587"/>
      <c r="E1630" s="591"/>
      <c r="G1630" s="593"/>
    </row>
    <row r="1631" spans="1:7">
      <c r="A1631" s="584"/>
      <c r="B1631" s="585"/>
      <c r="C1631" s="586"/>
      <c r="D1631" s="587"/>
      <c r="E1631" s="591"/>
      <c r="G1631" s="593"/>
    </row>
    <row r="1632" spans="1:7">
      <c r="A1632" s="584"/>
      <c r="B1632" s="585"/>
      <c r="C1632" s="586"/>
      <c r="D1632" s="587"/>
      <c r="E1632" s="591"/>
      <c r="G1632" s="593"/>
    </row>
    <row r="1633" spans="1:7">
      <c r="A1633" s="584"/>
      <c r="B1633" s="585"/>
      <c r="C1633" s="586"/>
      <c r="D1633" s="587"/>
      <c r="E1633" s="591"/>
      <c r="G1633" s="593"/>
    </row>
    <row r="1634" spans="1:7">
      <c r="A1634" s="584"/>
      <c r="B1634" s="585"/>
      <c r="C1634" s="586"/>
      <c r="D1634" s="587"/>
      <c r="E1634" s="591"/>
      <c r="G1634" s="593"/>
    </row>
    <row r="1635" spans="1:7">
      <c r="A1635" s="584"/>
      <c r="B1635" s="585"/>
      <c r="C1635" s="586"/>
      <c r="D1635" s="587"/>
      <c r="E1635" s="591"/>
      <c r="G1635" s="593"/>
    </row>
    <row r="1636" spans="1:7">
      <c r="A1636" s="584"/>
      <c r="B1636" s="585"/>
      <c r="C1636" s="586"/>
      <c r="D1636" s="587"/>
      <c r="E1636" s="591"/>
      <c r="G1636" s="593"/>
    </row>
    <row r="1637" spans="1:7">
      <c r="A1637" s="584"/>
      <c r="B1637" s="585"/>
      <c r="C1637" s="586"/>
      <c r="D1637" s="587"/>
      <c r="E1637" s="591"/>
      <c r="G1637" s="593"/>
    </row>
    <row r="1638" spans="1:7">
      <c r="A1638" s="584"/>
      <c r="B1638" s="585"/>
      <c r="C1638" s="586"/>
      <c r="D1638" s="587"/>
      <c r="E1638" s="591"/>
      <c r="G1638" s="593"/>
    </row>
    <row r="1639" spans="1:7">
      <c r="A1639" s="584"/>
      <c r="B1639" s="585"/>
      <c r="C1639" s="586"/>
      <c r="D1639" s="587"/>
      <c r="E1639" s="591"/>
      <c r="G1639" s="593"/>
    </row>
    <row r="1640" spans="1:7">
      <c r="A1640" s="584"/>
      <c r="B1640" s="585"/>
      <c r="C1640" s="586"/>
      <c r="D1640" s="587"/>
      <c r="E1640" s="591"/>
      <c r="G1640" s="593"/>
    </row>
    <row r="1641" spans="1:7">
      <c r="A1641" s="584"/>
      <c r="B1641" s="585"/>
      <c r="C1641" s="586"/>
      <c r="D1641" s="587"/>
      <c r="E1641" s="591"/>
      <c r="G1641" s="593"/>
    </row>
    <row r="1642" spans="1:7">
      <c r="A1642" s="584"/>
      <c r="B1642" s="585"/>
      <c r="C1642" s="586"/>
      <c r="D1642" s="587"/>
      <c r="E1642" s="591"/>
      <c r="G1642" s="593"/>
    </row>
    <row r="1643" spans="1:7">
      <c r="A1643" s="584"/>
      <c r="B1643" s="585"/>
      <c r="C1643" s="586"/>
      <c r="D1643" s="587"/>
      <c r="E1643" s="591"/>
      <c r="G1643" s="593"/>
    </row>
    <row r="1644" spans="1:7">
      <c r="A1644" s="584"/>
      <c r="B1644" s="585"/>
      <c r="C1644" s="586"/>
      <c r="D1644" s="587"/>
      <c r="E1644" s="591"/>
      <c r="G1644" s="593"/>
    </row>
    <row r="1645" spans="1:7">
      <c r="A1645" s="584"/>
      <c r="B1645" s="585"/>
      <c r="C1645" s="586"/>
      <c r="D1645" s="587"/>
      <c r="E1645" s="591"/>
      <c r="G1645" s="593"/>
    </row>
    <row r="1646" spans="1:7">
      <c r="A1646" s="584"/>
      <c r="B1646" s="585"/>
      <c r="C1646" s="586"/>
      <c r="D1646" s="587"/>
      <c r="E1646" s="591"/>
      <c r="G1646" s="593"/>
    </row>
    <row r="1647" spans="1:7">
      <c r="A1647" s="584"/>
      <c r="B1647" s="585"/>
      <c r="C1647" s="586"/>
      <c r="D1647" s="587"/>
      <c r="E1647" s="591"/>
      <c r="G1647" s="593"/>
    </row>
    <row r="1648" spans="1:7">
      <c r="A1648" s="584"/>
      <c r="B1648" s="585"/>
      <c r="C1648" s="586"/>
      <c r="D1648" s="587"/>
      <c r="E1648" s="591"/>
      <c r="G1648" s="593"/>
    </row>
    <row r="1649" spans="1:7">
      <c r="A1649" s="584"/>
      <c r="B1649" s="585"/>
      <c r="C1649" s="586"/>
      <c r="D1649" s="587"/>
      <c r="E1649" s="591"/>
      <c r="G1649" s="593"/>
    </row>
    <row r="1650" spans="1:7">
      <c r="A1650" s="584"/>
      <c r="B1650" s="585"/>
      <c r="C1650" s="586"/>
      <c r="D1650" s="587"/>
      <c r="E1650" s="591"/>
      <c r="G1650" s="593"/>
    </row>
    <row r="1651" spans="1:7">
      <c r="A1651" s="584"/>
      <c r="B1651" s="585"/>
      <c r="C1651" s="586"/>
      <c r="D1651" s="587"/>
      <c r="E1651" s="591"/>
      <c r="G1651" s="593"/>
    </row>
    <row r="1652" spans="1:7">
      <c r="A1652" s="584"/>
      <c r="B1652" s="585"/>
      <c r="C1652" s="586"/>
      <c r="D1652" s="587"/>
      <c r="E1652" s="591"/>
      <c r="G1652" s="593"/>
    </row>
    <row r="1653" spans="1:7">
      <c r="A1653" s="584"/>
      <c r="B1653" s="585"/>
      <c r="C1653" s="586"/>
      <c r="D1653" s="587"/>
      <c r="E1653" s="591"/>
      <c r="G1653" s="593"/>
    </row>
    <row r="1654" spans="1:7">
      <c r="A1654" s="584"/>
      <c r="B1654" s="585"/>
      <c r="C1654" s="586"/>
      <c r="D1654" s="587"/>
      <c r="E1654" s="591"/>
      <c r="G1654" s="593"/>
    </row>
    <row r="1655" spans="1:7">
      <c r="A1655" s="584"/>
      <c r="B1655" s="585"/>
      <c r="C1655" s="586"/>
      <c r="D1655" s="587"/>
      <c r="E1655" s="591"/>
      <c r="G1655" s="593"/>
    </row>
    <row r="1656" spans="1:7">
      <c r="A1656" s="584"/>
      <c r="B1656" s="585"/>
      <c r="C1656" s="586"/>
      <c r="D1656" s="587"/>
      <c r="E1656" s="591"/>
      <c r="G1656" s="593"/>
    </row>
    <row r="1657" spans="1:7">
      <c r="A1657" s="584"/>
      <c r="B1657" s="585"/>
      <c r="C1657" s="586"/>
      <c r="D1657" s="587"/>
      <c r="E1657" s="591"/>
      <c r="G1657" s="593"/>
    </row>
    <row r="1658" spans="1:7">
      <c r="A1658" s="584"/>
      <c r="B1658" s="585"/>
      <c r="C1658" s="586"/>
      <c r="D1658" s="587"/>
      <c r="E1658" s="591"/>
      <c r="G1658" s="593"/>
    </row>
    <row r="1659" spans="1:7">
      <c r="A1659" s="584"/>
      <c r="B1659" s="585"/>
      <c r="C1659" s="586"/>
      <c r="D1659" s="587"/>
      <c r="E1659" s="591"/>
      <c r="G1659" s="593"/>
    </row>
    <row r="1660" spans="1:7">
      <c r="A1660" s="584"/>
      <c r="B1660" s="585"/>
      <c r="C1660" s="586"/>
      <c r="D1660" s="587"/>
      <c r="E1660" s="591"/>
      <c r="G1660" s="593"/>
    </row>
    <row r="1661" spans="1:7">
      <c r="A1661" s="584"/>
      <c r="B1661" s="585"/>
      <c r="C1661" s="586"/>
      <c r="D1661" s="587"/>
      <c r="E1661" s="591"/>
      <c r="G1661" s="593"/>
    </row>
    <row r="1662" spans="1:7">
      <c r="A1662" s="584"/>
      <c r="B1662" s="585"/>
      <c r="C1662" s="586"/>
      <c r="D1662" s="587"/>
      <c r="E1662" s="591"/>
      <c r="G1662" s="593"/>
    </row>
    <row r="1663" spans="1:7">
      <c r="A1663" s="584"/>
      <c r="B1663" s="585"/>
      <c r="C1663" s="586"/>
      <c r="D1663" s="587"/>
      <c r="E1663" s="591"/>
      <c r="G1663" s="593"/>
    </row>
    <row r="1664" spans="1:7">
      <c r="A1664" s="584"/>
      <c r="B1664" s="585"/>
      <c r="C1664" s="586"/>
      <c r="D1664" s="587"/>
      <c r="E1664" s="591"/>
      <c r="G1664" s="593"/>
    </row>
    <row r="1665" spans="1:7">
      <c r="A1665" s="584"/>
      <c r="B1665" s="585"/>
      <c r="C1665" s="586"/>
      <c r="D1665" s="587"/>
      <c r="E1665" s="591"/>
      <c r="G1665" s="593"/>
    </row>
    <row r="1666" spans="1:7">
      <c r="A1666" s="584"/>
      <c r="B1666" s="585"/>
      <c r="C1666" s="586"/>
      <c r="D1666" s="587"/>
      <c r="E1666" s="591"/>
      <c r="G1666" s="593"/>
    </row>
    <row r="1667" spans="1:7">
      <c r="A1667" s="584"/>
      <c r="B1667" s="585"/>
      <c r="C1667" s="586"/>
      <c r="D1667" s="587"/>
      <c r="E1667" s="591"/>
      <c r="G1667" s="593"/>
    </row>
    <row r="1668" spans="1:7">
      <c r="A1668" s="584"/>
      <c r="B1668" s="585"/>
      <c r="C1668" s="586"/>
      <c r="D1668" s="587"/>
      <c r="E1668" s="591"/>
      <c r="G1668" s="593"/>
    </row>
    <row r="1669" spans="1:7">
      <c r="A1669" s="584"/>
      <c r="B1669" s="585"/>
      <c r="C1669" s="586"/>
      <c r="D1669" s="587"/>
      <c r="E1669" s="591"/>
      <c r="G1669" s="593"/>
    </row>
    <row r="1670" spans="1:7">
      <c r="A1670" s="584"/>
      <c r="B1670" s="585"/>
      <c r="C1670" s="586"/>
      <c r="D1670" s="587"/>
      <c r="E1670" s="591"/>
      <c r="G1670" s="593"/>
    </row>
    <row r="1671" spans="1:7">
      <c r="A1671" s="584"/>
      <c r="B1671" s="585"/>
      <c r="C1671" s="586"/>
      <c r="D1671" s="587"/>
      <c r="E1671" s="591"/>
      <c r="G1671" s="593"/>
    </row>
    <row r="1672" spans="1:7">
      <c r="A1672" s="584"/>
      <c r="B1672" s="585"/>
      <c r="C1672" s="586"/>
      <c r="D1672" s="587"/>
      <c r="E1672" s="591"/>
      <c r="G1672" s="593"/>
    </row>
    <row r="1673" spans="1:7">
      <c r="A1673" s="584"/>
      <c r="B1673" s="585"/>
      <c r="C1673" s="586"/>
      <c r="D1673" s="587"/>
      <c r="E1673" s="591"/>
      <c r="G1673" s="593"/>
    </row>
    <row r="1674" spans="1:7">
      <c r="A1674" s="584"/>
      <c r="B1674" s="585"/>
      <c r="C1674" s="586"/>
      <c r="D1674" s="587"/>
      <c r="E1674" s="591"/>
      <c r="G1674" s="593"/>
    </row>
    <row r="1675" spans="1:7">
      <c r="A1675" s="584"/>
      <c r="B1675" s="585"/>
      <c r="C1675" s="586"/>
      <c r="D1675" s="587"/>
      <c r="E1675" s="591"/>
      <c r="G1675" s="593"/>
    </row>
    <row r="1676" spans="1:7">
      <c r="A1676" s="584"/>
      <c r="B1676" s="585"/>
      <c r="C1676" s="586"/>
      <c r="D1676" s="587"/>
      <c r="E1676" s="591"/>
      <c r="G1676" s="593"/>
    </row>
    <row r="1677" spans="1:7">
      <c r="A1677" s="584"/>
      <c r="B1677" s="585"/>
      <c r="C1677" s="586"/>
      <c r="D1677" s="587"/>
      <c r="E1677" s="591"/>
      <c r="G1677" s="593"/>
    </row>
    <row r="1678" spans="1:7">
      <c r="A1678" s="584"/>
      <c r="B1678" s="585"/>
      <c r="C1678" s="586"/>
      <c r="D1678" s="587"/>
      <c r="E1678" s="591"/>
      <c r="G1678" s="593"/>
    </row>
    <row r="1679" spans="1:7">
      <c r="A1679" s="584"/>
      <c r="B1679" s="585"/>
      <c r="C1679" s="586"/>
      <c r="D1679" s="587"/>
      <c r="E1679" s="591"/>
      <c r="G1679" s="593"/>
    </row>
    <row r="1680" spans="1:7">
      <c r="A1680" s="584"/>
      <c r="B1680" s="585"/>
      <c r="C1680" s="586"/>
      <c r="D1680" s="587"/>
      <c r="E1680" s="591"/>
      <c r="G1680" s="593"/>
    </row>
    <row r="1681" spans="1:7">
      <c r="A1681" s="584"/>
      <c r="B1681" s="585"/>
      <c r="C1681" s="586"/>
      <c r="D1681" s="587"/>
      <c r="E1681" s="591"/>
      <c r="G1681" s="593"/>
    </row>
    <row r="1682" spans="1:7">
      <c r="A1682" s="584"/>
      <c r="B1682" s="585"/>
      <c r="C1682" s="586"/>
      <c r="D1682" s="587"/>
      <c r="E1682" s="591"/>
      <c r="G1682" s="593"/>
    </row>
    <row r="1683" spans="1:7">
      <c r="A1683" s="584"/>
      <c r="B1683" s="585"/>
      <c r="C1683" s="586"/>
      <c r="D1683" s="587"/>
      <c r="E1683" s="591"/>
      <c r="G1683" s="593"/>
    </row>
    <row r="1684" spans="1:7">
      <c r="A1684" s="584"/>
      <c r="B1684" s="585"/>
      <c r="C1684" s="586"/>
      <c r="D1684" s="587"/>
      <c r="E1684" s="591"/>
      <c r="G1684" s="593"/>
    </row>
    <row r="1685" spans="1:7">
      <c r="A1685" s="584"/>
      <c r="B1685" s="585"/>
      <c r="C1685" s="586"/>
      <c r="D1685" s="587"/>
      <c r="E1685" s="591"/>
      <c r="G1685" s="593"/>
    </row>
    <row r="1686" spans="1:7">
      <c r="A1686" s="584"/>
      <c r="B1686" s="585"/>
      <c r="C1686" s="586"/>
      <c r="D1686" s="587"/>
      <c r="E1686" s="591"/>
      <c r="G1686" s="593"/>
    </row>
    <row r="1687" spans="1:7">
      <c r="A1687" s="584"/>
      <c r="B1687" s="585"/>
      <c r="C1687" s="586"/>
      <c r="D1687" s="587"/>
      <c r="E1687" s="591"/>
      <c r="G1687" s="593"/>
    </row>
    <row r="1688" spans="1:7">
      <c r="A1688" s="584"/>
      <c r="B1688" s="585"/>
      <c r="C1688" s="586"/>
      <c r="D1688" s="587"/>
      <c r="E1688" s="591"/>
      <c r="G1688" s="593"/>
    </row>
    <row r="1689" spans="1:7">
      <c r="A1689" s="584"/>
      <c r="B1689" s="585"/>
      <c r="C1689" s="586"/>
      <c r="D1689" s="587"/>
      <c r="E1689" s="591"/>
      <c r="G1689" s="593"/>
    </row>
    <row r="1690" spans="1:7">
      <c r="A1690" s="584"/>
      <c r="B1690" s="585"/>
      <c r="C1690" s="586"/>
      <c r="D1690" s="587"/>
      <c r="E1690" s="591"/>
      <c r="G1690" s="593"/>
    </row>
    <row r="1691" spans="1:7">
      <c r="A1691" s="584"/>
      <c r="B1691" s="585"/>
      <c r="C1691" s="586"/>
      <c r="D1691" s="587"/>
      <c r="E1691" s="591"/>
      <c r="G1691" s="593"/>
    </row>
    <row r="1692" spans="1:7">
      <c r="A1692" s="584"/>
      <c r="B1692" s="585"/>
      <c r="C1692" s="586"/>
      <c r="D1692" s="587"/>
      <c r="E1692" s="591"/>
      <c r="G1692" s="593"/>
    </row>
    <row r="1693" spans="1:7">
      <c r="A1693" s="584"/>
      <c r="B1693" s="585"/>
      <c r="C1693" s="586"/>
      <c r="D1693" s="587"/>
      <c r="E1693" s="591"/>
      <c r="G1693" s="593"/>
    </row>
    <row r="1694" spans="1:7">
      <c r="A1694" s="584"/>
      <c r="B1694" s="585"/>
      <c r="C1694" s="586"/>
      <c r="D1694" s="587"/>
      <c r="E1694" s="591"/>
      <c r="G1694" s="593"/>
    </row>
    <row r="1695" spans="1:7">
      <c r="A1695" s="584"/>
      <c r="B1695" s="585"/>
      <c r="C1695" s="586"/>
      <c r="D1695" s="587"/>
      <c r="E1695" s="591"/>
      <c r="G1695" s="593"/>
    </row>
    <row r="1696" spans="1:7">
      <c r="A1696" s="584"/>
      <c r="B1696" s="585"/>
      <c r="C1696" s="586"/>
      <c r="D1696" s="587"/>
      <c r="E1696" s="591"/>
      <c r="G1696" s="593"/>
    </row>
    <row r="1697" spans="1:7">
      <c r="A1697" s="584"/>
      <c r="B1697" s="585"/>
      <c r="C1697" s="586"/>
      <c r="D1697" s="587"/>
      <c r="E1697" s="591"/>
      <c r="G1697" s="593"/>
    </row>
    <row r="1698" spans="1:7">
      <c r="A1698" s="584"/>
      <c r="B1698" s="585"/>
      <c r="C1698" s="586"/>
      <c r="D1698" s="587"/>
      <c r="E1698" s="591"/>
      <c r="G1698" s="593"/>
    </row>
    <row r="1699" spans="1:7">
      <c r="A1699" s="584"/>
      <c r="B1699" s="585"/>
      <c r="C1699" s="586"/>
      <c r="D1699" s="587"/>
      <c r="E1699" s="591"/>
      <c r="G1699" s="593"/>
    </row>
    <row r="1700" spans="1:7">
      <c r="A1700" s="584"/>
      <c r="B1700" s="585"/>
      <c r="C1700" s="586"/>
      <c r="D1700" s="587"/>
      <c r="E1700" s="591"/>
      <c r="G1700" s="593"/>
    </row>
    <row r="1701" spans="1:7">
      <c r="A1701" s="584"/>
      <c r="B1701" s="585"/>
      <c r="C1701" s="586"/>
      <c r="D1701" s="587"/>
      <c r="E1701" s="591"/>
      <c r="G1701" s="593"/>
    </row>
    <row r="1702" spans="1:7">
      <c r="A1702" s="584"/>
      <c r="B1702" s="585"/>
      <c r="C1702" s="586"/>
      <c r="D1702" s="587"/>
      <c r="E1702" s="591"/>
      <c r="G1702" s="593"/>
    </row>
    <row r="1703" spans="1:7">
      <c r="A1703" s="584"/>
      <c r="B1703" s="585"/>
      <c r="C1703" s="586"/>
      <c r="D1703" s="587"/>
      <c r="E1703" s="591"/>
      <c r="G1703" s="593"/>
    </row>
    <row r="1704" spans="1:7">
      <c r="A1704" s="584"/>
      <c r="B1704" s="585"/>
      <c r="C1704" s="586"/>
      <c r="D1704" s="587"/>
      <c r="E1704" s="591"/>
      <c r="G1704" s="593"/>
    </row>
    <row r="1705" spans="1:7">
      <c r="A1705" s="584"/>
      <c r="B1705" s="585"/>
      <c r="C1705" s="586"/>
      <c r="D1705" s="587"/>
      <c r="E1705" s="591"/>
      <c r="G1705" s="593"/>
    </row>
    <row r="1706" spans="1:7">
      <c r="A1706" s="584"/>
      <c r="B1706" s="585"/>
      <c r="C1706" s="586"/>
      <c r="D1706" s="587"/>
      <c r="E1706" s="591"/>
      <c r="G1706" s="593"/>
    </row>
    <row r="1707" spans="1:7">
      <c r="A1707" s="584"/>
      <c r="B1707" s="585"/>
      <c r="C1707" s="586"/>
      <c r="D1707" s="587"/>
      <c r="E1707" s="591"/>
      <c r="G1707" s="593"/>
    </row>
    <row r="1708" spans="1:7">
      <c r="A1708" s="584"/>
      <c r="B1708" s="585"/>
      <c r="C1708" s="586"/>
      <c r="D1708" s="587"/>
      <c r="E1708" s="591"/>
      <c r="G1708" s="593"/>
    </row>
    <row r="1709" spans="1:7">
      <c r="A1709" s="584"/>
      <c r="B1709" s="585"/>
      <c r="C1709" s="586"/>
      <c r="D1709" s="587"/>
      <c r="E1709" s="591"/>
      <c r="G1709" s="593"/>
    </row>
    <row r="1710" spans="1:7">
      <c r="A1710" s="584"/>
      <c r="B1710" s="585"/>
      <c r="C1710" s="586"/>
      <c r="D1710" s="587"/>
      <c r="E1710" s="591"/>
      <c r="G1710" s="593"/>
    </row>
    <row r="1711" spans="1:7">
      <c r="A1711" s="584"/>
      <c r="B1711" s="585"/>
      <c r="C1711" s="586"/>
      <c r="D1711" s="587"/>
      <c r="E1711" s="591"/>
      <c r="G1711" s="593"/>
    </row>
    <row r="1712" spans="1:7">
      <c r="A1712" s="584"/>
      <c r="B1712" s="585"/>
      <c r="C1712" s="586"/>
      <c r="D1712" s="587"/>
      <c r="E1712" s="591"/>
      <c r="G1712" s="593"/>
    </row>
    <row r="1713" spans="1:7">
      <c r="A1713" s="584"/>
      <c r="B1713" s="585"/>
      <c r="C1713" s="586"/>
      <c r="D1713" s="587"/>
      <c r="E1713" s="591"/>
      <c r="G1713" s="593"/>
    </row>
    <row r="1714" spans="1:7">
      <c r="A1714" s="584"/>
      <c r="B1714" s="585"/>
      <c r="C1714" s="586"/>
      <c r="D1714" s="587"/>
      <c r="E1714" s="591"/>
      <c r="G1714" s="593"/>
    </row>
    <row r="1715" spans="1:7">
      <c r="A1715" s="584"/>
      <c r="B1715" s="585"/>
      <c r="C1715" s="586"/>
      <c r="D1715" s="587"/>
      <c r="E1715" s="591"/>
      <c r="G1715" s="593"/>
    </row>
    <row r="1716" spans="1:7">
      <c r="A1716" s="584"/>
      <c r="B1716" s="585"/>
      <c r="C1716" s="586"/>
      <c r="D1716" s="587"/>
      <c r="E1716" s="591"/>
      <c r="G1716" s="593"/>
    </row>
    <row r="1717" spans="1:7">
      <c r="A1717" s="584"/>
      <c r="B1717" s="585"/>
      <c r="C1717" s="586"/>
      <c r="D1717" s="587"/>
      <c r="E1717" s="591"/>
      <c r="G1717" s="593"/>
    </row>
    <row r="1718" spans="1:7">
      <c r="A1718" s="584"/>
      <c r="B1718" s="585"/>
      <c r="C1718" s="586"/>
      <c r="D1718" s="587"/>
      <c r="E1718" s="591"/>
      <c r="G1718" s="593"/>
    </row>
    <row r="1719" spans="1:7">
      <c r="A1719" s="584"/>
      <c r="B1719" s="585"/>
      <c r="C1719" s="586"/>
      <c r="D1719" s="587"/>
      <c r="E1719" s="591"/>
      <c r="G1719" s="593"/>
    </row>
    <row r="1720" spans="1:7">
      <c r="A1720" s="584"/>
      <c r="B1720" s="585"/>
      <c r="C1720" s="586"/>
      <c r="D1720" s="587"/>
      <c r="E1720" s="591"/>
      <c r="G1720" s="593"/>
    </row>
    <row r="1721" spans="1:7">
      <c r="A1721" s="584"/>
      <c r="B1721" s="585"/>
      <c r="C1721" s="586"/>
      <c r="D1721" s="587"/>
      <c r="E1721" s="591"/>
      <c r="G1721" s="593"/>
    </row>
    <row r="1722" spans="1:7">
      <c r="A1722" s="584"/>
      <c r="B1722" s="585"/>
      <c r="C1722" s="586"/>
      <c r="D1722" s="587"/>
      <c r="E1722" s="591"/>
      <c r="G1722" s="593"/>
    </row>
    <row r="1723" spans="1:7">
      <c r="A1723" s="584"/>
      <c r="B1723" s="585"/>
      <c r="C1723" s="586"/>
      <c r="D1723" s="587"/>
      <c r="E1723" s="591"/>
      <c r="G1723" s="593"/>
    </row>
    <row r="1724" spans="1:7">
      <c r="A1724" s="584"/>
      <c r="B1724" s="585"/>
      <c r="C1724" s="586"/>
      <c r="D1724" s="587"/>
      <c r="E1724" s="591"/>
      <c r="G1724" s="593"/>
    </row>
    <row r="1725" spans="1:7">
      <c r="A1725" s="584"/>
      <c r="B1725" s="585"/>
      <c r="C1725" s="586"/>
      <c r="D1725" s="587"/>
      <c r="E1725" s="591"/>
      <c r="G1725" s="593"/>
    </row>
    <row r="1726" spans="1:7">
      <c r="A1726" s="584"/>
      <c r="B1726" s="585"/>
      <c r="C1726" s="586"/>
      <c r="D1726" s="587"/>
      <c r="E1726" s="591"/>
      <c r="G1726" s="593"/>
    </row>
    <row r="1727" spans="1:7">
      <c r="A1727" s="584"/>
      <c r="B1727" s="585"/>
      <c r="C1727" s="586"/>
      <c r="D1727" s="587"/>
      <c r="E1727" s="591"/>
      <c r="G1727" s="593"/>
    </row>
    <row r="1728" spans="1:7">
      <c r="A1728" s="584"/>
      <c r="B1728" s="585"/>
      <c r="C1728" s="586"/>
      <c r="D1728" s="587"/>
      <c r="E1728" s="591"/>
      <c r="G1728" s="593"/>
    </row>
    <row r="1729" spans="1:7">
      <c r="A1729" s="584"/>
      <c r="B1729" s="585"/>
      <c r="C1729" s="586"/>
      <c r="D1729" s="587"/>
      <c r="E1729" s="591"/>
      <c r="G1729" s="593"/>
    </row>
    <row r="1730" spans="1:7">
      <c r="A1730" s="584"/>
      <c r="B1730" s="585"/>
      <c r="C1730" s="586"/>
      <c r="D1730" s="587"/>
      <c r="E1730" s="591"/>
      <c r="G1730" s="593"/>
    </row>
    <row r="1731" spans="1:7">
      <c r="A1731" s="584"/>
      <c r="B1731" s="585"/>
      <c r="C1731" s="586"/>
      <c r="D1731" s="587"/>
      <c r="E1731" s="591"/>
      <c r="G1731" s="593"/>
    </row>
    <row r="1732" spans="1:7">
      <c r="A1732" s="584"/>
      <c r="B1732" s="585"/>
      <c r="C1732" s="586"/>
      <c r="D1732" s="587"/>
      <c r="E1732" s="591"/>
      <c r="G1732" s="593"/>
    </row>
    <row r="1733" spans="1:7">
      <c r="A1733" s="584"/>
      <c r="B1733" s="585"/>
      <c r="C1733" s="586"/>
      <c r="D1733" s="587"/>
      <c r="E1733" s="591"/>
      <c r="G1733" s="593"/>
    </row>
    <row r="1734" spans="1:7">
      <c r="A1734" s="584"/>
      <c r="B1734" s="585"/>
      <c r="C1734" s="586"/>
      <c r="D1734" s="587"/>
      <c r="E1734" s="591"/>
      <c r="G1734" s="593"/>
    </row>
    <row r="1735" spans="1:7">
      <c r="A1735" s="584"/>
      <c r="B1735" s="585"/>
      <c r="C1735" s="586"/>
      <c r="D1735" s="587"/>
      <c r="E1735" s="591"/>
      <c r="G1735" s="593"/>
    </row>
    <row r="1736" spans="1:7">
      <c r="A1736" s="584"/>
      <c r="B1736" s="585"/>
      <c r="C1736" s="586"/>
      <c r="D1736" s="587"/>
      <c r="E1736" s="591"/>
      <c r="G1736" s="593"/>
    </row>
    <row r="1737" spans="1:7">
      <c r="A1737" s="584"/>
      <c r="B1737" s="585"/>
      <c r="C1737" s="586"/>
      <c r="D1737" s="587"/>
      <c r="E1737" s="591"/>
      <c r="G1737" s="593"/>
    </row>
    <row r="1738" spans="1:7">
      <c r="A1738" s="584"/>
      <c r="B1738" s="585"/>
      <c r="C1738" s="586"/>
      <c r="D1738" s="587"/>
      <c r="E1738" s="591"/>
      <c r="G1738" s="593"/>
    </row>
    <row r="1739" spans="1:7">
      <c r="A1739" s="584"/>
      <c r="B1739" s="585"/>
      <c r="C1739" s="586"/>
      <c r="D1739" s="587"/>
      <c r="E1739" s="591"/>
      <c r="G1739" s="593"/>
    </row>
    <row r="1740" spans="1:7">
      <c r="A1740" s="584"/>
      <c r="B1740" s="585"/>
      <c r="C1740" s="586"/>
      <c r="D1740" s="587"/>
      <c r="E1740" s="591"/>
      <c r="G1740" s="593"/>
    </row>
    <row r="1741" spans="1:7">
      <c r="A1741" s="584"/>
      <c r="B1741" s="585"/>
      <c r="C1741" s="586"/>
      <c r="D1741" s="587"/>
      <c r="E1741" s="591"/>
      <c r="G1741" s="593"/>
    </row>
    <row r="1742" spans="1:7">
      <c r="A1742" s="584"/>
      <c r="B1742" s="585"/>
      <c r="C1742" s="586"/>
      <c r="D1742" s="587"/>
      <c r="E1742" s="591"/>
      <c r="G1742" s="593"/>
    </row>
    <row r="1743" spans="1:7">
      <c r="A1743" s="584"/>
      <c r="B1743" s="585"/>
      <c r="C1743" s="586"/>
      <c r="D1743" s="587"/>
      <c r="E1743" s="591"/>
      <c r="G1743" s="593"/>
    </row>
    <row r="1744" spans="1:7">
      <c r="A1744" s="584"/>
      <c r="B1744" s="585"/>
      <c r="C1744" s="586"/>
      <c r="D1744" s="587"/>
      <c r="E1744" s="591"/>
      <c r="G1744" s="593"/>
    </row>
    <row r="1745" spans="1:7">
      <c r="A1745" s="584"/>
      <c r="B1745" s="585"/>
      <c r="C1745" s="586"/>
      <c r="D1745" s="587"/>
      <c r="E1745" s="591"/>
      <c r="G1745" s="593"/>
    </row>
    <row r="1746" spans="1:7">
      <c r="A1746" s="584"/>
      <c r="B1746" s="585"/>
      <c r="C1746" s="586"/>
      <c r="D1746" s="587"/>
      <c r="E1746" s="591"/>
      <c r="G1746" s="593"/>
    </row>
    <row r="1747" spans="1:7">
      <c r="A1747" s="584"/>
      <c r="B1747" s="585"/>
      <c r="C1747" s="586"/>
      <c r="D1747" s="587"/>
      <c r="E1747" s="591"/>
      <c r="G1747" s="593"/>
    </row>
    <row r="1748" spans="1:7">
      <c r="A1748" s="584"/>
      <c r="B1748" s="585"/>
      <c r="C1748" s="586"/>
      <c r="D1748" s="587"/>
      <c r="E1748" s="591"/>
      <c r="G1748" s="593"/>
    </row>
    <row r="1749" spans="1:7">
      <c r="A1749" s="584"/>
      <c r="B1749" s="585"/>
      <c r="C1749" s="586"/>
      <c r="D1749" s="587"/>
      <c r="E1749" s="591"/>
      <c r="G1749" s="593"/>
    </row>
    <row r="1750" spans="1:7">
      <c r="A1750" s="584"/>
      <c r="B1750" s="585"/>
      <c r="C1750" s="586"/>
      <c r="D1750" s="587"/>
      <c r="E1750" s="591"/>
      <c r="G1750" s="593"/>
    </row>
    <row r="1751" spans="1:7">
      <c r="A1751" s="584"/>
      <c r="B1751" s="585"/>
      <c r="C1751" s="586"/>
      <c r="D1751" s="587"/>
      <c r="E1751" s="591"/>
      <c r="G1751" s="593"/>
    </row>
    <row r="1752" spans="1:7">
      <c r="A1752" s="584"/>
      <c r="B1752" s="585"/>
      <c r="C1752" s="586"/>
      <c r="D1752" s="587"/>
      <c r="E1752" s="591"/>
      <c r="G1752" s="593"/>
    </row>
    <row r="1753" spans="1:7">
      <c r="A1753" s="584"/>
      <c r="B1753" s="585"/>
      <c r="C1753" s="586"/>
      <c r="D1753" s="587"/>
      <c r="E1753" s="591"/>
      <c r="G1753" s="593"/>
    </row>
    <row r="1754" spans="1:7">
      <c r="A1754" s="584"/>
      <c r="B1754" s="585"/>
      <c r="C1754" s="586"/>
      <c r="D1754" s="587"/>
      <c r="E1754" s="591"/>
      <c r="G1754" s="593"/>
    </row>
    <row r="1755" spans="1:7">
      <c r="A1755" s="584"/>
      <c r="B1755" s="585"/>
      <c r="C1755" s="586"/>
      <c r="D1755" s="587"/>
      <c r="E1755" s="591"/>
      <c r="G1755" s="593"/>
    </row>
    <row r="1756" spans="1:7">
      <c r="A1756" s="584"/>
      <c r="B1756" s="585"/>
      <c r="C1756" s="586"/>
      <c r="D1756" s="587"/>
      <c r="E1756" s="591"/>
      <c r="G1756" s="593"/>
    </row>
    <row r="1757" spans="1:7">
      <c r="A1757" s="584"/>
      <c r="B1757" s="585"/>
      <c r="C1757" s="586"/>
      <c r="D1757" s="587"/>
      <c r="E1757" s="591"/>
      <c r="G1757" s="593"/>
    </row>
    <row r="1758" spans="1:7">
      <c r="A1758" s="584"/>
      <c r="B1758" s="585"/>
      <c r="C1758" s="586"/>
      <c r="D1758" s="587"/>
      <c r="E1758" s="591"/>
      <c r="G1758" s="593"/>
    </row>
    <row r="1759" spans="1:7">
      <c r="A1759" s="584"/>
      <c r="B1759" s="585"/>
      <c r="C1759" s="586"/>
      <c r="D1759" s="587"/>
      <c r="E1759" s="591"/>
      <c r="G1759" s="593"/>
    </row>
    <row r="1760" spans="1:7">
      <c r="A1760" s="584"/>
      <c r="B1760" s="585"/>
      <c r="C1760" s="586"/>
      <c r="D1760" s="587"/>
      <c r="E1760" s="591"/>
      <c r="G1760" s="593"/>
    </row>
    <row r="1761" spans="1:7">
      <c r="A1761" s="584"/>
      <c r="B1761" s="585"/>
      <c r="C1761" s="586"/>
      <c r="D1761" s="587"/>
      <c r="E1761" s="591"/>
      <c r="G1761" s="593"/>
    </row>
    <row r="1762" spans="1:7">
      <c r="A1762" s="584"/>
      <c r="B1762" s="585"/>
      <c r="C1762" s="586"/>
      <c r="D1762" s="587"/>
      <c r="E1762" s="591"/>
      <c r="G1762" s="593"/>
    </row>
    <row r="1763" spans="1:7">
      <c r="A1763" s="584"/>
      <c r="B1763" s="585"/>
      <c r="C1763" s="586"/>
      <c r="D1763" s="587"/>
      <c r="E1763" s="591"/>
      <c r="G1763" s="593"/>
    </row>
    <row r="1764" spans="1:7">
      <c r="A1764" s="584"/>
      <c r="B1764" s="585"/>
      <c r="C1764" s="586"/>
      <c r="D1764" s="587"/>
      <c r="E1764" s="591"/>
      <c r="G1764" s="593"/>
    </row>
    <row r="1765" spans="1:7">
      <c r="A1765" s="584"/>
      <c r="B1765" s="585"/>
      <c r="C1765" s="586"/>
      <c r="D1765" s="587"/>
      <c r="E1765" s="591"/>
      <c r="G1765" s="593"/>
    </row>
    <row r="1766" spans="1:7">
      <c r="A1766" s="584"/>
      <c r="B1766" s="585"/>
      <c r="C1766" s="586"/>
      <c r="D1766" s="587"/>
      <c r="E1766" s="591"/>
      <c r="G1766" s="593"/>
    </row>
    <row r="1767" spans="1:7">
      <c r="A1767" s="584"/>
      <c r="B1767" s="585"/>
      <c r="C1767" s="586"/>
      <c r="D1767" s="587"/>
      <c r="E1767" s="591"/>
      <c r="G1767" s="593"/>
    </row>
    <row r="1768" spans="1:7">
      <c r="A1768" s="584"/>
      <c r="B1768" s="585"/>
      <c r="C1768" s="586"/>
      <c r="D1768" s="587"/>
      <c r="E1768" s="591"/>
      <c r="G1768" s="593"/>
    </row>
    <row r="1769" spans="1:7">
      <c r="A1769" s="584"/>
      <c r="B1769" s="585"/>
      <c r="C1769" s="586"/>
      <c r="D1769" s="587"/>
      <c r="E1769" s="591"/>
      <c r="G1769" s="593"/>
    </row>
    <row r="1770" spans="1:7">
      <c r="A1770" s="584"/>
      <c r="B1770" s="585"/>
      <c r="C1770" s="586"/>
      <c r="D1770" s="587"/>
      <c r="E1770" s="591"/>
      <c r="G1770" s="593"/>
    </row>
    <row r="1771" spans="1:7">
      <c r="A1771" s="584"/>
      <c r="B1771" s="585"/>
      <c r="C1771" s="586"/>
      <c r="D1771" s="587"/>
      <c r="E1771" s="591"/>
      <c r="G1771" s="593"/>
    </row>
    <row r="1772" spans="1:7">
      <c r="A1772" s="584"/>
      <c r="B1772" s="585"/>
      <c r="C1772" s="586"/>
      <c r="D1772" s="587"/>
      <c r="E1772" s="591"/>
      <c r="G1772" s="593"/>
    </row>
    <row r="1773" spans="1:7">
      <c r="A1773" s="584"/>
      <c r="B1773" s="585"/>
      <c r="C1773" s="586"/>
      <c r="D1773" s="587"/>
      <c r="E1773" s="591"/>
      <c r="G1773" s="593"/>
    </row>
    <row r="1774" spans="1:7">
      <c r="A1774" s="584"/>
      <c r="B1774" s="585"/>
      <c r="C1774" s="586"/>
      <c r="D1774" s="587"/>
      <c r="E1774" s="591"/>
      <c r="G1774" s="593"/>
    </row>
    <row r="1775" spans="1:7">
      <c r="A1775" s="584"/>
      <c r="B1775" s="585"/>
      <c r="C1775" s="586"/>
      <c r="D1775" s="587"/>
      <c r="E1775" s="591"/>
      <c r="G1775" s="593"/>
    </row>
    <row r="1776" spans="1:7">
      <c r="A1776" s="584"/>
      <c r="B1776" s="585"/>
      <c r="C1776" s="586"/>
      <c r="D1776" s="587"/>
      <c r="E1776" s="591"/>
      <c r="G1776" s="593"/>
    </row>
    <row r="1777" spans="1:7">
      <c r="A1777" s="584"/>
      <c r="B1777" s="585"/>
      <c r="C1777" s="586"/>
      <c r="D1777" s="587"/>
      <c r="E1777" s="591"/>
      <c r="G1777" s="593"/>
    </row>
    <row r="1778" spans="1:7">
      <c r="A1778" s="584"/>
      <c r="B1778" s="585"/>
      <c r="C1778" s="586"/>
      <c r="D1778" s="587"/>
      <c r="E1778" s="591"/>
      <c r="G1778" s="593"/>
    </row>
    <row r="1779" spans="1:7">
      <c r="A1779" s="584"/>
      <c r="B1779" s="585"/>
      <c r="C1779" s="586"/>
      <c r="D1779" s="587"/>
      <c r="E1779" s="591"/>
      <c r="G1779" s="593"/>
    </row>
    <row r="1780" spans="1:7">
      <c r="A1780" s="584"/>
      <c r="B1780" s="585"/>
      <c r="C1780" s="586"/>
      <c r="D1780" s="587"/>
      <c r="E1780" s="591"/>
      <c r="G1780" s="593"/>
    </row>
    <row r="1781" spans="1:7">
      <c r="A1781" s="584"/>
      <c r="B1781" s="585"/>
      <c r="C1781" s="586"/>
      <c r="D1781" s="587"/>
      <c r="E1781" s="591"/>
      <c r="G1781" s="593"/>
    </row>
    <row r="1782" spans="1:7">
      <c r="A1782" s="584"/>
      <c r="B1782" s="585"/>
      <c r="C1782" s="586"/>
      <c r="D1782" s="587"/>
      <c r="E1782" s="591"/>
      <c r="G1782" s="593"/>
    </row>
    <row r="1783" spans="1:7">
      <c r="A1783" s="584"/>
      <c r="B1783" s="585"/>
      <c r="C1783" s="586"/>
      <c r="D1783" s="587"/>
      <c r="E1783" s="591"/>
      <c r="G1783" s="593"/>
    </row>
    <row r="1784" spans="1:7">
      <c r="A1784" s="584"/>
      <c r="B1784" s="585"/>
      <c r="C1784" s="586"/>
      <c r="D1784" s="587"/>
      <c r="E1784" s="591"/>
      <c r="G1784" s="593"/>
    </row>
    <row r="1785" spans="1:7">
      <c r="A1785" s="584"/>
      <c r="B1785" s="585"/>
      <c r="C1785" s="586"/>
      <c r="D1785" s="587"/>
      <c r="E1785" s="591"/>
      <c r="G1785" s="593"/>
    </row>
    <row r="1786" spans="1:7">
      <c r="A1786" s="584"/>
      <c r="B1786" s="585"/>
      <c r="C1786" s="586"/>
      <c r="D1786" s="587"/>
      <c r="E1786" s="591"/>
      <c r="G1786" s="593"/>
    </row>
    <row r="1787" spans="1:7">
      <c r="A1787" s="584"/>
      <c r="B1787" s="585"/>
      <c r="C1787" s="586"/>
      <c r="D1787" s="587"/>
      <c r="E1787" s="591"/>
      <c r="G1787" s="593"/>
    </row>
    <row r="1788" spans="1:7">
      <c r="A1788" s="584"/>
      <c r="B1788" s="585"/>
      <c r="C1788" s="586"/>
      <c r="D1788" s="587"/>
      <c r="E1788" s="591"/>
      <c r="G1788" s="593"/>
    </row>
    <row r="1789" spans="1:7">
      <c r="A1789" s="584"/>
      <c r="B1789" s="585"/>
      <c r="C1789" s="586"/>
      <c r="D1789" s="587"/>
      <c r="E1789" s="591"/>
      <c r="G1789" s="593"/>
    </row>
    <row r="1790" spans="1:7">
      <c r="A1790" s="584"/>
      <c r="B1790" s="585"/>
      <c r="C1790" s="586"/>
      <c r="D1790" s="587"/>
      <c r="E1790" s="591"/>
      <c r="G1790" s="593"/>
    </row>
    <row r="1791" spans="1:7">
      <c r="A1791" s="584"/>
      <c r="B1791" s="585"/>
      <c r="C1791" s="586"/>
      <c r="D1791" s="587"/>
      <c r="E1791" s="591"/>
      <c r="G1791" s="593"/>
    </row>
    <row r="1792" spans="1:7">
      <c r="A1792" s="584"/>
      <c r="B1792" s="585"/>
      <c r="C1792" s="586"/>
      <c r="D1792" s="587"/>
      <c r="E1792" s="591"/>
      <c r="G1792" s="593"/>
    </row>
    <row r="1793" spans="1:7">
      <c r="A1793" s="584"/>
      <c r="B1793" s="585"/>
      <c r="C1793" s="586"/>
      <c r="D1793" s="587"/>
      <c r="E1793" s="591"/>
      <c r="G1793" s="593"/>
    </row>
    <row r="1794" spans="1:7">
      <c r="A1794" s="584"/>
      <c r="B1794" s="585"/>
      <c r="C1794" s="586"/>
      <c r="D1794" s="587"/>
      <c r="E1794" s="591"/>
      <c r="G1794" s="593"/>
    </row>
    <row r="1795" spans="1:7">
      <c r="A1795" s="584"/>
      <c r="B1795" s="585"/>
      <c r="C1795" s="586"/>
      <c r="D1795" s="587"/>
      <c r="E1795" s="591"/>
      <c r="G1795" s="593"/>
    </row>
    <row r="1796" spans="1:7">
      <c r="A1796" s="584"/>
      <c r="B1796" s="585"/>
      <c r="C1796" s="586"/>
      <c r="D1796" s="587"/>
      <c r="E1796" s="591"/>
      <c r="G1796" s="593"/>
    </row>
    <row r="1797" spans="1:7">
      <c r="A1797" s="584"/>
      <c r="B1797" s="585"/>
      <c r="C1797" s="586"/>
      <c r="D1797" s="587"/>
      <c r="E1797" s="591"/>
      <c r="G1797" s="593"/>
    </row>
    <row r="1798" spans="1:7">
      <c r="A1798" s="584"/>
      <c r="B1798" s="585"/>
      <c r="C1798" s="586"/>
      <c r="D1798" s="587"/>
      <c r="E1798" s="591"/>
      <c r="G1798" s="593"/>
    </row>
    <row r="1799" spans="1:7">
      <c r="A1799" s="584"/>
      <c r="B1799" s="585"/>
      <c r="C1799" s="586"/>
      <c r="D1799" s="587"/>
      <c r="E1799" s="591"/>
      <c r="G1799" s="593"/>
    </row>
    <row r="1800" spans="1:7">
      <c r="A1800" s="584"/>
      <c r="B1800" s="585"/>
      <c r="C1800" s="586"/>
      <c r="D1800" s="587"/>
      <c r="E1800" s="591"/>
      <c r="G1800" s="593"/>
    </row>
    <row r="1801" spans="1:7">
      <c r="A1801" s="584"/>
      <c r="B1801" s="585"/>
      <c r="C1801" s="586"/>
      <c r="D1801" s="587"/>
      <c r="E1801" s="591"/>
      <c r="G1801" s="593"/>
    </row>
    <row r="1802" spans="1:7">
      <c r="A1802" s="584"/>
      <c r="B1802" s="585"/>
      <c r="C1802" s="586"/>
      <c r="D1802" s="587"/>
      <c r="E1802" s="591"/>
      <c r="G1802" s="593"/>
    </row>
    <row r="1803" spans="1:7">
      <c r="A1803" s="584"/>
      <c r="B1803" s="585"/>
      <c r="C1803" s="586"/>
      <c r="D1803" s="587"/>
      <c r="E1803" s="591"/>
      <c r="G1803" s="593"/>
    </row>
    <row r="1804" spans="1:7">
      <c r="A1804" s="584"/>
      <c r="B1804" s="585"/>
      <c r="C1804" s="586"/>
      <c r="D1804" s="587"/>
      <c r="E1804" s="591"/>
      <c r="G1804" s="593"/>
    </row>
    <row r="1805" spans="1:7">
      <c r="A1805" s="584"/>
      <c r="B1805" s="585"/>
      <c r="C1805" s="586"/>
      <c r="D1805" s="587"/>
      <c r="E1805" s="591"/>
      <c r="G1805" s="593"/>
    </row>
    <row r="1806" spans="1:7">
      <c r="A1806" s="584"/>
      <c r="B1806" s="585"/>
      <c r="C1806" s="586"/>
      <c r="D1806" s="587"/>
      <c r="E1806" s="591"/>
      <c r="G1806" s="593"/>
    </row>
    <row r="1807" spans="1:7">
      <c r="A1807" s="584"/>
      <c r="B1807" s="585"/>
      <c r="C1807" s="586"/>
      <c r="D1807" s="587"/>
      <c r="E1807" s="591"/>
      <c r="G1807" s="593"/>
    </row>
    <row r="1808" spans="1:7">
      <c r="A1808" s="584"/>
      <c r="B1808" s="585"/>
      <c r="C1808" s="586"/>
      <c r="D1808" s="587"/>
      <c r="E1808" s="591"/>
      <c r="G1808" s="593"/>
    </row>
    <row r="1809" spans="1:7">
      <c r="A1809" s="584"/>
      <c r="B1809" s="585"/>
      <c r="C1809" s="586"/>
      <c r="D1809" s="587"/>
      <c r="E1809" s="591"/>
      <c r="G1809" s="593"/>
    </row>
    <row r="1810" spans="1:7">
      <c r="A1810" s="584"/>
      <c r="B1810" s="585"/>
      <c r="C1810" s="586"/>
      <c r="D1810" s="587"/>
      <c r="E1810" s="591"/>
      <c r="G1810" s="593"/>
    </row>
    <row r="1811" spans="1:7">
      <c r="A1811" s="584"/>
      <c r="B1811" s="585"/>
      <c r="C1811" s="586"/>
      <c r="D1811" s="587"/>
      <c r="E1811" s="591"/>
      <c r="G1811" s="593"/>
    </row>
    <row r="1812" spans="1:7">
      <c r="A1812" s="584"/>
      <c r="B1812" s="585"/>
      <c r="C1812" s="586"/>
      <c r="D1812" s="587"/>
      <c r="E1812" s="591"/>
      <c r="G1812" s="593"/>
    </row>
    <row r="1813" spans="1:7">
      <c r="A1813" s="584"/>
      <c r="B1813" s="585"/>
      <c r="C1813" s="586"/>
      <c r="D1813" s="587"/>
      <c r="E1813" s="591"/>
      <c r="G1813" s="593"/>
    </row>
    <row r="1814" spans="1:7">
      <c r="A1814" s="584"/>
      <c r="B1814" s="585"/>
      <c r="C1814" s="586"/>
      <c r="D1814" s="587"/>
      <c r="E1814" s="591"/>
      <c r="G1814" s="593"/>
    </row>
    <row r="1815" spans="1:7">
      <c r="A1815" s="584"/>
      <c r="B1815" s="585"/>
      <c r="C1815" s="586"/>
      <c r="D1815" s="587"/>
      <c r="E1815" s="591"/>
      <c r="G1815" s="593"/>
    </row>
    <row r="1816" spans="1:7">
      <c r="A1816" s="584"/>
      <c r="B1816" s="585"/>
      <c r="C1816" s="586"/>
      <c r="D1816" s="587"/>
      <c r="E1816" s="591"/>
      <c r="G1816" s="593"/>
    </row>
    <row r="1817" spans="1:7">
      <c r="A1817" s="584"/>
      <c r="B1817" s="585"/>
      <c r="C1817" s="586"/>
      <c r="D1817" s="587"/>
      <c r="E1817" s="591"/>
      <c r="G1817" s="593"/>
    </row>
    <row r="1818" spans="1:7">
      <c r="A1818" s="584"/>
      <c r="B1818" s="585"/>
      <c r="C1818" s="586"/>
      <c r="D1818" s="587"/>
      <c r="E1818" s="591"/>
      <c r="G1818" s="593"/>
    </row>
    <row r="1819" spans="1:7">
      <c r="A1819" s="584"/>
      <c r="B1819" s="585"/>
      <c r="C1819" s="586"/>
      <c r="D1819" s="587"/>
      <c r="E1819" s="591"/>
      <c r="G1819" s="593"/>
    </row>
    <row r="1820" spans="1:7">
      <c r="A1820" s="584"/>
      <c r="B1820" s="585"/>
      <c r="C1820" s="586"/>
      <c r="D1820" s="587"/>
      <c r="E1820" s="591"/>
      <c r="G1820" s="593"/>
    </row>
    <row r="1821" spans="1:7">
      <c r="A1821" s="584"/>
      <c r="B1821" s="585"/>
      <c r="C1821" s="586"/>
      <c r="D1821" s="587"/>
      <c r="E1821" s="591"/>
      <c r="G1821" s="593"/>
    </row>
    <row r="1822" spans="1:7">
      <c r="A1822" s="584"/>
      <c r="B1822" s="585"/>
      <c r="C1822" s="586"/>
      <c r="D1822" s="587"/>
      <c r="E1822" s="591"/>
      <c r="G1822" s="593"/>
    </row>
    <row r="1823" spans="1:7">
      <c r="A1823" s="584"/>
      <c r="B1823" s="585"/>
      <c r="C1823" s="586"/>
      <c r="D1823" s="587"/>
      <c r="E1823" s="591"/>
      <c r="G1823" s="593"/>
    </row>
    <row r="1824" spans="1:7">
      <c r="A1824" s="584"/>
      <c r="B1824" s="585"/>
      <c r="C1824" s="586"/>
      <c r="D1824" s="587"/>
      <c r="E1824" s="591"/>
      <c r="G1824" s="593"/>
    </row>
    <row r="1825" spans="1:7">
      <c r="A1825" s="584"/>
      <c r="B1825" s="585"/>
      <c r="C1825" s="586"/>
      <c r="D1825" s="587"/>
      <c r="E1825" s="591"/>
      <c r="G1825" s="593"/>
    </row>
    <row r="1826" spans="1:7">
      <c r="A1826" s="584"/>
      <c r="B1826" s="585"/>
      <c r="C1826" s="586"/>
      <c r="D1826" s="587"/>
      <c r="E1826" s="591"/>
      <c r="G1826" s="593"/>
    </row>
    <row r="1827" spans="1:7">
      <c r="A1827" s="584"/>
      <c r="B1827" s="585"/>
      <c r="C1827" s="586"/>
      <c r="D1827" s="587"/>
      <c r="E1827" s="591"/>
      <c r="G1827" s="593"/>
    </row>
    <row r="1828" spans="1:7">
      <c r="A1828" s="584"/>
      <c r="B1828" s="585"/>
      <c r="C1828" s="586"/>
      <c r="D1828" s="587"/>
      <c r="E1828" s="591"/>
      <c r="G1828" s="593"/>
    </row>
    <row r="1829" spans="1:7">
      <c r="A1829" s="584"/>
      <c r="B1829" s="585"/>
      <c r="C1829" s="586"/>
      <c r="D1829" s="587"/>
      <c r="E1829" s="591"/>
      <c r="G1829" s="593"/>
    </row>
    <row r="1830" spans="1:7">
      <c r="A1830" s="584"/>
      <c r="B1830" s="585"/>
      <c r="C1830" s="586"/>
      <c r="D1830" s="587"/>
      <c r="E1830" s="591"/>
      <c r="G1830" s="593"/>
    </row>
    <row r="1831" spans="1:7">
      <c r="A1831" s="584"/>
      <c r="B1831" s="585"/>
      <c r="C1831" s="586"/>
      <c r="D1831" s="587"/>
      <c r="E1831" s="591"/>
      <c r="G1831" s="593"/>
    </row>
    <row r="1832" spans="1:7">
      <c r="A1832" s="584"/>
      <c r="B1832" s="585"/>
      <c r="C1832" s="586"/>
      <c r="D1832" s="587"/>
      <c r="E1832" s="591"/>
      <c r="G1832" s="593"/>
    </row>
    <row r="1833" spans="1:7">
      <c r="A1833" s="584"/>
      <c r="B1833" s="585"/>
      <c r="C1833" s="586"/>
      <c r="D1833" s="587"/>
      <c r="E1833" s="591"/>
      <c r="G1833" s="593"/>
    </row>
    <row r="1834" spans="1:7">
      <c r="A1834" s="584"/>
      <c r="B1834" s="585"/>
      <c r="C1834" s="586"/>
      <c r="D1834" s="587"/>
      <c r="E1834" s="591"/>
      <c r="G1834" s="593"/>
    </row>
    <row r="1835" spans="1:7">
      <c r="A1835" s="584"/>
      <c r="B1835" s="585"/>
      <c r="C1835" s="586"/>
      <c r="D1835" s="587"/>
      <c r="E1835" s="591"/>
      <c r="G1835" s="593"/>
    </row>
    <row r="1836" spans="1:7">
      <c r="A1836" s="584"/>
      <c r="B1836" s="585"/>
      <c r="C1836" s="586"/>
      <c r="D1836" s="587"/>
      <c r="E1836" s="591"/>
      <c r="G1836" s="593"/>
    </row>
    <row r="1837" spans="1:7">
      <c r="A1837" s="584"/>
      <c r="B1837" s="585"/>
      <c r="C1837" s="586"/>
      <c r="D1837" s="587"/>
      <c r="E1837" s="591"/>
      <c r="G1837" s="593"/>
    </row>
    <row r="1838" spans="1:7">
      <c r="A1838" s="584"/>
      <c r="B1838" s="585"/>
      <c r="C1838" s="586"/>
      <c r="D1838" s="587"/>
      <c r="E1838" s="591"/>
      <c r="G1838" s="593"/>
    </row>
    <row r="1839" spans="1:7">
      <c r="A1839" s="584"/>
      <c r="B1839" s="585"/>
      <c r="C1839" s="586"/>
      <c r="D1839" s="587"/>
      <c r="E1839" s="591"/>
      <c r="G1839" s="593"/>
    </row>
    <row r="1840" spans="1:7">
      <c r="A1840" s="584"/>
      <c r="B1840" s="585"/>
      <c r="C1840" s="586"/>
      <c r="D1840" s="587"/>
      <c r="E1840" s="591"/>
      <c r="G1840" s="593"/>
    </row>
    <row r="1841" spans="1:7">
      <c r="A1841" s="584"/>
      <c r="B1841" s="585"/>
      <c r="C1841" s="586"/>
      <c r="D1841" s="587"/>
      <c r="E1841" s="591"/>
      <c r="G1841" s="593"/>
    </row>
    <row r="1842" spans="1:7">
      <c r="A1842" s="584"/>
      <c r="B1842" s="585"/>
      <c r="C1842" s="586"/>
      <c r="D1842" s="587"/>
      <c r="E1842" s="591"/>
      <c r="G1842" s="593"/>
    </row>
    <row r="1843" spans="1:7">
      <c r="A1843" s="584"/>
      <c r="B1843" s="585"/>
      <c r="C1843" s="586"/>
      <c r="D1843" s="587"/>
      <c r="E1843" s="591"/>
      <c r="G1843" s="593"/>
    </row>
    <row r="1844" spans="1:7">
      <c r="A1844" s="584"/>
      <c r="B1844" s="585"/>
      <c r="C1844" s="586"/>
      <c r="D1844" s="587"/>
      <c r="E1844" s="591"/>
      <c r="G1844" s="593"/>
    </row>
    <row r="1845" spans="1:7">
      <c r="A1845" s="584"/>
      <c r="B1845" s="585"/>
      <c r="C1845" s="586"/>
      <c r="D1845" s="587"/>
      <c r="E1845" s="591"/>
      <c r="G1845" s="593"/>
    </row>
    <row r="1846" spans="1:7">
      <c r="A1846" s="584"/>
      <c r="B1846" s="585"/>
      <c r="C1846" s="586"/>
      <c r="D1846" s="587"/>
      <c r="E1846" s="591"/>
      <c r="G1846" s="593"/>
    </row>
    <row r="1847" spans="1:7">
      <c r="A1847" s="584"/>
      <c r="B1847" s="585"/>
      <c r="C1847" s="586"/>
      <c r="D1847" s="587"/>
      <c r="E1847" s="591"/>
      <c r="G1847" s="593"/>
    </row>
    <row r="1848" spans="1:7">
      <c r="A1848" s="584"/>
      <c r="B1848" s="585"/>
      <c r="C1848" s="586"/>
      <c r="D1848" s="587"/>
      <c r="E1848" s="591"/>
      <c r="G1848" s="593"/>
    </row>
    <row r="1849" spans="1:7">
      <c r="A1849" s="584"/>
      <c r="B1849" s="585"/>
      <c r="C1849" s="586"/>
      <c r="D1849" s="587"/>
      <c r="E1849" s="591"/>
      <c r="G1849" s="593"/>
    </row>
    <row r="1850" spans="1:7">
      <c r="A1850" s="584"/>
      <c r="B1850" s="585"/>
      <c r="C1850" s="586"/>
      <c r="D1850" s="587"/>
      <c r="E1850" s="591"/>
      <c r="G1850" s="593"/>
    </row>
    <row r="1851" spans="1:7">
      <c r="A1851" s="584"/>
      <c r="B1851" s="585"/>
      <c r="C1851" s="586"/>
      <c r="D1851" s="587"/>
      <c r="E1851" s="591"/>
      <c r="G1851" s="593"/>
    </row>
    <row r="1852" spans="1:7">
      <c r="A1852" s="584"/>
      <c r="B1852" s="585"/>
      <c r="C1852" s="586"/>
      <c r="D1852" s="587"/>
      <c r="E1852" s="591"/>
      <c r="G1852" s="593"/>
    </row>
    <row r="1853" spans="1:7">
      <c r="A1853" s="584"/>
      <c r="B1853" s="585"/>
      <c r="C1853" s="586"/>
      <c r="D1853" s="587"/>
      <c r="E1853" s="591"/>
      <c r="G1853" s="593"/>
    </row>
    <row r="1854" spans="1:7">
      <c r="A1854" s="584"/>
      <c r="B1854" s="585"/>
      <c r="C1854" s="586"/>
      <c r="D1854" s="587"/>
      <c r="E1854" s="591"/>
      <c r="G1854" s="593"/>
    </row>
    <row r="1855" spans="1:7">
      <c r="A1855" s="584"/>
      <c r="B1855" s="585"/>
      <c r="C1855" s="586"/>
      <c r="D1855" s="587"/>
      <c r="E1855" s="591"/>
      <c r="G1855" s="593"/>
    </row>
    <row r="1856" spans="1:7">
      <c r="A1856" s="584"/>
      <c r="B1856" s="585"/>
      <c r="C1856" s="586"/>
      <c r="D1856" s="587"/>
      <c r="E1856" s="591"/>
      <c r="G1856" s="593"/>
    </row>
    <row r="1857" spans="1:7">
      <c r="A1857" s="584"/>
      <c r="B1857" s="585"/>
      <c r="C1857" s="586"/>
      <c r="D1857" s="587"/>
      <c r="E1857" s="591"/>
      <c r="G1857" s="593"/>
    </row>
    <row r="1858" spans="1:7">
      <c r="A1858" s="584"/>
      <c r="B1858" s="585"/>
      <c r="C1858" s="586"/>
      <c r="D1858" s="587"/>
      <c r="E1858" s="591"/>
      <c r="G1858" s="593"/>
    </row>
    <row r="1859" spans="1:7">
      <c r="A1859" s="584"/>
      <c r="B1859" s="585"/>
      <c r="C1859" s="586"/>
      <c r="D1859" s="587"/>
      <c r="E1859" s="591"/>
      <c r="G1859" s="593"/>
    </row>
    <row r="1860" spans="1:7">
      <c r="A1860" s="584"/>
      <c r="B1860" s="585"/>
      <c r="C1860" s="586"/>
      <c r="D1860" s="587"/>
      <c r="E1860" s="591"/>
      <c r="G1860" s="593"/>
    </row>
    <row r="1861" spans="1:7">
      <c r="A1861" s="584"/>
      <c r="B1861" s="585"/>
      <c r="C1861" s="586"/>
      <c r="D1861" s="587"/>
      <c r="E1861" s="591"/>
      <c r="G1861" s="593"/>
    </row>
    <row r="1862" spans="1:7">
      <c r="A1862" s="584"/>
      <c r="B1862" s="585"/>
      <c r="C1862" s="586"/>
      <c r="D1862" s="587"/>
      <c r="E1862" s="591"/>
      <c r="G1862" s="593"/>
    </row>
    <row r="1863" spans="1:7">
      <c r="A1863" s="584"/>
      <c r="B1863" s="585"/>
      <c r="C1863" s="586"/>
      <c r="D1863" s="587"/>
      <c r="E1863" s="591"/>
      <c r="G1863" s="593"/>
    </row>
    <row r="1864" spans="1:7">
      <c r="A1864" s="584"/>
      <c r="B1864" s="585"/>
      <c r="C1864" s="586"/>
      <c r="D1864" s="587"/>
      <c r="E1864" s="591"/>
      <c r="G1864" s="593"/>
    </row>
    <row r="1865" spans="1:7">
      <c r="A1865" s="584"/>
      <c r="B1865" s="585"/>
      <c r="C1865" s="586"/>
      <c r="D1865" s="587"/>
      <c r="E1865" s="591"/>
      <c r="G1865" s="593"/>
    </row>
    <row r="1866" spans="1:7">
      <c r="A1866" s="584"/>
      <c r="B1866" s="585"/>
      <c r="C1866" s="586"/>
      <c r="D1866" s="587"/>
      <c r="E1866" s="591"/>
      <c r="G1866" s="593"/>
    </row>
    <row r="1867" spans="1:7">
      <c r="A1867" s="584"/>
      <c r="B1867" s="585"/>
      <c r="C1867" s="586"/>
      <c r="D1867" s="587"/>
      <c r="E1867" s="591"/>
      <c r="G1867" s="593"/>
    </row>
    <row r="1868" spans="1:7">
      <c r="A1868" s="584"/>
      <c r="B1868" s="585"/>
      <c r="C1868" s="586"/>
      <c r="D1868" s="587"/>
      <c r="E1868" s="591"/>
      <c r="G1868" s="593"/>
    </row>
    <row r="1869" spans="1:7">
      <c r="A1869" s="584"/>
      <c r="B1869" s="585"/>
      <c r="C1869" s="586"/>
      <c r="D1869" s="587"/>
      <c r="E1869" s="591"/>
      <c r="G1869" s="593"/>
    </row>
    <row r="1870" spans="1:7">
      <c r="A1870" s="584"/>
      <c r="B1870" s="585"/>
      <c r="C1870" s="586"/>
      <c r="D1870" s="587"/>
      <c r="E1870" s="591"/>
      <c r="G1870" s="593"/>
    </row>
    <row r="1871" spans="1:7">
      <c r="A1871" s="584"/>
      <c r="B1871" s="585"/>
      <c r="C1871" s="586"/>
      <c r="D1871" s="587"/>
      <c r="E1871" s="591"/>
      <c r="G1871" s="593"/>
    </row>
    <row r="1872" spans="1:7">
      <c r="A1872" s="584"/>
      <c r="B1872" s="585"/>
      <c r="C1872" s="586"/>
      <c r="D1872" s="587"/>
      <c r="E1872" s="591"/>
      <c r="G1872" s="593"/>
    </row>
    <row r="1873" spans="1:7">
      <c r="A1873" s="584"/>
      <c r="B1873" s="585"/>
      <c r="C1873" s="586"/>
      <c r="D1873" s="587"/>
      <c r="E1873" s="591"/>
      <c r="G1873" s="593"/>
    </row>
    <row r="1874" spans="1:7">
      <c r="A1874" s="584"/>
      <c r="B1874" s="585"/>
      <c r="C1874" s="586"/>
      <c r="D1874" s="587"/>
      <c r="E1874" s="591"/>
      <c r="G1874" s="593"/>
    </row>
    <row r="1875" spans="1:7">
      <c r="A1875" s="584"/>
      <c r="B1875" s="585"/>
      <c r="C1875" s="586"/>
      <c r="D1875" s="587"/>
      <c r="E1875" s="591"/>
      <c r="G1875" s="593"/>
    </row>
    <row r="1876" spans="1:7">
      <c r="A1876" s="584"/>
      <c r="B1876" s="585"/>
      <c r="C1876" s="586"/>
      <c r="D1876" s="587"/>
      <c r="E1876" s="591"/>
      <c r="G1876" s="593"/>
    </row>
    <row r="1877" spans="1:7">
      <c r="A1877" s="584"/>
      <c r="B1877" s="585"/>
      <c r="C1877" s="586"/>
      <c r="D1877" s="587"/>
      <c r="E1877" s="591"/>
      <c r="G1877" s="593"/>
    </row>
    <row r="1878" spans="1:7">
      <c r="A1878" s="584"/>
      <c r="B1878" s="585"/>
      <c r="C1878" s="586"/>
      <c r="D1878" s="587"/>
      <c r="E1878" s="591"/>
      <c r="G1878" s="593"/>
    </row>
    <row r="1879" spans="1:7">
      <c r="A1879" s="584"/>
      <c r="B1879" s="585"/>
      <c r="C1879" s="586"/>
      <c r="D1879" s="587"/>
      <c r="E1879" s="591"/>
      <c r="G1879" s="593"/>
    </row>
    <row r="1880" spans="1:7">
      <c r="A1880" s="584"/>
      <c r="B1880" s="585"/>
      <c r="C1880" s="586"/>
      <c r="D1880" s="587"/>
      <c r="E1880" s="591"/>
      <c r="G1880" s="593"/>
    </row>
    <row r="1881" spans="1:7">
      <c r="A1881" s="584"/>
      <c r="B1881" s="585"/>
      <c r="C1881" s="586"/>
      <c r="D1881" s="587"/>
      <c r="E1881" s="591"/>
      <c r="G1881" s="593"/>
    </row>
    <row r="1882" spans="1:7">
      <c r="A1882" s="584"/>
      <c r="B1882" s="585"/>
      <c r="C1882" s="586"/>
      <c r="D1882" s="587"/>
      <c r="E1882" s="591"/>
      <c r="G1882" s="593"/>
    </row>
    <row r="1883" spans="1:7">
      <c r="A1883" s="584"/>
      <c r="B1883" s="585"/>
      <c r="C1883" s="586"/>
      <c r="D1883" s="587"/>
      <c r="E1883" s="591"/>
      <c r="G1883" s="593"/>
    </row>
    <row r="1884" spans="1:7">
      <c r="A1884" s="584"/>
      <c r="B1884" s="585"/>
      <c r="C1884" s="586"/>
      <c r="D1884" s="587"/>
      <c r="E1884" s="591"/>
      <c r="G1884" s="593"/>
    </row>
    <row r="1885" spans="1:7">
      <c r="A1885" s="584"/>
      <c r="B1885" s="585"/>
      <c r="C1885" s="586"/>
      <c r="D1885" s="587"/>
      <c r="E1885" s="591"/>
      <c r="G1885" s="593"/>
    </row>
    <row r="1886" spans="1:7">
      <c r="A1886" s="584"/>
      <c r="B1886" s="585"/>
      <c r="C1886" s="586"/>
      <c r="D1886" s="587"/>
      <c r="E1886" s="591"/>
      <c r="G1886" s="593"/>
    </row>
    <row r="1887" spans="1:7">
      <c r="A1887" s="584"/>
      <c r="B1887" s="585"/>
      <c r="C1887" s="586"/>
      <c r="D1887" s="587"/>
      <c r="E1887" s="591"/>
      <c r="G1887" s="593"/>
    </row>
    <row r="1888" spans="1:7">
      <c r="A1888" s="584"/>
      <c r="B1888" s="585"/>
      <c r="C1888" s="586"/>
      <c r="D1888" s="587"/>
      <c r="E1888" s="591"/>
      <c r="G1888" s="593"/>
    </row>
    <row r="1889" spans="1:7">
      <c r="A1889" s="584"/>
      <c r="B1889" s="585"/>
      <c r="C1889" s="586"/>
      <c r="D1889" s="587"/>
      <c r="E1889" s="591"/>
      <c r="G1889" s="593"/>
    </row>
    <row r="1890" spans="1:7">
      <c r="A1890" s="584"/>
      <c r="B1890" s="585"/>
      <c r="C1890" s="586"/>
      <c r="D1890" s="587"/>
      <c r="E1890" s="591"/>
      <c r="G1890" s="593"/>
    </row>
    <row r="1891" spans="1:7">
      <c r="A1891" s="584"/>
      <c r="B1891" s="585"/>
      <c r="C1891" s="586"/>
      <c r="D1891" s="587"/>
      <c r="E1891" s="591"/>
      <c r="G1891" s="593"/>
    </row>
    <row r="1892" spans="1:7">
      <c r="A1892" s="584"/>
      <c r="B1892" s="585"/>
      <c r="C1892" s="586"/>
      <c r="D1892" s="587"/>
      <c r="E1892" s="591"/>
      <c r="G1892" s="593"/>
    </row>
    <row r="1893" spans="1:7">
      <c r="A1893" s="584"/>
      <c r="B1893" s="585"/>
      <c r="C1893" s="586"/>
      <c r="D1893" s="587"/>
      <c r="E1893" s="591"/>
      <c r="G1893" s="593"/>
    </row>
    <row r="1894" spans="1:7">
      <c r="A1894" s="584"/>
      <c r="B1894" s="585"/>
      <c r="C1894" s="586"/>
      <c r="D1894" s="587"/>
      <c r="E1894" s="591"/>
      <c r="G1894" s="593"/>
    </row>
    <row r="1895" spans="1:7">
      <c r="A1895" s="584"/>
      <c r="B1895" s="585"/>
      <c r="C1895" s="586"/>
      <c r="D1895" s="587"/>
      <c r="E1895" s="591"/>
      <c r="G1895" s="593"/>
    </row>
    <row r="1896" spans="1:7">
      <c r="A1896" s="584"/>
      <c r="B1896" s="585"/>
      <c r="C1896" s="586"/>
      <c r="D1896" s="587"/>
      <c r="E1896" s="591"/>
      <c r="G1896" s="593"/>
    </row>
    <row r="1897" spans="1:7">
      <c r="A1897" s="584"/>
      <c r="B1897" s="585"/>
      <c r="C1897" s="586"/>
      <c r="D1897" s="587"/>
      <c r="E1897" s="591"/>
      <c r="G1897" s="593"/>
    </row>
    <row r="1898" spans="1:7">
      <c r="A1898" s="584"/>
      <c r="B1898" s="585"/>
      <c r="C1898" s="586"/>
      <c r="D1898" s="587"/>
      <c r="E1898" s="591"/>
      <c r="G1898" s="593"/>
    </row>
    <row r="1899" spans="1:7">
      <c r="A1899" s="584"/>
      <c r="B1899" s="585"/>
      <c r="C1899" s="586"/>
      <c r="D1899" s="587"/>
      <c r="E1899" s="591"/>
      <c r="G1899" s="593"/>
    </row>
    <row r="1900" spans="1:7">
      <c r="A1900" s="584"/>
      <c r="B1900" s="585"/>
      <c r="C1900" s="586"/>
      <c r="D1900" s="587"/>
      <c r="E1900" s="591"/>
      <c r="G1900" s="593"/>
    </row>
    <row r="1901" spans="1:7">
      <c r="A1901" s="584"/>
      <c r="B1901" s="585"/>
      <c r="C1901" s="586"/>
      <c r="D1901" s="587"/>
      <c r="E1901" s="591"/>
      <c r="G1901" s="593"/>
    </row>
    <row r="1902" spans="1:7">
      <c r="A1902" s="584"/>
      <c r="B1902" s="585"/>
      <c r="C1902" s="586"/>
      <c r="D1902" s="587"/>
      <c r="E1902" s="591"/>
      <c r="G1902" s="593"/>
    </row>
    <row r="1903" spans="1:7">
      <c r="A1903" s="584"/>
      <c r="B1903" s="585"/>
      <c r="C1903" s="586"/>
      <c r="D1903" s="587"/>
      <c r="E1903" s="591"/>
      <c r="G1903" s="593"/>
    </row>
    <row r="1904" spans="1:7">
      <c r="A1904" s="584"/>
      <c r="B1904" s="585"/>
      <c r="C1904" s="586"/>
      <c r="D1904" s="587"/>
      <c r="E1904" s="591"/>
      <c r="G1904" s="593"/>
    </row>
    <row r="1905" spans="1:7">
      <c r="A1905" s="584"/>
      <c r="B1905" s="585"/>
      <c r="C1905" s="586"/>
      <c r="D1905" s="587"/>
      <c r="E1905" s="591"/>
      <c r="G1905" s="593"/>
    </row>
    <row r="1906" spans="1:7">
      <c r="A1906" s="584"/>
      <c r="B1906" s="585"/>
      <c r="C1906" s="586"/>
      <c r="D1906" s="587"/>
      <c r="E1906" s="591"/>
      <c r="G1906" s="593"/>
    </row>
    <row r="1907" spans="1:7">
      <c r="A1907" s="584"/>
      <c r="B1907" s="585"/>
      <c r="C1907" s="586"/>
      <c r="D1907" s="587"/>
      <c r="E1907" s="591"/>
      <c r="G1907" s="593"/>
    </row>
    <row r="1908" spans="1:7">
      <c r="A1908" s="584"/>
      <c r="B1908" s="585"/>
      <c r="C1908" s="586"/>
      <c r="D1908" s="587"/>
      <c r="E1908" s="591"/>
      <c r="G1908" s="593"/>
    </row>
    <row r="1909" spans="1:7">
      <c r="A1909" s="584"/>
      <c r="B1909" s="585"/>
      <c r="C1909" s="586"/>
      <c r="D1909" s="587"/>
      <c r="E1909" s="591"/>
      <c r="G1909" s="593"/>
    </row>
    <row r="1910" spans="1:7">
      <c r="A1910" s="584"/>
      <c r="B1910" s="585"/>
      <c r="C1910" s="586"/>
      <c r="D1910" s="587"/>
      <c r="E1910" s="591"/>
      <c r="G1910" s="593"/>
    </row>
    <row r="1911" spans="1:7">
      <c r="A1911" s="584"/>
      <c r="B1911" s="585"/>
      <c r="C1911" s="586"/>
      <c r="D1911" s="587"/>
      <c r="E1911" s="591"/>
      <c r="G1911" s="593"/>
    </row>
    <row r="1912" spans="1:7">
      <c r="A1912" s="584"/>
      <c r="B1912" s="585"/>
      <c r="C1912" s="586"/>
      <c r="D1912" s="587"/>
      <c r="E1912" s="591"/>
      <c r="G1912" s="593"/>
    </row>
    <row r="1913" spans="1:7">
      <c r="A1913" s="584"/>
      <c r="B1913" s="585"/>
      <c r="C1913" s="586"/>
      <c r="D1913" s="587"/>
      <c r="E1913" s="591"/>
      <c r="G1913" s="593"/>
    </row>
    <row r="1914" spans="1:7">
      <c r="A1914" s="584"/>
      <c r="B1914" s="585"/>
      <c r="C1914" s="586"/>
      <c r="D1914" s="587"/>
      <c r="E1914" s="591"/>
      <c r="G1914" s="593"/>
    </row>
    <row r="1915" spans="1:7">
      <c r="A1915" s="584"/>
      <c r="B1915" s="585"/>
      <c r="C1915" s="586"/>
      <c r="D1915" s="587"/>
      <c r="E1915" s="591"/>
      <c r="G1915" s="593"/>
    </row>
    <row r="1916" spans="1:7">
      <c r="A1916" s="584"/>
      <c r="B1916" s="585"/>
      <c r="C1916" s="586"/>
      <c r="D1916" s="587"/>
      <c r="E1916" s="591"/>
      <c r="G1916" s="593"/>
    </row>
    <row r="1917" spans="1:7">
      <c r="A1917" s="584"/>
      <c r="B1917" s="585"/>
      <c r="C1917" s="586"/>
      <c r="D1917" s="587"/>
      <c r="E1917" s="591"/>
      <c r="G1917" s="593"/>
    </row>
    <row r="1918" spans="1:7">
      <c r="A1918" s="584"/>
      <c r="B1918" s="585"/>
      <c r="C1918" s="586"/>
      <c r="D1918" s="587"/>
      <c r="E1918" s="591"/>
      <c r="G1918" s="593"/>
    </row>
    <row r="1919" spans="1:7">
      <c r="A1919" s="584"/>
      <c r="B1919" s="585"/>
      <c r="C1919" s="586"/>
      <c r="D1919" s="587"/>
      <c r="E1919" s="591"/>
      <c r="G1919" s="593"/>
    </row>
    <row r="1920" spans="1:7">
      <c r="A1920" s="584"/>
      <c r="B1920" s="585"/>
      <c r="C1920" s="586"/>
      <c r="D1920" s="587"/>
      <c r="E1920" s="591"/>
      <c r="G1920" s="593"/>
    </row>
    <row r="1921" spans="1:7">
      <c r="A1921" s="584"/>
      <c r="B1921" s="585"/>
      <c r="C1921" s="586"/>
      <c r="D1921" s="587"/>
      <c r="E1921" s="591"/>
      <c r="G1921" s="593"/>
    </row>
    <row r="1922" spans="1:7">
      <c r="A1922" s="584"/>
      <c r="B1922" s="585"/>
      <c r="C1922" s="586"/>
      <c r="D1922" s="587"/>
      <c r="E1922" s="591"/>
      <c r="G1922" s="593"/>
    </row>
    <row r="1923" spans="1:7">
      <c r="A1923" s="584"/>
      <c r="B1923" s="585"/>
      <c r="C1923" s="586"/>
      <c r="D1923" s="587"/>
      <c r="E1923" s="591"/>
      <c r="G1923" s="593"/>
    </row>
    <row r="1924" spans="1:7">
      <c r="A1924" s="584"/>
      <c r="B1924" s="585"/>
      <c r="C1924" s="586"/>
      <c r="D1924" s="587"/>
      <c r="E1924" s="591"/>
      <c r="G1924" s="593"/>
    </row>
    <row r="1925" spans="1:7">
      <c r="A1925" s="584"/>
      <c r="B1925" s="585"/>
      <c r="C1925" s="586"/>
      <c r="D1925" s="587"/>
      <c r="E1925" s="591"/>
      <c r="G1925" s="593"/>
    </row>
    <row r="1926" spans="1:7">
      <c r="A1926" s="584"/>
      <c r="B1926" s="585"/>
      <c r="C1926" s="586"/>
      <c r="D1926" s="587"/>
      <c r="E1926" s="591"/>
      <c r="G1926" s="593"/>
    </row>
    <row r="1927" spans="1:7">
      <c r="A1927" s="584"/>
      <c r="B1927" s="585"/>
      <c r="C1927" s="586"/>
      <c r="D1927" s="587"/>
      <c r="E1927" s="591"/>
      <c r="G1927" s="593"/>
    </row>
    <row r="1928" spans="1:7">
      <c r="A1928" s="584"/>
      <c r="B1928" s="585"/>
      <c r="C1928" s="586"/>
      <c r="D1928" s="587"/>
      <c r="E1928" s="591"/>
      <c r="G1928" s="593"/>
    </row>
    <row r="1929" spans="1:7">
      <c r="A1929" s="584"/>
      <c r="B1929" s="585"/>
      <c r="C1929" s="586"/>
      <c r="D1929" s="587"/>
      <c r="E1929" s="591"/>
      <c r="G1929" s="593"/>
    </row>
    <row r="1930" spans="1:7">
      <c r="A1930" s="584"/>
      <c r="B1930" s="585"/>
      <c r="C1930" s="586"/>
      <c r="D1930" s="587"/>
      <c r="E1930" s="591"/>
      <c r="G1930" s="593"/>
    </row>
    <row r="1931" spans="1:7">
      <c r="A1931" s="584"/>
      <c r="B1931" s="585"/>
      <c r="C1931" s="586"/>
      <c r="D1931" s="587"/>
      <c r="E1931" s="591"/>
      <c r="G1931" s="593"/>
    </row>
    <row r="1932" spans="1:7">
      <c r="A1932" s="584"/>
      <c r="B1932" s="585"/>
      <c r="C1932" s="586"/>
      <c r="D1932" s="587"/>
      <c r="E1932" s="591"/>
      <c r="G1932" s="593"/>
    </row>
    <row r="1933" spans="1:7">
      <c r="A1933" s="584"/>
      <c r="B1933" s="585"/>
      <c r="C1933" s="586"/>
      <c r="D1933" s="587"/>
      <c r="E1933" s="591"/>
      <c r="G1933" s="593"/>
    </row>
    <row r="1934" spans="1:7">
      <c r="A1934" s="584"/>
      <c r="B1934" s="585"/>
      <c r="C1934" s="586"/>
      <c r="D1934" s="587"/>
      <c r="E1934" s="591"/>
      <c r="G1934" s="593"/>
    </row>
    <row r="1935" spans="1:7">
      <c r="A1935" s="584"/>
      <c r="B1935" s="585"/>
      <c r="C1935" s="586"/>
      <c r="D1935" s="587"/>
      <c r="E1935" s="591"/>
      <c r="G1935" s="593"/>
    </row>
    <row r="1936" spans="1:7">
      <c r="A1936" s="584"/>
      <c r="B1936" s="585"/>
      <c r="C1936" s="586"/>
      <c r="D1936" s="587"/>
      <c r="E1936" s="591"/>
      <c r="G1936" s="593"/>
    </row>
    <row r="1937" spans="1:7">
      <c r="A1937" s="584"/>
      <c r="B1937" s="585"/>
      <c r="C1937" s="586"/>
      <c r="D1937" s="587"/>
      <c r="E1937" s="591"/>
      <c r="G1937" s="593"/>
    </row>
    <row r="1938" spans="1:7">
      <c r="A1938" s="584"/>
      <c r="B1938" s="585"/>
      <c r="C1938" s="586"/>
      <c r="D1938" s="587"/>
      <c r="E1938" s="591"/>
      <c r="G1938" s="593"/>
    </row>
    <row r="1939" spans="1:7">
      <c r="A1939" s="584"/>
      <c r="B1939" s="585"/>
      <c r="C1939" s="586"/>
      <c r="D1939" s="587"/>
      <c r="E1939" s="591"/>
      <c r="G1939" s="593"/>
    </row>
    <row r="1940" spans="1:7">
      <c r="A1940" s="584"/>
      <c r="B1940" s="585"/>
      <c r="C1940" s="586"/>
      <c r="D1940" s="587"/>
      <c r="E1940" s="591"/>
      <c r="G1940" s="593"/>
    </row>
    <row r="1941" spans="1:7">
      <c r="A1941" s="584"/>
      <c r="B1941" s="585"/>
      <c r="C1941" s="586"/>
      <c r="D1941" s="587"/>
      <c r="E1941" s="591"/>
      <c r="G1941" s="593"/>
    </row>
    <row r="1942" spans="1:7">
      <c r="A1942" s="584"/>
      <c r="B1942" s="585"/>
      <c r="C1942" s="586"/>
      <c r="D1942" s="587"/>
      <c r="E1942" s="591"/>
      <c r="G1942" s="593"/>
    </row>
    <row r="1943" spans="1:7">
      <c r="A1943" s="584"/>
      <c r="B1943" s="585"/>
      <c r="C1943" s="586"/>
      <c r="D1943" s="587"/>
      <c r="E1943" s="591"/>
      <c r="G1943" s="593"/>
    </row>
    <row r="1944" spans="1:7">
      <c r="A1944" s="584"/>
      <c r="B1944" s="585"/>
      <c r="C1944" s="586"/>
      <c r="D1944" s="587"/>
      <c r="E1944" s="591"/>
      <c r="G1944" s="593"/>
    </row>
    <row r="1945" spans="1:7">
      <c r="A1945" s="584"/>
      <c r="B1945" s="585"/>
      <c r="C1945" s="586"/>
      <c r="D1945" s="587"/>
      <c r="E1945" s="591"/>
      <c r="G1945" s="593"/>
    </row>
    <row r="1946" spans="1:7">
      <c r="A1946" s="584"/>
      <c r="B1946" s="585"/>
      <c r="C1946" s="586"/>
      <c r="D1946" s="587"/>
      <c r="E1946" s="591"/>
      <c r="G1946" s="593"/>
    </row>
    <row r="1947" spans="1:7">
      <c r="A1947" s="584"/>
      <c r="B1947" s="585"/>
      <c r="C1947" s="586"/>
      <c r="D1947" s="587"/>
      <c r="E1947" s="591"/>
      <c r="G1947" s="593"/>
    </row>
    <row r="1948" spans="1:7">
      <c r="A1948" s="584"/>
      <c r="B1948" s="585"/>
      <c r="C1948" s="586"/>
      <c r="D1948" s="587"/>
      <c r="E1948" s="591"/>
      <c r="G1948" s="593"/>
    </row>
    <row r="1949" spans="1:7">
      <c r="A1949" s="584"/>
      <c r="B1949" s="585"/>
      <c r="C1949" s="586"/>
      <c r="D1949" s="587"/>
      <c r="E1949" s="591"/>
      <c r="G1949" s="593"/>
    </row>
    <row r="1950" spans="1:7">
      <c r="A1950" s="584"/>
      <c r="B1950" s="585"/>
      <c r="C1950" s="586"/>
      <c r="D1950" s="587"/>
      <c r="E1950" s="591"/>
      <c r="G1950" s="593"/>
    </row>
    <row r="1951" spans="1:7">
      <c r="A1951" s="584"/>
      <c r="B1951" s="585"/>
      <c r="C1951" s="586"/>
      <c r="D1951" s="587"/>
      <c r="E1951" s="591"/>
      <c r="G1951" s="593"/>
    </row>
    <row r="1952" spans="1:7">
      <c r="A1952" s="584"/>
      <c r="B1952" s="585"/>
      <c r="C1952" s="586"/>
      <c r="D1952" s="587"/>
      <c r="E1952" s="591"/>
      <c r="G1952" s="593"/>
    </row>
    <row r="1953" spans="1:7">
      <c r="A1953" s="584"/>
      <c r="B1953" s="585"/>
      <c r="C1953" s="586"/>
      <c r="D1953" s="587"/>
      <c r="E1953" s="591"/>
      <c r="G1953" s="593"/>
    </row>
    <row r="1954" spans="1:7">
      <c r="A1954" s="584"/>
      <c r="B1954" s="585"/>
      <c r="C1954" s="586"/>
      <c r="D1954" s="587"/>
      <c r="E1954" s="591"/>
      <c r="G1954" s="593"/>
    </row>
    <row r="1955" spans="1:7">
      <c r="A1955" s="584"/>
      <c r="B1955" s="585"/>
      <c r="C1955" s="586"/>
      <c r="D1955" s="587"/>
      <c r="E1955" s="591"/>
      <c r="G1955" s="593"/>
    </row>
    <row r="1956" spans="1:7">
      <c r="A1956" s="584"/>
      <c r="B1956" s="585"/>
      <c r="C1956" s="586"/>
      <c r="D1956" s="587"/>
      <c r="E1956" s="591"/>
      <c r="G1956" s="593"/>
    </row>
    <row r="1957" spans="1:7">
      <c r="A1957" s="584"/>
      <c r="B1957" s="585"/>
      <c r="C1957" s="586"/>
      <c r="D1957" s="587"/>
      <c r="E1957" s="591"/>
      <c r="G1957" s="593"/>
    </row>
    <row r="1958" spans="1:7">
      <c r="A1958" s="584"/>
      <c r="B1958" s="585"/>
      <c r="C1958" s="586"/>
      <c r="D1958" s="587"/>
      <c r="E1958" s="591"/>
      <c r="G1958" s="593"/>
    </row>
    <row r="1959" spans="1:7">
      <c r="A1959" s="584"/>
      <c r="B1959" s="585"/>
      <c r="C1959" s="586"/>
      <c r="D1959" s="587"/>
      <c r="E1959" s="591"/>
      <c r="G1959" s="593"/>
    </row>
    <row r="1960" spans="1:7">
      <c r="A1960" s="584"/>
      <c r="B1960" s="585"/>
      <c r="C1960" s="586"/>
      <c r="D1960" s="587"/>
      <c r="E1960" s="591"/>
      <c r="G1960" s="593"/>
    </row>
    <row r="1961" spans="1:7">
      <c r="A1961" s="584"/>
      <c r="B1961" s="585"/>
      <c r="C1961" s="586"/>
      <c r="D1961" s="587"/>
      <c r="E1961" s="591"/>
      <c r="G1961" s="593"/>
    </row>
    <row r="1962" spans="1:7">
      <c r="A1962" s="584"/>
      <c r="B1962" s="585"/>
      <c r="C1962" s="586"/>
      <c r="D1962" s="587"/>
      <c r="E1962" s="591"/>
      <c r="G1962" s="593"/>
    </row>
    <row r="1963" spans="1:7">
      <c r="A1963" s="584"/>
      <c r="B1963" s="585"/>
      <c r="C1963" s="586"/>
      <c r="D1963" s="587"/>
      <c r="E1963" s="591"/>
      <c r="G1963" s="593"/>
    </row>
    <row r="1964" spans="1:7">
      <c r="A1964" s="584"/>
      <c r="B1964" s="585"/>
      <c r="C1964" s="586"/>
      <c r="D1964" s="587"/>
      <c r="E1964" s="591"/>
      <c r="G1964" s="593"/>
    </row>
    <row r="1965" spans="1:7">
      <c r="A1965" s="584"/>
      <c r="B1965" s="585"/>
      <c r="C1965" s="586"/>
      <c r="D1965" s="587"/>
      <c r="E1965" s="591"/>
      <c r="G1965" s="593"/>
    </row>
    <row r="1966" spans="1:7">
      <c r="A1966" s="584"/>
      <c r="B1966" s="585"/>
      <c r="C1966" s="586"/>
      <c r="D1966" s="587"/>
      <c r="E1966" s="591"/>
      <c r="G1966" s="593"/>
    </row>
    <row r="1967" spans="1:7">
      <c r="A1967" s="584"/>
      <c r="B1967" s="585"/>
      <c r="C1967" s="586"/>
      <c r="D1967" s="587"/>
      <c r="E1967" s="591"/>
      <c r="G1967" s="593"/>
    </row>
    <row r="1968" spans="1:7">
      <c r="A1968" s="584"/>
      <c r="B1968" s="585"/>
      <c r="C1968" s="586"/>
      <c r="D1968" s="587"/>
      <c r="E1968" s="591"/>
      <c r="G1968" s="593"/>
    </row>
    <row r="1969" spans="1:7">
      <c r="A1969" s="584"/>
      <c r="B1969" s="585"/>
      <c r="C1969" s="586"/>
      <c r="D1969" s="587"/>
      <c r="E1969" s="591"/>
      <c r="G1969" s="593"/>
    </row>
    <row r="1970" spans="1:7">
      <c r="A1970" s="584"/>
      <c r="B1970" s="585"/>
      <c r="C1970" s="586"/>
      <c r="D1970" s="587"/>
      <c r="E1970" s="591"/>
      <c r="G1970" s="593"/>
    </row>
    <row r="1971" spans="1:7">
      <c r="A1971" s="584"/>
      <c r="B1971" s="585"/>
      <c r="C1971" s="586"/>
      <c r="D1971" s="587"/>
      <c r="E1971" s="591"/>
      <c r="G1971" s="593"/>
    </row>
    <row r="1972" spans="1:7">
      <c r="A1972" s="584"/>
      <c r="B1972" s="585"/>
      <c r="C1972" s="586"/>
      <c r="D1972" s="587"/>
      <c r="E1972" s="591"/>
      <c r="G1972" s="593"/>
    </row>
    <row r="1973" spans="1:7">
      <c r="A1973" s="584"/>
      <c r="B1973" s="585"/>
      <c r="C1973" s="586"/>
      <c r="D1973" s="587"/>
      <c r="E1973" s="591"/>
      <c r="G1973" s="593"/>
    </row>
    <row r="1974" spans="1:7">
      <c r="A1974" s="584"/>
      <c r="B1974" s="585"/>
      <c r="C1974" s="586"/>
      <c r="D1974" s="587"/>
      <c r="E1974" s="591"/>
      <c r="G1974" s="593"/>
    </row>
    <row r="1975" spans="1:7">
      <c r="A1975" s="584"/>
      <c r="B1975" s="585"/>
      <c r="C1975" s="586"/>
      <c r="D1975" s="587"/>
      <c r="E1975" s="591"/>
      <c r="G1975" s="593"/>
    </row>
    <row r="1976" spans="1:7">
      <c r="A1976" s="584"/>
      <c r="B1976" s="585"/>
      <c r="C1976" s="586"/>
      <c r="D1976" s="587"/>
      <c r="E1976" s="591"/>
      <c r="G1976" s="593"/>
    </row>
    <row r="1977" spans="1:7">
      <c r="A1977" s="584"/>
      <c r="B1977" s="585"/>
      <c r="C1977" s="586"/>
      <c r="D1977" s="587"/>
      <c r="E1977" s="591"/>
      <c r="G1977" s="593"/>
    </row>
    <row r="1978" spans="1:7">
      <c r="A1978" s="584"/>
      <c r="B1978" s="585"/>
      <c r="C1978" s="586"/>
      <c r="D1978" s="587"/>
      <c r="E1978" s="591"/>
      <c r="G1978" s="593"/>
    </row>
    <row r="1979" spans="1:7">
      <c r="A1979" s="584"/>
      <c r="B1979" s="585"/>
      <c r="C1979" s="586"/>
      <c r="D1979" s="587"/>
      <c r="E1979" s="591"/>
      <c r="G1979" s="593"/>
    </row>
    <row r="1980" spans="1:7">
      <c r="A1980" s="584"/>
      <c r="B1980" s="585"/>
      <c r="C1980" s="586"/>
      <c r="D1980" s="587"/>
      <c r="E1980" s="591"/>
      <c r="G1980" s="593"/>
    </row>
    <row r="1981" spans="1:7">
      <c r="A1981" s="584"/>
      <c r="B1981" s="585"/>
      <c r="C1981" s="586"/>
      <c r="D1981" s="587"/>
      <c r="E1981" s="591"/>
      <c r="G1981" s="593"/>
    </row>
    <row r="1982" spans="1:7">
      <c r="A1982" s="584"/>
      <c r="B1982" s="585"/>
      <c r="C1982" s="586"/>
      <c r="D1982" s="587"/>
      <c r="E1982" s="591"/>
      <c r="G1982" s="593"/>
    </row>
    <row r="1983" spans="1:7">
      <c r="A1983" s="584"/>
      <c r="B1983" s="585"/>
      <c r="C1983" s="586"/>
      <c r="D1983" s="587"/>
      <c r="E1983" s="591"/>
      <c r="G1983" s="593"/>
    </row>
    <row r="1984" spans="1:7">
      <c r="A1984" s="584"/>
      <c r="B1984" s="585"/>
      <c r="C1984" s="586"/>
      <c r="D1984" s="587"/>
      <c r="E1984" s="591"/>
      <c r="G1984" s="593"/>
    </row>
    <row r="1985" spans="1:7">
      <c r="A1985" s="584"/>
      <c r="B1985" s="585"/>
      <c r="C1985" s="586"/>
      <c r="D1985" s="587"/>
      <c r="E1985" s="591"/>
      <c r="G1985" s="593"/>
    </row>
    <row r="1986" spans="1:7">
      <c r="A1986" s="584"/>
      <c r="B1986" s="585"/>
      <c r="C1986" s="586"/>
      <c r="D1986" s="587"/>
      <c r="E1986" s="591"/>
      <c r="G1986" s="593"/>
    </row>
    <row r="1987" spans="1:7">
      <c r="A1987" s="584"/>
      <c r="B1987" s="585"/>
      <c r="C1987" s="586"/>
      <c r="D1987" s="587"/>
      <c r="E1987" s="591"/>
      <c r="G1987" s="593"/>
    </row>
    <row r="1988" spans="1:7">
      <c r="A1988" s="584"/>
      <c r="B1988" s="585"/>
      <c r="C1988" s="586"/>
      <c r="D1988" s="587"/>
      <c r="E1988" s="591"/>
      <c r="G1988" s="593"/>
    </row>
    <row r="1989" spans="1:7">
      <c r="A1989" s="584"/>
      <c r="B1989" s="585"/>
      <c r="C1989" s="586"/>
      <c r="D1989" s="587"/>
      <c r="E1989" s="591"/>
      <c r="G1989" s="593"/>
    </row>
    <row r="1990" spans="1:7">
      <c r="A1990" s="584"/>
      <c r="B1990" s="585"/>
      <c r="C1990" s="586"/>
      <c r="D1990" s="587"/>
      <c r="E1990" s="591"/>
      <c r="G1990" s="593"/>
    </row>
    <row r="1991" spans="1:7">
      <c r="A1991" s="584"/>
      <c r="B1991" s="585"/>
      <c r="C1991" s="586"/>
      <c r="D1991" s="587"/>
      <c r="E1991" s="591"/>
      <c r="G1991" s="593"/>
    </row>
    <row r="1992" spans="1:7">
      <c r="A1992" s="584"/>
      <c r="B1992" s="585"/>
      <c r="C1992" s="586"/>
      <c r="D1992" s="587"/>
      <c r="E1992" s="591"/>
      <c r="G1992" s="593"/>
    </row>
    <row r="1993" spans="1:7">
      <c r="A1993" s="584"/>
      <c r="B1993" s="585"/>
      <c r="C1993" s="586"/>
      <c r="D1993" s="587"/>
      <c r="E1993" s="591"/>
      <c r="G1993" s="593"/>
    </row>
    <row r="1994" spans="1:7">
      <c r="A1994" s="584"/>
      <c r="B1994" s="585"/>
      <c r="C1994" s="586"/>
      <c r="D1994" s="587"/>
      <c r="E1994" s="591"/>
      <c r="G1994" s="593"/>
    </row>
    <row r="1995" spans="1:7">
      <c r="A1995" s="584"/>
      <c r="B1995" s="585"/>
      <c r="C1995" s="586"/>
      <c r="D1995" s="587"/>
      <c r="E1995" s="591"/>
      <c r="G1995" s="593"/>
    </row>
    <row r="1996" spans="1:7">
      <c r="A1996" s="584"/>
      <c r="B1996" s="585"/>
      <c r="C1996" s="586"/>
      <c r="D1996" s="587"/>
      <c r="E1996" s="591"/>
      <c r="G1996" s="593"/>
    </row>
    <row r="1997" spans="1:7">
      <c r="A1997" s="584"/>
      <c r="B1997" s="585"/>
      <c r="C1997" s="586"/>
      <c r="D1997" s="587"/>
      <c r="E1997" s="591"/>
      <c r="G1997" s="593"/>
    </row>
    <row r="1998" spans="1:7">
      <c r="A1998" s="584"/>
      <c r="B1998" s="585"/>
      <c r="C1998" s="586"/>
      <c r="D1998" s="587"/>
      <c r="E1998" s="591"/>
      <c r="G1998" s="593"/>
    </row>
    <row r="1999" spans="1:7">
      <c r="A1999" s="584"/>
      <c r="B1999" s="585"/>
      <c r="C1999" s="586"/>
      <c r="D1999" s="587"/>
      <c r="E1999" s="591"/>
      <c r="G1999" s="593"/>
    </row>
    <row r="2000" spans="1:7">
      <c r="A2000" s="584"/>
      <c r="B2000" s="585"/>
      <c r="C2000" s="586"/>
      <c r="D2000" s="587"/>
      <c r="E2000" s="591"/>
      <c r="G2000" s="593"/>
    </row>
    <row r="2001" spans="1:7">
      <c r="A2001" s="584"/>
      <c r="B2001" s="585"/>
      <c r="C2001" s="586"/>
      <c r="D2001" s="587"/>
      <c r="E2001" s="591"/>
      <c r="G2001" s="593"/>
    </row>
    <row r="2002" spans="1:7">
      <c r="A2002" s="584"/>
      <c r="B2002" s="585"/>
      <c r="C2002" s="586"/>
      <c r="D2002" s="587"/>
      <c r="E2002" s="591"/>
      <c r="G2002" s="593"/>
    </row>
    <row r="2003" spans="1:7">
      <c r="A2003" s="584"/>
      <c r="B2003" s="585"/>
      <c r="C2003" s="586"/>
      <c r="D2003" s="587"/>
      <c r="E2003" s="591"/>
      <c r="G2003" s="593"/>
    </row>
    <row r="2004" spans="1:7">
      <c r="A2004" s="584"/>
      <c r="B2004" s="585"/>
      <c r="C2004" s="586"/>
      <c r="D2004" s="587"/>
      <c r="E2004" s="591"/>
      <c r="G2004" s="593"/>
    </row>
    <row r="2005" spans="1:7">
      <c r="A2005" s="584"/>
      <c r="B2005" s="585"/>
      <c r="C2005" s="586"/>
      <c r="D2005" s="587"/>
      <c r="E2005" s="591"/>
      <c r="G2005" s="593"/>
    </row>
    <row r="2006" spans="1:7">
      <c r="A2006" s="584"/>
      <c r="B2006" s="585"/>
      <c r="C2006" s="586"/>
      <c r="D2006" s="587"/>
      <c r="E2006" s="591"/>
      <c r="G2006" s="593"/>
    </row>
    <row r="2007" spans="1:7">
      <c r="A2007" s="584"/>
      <c r="B2007" s="585"/>
      <c r="C2007" s="586"/>
      <c r="D2007" s="587"/>
      <c r="E2007" s="591"/>
      <c r="G2007" s="593"/>
    </row>
    <row r="2008" spans="1:7">
      <c r="A2008" s="584"/>
      <c r="B2008" s="585"/>
      <c r="C2008" s="586"/>
      <c r="D2008" s="587"/>
      <c r="E2008" s="591"/>
      <c r="G2008" s="593"/>
    </row>
    <row r="2009" spans="1:7">
      <c r="A2009" s="584"/>
      <c r="B2009" s="585"/>
      <c r="C2009" s="586"/>
      <c r="D2009" s="587"/>
      <c r="E2009" s="591"/>
      <c r="G2009" s="593"/>
    </row>
    <row r="2010" spans="1:7">
      <c r="A2010" s="584"/>
      <c r="B2010" s="585"/>
      <c r="C2010" s="586"/>
      <c r="D2010" s="587"/>
      <c r="E2010" s="591"/>
      <c r="G2010" s="593"/>
    </row>
    <row r="2011" spans="1:7">
      <c r="A2011" s="584"/>
      <c r="B2011" s="585"/>
      <c r="C2011" s="586"/>
      <c r="D2011" s="587"/>
      <c r="E2011" s="591"/>
      <c r="G2011" s="593"/>
    </row>
    <row r="2012" spans="1:7">
      <c r="A2012" s="584"/>
      <c r="B2012" s="585"/>
      <c r="C2012" s="586"/>
      <c r="D2012" s="587"/>
      <c r="E2012" s="591"/>
      <c r="G2012" s="593"/>
    </row>
    <row r="2013" spans="1:7">
      <c r="A2013" s="584"/>
      <c r="B2013" s="585"/>
      <c r="C2013" s="586"/>
      <c r="D2013" s="587"/>
      <c r="E2013" s="591"/>
      <c r="G2013" s="593"/>
    </row>
    <row r="2014" spans="1:7">
      <c r="A2014" s="584"/>
      <c r="B2014" s="585"/>
      <c r="C2014" s="586"/>
      <c r="D2014" s="587"/>
      <c r="E2014" s="591"/>
      <c r="G2014" s="593"/>
    </row>
    <row r="2015" spans="1:7">
      <c r="A2015" s="584"/>
      <c r="B2015" s="585"/>
      <c r="C2015" s="586"/>
      <c r="D2015" s="587"/>
      <c r="E2015" s="591"/>
      <c r="G2015" s="593"/>
    </row>
    <row r="2016" spans="1:7">
      <c r="A2016" s="584"/>
      <c r="B2016" s="585"/>
      <c r="C2016" s="586"/>
      <c r="D2016" s="587"/>
      <c r="E2016" s="591"/>
      <c r="G2016" s="593"/>
    </row>
    <row r="2017" spans="1:7">
      <c r="A2017" s="584"/>
      <c r="B2017" s="585"/>
      <c r="C2017" s="586"/>
      <c r="D2017" s="587"/>
      <c r="E2017" s="591"/>
      <c r="G2017" s="593"/>
    </row>
    <row r="2018" spans="1:7">
      <c r="A2018" s="584"/>
      <c r="B2018" s="585"/>
      <c r="C2018" s="586"/>
      <c r="D2018" s="587"/>
      <c r="E2018" s="591"/>
      <c r="G2018" s="593"/>
    </row>
    <row r="2019" spans="1:7">
      <c r="A2019" s="584"/>
      <c r="B2019" s="585"/>
      <c r="C2019" s="586"/>
      <c r="D2019" s="587"/>
      <c r="E2019" s="591"/>
      <c r="G2019" s="593"/>
    </row>
    <row r="2020" spans="1:7">
      <c r="A2020" s="584"/>
      <c r="B2020" s="585"/>
      <c r="C2020" s="586"/>
      <c r="D2020" s="587"/>
      <c r="E2020" s="591"/>
      <c r="G2020" s="593"/>
    </row>
    <row r="2021" spans="1:7">
      <c r="A2021" s="584"/>
      <c r="B2021" s="585"/>
      <c r="C2021" s="586"/>
      <c r="D2021" s="587"/>
      <c r="E2021" s="591"/>
      <c r="G2021" s="593"/>
    </row>
    <row r="2022" spans="1:7">
      <c r="A2022" s="584"/>
      <c r="B2022" s="585"/>
      <c r="C2022" s="586"/>
      <c r="D2022" s="587"/>
      <c r="E2022" s="591"/>
      <c r="G2022" s="593"/>
    </row>
    <row r="2023" spans="1:7">
      <c r="A2023" s="584"/>
      <c r="B2023" s="585"/>
      <c r="C2023" s="586"/>
      <c r="D2023" s="587"/>
      <c r="E2023" s="591"/>
      <c r="G2023" s="593"/>
    </row>
    <row r="2024" spans="1:7">
      <c r="A2024" s="584"/>
      <c r="B2024" s="585"/>
      <c r="C2024" s="586"/>
      <c r="D2024" s="587"/>
      <c r="E2024" s="591"/>
      <c r="G2024" s="593"/>
    </row>
    <row r="2025" spans="1:7">
      <c r="A2025" s="584"/>
      <c r="B2025" s="585"/>
      <c r="C2025" s="586"/>
      <c r="D2025" s="587"/>
      <c r="E2025" s="591"/>
      <c r="G2025" s="593"/>
    </row>
    <row r="2026" spans="1:7">
      <c r="A2026" s="584"/>
      <c r="B2026" s="585"/>
      <c r="C2026" s="586"/>
      <c r="D2026" s="587"/>
      <c r="E2026" s="591"/>
      <c r="G2026" s="593"/>
    </row>
    <row r="2027" spans="1:7">
      <c r="A2027" s="584"/>
      <c r="B2027" s="585"/>
      <c r="C2027" s="586"/>
      <c r="D2027" s="587"/>
      <c r="E2027" s="591"/>
      <c r="G2027" s="593"/>
    </row>
    <row r="2028" spans="1:7">
      <c r="A2028" s="584"/>
      <c r="B2028" s="585"/>
      <c r="C2028" s="586"/>
      <c r="D2028" s="587"/>
      <c r="E2028" s="591"/>
      <c r="G2028" s="593"/>
    </row>
    <row r="2029" spans="1:7">
      <c r="A2029" s="584"/>
      <c r="B2029" s="585"/>
      <c r="C2029" s="586"/>
      <c r="D2029" s="587"/>
      <c r="E2029" s="591"/>
      <c r="G2029" s="593"/>
    </row>
    <row r="2030" spans="1:7">
      <c r="A2030" s="584"/>
      <c r="B2030" s="585"/>
      <c r="C2030" s="586"/>
      <c r="D2030" s="587"/>
      <c r="E2030" s="591"/>
      <c r="G2030" s="593"/>
    </row>
    <row r="2031" spans="1:7">
      <c r="A2031" s="584"/>
      <c r="B2031" s="585"/>
      <c r="C2031" s="586"/>
      <c r="D2031" s="587"/>
      <c r="E2031" s="591"/>
      <c r="G2031" s="593"/>
    </row>
    <row r="2032" spans="1:7">
      <c r="A2032" s="584"/>
      <c r="B2032" s="585"/>
      <c r="C2032" s="586"/>
      <c r="D2032" s="587"/>
      <c r="E2032" s="591"/>
      <c r="G2032" s="593"/>
    </row>
    <row r="2033" spans="1:7">
      <c r="A2033" s="584"/>
      <c r="B2033" s="585"/>
      <c r="C2033" s="586"/>
      <c r="D2033" s="587"/>
      <c r="E2033" s="591"/>
      <c r="G2033" s="593"/>
    </row>
    <row r="2034" spans="1:7">
      <c r="A2034" s="584"/>
      <c r="B2034" s="585"/>
      <c r="C2034" s="586"/>
      <c r="D2034" s="587"/>
      <c r="E2034" s="591"/>
      <c r="G2034" s="593"/>
    </row>
    <row r="2035" spans="1:7">
      <c r="A2035" s="584"/>
      <c r="B2035" s="585"/>
      <c r="C2035" s="586"/>
      <c r="D2035" s="587"/>
      <c r="E2035" s="591"/>
      <c r="G2035" s="593"/>
    </row>
    <row r="2036" spans="1:7">
      <c r="A2036" s="584"/>
      <c r="B2036" s="585"/>
      <c r="C2036" s="586"/>
      <c r="D2036" s="587"/>
      <c r="E2036" s="591"/>
      <c r="G2036" s="593"/>
    </row>
    <row r="2037" spans="1:7">
      <c r="A2037" s="584"/>
      <c r="B2037" s="585"/>
      <c r="C2037" s="586"/>
      <c r="D2037" s="587"/>
      <c r="E2037" s="591"/>
      <c r="G2037" s="593"/>
    </row>
    <row r="2038" spans="1:7">
      <c r="A2038" s="584"/>
      <c r="B2038" s="585"/>
      <c r="C2038" s="586"/>
      <c r="D2038" s="587"/>
      <c r="E2038" s="591"/>
      <c r="G2038" s="593"/>
    </row>
    <row r="2039" spans="1:7">
      <c r="A2039" s="584"/>
      <c r="B2039" s="585"/>
      <c r="C2039" s="586"/>
      <c r="D2039" s="587"/>
      <c r="E2039" s="591"/>
      <c r="G2039" s="593"/>
    </row>
    <row r="2040" spans="1:7">
      <c r="A2040" s="584"/>
      <c r="B2040" s="585"/>
      <c r="C2040" s="586"/>
      <c r="D2040" s="587"/>
      <c r="E2040" s="591"/>
      <c r="G2040" s="593"/>
    </row>
    <row r="2041" spans="1:7">
      <c r="A2041" s="584"/>
      <c r="B2041" s="585"/>
      <c r="C2041" s="586"/>
      <c r="D2041" s="587"/>
      <c r="E2041" s="591"/>
      <c r="G2041" s="593"/>
    </row>
    <row r="2042" spans="1:7">
      <c r="A2042" s="584"/>
      <c r="B2042" s="585"/>
      <c r="C2042" s="586"/>
      <c r="D2042" s="587"/>
      <c r="E2042" s="591"/>
      <c r="G2042" s="593"/>
    </row>
    <row r="2043" spans="1:7">
      <c r="A2043" s="584"/>
      <c r="B2043" s="585"/>
      <c r="C2043" s="586"/>
      <c r="D2043" s="587"/>
      <c r="E2043" s="591"/>
      <c r="G2043" s="593"/>
    </row>
    <row r="2044" spans="1:7">
      <c r="A2044" s="584"/>
      <c r="B2044" s="585"/>
      <c r="C2044" s="586"/>
      <c r="D2044" s="587"/>
      <c r="E2044" s="591"/>
      <c r="G2044" s="593"/>
    </row>
    <row r="2045" spans="1:7">
      <c r="A2045" s="584"/>
      <c r="B2045" s="585"/>
      <c r="C2045" s="586"/>
      <c r="D2045" s="587"/>
      <c r="E2045" s="591"/>
      <c r="G2045" s="593"/>
    </row>
    <row r="2046" spans="1:7">
      <c r="A2046" s="584"/>
      <c r="B2046" s="585"/>
      <c r="C2046" s="586"/>
      <c r="D2046" s="587"/>
      <c r="E2046" s="591"/>
      <c r="G2046" s="593"/>
    </row>
    <row r="2047" spans="1:7">
      <c r="A2047" s="584"/>
      <c r="B2047" s="585"/>
      <c r="C2047" s="586"/>
      <c r="D2047" s="587"/>
      <c r="E2047" s="591"/>
      <c r="G2047" s="593"/>
    </row>
    <row r="2048" spans="1:7">
      <c r="A2048" s="584"/>
      <c r="B2048" s="585"/>
      <c r="C2048" s="586"/>
      <c r="D2048" s="587"/>
      <c r="E2048" s="591"/>
      <c r="G2048" s="593"/>
    </row>
    <row r="2049" spans="1:7">
      <c r="A2049" s="584"/>
      <c r="B2049" s="585"/>
      <c r="C2049" s="586"/>
      <c r="D2049" s="587"/>
      <c r="E2049" s="591"/>
      <c r="G2049" s="593"/>
    </row>
    <row r="2050" spans="1:7">
      <c r="A2050" s="584"/>
      <c r="B2050" s="585"/>
      <c r="C2050" s="586"/>
      <c r="D2050" s="587"/>
      <c r="E2050" s="591"/>
      <c r="G2050" s="593"/>
    </row>
    <row r="2051" spans="1:7">
      <c r="A2051" s="584"/>
      <c r="B2051" s="585"/>
      <c r="C2051" s="586"/>
      <c r="D2051" s="587"/>
      <c r="E2051" s="591"/>
      <c r="G2051" s="593"/>
    </row>
    <row r="2052" spans="1:7">
      <c r="A2052" s="584"/>
      <c r="B2052" s="585"/>
      <c r="C2052" s="586"/>
      <c r="D2052" s="587"/>
      <c r="E2052" s="591"/>
      <c r="G2052" s="593"/>
    </row>
    <row r="2053" spans="1:7">
      <c r="A2053" s="584"/>
      <c r="B2053" s="585"/>
      <c r="C2053" s="586"/>
      <c r="D2053" s="587"/>
      <c r="E2053" s="591"/>
      <c r="G2053" s="593"/>
    </row>
    <row r="2054" spans="1:7">
      <c r="A2054" s="584"/>
      <c r="B2054" s="585"/>
      <c r="C2054" s="586"/>
      <c r="D2054" s="587"/>
      <c r="E2054" s="591"/>
      <c r="G2054" s="593"/>
    </row>
    <row r="2055" spans="1:7">
      <c r="A2055" s="584"/>
      <c r="B2055" s="585"/>
      <c r="C2055" s="586"/>
      <c r="D2055" s="587"/>
      <c r="E2055" s="591"/>
      <c r="G2055" s="593"/>
    </row>
    <row r="2056" spans="1:7">
      <c r="A2056" s="584"/>
      <c r="B2056" s="585"/>
      <c r="C2056" s="586"/>
      <c r="D2056" s="587"/>
      <c r="E2056" s="591"/>
      <c r="G2056" s="593"/>
    </row>
    <row r="2057" spans="1:7">
      <c r="A2057" s="584"/>
      <c r="B2057" s="585"/>
      <c r="C2057" s="586"/>
      <c r="D2057" s="587"/>
      <c r="E2057" s="591"/>
      <c r="G2057" s="593"/>
    </row>
    <row r="2058" spans="1:7">
      <c r="A2058" s="584"/>
      <c r="B2058" s="585"/>
      <c r="C2058" s="586"/>
      <c r="D2058" s="587"/>
      <c r="E2058" s="591"/>
      <c r="G2058" s="593"/>
    </row>
    <row r="2059" spans="1:7">
      <c r="A2059" s="584"/>
      <c r="B2059" s="585"/>
      <c r="C2059" s="586"/>
      <c r="D2059" s="587"/>
      <c r="E2059" s="591"/>
      <c r="G2059" s="593"/>
    </row>
    <row r="2060" spans="1:7">
      <c r="A2060" s="584"/>
      <c r="B2060" s="585"/>
      <c r="C2060" s="586"/>
      <c r="D2060" s="587"/>
      <c r="E2060" s="591"/>
      <c r="G2060" s="593"/>
    </row>
    <row r="2061" spans="1:7">
      <c r="A2061" s="584"/>
      <c r="B2061" s="585"/>
      <c r="C2061" s="586"/>
      <c r="D2061" s="587"/>
      <c r="E2061" s="591"/>
      <c r="G2061" s="593"/>
    </row>
    <row r="2062" spans="1:7">
      <c r="A2062" s="584"/>
      <c r="B2062" s="585"/>
      <c r="C2062" s="586"/>
      <c r="D2062" s="587"/>
      <c r="E2062" s="591"/>
      <c r="G2062" s="593"/>
    </row>
    <row r="2063" spans="1:7">
      <c r="A2063" s="584"/>
      <c r="B2063" s="585"/>
      <c r="C2063" s="586"/>
      <c r="D2063" s="587"/>
      <c r="E2063" s="591"/>
      <c r="G2063" s="593"/>
    </row>
    <row r="2064" spans="1:7">
      <c r="A2064" s="584"/>
      <c r="B2064" s="585"/>
      <c r="C2064" s="586"/>
      <c r="D2064" s="587"/>
      <c r="E2064" s="591"/>
      <c r="G2064" s="593"/>
    </row>
    <row r="2065" spans="1:7">
      <c r="A2065" s="584"/>
      <c r="B2065" s="585"/>
      <c r="C2065" s="586"/>
      <c r="D2065" s="587"/>
      <c r="E2065" s="591"/>
      <c r="G2065" s="593"/>
    </row>
    <row r="2066" spans="1:7">
      <c r="A2066" s="584"/>
      <c r="B2066" s="585"/>
      <c r="C2066" s="586"/>
      <c r="D2066" s="587"/>
      <c r="E2066" s="591"/>
      <c r="G2066" s="593"/>
    </row>
    <row r="2067" spans="1:7">
      <c r="A2067" s="584"/>
      <c r="B2067" s="585"/>
      <c r="C2067" s="586"/>
      <c r="D2067" s="587"/>
      <c r="E2067" s="591"/>
      <c r="G2067" s="593"/>
    </row>
    <row r="2068" spans="1:7">
      <c r="A2068" s="584"/>
      <c r="B2068" s="585"/>
      <c r="C2068" s="586"/>
      <c r="D2068" s="587"/>
      <c r="E2068" s="591"/>
      <c r="G2068" s="593"/>
    </row>
    <row r="2069" spans="1:7">
      <c r="A2069" s="584"/>
      <c r="B2069" s="585"/>
      <c r="C2069" s="586"/>
      <c r="D2069" s="587"/>
      <c r="E2069" s="591"/>
      <c r="G2069" s="593"/>
    </row>
    <row r="2070" spans="1:7">
      <c r="A2070" s="584"/>
      <c r="B2070" s="585"/>
      <c r="C2070" s="586"/>
      <c r="D2070" s="587"/>
      <c r="E2070" s="591"/>
      <c r="G2070" s="593"/>
    </row>
    <row r="2071" spans="1:7">
      <c r="A2071" s="584"/>
      <c r="B2071" s="585"/>
      <c r="C2071" s="586"/>
      <c r="D2071" s="587"/>
      <c r="E2071" s="591"/>
      <c r="G2071" s="593"/>
    </row>
    <row r="2072" spans="1:7">
      <c r="A2072" s="584"/>
      <c r="B2072" s="585"/>
      <c r="C2072" s="586"/>
      <c r="D2072" s="587"/>
      <c r="E2072" s="591"/>
      <c r="G2072" s="593"/>
    </row>
    <row r="2073" spans="1:7">
      <c r="A2073" s="584"/>
      <c r="B2073" s="585"/>
      <c r="C2073" s="586"/>
      <c r="D2073" s="587"/>
      <c r="E2073" s="591"/>
      <c r="G2073" s="593"/>
    </row>
    <row r="2074" spans="1:7">
      <c r="A2074" s="584"/>
      <c r="B2074" s="585"/>
      <c r="C2074" s="586"/>
      <c r="D2074" s="587"/>
      <c r="E2074" s="591"/>
      <c r="G2074" s="593"/>
    </row>
    <row r="2075" spans="1:7">
      <c r="A2075" s="584"/>
      <c r="B2075" s="585"/>
      <c r="C2075" s="586"/>
      <c r="D2075" s="587"/>
      <c r="E2075" s="591"/>
      <c r="G2075" s="593"/>
    </row>
    <row r="2076" spans="1:7">
      <c r="A2076" s="584"/>
      <c r="B2076" s="585"/>
      <c r="C2076" s="586"/>
      <c r="D2076" s="587"/>
      <c r="E2076" s="591"/>
      <c r="G2076" s="593"/>
    </row>
    <row r="2077" spans="1:7">
      <c r="A2077" s="584"/>
      <c r="B2077" s="585"/>
      <c r="C2077" s="586"/>
      <c r="D2077" s="587"/>
      <c r="E2077" s="591"/>
      <c r="G2077" s="593"/>
    </row>
    <row r="2078" spans="1:7">
      <c r="A2078" s="584"/>
      <c r="B2078" s="585"/>
      <c r="C2078" s="586"/>
      <c r="D2078" s="587"/>
      <c r="E2078" s="591"/>
      <c r="G2078" s="593"/>
    </row>
    <row r="2079" spans="1:7">
      <c r="A2079" s="584"/>
      <c r="B2079" s="585"/>
      <c r="C2079" s="586"/>
      <c r="D2079" s="587"/>
      <c r="E2079" s="591"/>
      <c r="G2079" s="593"/>
    </row>
    <row r="2080" spans="1:7">
      <c r="A2080" s="584"/>
      <c r="B2080" s="585"/>
      <c r="C2080" s="586"/>
      <c r="D2080" s="587"/>
      <c r="E2080" s="591"/>
      <c r="G2080" s="593"/>
    </row>
    <row r="2081" spans="1:7">
      <c r="A2081" s="584"/>
      <c r="B2081" s="585"/>
      <c r="C2081" s="586"/>
      <c r="D2081" s="587"/>
      <c r="E2081" s="591"/>
      <c r="G2081" s="593"/>
    </row>
    <row r="2082" spans="1:7">
      <c r="A2082" s="584"/>
      <c r="B2082" s="585"/>
      <c r="C2082" s="586"/>
      <c r="D2082" s="587"/>
      <c r="E2082" s="591"/>
      <c r="G2082" s="593"/>
    </row>
    <row r="2083" spans="1:7">
      <c r="A2083" s="584"/>
      <c r="B2083" s="585"/>
      <c r="C2083" s="586"/>
      <c r="D2083" s="587"/>
      <c r="E2083" s="591"/>
      <c r="G2083" s="593"/>
    </row>
    <row r="2084" spans="1:7">
      <c r="A2084" s="584"/>
      <c r="B2084" s="585"/>
      <c r="C2084" s="586"/>
      <c r="D2084" s="587"/>
      <c r="E2084" s="591"/>
      <c r="G2084" s="593"/>
    </row>
    <row r="2085" spans="1:7">
      <c r="A2085" s="584"/>
      <c r="B2085" s="585"/>
      <c r="C2085" s="586"/>
      <c r="D2085" s="587"/>
      <c r="E2085" s="591"/>
      <c r="G2085" s="593"/>
    </row>
    <row r="2086" spans="1:7">
      <c r="A2086" s="584"/>
      <c r="B2086" s="585"/>
      <c r="C2086" s="586"/>
      <c r="D2086" s="587"/>
      <c r="E2086" s="591"/>
      <c r="G2086" s="593"/>
    </row>
    <row r="2087" spans="1:7">
      <c r="A2087" s="584"/>
      <c r="B2087" s="585"/>
      <c r="C2087" s="586"/>
      <c r="D2087" s="587"/>
      <c r="E2087" s="591"/>
      <c r="G2087" s="593"/>
    </row>
    <row r="2088" spans="1:7">
      <c r="A2088" s="584"/>
      <c r="B2088" s="585"/>
      <c r="C2088" s="586"/>
      <c r="D2088" s="587"/>
      <c r="E2088" s="591"/>
      <c r="G2088" s="593"/>
    </row>
    <row r="2089" spans="1:7">
      <c r="A2089" s="584"/>
      <c r="B2089" s="585"/>
      <c r="C2089" s="586"/>
      <c r="D2089" s="587"/>
      <c r="E2089" s="591"/>
      <c r="G2089" s="593"/>
    </row>
    <row r="2090" spans="1:7">
      <c r="A2090" s="584"/>
      <c r="B2090" s="585"/>
      <c r="C2090" s="586"/>
      <c r="D2090" s="587"/>
      <c r="E2090" s="591"/>
      <c r="G2090" s="593"/>
    </row>
    <row r="2091" spans="1:7">
      <c r="A2091" s="584"/>
      <c r="B2091" s="585"/>
      <c r="C2091" s="586"/>
      <c r="D2091" s="587"/>
      <c r="E2091" s="591"/>
      <c r="G2091" s="593"/>
    </row>
    <row r="2092" spans="1:7">
      <c r="A2092" s="584"/>
      <c r="B2092" s="585"/>
      <c r="C2092" s="586"/>
      <c r="D2092" s="587"/>
      <c r="E2092" s="591"/>
      <c r="G2092" s="593"/>
    </row>
    <row r="2093" spans="1:7">
      <c r="A2093" s="584"/>
      <c r="B2093" s="585"/>
      <c r="C2093" s="586"/>
      <c r="D2093" s="587"/>
      <c r="E2093" s="591"/>
      <c r="G2093" s="593"/>
    </row>
    <row r="2094" spans="1:7">
      <c r="A2094" s="584"/>
      <c r="B2094" s="585"/>
      <c r="C2094" s="586"/>
      <c r="D2094" s="587"/>
      <c r="E2094" s="591"/>
      <c r="G2094" s="593"/>
    </row>
    <row r="2095" spans="1:7">
      <c r="A2095" s="584"/>
      <c r="B2095" s="585"/>
      <c r="C2095" s="586"/>
      <c r="D2095" s="587"/>
      <c r="E2095" s="591"/>
      <c r="G2095" s="593"/>
    </row>
    <row r="2096" spans="1:7">
      <c r="A2096" s="584"/>
      <c r="B2096" s="585"/>
      <c r="C2096" s="586"/>
      <c r="D2096" s="587"/>
      <c r="E2096" s="591"/>
      <c r="G2096" s="593"/>
    </row>
    <row r="2097" spans="1:7">
      <c r="A2097" s="584"/>
      <c r="B2097" s="585"/>
      <c r="C2097" s="586"/>
      <c r="D2097" s="587"/>
      <c r="E2097" s="591"/>
      <c r="G2097" s="593"/>
    </row>
    <row r="2098" spans="1:7">
      <c r="A2098" s="584"/>
      <c r="B2098" s="585"/>
      <c r="C2098" s="586"/>
      <c r="D2098" s="587"/>
      <c r="E2098" s="591"/>
      <c r="G2098" s="593"/>
    </row>
    <row r="2099" spans="1:7">
      <c r="A2099" s="584"/>
      <c r="B2099" s="585"/>
      <c r="C2099" s="586"/>
      <c r="D2099" s="587"/>
      <c r="E2099" s="591"/>
      <c r="G2099" s="593"/>
    </row>
    <row r="2100" spans="1:7">
      <c r="A2100" s="584"/>
      <c r="B2100" s="585"/>
      <c r="C2100" s="586"/>
      <c r="D2100" s="587"/>
      <c r="E2100" s="591"/>
      <c r="G2100" s="593"/>
    </row>
    <row r="2101" spans="1:7">
      <c r="A2101" s="584"/>
      <c r="B2101" s="585"/>
      <c r="C2101" s="586"/>
      <c r="D2101" s="587"/>
      <c r="E2101" s="591"/>
      <c r="G2101" s="593"/>
    </row>
    <row r="2102" spans="1:7">
      <c r="A2102" s="584"/>
      <c r="B2102" s="585"/>
      <c r="C2102" s="586"/>
      <c r="D2102" s="587"/>
      <c r="E2102" s="591"/>
      <c r="G2102" s="593"/>
    </row>
    <row r="2103" spans="1:7">
      <c r="A2103" s="584"/>
      <c r="B2103" s="585"/>
      <c r="C2103" s="586"/>
      <c r="D2103" s="587"/>
      <c r="E2103" s="591"/>
      <c r="G2103" s="593"/>
    </row>
    <row r="2104" spans="1:7">
      <c r="A2104" s="584"/>
      <c r="B2104" s="585"/>
      <c r="C2104" s="586"/>
      <c r="D2104" s="587"/>
      <c r="E2104" s="591"/>
      <c r="G2104" s="593"/>
    </row>
    <row r="2105" spans="1:7">
      <c r="A2105" s="584"/>
      <c r="B2105" s="585"/>
      <c r="C2105" s="586"/>
      <c r="D2105" s="587"/>
      <c r="E2105" s="591"/>
      <c r="G2105" s="593"/>
    </row>
    <row r="2106" spans="1:7">
      <c r="A2106" s="584"/>
      <c r="B2106" s="585"/>
      <c r="C2106" s="586"/>
      <c r="D2106" s="587"/>
      <c r="E2106" s="591"/>
      <c r="G2106" s="593"/>
    </row>
    <row r="2107" spans="1:7">
      <c r="A2107" s="584"/>
      <c r="B2107" s="585"/>
      <c r="C2107" s="586"/>
      <c r="D2107" s="587"/>
      <c r="E2107" s="591"/>
      <c r="G2107" s="593"/>
    </row>
    <row r="2108" spans="1:7">
      <c r="A2108" s="584"/>
      <c r="B2108" s="585"/>
      <c r="C2108" s="586"/>
      <c r="D2108" s="587"/>
      <c r="E2108" s="591"/>
      <c r="G2108" s="593"/>
    </row>
    <row r="2109" spans="1:7">
      <c r="A2109" s="584"/>
      <c r="B2109" s="585"/>
      <c r="C2109" s="586"/>
      <c r="D2109" s="587"/>
      <c r="E2109" s="591"/>
      <c r="G2109" s="593"/>
    </row>
    <row r="2110" spans="1:7">
      <c r="A2110" s="584"/>
      <c r="B2110" s="585"/>
      <c r="C2110" s="586"/>
      <c r="D2110" s="587"/>
      <c r="E2110" s="591"/>
      <c r="G2110" s="593"/>
    </row>
    <row r="2111" spans="1:7">
      <c r="A2111" s="584"/>
      <c r="B2111" s="585"/>
      <c r="C2111" s="586"/>
      <c r="D2111" s="587"/>
      <c r="E2111" s="591"/>
      <c r="G2111" s="593"/>
    </row>
    <row r="2112" spans="1:7">
      <c r="A2112" s="584"/>
      <c r="B2112" s="585"/>
      <c r="C2112" s="586"/>
      <c r="D2112" s="587"/>
      <c r="E2112" s="591"/>
      <c r="G2112" s="593"/>
    </row>
    <row r="2113" spans="1:7">
      <c r="A2113" s="584"/>
      <c r="B2113" s="585"/>
      <c r="C2113" s="586"/>
      <c r="D2113" s="587"/>
      <c r="E2113" s="591"/>
      <c r="G2113" s="593"/>
    </row>
    <row r="2114" spans="1:7">
      <c r="A2114" s="584"/>
      <c r="B2114" s="585"/>
      <c r="C2114" s="586"/>
      <c r="D2114" s="587"/>
      <c r="E2114" s="591"/>
      <c r="G2114" s="593"/>
    </row>
    <row r="2115" spans="1:7">
      <c r="A2115" s="584"/>
      <c r="B2115" s="585"/>
      <c r="C2115" s="586"/>
      <c r="D2115" s="587"/>
      <c r="E2115" s="591"/>
      <c r="G2115" s="593"/>
    </row>
    <row r="2116" spans="1:7">
      <c r="A2116" s="584"/>
      <c r="B2116" s="585"/>
      <c r="C2116" s="586"/>
      <c r="D2116" s="587"/>
      <c r="E2116" s="591"/>
      <c r="G2116" s="593"/>
    </row>
    <row r="2117" spans="1:7">
      <c r="A2117" s="584"/>
      <c r="B2117" s="585"/>
      <c r="C2117" s="586"/>
      <c r="D2117" s="587"/>
      <c r="E2117" s="591"/>
      <c r="G2117" s="593"/>
    </row>
    <row r="2118" spans="1:7">
      <c r="A2118" s="584"/>
      <c r="B2118" s="585"/>
      <c r="C2118" s="586"/>
      <c r="D2118" s="587"/>
      <c r="E2118" s="591"/>
      <c r="G2118" s="593"/>
    </row>
    <row r="2119" spans="1:7">
      <c r="A2119" s="584"/>
      <c r="B2119" s="585"/>
      <c r="C2119" s="586"/>
      <c r="D2119" s="587"/>
      <c r="E2119" s="591"/>
      <c r="G2119" s="593"/>
    </row>
    <row r="2120" spans="1:7">
      <c r="A2120" s="584"/>
      <c r="B2120" s="585"/>
      <c r="C2120" s="586"/>
      <c r="D2120" s="587"/>
      <c r="E2120" s="591"/>
      <c r="G2120" s="593"/>
    </row>
    <row r="2121" spans="1:7">
      <c r="A2121" s="584"/>
      <c r="B2121" s="585"/>
      <c r="C2121" s="586"/>
      <c r="D2121" s="587"/>
      <c r="E2121" s="591"/>
      <c r="G2121" s="593"/>
    </row>
    <row r="2122" spans="1:7">
      <c r="A2122" s="584"/>
      <c r="B2122" s="585"/>
      <c r="C2122" s="586"/>
      <c r="D2122" s="587"/>
      <c r="E2122" s="591"/>
      <c r="G2122" s="593"/>
    </row>
    <row r="2123" spans="1:7">
      <c r="A2123" s="584"/>
      <c r="B2123" s="585"/>
      <c r="C2123" s="586"/>
      <c r="D2123" s="587"/>
      <c r="E2123" s="591"/>
      <c r="G2123" s="593"/>
    </row>
    <row r="2124" spans="1:7">
      <c r="A2124" s="584"/>
      <c r="B2124" s="585"/>
      <c r="C2124" s="586"/>
      <c r="D2124" s="587"/>
      <c r="E2124" s="591"/>
      <c r="G2124" s="593"/>
    </row>
    <row r="2125" spans="1:7">
      <c r="A2125" s="584"/>
      <c r="B2125" s="585"/>
      <c r="C2125" s="586"/>
      <c r="D2125" s="587"/>
      <c r="E2125" s="591"/>
      <c r="G2125" s="593"/>
    </row>
    <row r="2126" spans="1:7">
      <c r="A2126" s="584"/>
      <c r="B2126" s="585"/>
      <c r="C2126" s="586"/>
      <c r="D2126" s="587"/>
      <c r="E2126" s="591"/>
      <c r="G2126" s="593"/>
    </row>
    <row r="2127" spans="1:7">
      <c r="A2127" s="584"/>
      <c r="B2127" s="585"/>
      <c r="C2127" s="586"/>
      <c r="D2127" s="587"/>
      <c r="E2127" s="591"/>
      <c r="G2127" s="593"/>
    </row>
    <row r="2128" spans="1:7">
      <c r="A2128" s="584"/>
      <c r="B2128" s="585"/>
      <c r="C2128" s="586"/>
      <c r="D2128" s="587"/>
      <c r="E2128" s="591"/>
      <c r="G2128" s="593"/>
    </row>
    <row r="2129" spans="1:7">
      <c r="A2129" s="584"/>
      <c r="B2129" s="585"/>
      <c r="C2129" s="586"/>
      <c r="D2129" s="587"/>
      <c r="E2129" s="591"/>
      <c r="G2129" s="593"/>
    </row>
    <row r="2130" spans="1:7">
      <c r="A2130" s="584"/>
      <c r="B2130" s="585"/>
      <c r="C2130" s="586"/>
      <c r="D2130" s="587"/>
      <c r="E2130" s="591"/>
      <c r="G2130" s="593"/>
    </row>
    <row r="2131" spans="1:7">
      <c r="A2131" s="584"/>
      <c r="B2131" s="585"/>
      <c r="C2131" s="586"/>
      <c r="D2131" s="587"/>
      <c r="E2131" s="591"/>
      <c r="G2131" s="593"/>
    </row>
    <row r="2132" spans="1:7">
      <c r="A2132" s="584"/>
      <c r="B2132" s="585"/>
      <c r="C2132" s="586"/>
      <c r="D2132" s="587"/>
      <c r="E2132" s="591"/>
      <c r="G2132" s="593"/>
    </row>
    <row r="2133" spans="1:7">
      <c r="A2133" s="584"/>
      <c r="B2133" s="585"/>
      <c r="C2133" s="586"/>
      <c r="D2133" s="587"/>
      <c r="E2133" s="591"/>
      <c r="G2133" s="593"/>
    </row>
    <row r="2134" spans="1:7">
      <c r="A2134" s="584"/>
      <c r="B2134" s="585"/>
      <c r="C2134" s="586"/>
      <c r="D2134" s="587"/>
      <c r="E2134" s="591"/>
      <c r="G2134" s="593"/>
    </row>
    <row r="2135" spans="1:7">
      <c r="A2135" s="584"/>
      <c r="B2135" s="585"/>
      <c r="C2135" s="586"/>
      <c r="D2135" s="587"/>
      <c r="E2135" s="591"/>
      <c r="G2135" s="593"/>
    </row>
    <row r="2136" spans="1:7">
      <c r="A2136" s="584"/>
      <c r="B2136" s="585"/>
      <c r="C2136" s="586"/>
      <c r="D2136" s="587"/>
      <c r="E2136" s="591"/>
      <c r="G2136" s="593"/>
    </row>
    <row r="2137" spans="1:7">
      <c r="A2137" s="584"/>
      <c r="B2137" s="585"/>
      <c r="C2137" s="586"/>
      <c r="D2137" s="587"/>
      <c r="E2137" s="591"/>
      <c r="G2137" s="593"/>
    </row>
    <row r="2138" spans="1:7">
      <c r="A2138" s="584"/>
      <c r="B2138" s="585"/>
      <c r="C2138" s="586"/>
      <c r="D2138" s="587"/>
      <c r="E2138" s="591"/>
      <c r="G2138" s="593"/>
    </row>
    <row r="2139" spans="1:7">
      <c r="A2139" s="584"/>
      <c r="B2139" s="585"/>
      <c r="C2139" s="586"/>
      <c r="D2139" s="587"/>
      <c r="E2139" s="591"/>
      <c r="G2139" s="593"/>
    </row>
    <row r="2140" spans="1:7">
      <c r="A2140" s="584"/>
      <c r="B2140" s="585"/>
      <c r="C2140" s="586"/>
      <c r="D2140" s="587"/>
      <c r="E2140" s="591"/>
      <c r="G2140" s="593"/>
    </row>
    <row r="2141" spans="1:7">
      <c r="A2141" s="584"/>
      <c r="B2141" s="585"/>
      <c r="C2141" s="586"/>
      <c r="D2141" s="587"/>
      <c r="E2141" s="591"/>
      <c r="G2141" s="593"/>
    </row>
    <row r="2142" spans="1:7">
      <c r="A2142" s="584"/>
      <c r="B2142" s="585"/>
      <c r="C2142" s="586"/>
      <c r="D2142" s="587"/>
      <c r="E2142" s="591"/>
      <c r="G2142" s="593"/>
    </row>
    <row r="2143" spans="1:7">
      <c r="A2143" s="584"/>
      <c r="B2143" s="585"/>
      <c r="C2143" s="586"/>
      <c r="D2143" s="587"/>
      <c r="E2143" s="591"/>
      <c r="G2143" s="593"/>
    </row>
    <row r="2144" spans="1:7">
      <c r="A2144" s="584"/>
      <c r="B2144" s="585"/>
      <c r="C2144" s="586"/>
      <c r="D2144" s="587"/>
      <c r="E2144" s="591"/>
      <c r="G2144" s="593"/>
    </row>
    <row r="2145" spans="1:7">
      <c r="A2145" s="584"/>
      <c r="B2145" s="585"/>
      <c r="C2145" s="586"/>
      <c r="D2145" s="587"/>
      <c r="E2145" s="591"/>
      <c r="G2145" s="593"/>
    </row>
    <row r="2146" spans="1:7">
      <c r="A2146" s="584"/>
      <c r="B2146" s="585"/>
      <c r="C2146" s="586"/>
      <c r="D2146" s="587"/>
      <c r="E2146" s="591"/>
      <c r="G2146" s="593"/>
    </row>
    <row r="2147" spans="1:7">
      <c r="A2147" s="584"/>
      <c r="B2147" s="585"/>
      <c r="C2147" s="586"/>
      <c r="D2147" s="587"/>
      <c r="E2147" s="591"/>
      <c r="G2147" s="593"/>
    </row>
    <row r="2148" spans="1:7">
      <c r="A2148" s="584"/>
      <c r="B2148" s="585"/>
      <c r="C2148" s="586"/>
      <c r="D2148" s="587"/>
      <c r="E2148" s="591"/>
      <c r="G2148" s="593"/>
    </row>
    <row r="2149" spans="1:7">
      <c r="A2149" s="584"/>
      <c r="B2149" s="585"/>
      <c r="C2149" s="586"/>
      <c r="D2149" s="587"/>
      <c r="E2149" s="591"/>
      <c r="G2149" s="593"/>
    </row>
    <row r="2150" spans="1:7">
      <c r="A2150" s="584"/>
      <c r="B2150" s="585"/>
      <c r="C2150" s="586"/>
      <c r="D2150" s="587"/>
      <c r="E2150" s="591"/>
      <c r="G2150" s="593"/>
    </row>
    <row r="2151" spans="1:7">
      <c r="A2151" s="584"/>
      <c r="B2151" s="585"/>
      <c r="C2151" s="586"/>
      <c r="D2151" s="587"/>
      <c r="E2151" s="591"/>
      <c r="G2151" s="593"/>
    </row>
    <row r="2152" spans="1:7">
      <c r="A2152" s="584"/>
      <c r="B2152" s="585"/>
      <c r="C2152" s="586"/>
      <c r="D2152" s="587"/>
      <c r="E2152" s="591"/>
      <c r="G2152" s="593"/>
    </row>
    <row r="2153" spans="1:7">
      <c r="A2153" s="584"/>
      <c r="B2153" s="585"/>
      <c r="C2153" s="586"/>
      <c r="D2153" s="587"/>
      <c r="E2153" s="591"/>
      <c r="G2153" s="593"/>
    </row>
    <row r="2154" spans="1:7">
      <c r="A2154" s="584"/>
      <c r="B2154" s="585"/>
      <c r="C2154" s="586"/>
      <c r="D2154" s="587"/>
      <c r="E2154" s="591"/>
      <c r="G2154" s="593"/>
    </row>
    <row r="2155" spans="1:7">
      <c r="A2155" s="584"/>
      <c r="B2155" s="585"/>
      <c r="C2155" s="586"/>
      <c r="D2155" s="587"/>
      <c r="E2155" s="591"/>
      <c r="G2155" s="593"/>
    </row>
    <row r="2156" spans="1:7">
      <c r="A2156" s="584"/>
      <c r="B2156" s="585"/>
      <c r="C2156" s="586"/>
      <c r="D2156" s="587"/>
      <c r="E2156" s="591"/>
      <c r="G2156" s="593"/>
    </row>
    <row r="2157" spans="1:7">
      <c r="A2157" s="584"/>
      <c r="B2157" s="585"/>
      <c r="C2157" s="586"/>
      <c r="D2157" s="587"/>
      <c r="E2157" s="591"/>
      <c r="G2157" s="593"/>
    </row>
    <row r="2158" spans="1:7">
      <c r="A2158" s="584"/>
      <c r="B2158" s="585"/>
      <c r="C2158" s="586"/>
      <c r="D2158" s="587"/>
      <c r="E2158" s="591"/>
      <c r="G2158" s="593"/>
    </row>
    <row r="2159" spans="1:7">
      <c r="A2159" s="584"/>
      <c r="B2159" s="585"/>
      <c r="C2159" s="586"/>
      <c r="D2159" s="587"/>
      <c r="E2159" s="591"/>
      <c r="G2159" s="593"/>
    </row>
    <row r="2160" spans="1:7">
      <c r="A2160" s="584"/>
      <c r="B2160" s="585"/>
      <c r="C2160" s="586"/>
      <c r="D2160" s="587"/>
      <c r="E2160" s="591"/>
      <c r="G2160" s="593"/>
    </row>
    <row r="2161" spans="1:7">
      <c r="A2161" s="584"/>
      <c r="B2161" s="585"/>
      <c r="C2161" s="586"/>
      <c r="D2161" s="587"/>
      <c r="E2161" s="591"/>
      <c r="G2161" s="593"/>
    </row>
    <row r="2162" spans="1:7">
      <c r="A2162" s="584"/>
      <c r="B2162" s="585"/>
      <c r="C2162" s="586"/>
      <c r="D2162" s="587"/>
      <c r="E2162" s="591"/>
      <c r="G2162" s="593"/>
    </row>
    <row r="2163" spans="1:7">
      <c r="A2163" s="584"/>
      <c r="B2163" s="585"/>
      <c r="C2163" s="586"/>
      <c r="D2163" s="587"/>
      <c r="E2163" s="591"/>
      <c r="G2163" s="593"/>
    </row>
    <row r="2164" spans="1:7">
      <c r="A2164" s="584"/>
      <c r="B2164" s="585"/>
      <c r="C2164" s="586"/>
      <c r="D2164" s="587"/>
      <c r="E2164" s="591"/>
      <c r="G2164" s="593"/>
    </row>
    <row r="2165" spans="1:7">
      <c r="A2165" s="584"/>
      <c r="B2165" s="585"/>
      <c r="C2165" s="586"/>
      <c r="D2165" s="587"/>
      <c r="E2165" s="591"/>
      <c r="G2165" s="593"/>
    </row>
    <row r="2166" spans="1:7">
      <c r="A2166" s="584"/>
      <c r="B2166" s="585"/>
      <c r="C2166" s="586"/>
      <c r="D2166" s="587"/>
      <c r="E2166" s="591"/>
      <c r="G2166" s="593"/>
    </row>
    <row r="2167" spans="1:7">
      <c r="A2167" s="584"/>
      <c r="B2167" s="585"/>
      <c r="C2167" s="586"/>
      <c r="D2167" s="587"/>
      <c r="E2167" s="591"/>
      <c r="G2167" s="593"/>
    </row>
    <row r="2168" spans="1:7">
      <c r="A2168" s="584"/>
      <c r="B2168" s="585"/>
      <c r="C2168" s="586"/>
      <c r="D2168" s="587"/>
      <c r="E2168" s="591"/>
      <c r="G2168" s="593"/>
    </row>
    <row r="2169" spans="1:7">
      <c r="A2169" s="584"/>
      <c r="B2169" s="585"/>
      <c r="C2169" s="586"/>
      <c r="D2169" s="587"/>
      <c r="E2169" s="591"/>
      <c r="G2169" s="593"/>
    </row>
    <row r="2170" spans="1:7">
      <c r="A2170" s="584"/>
      <c r="B2170" s="585"/>
      <c r="C2170" s="586"/>
      <c r="D2170" s="587"/>
      <c r="E2170" s="591"/>
      <c r="G2170" s="593"/>
    </row>
    <row r="2171" spans="1:7">
      <c r="A2171" s="584"/>
      <c r="B2171" s="585"/>
      <c r="C2171" s="586"/>
      <c r="D2171" s="587"/>
      <c r="E2171" s="591"/>
      <c r="G2171" s="593"/>
    </row>
    <row r="2172" spans="1:7">
      <c r="A2172" s="584"/>
      <c r="B2172" s="585"/>
      <c r="C2172" s="586"/>
      <c r="D2172" s="587"/>
      <c r="E2172" s="591"/>
      <c r="G2172" s="593"/>
    </row>
    <row r="2173" spans="1:7">
      <c r="A2173" s="584"/>
      <c r="B2173" s="585"/>
      <c r="C2173" s="586"/>
      <c r="D2173" s="587"/>
      <c r="E2173" s="591"/>
      <c r="G2173" s="593"/>
    </row>
    <row r="2174" spans="1:7">
      <c r="A2174" s="584"/>
      <c r="B2174" s="585"/>
      <c r="C2174" s="586"/>
      <c r="D2174" s="587"/>
      <c r="E2174" s="591"/>
      <c r="G2174" s="593"/>
    </row>
    <row r="2175" spans="1:7">
      <c r="A2175" s="584"/>
      <c r="B2175" s="585"/>
      <c r="C2175" s="586"/>
      <c r="D2175" s="587"/>
      <c r="E2175" s="591"/>
      <c r="G2175" s="593"/>
    </row>
    <row r="2176" spans="1:7">
      <c r="A2176" s="584"/>
      <c r="B2176" s="585"/>
      <c r="C2176" s="586"/>
      <c r="D2176" s="587"/>
      <c r="E2176" s="591"/>
      <c r="G2176" s="593"/>
    </row>
    <row r="2177" spans="1:7">
      <c r="A2177" s="584"/>
      <c r="B2177" s="585"/>
      <c r="C2177" s="586"/>
      <c r="D2177" s="587"/>
      <c r="E2177" s="591"/>
      <c r="G2177" s="593"/>
    </row>
    <row r="2178" spans="1:7">
      <c r="A2178" s="584"/>
      <c r="B2178" s="585"/>
      <c r="C2178" s="586"/>
      <c r="D2178" s="587"/>
      <c r="E2178" s="591"/>
      <c r="G2178" s="593"/>
    </row>
    <row r="2179" spans="1:7">
      <c r="A2179" s="584"/>
      <c r="B2179" s="585"/>
      <c r="C2179" s="586"/>
      <c r="D2179" s="587"/>
      <c r="E2179" s="591"/>
      <c r="G2179" s="593"/>
    </row>
    <row r="2180" spans="1:7">
      <c r="A2180" s="584"/>
      <c r="B2180" s="585"/>
      <c r="C2180" s="586"/>
      <c r="D2180" s="587"/>
      <c r="E2180" s="591"/>
      <c r="G2180" s="593"/>
    </row>
    <row r="2181" spans="1:7">
      <c r="A2181" s="584"/>
      <c r="B2181" s="585"/>
      <c r="C2181" s="586"/>
      <c r="D2181" s="587"/>
      <c r="E2181" s="591"/>
      <c r="G2181" s="593"/>
    </row>
    <row r="2182" spans="1:7">
      <c r="A2182" s="584"/>
      <c r="B2182" s="585"/>
      <c r="C2182" s="586"/>
      <c r="D2182" s="587"/>
      <c r="E2182" s="591"/>
      <c r="G2182" s="593"/>
    </row>
    <row r="2183" spans="1:7">
      <c r="A2183" s="584"/>
      <c r="B2183" s="585"/>
      <c r="C2183" s="586"/>
      <c r="D2183" s="587"/>
      <c r="E2183" s="591"/>
      <c r="G2183" s="593"/>
    </row>
    <row r="2184" spans="1:7">
      <c r="A2184" s="584"/>
      <c r="B2184" s="585"/>
      <c r="C2184" s="586"/>
      <c r="D2184" s="587"/>
      <c r="E2184" s="591"/>
      <c r="G2184" s="593"/>
    </row>
    <row r="2185" spans="1:7">
      <c r="A2185" s="584"/>
      <c r="B2185" s="585"/>
      <c r="C2185" s="586"/>
      <c r="D2185" s="587"/>
      <c r="E2185" s="591"/>
      <c r="G2185" s="593"/>
    </row>
    <row r="2186" spans="1:7">
      <c r="A2186" s="584"/>
      <c r="B2186" s="585"/>
      <c r="C2186" s="586"/>
      <c r="D2186" s="587"/>
      <c r="E2186" s="591"/>
      <c r="G2186" s="593"/>
    </row>
    <row r="2187" spans="1:7">
      <c r="A2187" s="584"/>
      <c r="B2187" s="585"/>
      <c r="C2187" s="586"/>
      <c r="D2187" s="587"/>
      <c r="E2187" s="591"/>
      <c r="G2187" s="593"/>
    </row>
    <row r="2188" spans="1:7">
      <c r="A2188" s="584"/>
      <c r="B2188" s="585"/>
      <c r="C2188" s="586"/>
      <c r="D2188" s="587"/>
      <c r="E2188" s="591"/>
      <c r="G2188" s="593"/>
    </row>
    <row r="2189" spans="1:7">
      <c r="A2189" s="584"/>
      <c r="B2189" s="585"/>
      <c r="C2189" s="586"/>
      <c r="D2189" s="587"/>
      <c r="E2189" s="591"/>
      <c r="G2189" s="593"/>
    </row>
    <row r="2190" spans="1:7">
      <c r="A2190" s="584"/>
      <c r="B2190" s="585"/>
      <c r="C2190" s="586"/>
      <c r="D2190" s="587"/>
      <c r="E2190" s="591"/>
      <c r="G2190" s="593"/>
    </row>
    <row r="2191" spans="1:7">
      <c r="A2191" s="584"/>
      <c r="B2191" s="585"/>
      <c r="C2191" s="586"/>
      <c r="D2191" s="587"/>
      <c r="E2191" s="591"/>
      <c r="G2191" s="593"/>
    </row>
    <row r="2192" spans="1:7">
      <c r="A2192" s="584"/>
      <c r="B2192" s="585"/>
      <c r="C2192" s="586"/>
      <c r="D2192" s="587"/>
      <c r="E2192" s="591"/>
      <c r="G2192" s="593"/>
    </row>
    <row r="2193" spans="1:7">
      <c r="A2193" s="584"/>
      <c r="B2193" s="585"/>
      <c r="C2193" s="586"/>
      <c r="D2193" s="587"/>
      <c r="E2193" s="591"/>
      <c r="G2193" s="593"/>
    </row>
    <row r="2194" spans="1:7">
      <c r="A2194" s="584"/>
      <c r="B2194" s="585"/>
      <c r="C2194" s="586"/>
      <c r="D2194" s="587"/>
      <c r="E2194" s="591"/>
      <c r="G2194" s="593"/>
    </row>
    <row r="2195" spans="1:7">
      <c r="A2195" s="584"/>
      <c r="B2195" s="585"/>
      <c r="C2195" s="586"/>
      <c r="D2195" s="587"/>
      <c r="E2195" s="591"/>
      <c r="G2195" s="593"/>
    </row>
    <row r="2196" spans="1:7">
      <c r="A2196" s="584"/>
      <c r="B2196" s="585"/>
      <c r="C2196" s="586"/>
      <c r="D2196" s="587"/>
      <c r="E2196" s="591"/>
      <c r="G2196" s="593"/>
    </row>
    <row r="2197" spans="1:7">
      <c r="A2197" s="584"/>
      <c r="B2197" s="585"/>
      <c r="C2197" s="586"/>
      <c r="D2197" s="587"/>
      <c r="E2197" s="591"/>
      <c r="G2197" s="593"/>
    </row>
    <row r="2198" spans="1:7">
      <c r="A2198" s="584"/>
      <c r="B2198" s="585"/>
      <c r="C2198" s="586"/>
      <c r="D2198" s="587"/>
      <c r="E2198" s="591"/>
      <c r="G2198" s="593"/>
    </row>
    <row r="2199" spans="1:7">
      <c r="A2199" s="584"/>
      <c r="B2199" s="585"/>
      <c r="C2199" s="586"/>
      <c r="D2199" s="587"/>
      <c r="E2199" s="591"/>
      <c r="G2199" s="593"/>
    </row>
    <row r="2200" spans="1:7">
      <c r="A2200" s="584"/>
      <c r="B2200" s="585"/>
      <c r="C2200" s="586"/>
      <c r="D2200" s="587"/>
      <c r="E2200" s="591"/>
      <c r="G2200" s="593"/>
    </row>
    <row r="2201" spans="1:7">
      <c r="A2201" s="584"/>
      <c r="B2201" s="585"/>
      <c r="C2201" s="586"/>
      <c r="D2201" s="587"/>
      <c r="E2201" s="591"/>
      <c r="G2201" s="593"/>
    </row>
    <row r="2202" spans="1:7">
      <c r="A2202" s="584"/>
      <c r="B2202" s="585"/>
      <c r="C2202" s="586"/>
      <c r="D2202" s="587"/>
      <c r="E2202" s="591"/>
      <c r="G2202" s="593"/>
    </row>
    <row r="2203" spans="1:7">
      <c r="A2203" s="584"/>
      <c r="B2203" s="585"/>
      <c r="C2203" s="586"/>
      <c r="D2203" s="587"/>
      <c r="E2203" s="591"/>
      <c r="G2203" s="593"/>
    </row>
    <row r="2204" spans="1:7">
      <c r="A2204" s="584"/>
      <c r="B2204" s="585"/>
      <c r="C2204" s="586"/>
      <c r="D2204" s="587"/>
      <c r="E2204" s="591"/>
      <c r="G2204" s="593"/>
    </row>
    <row r="2205" spans="1:7">
      <c r="A2205" s="584"/>
      <c r="B2205" s="585"/>
      <c r="C2205" s="586"/>
      <c r="D2205" s="587"/>
      <c r="E2205" s="591"/>
      <c r="G2205" s="593"/>
    </row>
    <row r="2206" spans="1:7">
      <c r="A2206" s="584"/>
      <c r="B2206" s="585"/>
      <c r="C2206" s="586"/>
      <c r="D2206" s="587"/>
      <c r="E2206" s="591"/>
      <c r="G2206" s="593"/>
    </row>
    <row r="2207" spans="1:7">
      <c r="A2207" s="584"/>
      <c r="B2207" s="585"/>
      <c r="C2207" s="586"/>
      <c r="D2207" s="587"/>
      <c r="E2207" s="591"/>
      <c r="G2207" s="593"/>
    </row>
    <row r="2208" spans="1:7">
      <c r="A2208" s="584"/>
      <c r="B2208" s="585"/>
      <c r="C2208" s="586"/>
      <c r="D2208" s="587"/>
      <c r="E2208" s="591"/>
      <c r="G2208" s="593"/>
    </row>
    <row r="2209" spans="1:7">
      <c r="A2209" s="584"/>
      <c r="B2209" s="585"/>
      <c r="C2209" s="586"/>
      <c r="D2209" s="587"/>
      <c r="E2209" s="591"/>
      <c r="G2209" s="593"/>
    </row>
    <row r="2210" spans="1:7">
      <c r="A2210" s="584"/>
      <c r="B2210" s="585"/>
      <c r="C2210" s="586"/>
      <c r="D2210" s="587"/>
      <c r="E2210" s="591"/>
      <c r="G2210" s="593"/>
    </row>
    <row r="2211" spans="1:7">
      <c r="A2211" s="584"/>
      <c r="B2211" s="585"/>
      <c r="C2211" s="586"/>
      <c r="D2211" s="587"/>
      <c r="E2211" s="591"/>
      <c r="G2211" s="593"/>
    </row>
    <row r="2212" spans="1:7">
      <c r="A2212" s="584"/>
      <c r="B2212" s="585"/>
      <c r="C2212" s="586"/>
      <c r="D2212" s="587"/>
      <c r="E2212" s="591"/>
      <c r="G2212" s="593"/>
    </row>
    <row r="2213" spans="1:7">
      <c r="A2213" s="584"/>
      <c r="B2213" s="585"/>
      <c r="C2213" s="586"/>
      <c r="D2213" s="587"/>
      <c r="E2213" s="591"/>
      <c r="G2213" s="593"/>
    </row>
    <row r="2214" spans="1:7">
      <c r="A2214" s="584"/>
      <c r="B2214" s="585"/>
      <c r="C2214" s="586"/>
      <c r="D2214" s="587"/>
      <c r="E2214" s="591"/>
      <c r="G2214" s="593"/>
    </row>
    <row r="2215" spans="1:7">
      <c r="A2215" s="584"/>
      <c r="B2215" s="585"/>
      <c r="C2215" s="586"/>
      <c r="D2215" s="587"/>
      <c r="E2215" s="591"/>
      <c r="G2215" s="593"/>
    </row>
    <row r="2216" spans="1:7">
      <c r="A2216" s="584"/>
      <c r="B2216" s="585"/>
      <c r="C2216" s="586"/>
      <c r="D2216" s="587"/>
      <c r="E2216" s="591"/>
      <c r="G2216" s="593"/>
    </row>
    <row r="2217" spans="1:7">
      <c r="A2217" s="584"/>
      <c r="B2217" s="585"/>
      <c r="C2217" s="586"/>
      <c r="D2217" s="587"/>
      <c r="E2217" s="591"/>
      <c r="G2217" s="593"/>
    </row>
    <row r="2218" spans="1:7">
      <c r="A2218" s="584"/>
      <c r="B2218" s="585"/>
      <c r="C2218" s="586"/>
      <c r="D2218" s="587"/>
      <c r="E2218" s="591"/>
      <c r="G2218" s="593"/>
    </row>
    <row r="2219" spans="1:7">
      <c r="A2219" s="584"/>
      <c r="B2219" s="585"/>
      <c r="C2219" s="586"/>
      <c r="D2219" s="587"/>
      <c r="E2219" s="591"/>
      <c r="G2219" s="593"/>
    </row>
    <row r="2220" spans="1:7">
      <c r="A2220" s="584"/>
      <c r="B2220" s="585"/>
      <c r="C2220" s="586"/>
      <c r="D2220" s="587"/>
      <c r="E2220" s="591"/>
      <c r="G2220" s="593"/>
    </row>
    <row r="2221" spans="1:7">
      <c r="A2221" s="584"/>
      <c r="B2221" s="585"/>
      <c r="C2221" s="586"/>
      <c r="D2221" s="587"/>
      <c r="E2221" s="591"/>
      <c r="G2221" s="593"/>
    </row>
    <row r="2222" spans="1:7">
      <c r="A2222" s="584"/>
      <c r="B2222" s="585"/>
      <c r="C2222" s="586"/>
      <c r="D2222" s="587"/>
      <c r="E2222" s="591"/>
      <c r="G2222" s="593"/>
    </row>
    <row r="2223" spans="1:7">
      <c r="A2223" s="584"/>
      <c r="B2223" s="585"/>
      <c r="C2223" s="586"/>
      <c r="D2223" s="587"/>
      <c r="E2223" s="591"/>
      <c r="G2223" s="593"/>
    </row>
    <row r="2224" spans="1:7">
      <c r="A2224" s="584"/>
      <c r="B2224" s="585"/>
      <c r="C2224" s="586"/>
      <c r="D2224" s="587"/>
      <c r="E2224" s="591"/>
      <c r="G2224" s="593"/>
    </row>
    <row r="2225" spans="1:7">
      <c r="A2225" s="584"/>
      <c r="B2225" s="585"/>
      <c r="C2225" s="586"/>
      <c r="D2225" s="587"/>
      <c r="E2225" s="591"/>
      <c r="G2225" s="593"/>
    </row>
    <row r="2226" spans="1:7">
      <c r="A2226" s="584"/>
      <c r="B2226" s="585"/>
      <c r="C2226" s="586"/>
      <c r="D2226" s="587"/>
      <c r="E2226" s="591"/>
      <c r="G2226" s="593"/>
    </row>
    <row r="2227" spans="1:7">
      <c r="A2227" s="584"/>
      <c r="B2227" s="585"/>
      <c r="C2227" s="586"/>
      <c r="D2227" s="587"/>
      <c r="E2227" s="591"/>
      <c r="G2227" s="593"/>
    </row>
    <row r="2228" spans="1:7">
      <c r="A2228" s="584"/>
      <c r="B2228" s="585"/>
      <c r="C2228" s="586"/>
      <c r="D2228" s="587"/>
      <c r="E2228" s="591"/>
      <c r="G2228" s="593"/>
    </row>
    <row r="2229" spans="1:7">
      <c r="A2229" s="584"/>
      <c r="B2229" s="585"/>
      <c r="C2229" s="586"/>
      <c r="D2229" s="587"/>
      <c r="E2229" s="591"/>
      <c r="G2229" s="593"/>
    </row>
    <row r="2230" spans="1:7">
      <c r="A2230" s="584"/>
      <c r="B2230" s="585"/>
      <c r="C2230" s="586"/>
      <c r="D2230" s="587"/>
      <c r="E2230" s="591"/>
      <c r="G2230" s="593"/>
    </row>
    <row r="2231" spans="1:7">
      <c r="A2231" s="584"/>
      <c r="B2231" s="585"/>
      <c r="C2231" s="586"/>
      <c r="D2231" s="587"/>
      <c r="E2231" s="591"/>
      <c r="G2231" s="593"/>
    </row>
    <row r="2232" spans="1:7">
      <c r="A2232" s="584"/>
      <c r="B2232" s="585"/>
      <c r="C2232" s="586"/>
      <c r="D2232" s="587"/>
      <c r="E2232" s="591"/>
      <c r="G2232" s="593"/>
    </row>
    <row r="2233" spans="1:7">
      <c r="A2233" s="584"/>
      <c r="B2233" s="585"/>
      <c r="C2233" s="586"/>
      <c r="D2233" s="587"/>
      <c r="E2233" s="591"/>
      <c r="G2233" s="593"/>
    </row>
    <row r="2234" spans="1:7">
      <c r="A2234" s="584"/>
      <c r="B2234" s="585"/>
      <c r="C2234" s="586"/>
      <c r="D2234" s="587"/>
      <c r="E2234" s="591"/>
      <c r="G2234" s="593"/>
    </row>
    <row r="2235" spans="1:7">
      <c r="A2235" s="584"/>
      <c r="B2235" s="585"/>
      <c r="C2235" s="586"/>
      <c r="D2235" s="587"/>
      <c r="E2235" s="591"/>
      <c r="G2235" s="593"/>
    </row>
    <row r="2236" spans="1:7">
      <c r="A2236" s="584"/>
      <c r="B2236" s="585"/>
      <c r="C2236" s="586"/>
      <c r="D2236" s="587"/>
      <c r="E2236" s="591"/>
      <c r="G2236" s="593"/>
    </row>
    <row r="2237" spans="1:7">
      <c r="A2237" s="584"/>
      <c r="B2237" s="585"/>
      <c r="C2237" s="586"/>
      <c r="D2237" s="587"/>
      <c r="E2237" s="591"/>
      <c r="G2237" s="593"/>
    </row>
    <row r="2238" spans="1:7">
      <c r="A2238" s="584"/>
      <c r="B2238" s="585"/>
      <c r="C2238" s="586"/>
      <c r="D2238" s="587"/>
      <c r="E2238" s="591"/>
      <c r="G2238" s="593"/>
    </row>
    <row r="2239" spans="1:7">
      <c r="A2239" s="584"/>
      <c r="B2239" s="585"/>
      <c r="C2239" s="586"/>
      <c r="D2239" s="587"/>
      <c r="E2239" s="591"/>
      <c r="G2239" s="593"/>
    </row>
    <row r="2240" spans="1:7">
      <c r="A2240" s="584"/>
      <c r="B2240" s="585"/>
      <c r="C2240" s="586"/>
      <c r="D2240" s="587"/>
      <c r="E2240" s="591"/>
      <c r="G2240" s="593"/>
    </row>
    <row r="2241" spans="1:7">
      <c r="A2241" s="584"/>
      <c r="B2241" s="585"/>
      <c r="C2241" s="586"/>
      <c r="D2241" s="587"/>
      <c r="E2241" s="591"/>
      <c r="G2241" s="593"/>
    </row>
    <row r="2242" spans="1:7">
      <c r="A2242" s="584"/>
      <c r="B2242" s="585"/>
      <c r="C2242" s="586"/>
      <c r="D2242" s="587"/>
      <c r="E2242" s="591"/>
      <c r="G2242" s="593"/>
    </row>
    <row r="2243" spans="1:7">
      <c r="A2243" s="584"/>
      <c r="B2243" s="585"/>
      <c r="C2243" s="586"/>
      <c r="D2243" s="587"/>
      <c r="E2243" s="591"/>
      <c r="G2243" s="593"/>
    </row>
    <row r="2244" spans="1:7">
      <c r="A2244" s="584"/>
      <c r="B2244" s="585"/>
      <c r="C2244" s="586"/>
      <c r="D2244" s="587"/>
      <c r="E2244" s="591"/>
      <c r="G2244" s="593"/>
    </row>
    <row r="2245" spans="1:7">
      <c r="A2245" s="584"/>
      <c r="B2245" s="585"/>
      <c r="C2245" s="586"/>
      <c r="D2245" s="587"/>
      <c r="E2245" s="591"/>
      <c r="G2245" s="593"/>
    </row>
    <row r="2246" spans="1:7">
      <c r="A2246" s="584"/>
      <c r="B2246" s="585"/>
      <c r="C2246" s="586"/>
      <c r="D2246" s="587"/>
      <c r="E2246" s="591"/>
      <c r="G2246" s="593"/>
    </row>
    <row r="2247" spans="1:7">
      <c r="A2247" s="584"/>
      <c r="B2247" s="585"/>
      <c r="C2247" s="586"/>
      <c r="D2247" s="587"/>
      <c r="E2247" s="591"/>
      <c r="G2247" s="593"/>
    </row>
    <row r="2248" spans="1:7">
      <c r="A2248" s="584"/>
      <c r="B2248" s="585"/>
      <c r="C2248" s="586"/>
      <c r="D2248" s="587"/>
      <c r="E2248" s="591"/>
      <c r="G2248" s="593"/>
    </row>
    <row r="2249" spans="1:7">
      <c r="A2249" s="584"/>
      <c r="B2249" s="585"/>
      <c r="C2249" s="586"/>
      <c r="D2249" s="587"/>
      <c r="E2249" s="591"/>
      <c r="G2249" s="593"/>
    </row>
    <row r="2250" spans="1:7">
      <c r="A2250" s="584"/>
      <c r="B2250" s="585"/>
      <c r="C2250" s="586"/>
      <c r="D2250" s="587"/>
      <c r="E2250" s="591"/>
      <c r="G2250" s="593"/>
    </row>
    <row r="2251" spans="1:7">
      <c r="A2251" s="584"/>
      <c r="B2251" s="585"/>
      <c r="C2251" s="586"/>
      <c r="D2251" s="587"/>
      <c r="E2251" s="591"/>
      <c r="G2251" s="593"/>
    </row>
    <row r="2252" spans="1:7">
      <c r="A2252" s="584"/>
      <c r="B2252" s="585"/>
      <c r="C2252" s="586"/>
      <c r="D2252" s="587"/>
      <c r="E2252" s="591"/>
      <c r="G2252" s="593"/>
    </row>
    <row r="2253" spans="1:7">
      <c r="A2253" s="584"/>
      <c r="B2253" s="585"/>
      <c r="C2253" s="586"/>
      <c r="D2253" s="587"/>
      <c r="E2253" s="591"/>
      <c r="G2253" s="593"/>
    </row>
    <row r="2254" spans="1:7">
      <c r="A2254" s="584"/>
      <c r="B2254" s="585"/>
      <c r="C2254" s="586"/>
      <c r="D2254" s="587"/>
      <c r="E2254" s="591"/>
      <c r="G2254" s="593"/>
    </row>
    <row r="2255" spans="1:7">
      <c r="A2255" s="584"/>
      <c r="B2255" s="585"/>
      <c r="C2255" s="586"/>
      <c r="D2255" s="587"/>
      <c r="E2255" s="591"/>
      <c r="G2255" s="593"/>
    </row>
    <row r="2256" spans="1:7">
      <c r="A2256" s="584"/>
      <c r="B2256" s="585"/>
      <c r="C2256" s="586"/>
      <c r="D2256" s="587"/>
      <c r="E2256" s="591"/>
      <c r="G2256" s="593"/>
    </row>
    <row r="2257" spans="1:7">
      <c r="A2257" s="584"/>
      <c r="B2257" s="585"/>
      <c r="C2257" s="586"/>
      <c r="D2257" s="587"/>
      <c r="E2257" s="591"/>
      <c r="G2257" s="593"/>
    </row>
    <row r="2258" spans="1:7">
      <c r="A2258" s="584"/>
      <c r="B2258" s="585"/>
      <c r="C2258" s="586"/>
      <c r="D2258" s="587"/>
      <c r="E2258" s="591"/>
      <c r="G2258" s="593"/>
    </row>
    <row r="2259" spans="1:7">
      <c r="A2259" s="584"/>
      <c r="B2259" s="585"/>
      <c r="C2259" s="586"/>
      <c r="D2259" s="587"/>
      <c r="E2259" s="591"/>
      <c r="G2259" s="593"/>
    </row>
    <row r="2260" spans="1:7">
      <c r="A2260" s="584"/>
      <c r="B2260" s="585"/>
      <c r="C2260" s="586"/>
      <c r="D2260" s="587"/>
      <c r="E2260" s="591"/>
      <c r="G2260" s="593"/>
    </row>
    <row r="2261" spans="1:7">
      <c r="A2261" s="584"/>
      <c r="B2261" s="585"/>
      <c r="C2261" s="586"/>
      <c r="D2261" s="587"/>
      <c r="E2261" s="591"/>
      <c r="G2261" s="593"/>
    </row>
    <row r="2262" spans="1:7">
      <c r="A2262" s="584"/>
      <c r="B2262" s="585"/>
      <c r="C2262" s="586"/>
      <c r="D2262" s="587"/>
      <c r="E2262" s="591"/>
      <c r="G2262" s="593"/>
    </row>
    <row r="2263" spans="1:7">
      <c r="A2263" s="584"/>
      <c r="B2263" s="585"/>
      <c r="C2263" s="586"/>
      <c r="D2263" s="587"/>
      <c r="E2263" s="591"/>
      <c r="G2263" s="593"/>
    </row>
    <row r="2264" spans="1:7">
      <c r="A2264" s="584"/>
      <c r="B2264" s="585"/>
      <c r="C2264" s="586"/>
      <c r="D2264" s="587"/>
      <c r="E2264" s="591"/>
      <c r="G2264" s="593"/>
    </row>
    <row r="2265" spans="1:7">
      <c r="A2265" s="584"/>
      <c r="B2265" s="585"/>
      <c r="C2265" s="586"/>
      <c r="D2265" s="587"/>
      <c r="E2265" s="591"/>
      <c r="G2265" s="593"/>
    </row>
    <row r="2266" spans="1:7">
      <c r="A2266" s="584"/>
      <c r="B2266" s="585"/>
      <c r="C2266" s="586"/>
      <c r="D2266" s="587"/>
      <c r="E2266" s="591"/>
      <c r="G2266" s="593"/>
    </row>
    <row r="2267" spans="1:7">
      <c r="A2267" s="584"/>
      <c r="B2267" s="585"/>
      <c r="C2267" s="586"/>
      <c r="D2267" s="587"/>
      <c r="E2267" s="591"/>
      <c r="G2267" s="593"/>
    </row>
    <row r="2268" spans="1:7">
      <c r="A2268" s="584"/>
      <c r="B2268" s="585"/>
      <c r="C2268" s="586"/>
      <c r="D2268" s="587"/>
      <c r="E2268" s="591"/>
      <c r="G2268" s="593"/>
    </row>
    <row r="2269" spans="1:7">
      <c r="A2269" s="584"/>
      <c r="B2269" s="585"/>
      <c r="C2269" s="586"/>
      <c r="D2269" s="587"/>
      <c r="E2269" s="591"/>
      <c r="G2269" s="593"/>
    </row>
    <row r="2270" spans="1:7">
      <c r="A2270" s="584"/>
      <c r="B2270" s="585"/>
      <c r="C2270" s="586"/>
      <c r="D2270" s="587"/>
      <c r="E2270" s="591"/>
      <c r="G2270" s="593"/>
    </row>
    <row r="2271" spans="1:7">
      <c r="A2271" s="584"/>
      <c r="B2271" s="585"/>
      <c r="C2271" s="586"/>
      <c r="D2271" s="587"/>
      <c r="E2271" s="591"/>
      <c r="G2271" s="593"/>
    </row>
    <row r="2272" spans="1:7">
      <c r="A2272" s="584"/>
      <c r="B2272" s="585"/>
      <c r="C2272" s="586"/>
      <c r="D2272" s="587"/>
      <c r="E2272" s="591"/>
      <c r="G2272" s="593"/>
    </row>
    <row r="2273" spans="1:7">
      <c r="A2273" s="584"/>
      <c r="B2273" s="585"/>
      <c r="C2273" s="586"/>
      <c r="D2273" s="587"/>
      <c r="E2273" s="591"/>
      <c r="G2273" s="593"/>
    </row>
    <row r="2274" spans="1:7">
      <c r="A2274" s="584"/>
      <c r="B2274" s="585"/>
      <c r="C2274" s="586"/>
      <c r="D2274" s="587"/>
      <c r="E2274" s="591"/>
      <c r="G2274" s="593"/>
    </row>
    <row r="2275" spans="1:7">
      <c r="A2275" s="584"/>
      <c r="B2275" s="585"/>
      <c r="C2275" s="586"/>
      <c r="D2275" s="587"/>
      <c r="E2275" s="591"/>
      <c r="G2275" s="593"/>
    </row>
    <row r="2276" spans="1:7">
      <c r="A2276" s="584"/>
      <c r="B2276" s="585"/>
      <c r="C2276" s="586"/>
      <c r="D2276" s="587"/>
      <c r="E2276" s="591"/>
      <c r="G2276" s="593"/>
    </row>
    <row r="2277" spans="1:7">
      <c r="A2277" s="584"/>
      <c r="B2277" s="585"/>
      <c r="C2277" s="586"/>
      <c r="D2277" s="587"/>
      <c r="E2277" s="591"/>
      <c r="G2277" s="593"/>
    </row>
    <row r="2278" spans="1:7">
      <c r="A2278" s="584"/>
      <c r="B2278" s="585"/>
      <c r="C2278" s="586"/>
      <c r="D2278" s="587"/>
      <c r="E2278" s="591"/>
      <c r="G2278" s="593"/>
    </row>
    <row r="2279" spans="1:7">
      <c r="A2279" s="584"/>
      <c r="B2279" s="585"/>
      <c r="C2279" s="586"/>
      <c r="D2279" s="587"/>
      <c r="E2279" s="591"/>
      <c r="G2279" s="593"/>
    </row>
    <row r="2280" spans="1:7">
      <c r="A2280" s="584"/>
      <c r="B2280" s="585"/>
      <c r="C2280" s="586"/>
      <c r="D2280" s="587"/>
      <c r="E2280" s="591"/>
      <c r="G2280" s="593"/>
    </row>
    <row r="2281" spans="1:7">
      <c r="A2281" s="584"/>
      <c r="B2281" s="585"/>
      <c r="C2281" s="586"/>
      <c r="D2281" s="587"/>
      <c r="E2281" s="591"/>
      <c r="G2281" s="593"/>
    </row>
    <row r="2282" spans="1:7">
      <c r="A2282" s="584"/>
      <c r="B2282" s="585"/>
      <c r="C2282" s="586"/>
      <c r="D2282" s="587"/>
      <c r="E2282" s="591"/>
      <c r="G2282" s="593"/>
    </row>
    <row r="2283" spans="1:7">
      <c r="A2283" s="584"/>
      <c r="B2283" s="585"/>
      <c r="C2283" s="586"/>
      <c r="D2283" s="587"/>
      <c r="E2283" s="591"/>
      <c r="G2283" s="593"/>
    </row>
    <row r="2284" spans="1:7">
      <c r="A2284" s="584"/>
      <c r="B2284" s="585"/>
      <c r="C2284" s="586"/>
      <c r="D2284" s="587"/>
      <c r="E2284" s="591"/>
      <c r="G2284" s="593"/>
    </row>
    <row r="2285" spans="1:7">
      <c r="A2285" s="584"/>
      <c r="B2285" s="585"/>
      <c r="C2285" s="586"/>
      <c r="D2285" s="587"/>
      <c r="E2285" s="591"/>
      <c r="G2285" s="593"/>
    </row>
    <row r="2286" spans="1:7">
      <c r="A2286" s="584"/>
      <c r="B2286" s="585"/>
      <c r="C2286" s="586"/>
      <c r="D2286" s="587"/>
      <c r="E2286" s="591"/>
      <c r="G2286" s="593"/>
    </row>
    <row r="2287" spans="1:7">
      <c r="A2287" s="584"/>
      <c r="B2287" s="585"/>
      <c r="C2287" s="586"/>
      <c r="D2287" s="587"/>
      <c r="E2287" s="591"/>
      <c r="G2287" s="593"/>
    </row>
    <row r="2288" spans="1:7">
      <c r="A2288" s="584"/>
      <c r="B2288" s="585"/>
      <c r="C2288" s="586"/>
      <c r="D2288" s="587"/>
      <c r="E2288" s="591"/>
      <c r="G2288" s="593"/>
    </row>
    <row r="2289" spans="1:7">
      <c r="A2289" s="584"/>
      <c r="B2289" s="585"/>
      <c r="C2289" s="586"/>
      <c r="D2289" s="587"/>
      <c r="E2289" s="591"/>
      <c r="G2289" s="593"/>
    </row>
    <row r="2290" spans="1:7">
      <c r="A2290" s="584"/>
      <c r="B2290" s="585"/>
      <c r="C2290" s="586"/>
      <c r="D2290" s="587"/>
      <c r="E2290" s="591"/>
      <c r="G2290" s="593"/>
    </row>
    <row r="2291" spans="1:7">
      <c r="A2291" s="584"/>
      <c r="B2291" s="585"/>
      <c r="C2291" s="586"/>
      <c r="D2291" s="587"/>
      <c r="E2291" s="591"/>
      <c r="G2291" s="593"/>
    </row>
    <row r="2292" spans="1:7">
      <c r="A2292" s="584"/>
      <c r="B2292" s="585"/>
      <c r="C2292" s="586"/>
      <c r="D2292" s="587"/>
      <c r="E2292" s="591"/>
      <c r="G2292" s="593"/>
    </row>
    <row r="2293" spans="1:7">
      <c r="A2293" s="584"/>
      <c r="B2293" s="585"/>
      <c r="C2293" s="586"/>
      <c r="D2293" s="587"/>
      <c r="E2293" s="591"/>
      <c r="G2293" s="593"/>
    </row>
    <row r="2294" spans="1:7">
      <c r="A2294" s="584"/>
      <c r="B2294" s="585"/>
      <c r="C2294" s="586"/>
      <c r="D2294" s="587"/>
      <c r="E2294" s="591"/>
      <c r="G2294" s="593"/>
    </row>
    <row r="2295" spans="1:7">
      <c r="A2295" s="584"/>
      <c r="B2295" s="585"/>
      <c r="C2295" s="586"/>
      <c r="D2295" s="587"/>
      <c r="E2295" s="591"/>
      <c r="G2295" s="593"/>
    </row>
    <row r="2296" spans="1:7">
      <c r="A2296" s="584"/>
      <c r="B2296" s="585"/>
      <c r="C2296" s="586"/>
      <c r="D2296" s="587"/>
      <c r="E2296" s="591"/>
      <c r="G2296" s="593"/>
    </row>
    <row r="2297" spans="1:7">
      <c r="A2297" s="584"/>
      <c r="B2297" s="585"/>
      <c r="C2297" s="586"/>
      <c r="D2297" s="587"/>
      <c r="E2297" s="591"/>
      <c r="G2297" s="593"/>
    </row>
    <row r="2298" spans="1:7">
      <c r="A2298" s="584"/>
      <c r="B2298" s="585"/>
      <c r="C2298" s="586"/>
      <c r="D2298" s="587"/>
      <c r="E2298" s="591"/>
      <c r="G2298" s="593"/>
    </row>
    <row r="2299" spans="1:7">
      <c r="A2299" s="584"/>
      <c r="B2299" s="585"/>
      <c r="C2299" s="586"/>
      <c r="D2299" s="587"/>
      <c r="E2299" s="591"/>
      <c r="G2299" s="593"/>
    </row>
    <row r="2300" spans="1:7">
      <c r="A2300" s="584"/>
      <c r="B2300" s="585"/>
      <c r="C2300" s="586"/>
      <c r="D2300" s="587"/>
      <c r="E2300" s="591"/>
      <c r="G2300" s="593"/>
    </row>
    <row r="2301" spans="1:7">
      <c r="A2301" s="584"/>
      <c r="B2301" s="585"/>
      <c r="C2301" s="586"/>
      <c r="D2301" s="587"/>
      <c r="E2301" s="591"/>
      <c r="G2301" s="593"/>
    </row>
    <row r="2302" spans="1:7">
      <c r="A2302" s="584"/>
      <c r="B2302" s="585"/>
      <c r="C2302" s="586"/>
      <c r="D2302" s="587"/>
      <c r="E2302" s="591"/>
      <c r="G2302" s="593"/>
    </row>
    <row r="2303" spans="1:7">
      <c r="A2303" s="584"/>
      <c r="B2303" s="585"/>
      <c r="C2303" s="586"/>
      <c r="D2303" s="587"/>
      <c r="E2303" s="591"/>
      <c r="G2303" s="593"/>
    </row>
    <row r="2304" spans="1:7">
      <c r="A2304" s="584"/>
      <c r="B2304" s="585"/>
      <c r="C2304" s="586"/>
      <c r="D2304" s="587"/>
      <c r="E2304" s="591"/>
      <c r="G2304" s="593"/>
    </row>
    <row r="2305" spans="1:7">
      <c r="A2305" s="584"/>
      <c r="B2305" s="585"/>
      <c r="C2305" s="586"/>
      <c r="D2305" s="587"/>
      <c r="E2305" s="591"/>
      <c r="G2305" s="593"/>
    </row>
    <row r="2306" spans="1:7">
      <c r="A2306" s="584"/>
      <c r="B2306" s="585"/>
      <c r="C2306" s="586"/>
      <c r="D2306" s="587"/>
      <c r="E2306" s="591"/>
      <c r="G2306" s="593"/>
    </row>
    <row r="2307" spans="1:7">
      <c r="A2307" s="584"/>
      <c r="B2307" s="585"/>
      <c r="C2307" s="586"/>
      <c r="D2307" s="587"/>
      <c r="E2307" s="591"/>
      <c r="G2307" s="593"/>
    </row>
    <row r="2308" spans="1:7">
      <c r="A2308" s="584"/>
      <c r="B2308" s="585"/>
      <c r="C2308" s="586"/>
      <c r="D2308" s="587"/>
      <c r="E2308" s="591"/>
      <c r="G2308" s="593"/>
    </row>
    <row r="2309" spans="1:7">
      <c r="A2309" s="584"/>
      <c r="B2309" s="585"/>
      <c r="C2309" s="586"/>
      <c r="D2309" s="587"/>
      <c r="E2309" s="591"/>
      <c r="G2309" s="593"/>
    </row>
    <row r="2310" spans="1:7">
      <c r="A2310" s="584"/>
      <c r="B2310" s="585"/>
      <c r="C2310" s="586"/>
      <c r="D2310" s="587"/>
      <c r="E2310" s="591"/>
      <c r="G2310" s="593"/>
    </row>
    <row r="2311" spans="1:7">
      <c r="A2311" s="584"/>
      <c r="B2311" s="585"/>
      <c r="C2311" s="586"/>
      <c r="D2311" s="587"/>
      <c r="E2311" s="591"/>
      <c r="G2311" s="593"/>
    </row>
    <row r="2312" spans="1:7">
      <c r="A2312" s="584"/>
      <c r="B2312" s="585"/>
      <c r="C2312" s="586"/>
      <c r="D2312" s="587"/>
      <c r="E2312" s="591"/>
      <c r="G2312" s="593"/>
    </row>
    <row r="2313" spans="1:7">
      <c r="A2313" s="584"/>
      <c r="B2313" s="585"/>
      <c r="C2313" s="586"/>
      <c r="D2313" s="587"/>
      <c r="E2313" s="591"/>
      <c r="G2313" s="593"/>
    </row>
    <row r="2314" spans="1:7">
      <c r="A2314" s="584"/>
      <c r="B2314" s="585"/>
      <c r="C2314" s="586"/>
      <c r="D2314" s="587"/>
      <c r="E2314" s="591"/>
      <c r="G2314" s="593"/>
    </row>
    <row r="2315" spans="1:7">
      <c r="A2315" s="584"/>
      <c r="B2315" s="585"/>
      <c r="C2315" s="586"/>
      <c r="D2315" s="587"/>
      <c r="E2315" s="591"/>
      <c r="G2315" s="593"/>
    </row>
    <row r="2316" spans="1:7">
      <c r="A2316" s="584"/>
      <c r="B2316" s="585"/>
      <c r="C2316" s="586"/>
      <c r="D2316" s="587"/>
      <c r="E2316" s="591"/>
      <c r="G2316" s="593"/>
    </row>
    <row r="2317" spans="1:7">
      <c r="A2317" s="584"/>
      <c r="B2317" s="585"/>
      <c r="C2317" s="586"/>
      <c r="D2317" s="587"/>
      <c r="E2317" s="591"/>
      <c r="G2317" s="593"/>
    </row>
    <row r="2318" spans="1:7">
      <c r="A2318" s="584"/>
      <c r="B2318" s="585"/>
      <c r="C2318" s="586"/>
      <c r="D2318" s="587"/>
      <c r="E2318" s="591"/>
      <c r="G2318" s="593"/>
    </row>
    <row r="2319" spans="1:7">
      <c r="A2319" s="584"/>
      <c r="B2319" s="585"/>
      <c r="C2319" s="586"/>
      <c r="D2319" s="587"/>
      <c r="E2319" s="591"/>
      <c r="G2319" s="593"/>
    </row>
    <row r="2320" spans="1:7">
      <c r="A2320" s="584"/>
      <c r="B2320" s="585"/>
      <c r="C2320" s="586"/>
      <c r="D2320" s="587"/>
      <c r="E2320" s="591"/>
      <c r="G2320" s="593"/>
    </row>
    <row r="2321" spans="1:7">
      <c r="A2321" s="584"/>
      <c r="B2321" s="585"/>
      <c r="C2321" s="586"/>
      <c r="D2321" s="587"/>
      <c r="E2321" s="591"/>
      <c r="G2321" s="593"/>
    </row>
    <row r="2322" spans="1:7">
      <c r="A2322" s="584"/>
      <c r="B2322" s="585"/>
      <c r="C2322" s="586"/>
      <c r="D2322" s="587"/>
      <c r="E2322" s="591"/>
      <c r="G2322" s="593"/>
    </row>
    <row r="2323" spans="1:7">
      <c r="A2323" s="584"/>
      <c r="B2323" s="585"/>
      <c r="C2323" s="586"/>
      <c r="D2323" s="587"/>
      <c r="E2323" s="591"/>
      <c r="G2323" s="593"/>
    </row>
    <row r="2324" spans="1:7">
      <c r="A2324" s="584"/>
      <c r="B2324" s="585"/>
      <c r="C2324" s="586"/>
      <c r="D2324" s="587"/>
      <c r="E2324" s="591"/>
      <c r="G2324" s="593"/>
    </row>
    <row r="2325" spans="1:7">
      <c r="A2325" s="584"/>
      <c r="B2325" s="585"/>
      <c r="C2325" s="586"/>
      <c r="D2325" s="587"/>
      <c r="E2325" s="591"/>
      <c r="G2325" s="593"/>
    </row>
    <row r="2326" spans="1:7">
      <c r="A2326" s="584"/>
      <c r="B2326" s="585"/>
      <c r="C2326" s="586"/>
      <c r="D2326" s="587"/>
      <c r="E2326" s="591"/>
      <c r="G2326" s="593"/>
    </row>
    <row r="2327" spans="1:7">
      <c r="A2327" s="584"/>
      <c r="B2327" s="585"/>
      <c r="C2327" s="586"/>
      <c r="D2327" s="587"/>
      <c r="E2327" s="591"/>
      <c r="G2327" s="593"/>
    </row>
    <row r="2328" spans="1:7">
      <c r="A2328" s="584"/>
      <c r="B2328" s="585"/>
      <c r="C2328" s="586"/>
      <c r="D2328" s="587"/>
      <c r="E2328" s="591"/>
      <c r="G2328" s="593"/>
    </row>
    <row r="2329" spans="1:7">
      <c r="A2329" s="584"/>
      <c r="B2329" s="585"/>
      <c r="C2329" s="586"/>
      <c r="D2329" s="587"/>
      <c r="E2329" s="591"/>
      <c r="G2329" s="593"/>
    </row>
    <row r="2330" spans="1:7">
      <c r="A2330" s="584"/>
      <c r="B2330" s="585"/>
      <c r="C2330" s="586"/>
      <c r="D2330" s="587"/>
      <c r="E2330" s="591"/>
      <c r="G2330" s="593"/>
    </row>
    <row r="2331" spans="1:7">
      <c r="A2331" s="584"/>
      <c r="B2331" s="585"/>
      <c r="C2331" s="586"/>
      <c r="D2331" s="587"/>
      <c r="E2331" s="591"/>
      <c r="G2331" s="593"/>
    </row>
    <row r="2332" spans="1:7">
      <c r="A2332" s="584"/>
      <c r="B2332" s="585"/>
      <c r="C2332" s="586"/>
      <c r="D2332" s="587"/>
      <c r="E2332" s="591"/>
      <c r="G2332" s="593"/>
    </row>
    <row r="2333" spans="1:7">
      <c r="A2333" s="584"/>
      <c r="B2333" s="585"/>
      <c r="C2333" s="586"/>
      <c r="D2333" s="587"/>
      <c r="E2333" s="591"/>
      <c r="G2333" s="593"/>
    </row>
    <row r="2334" spans="1:7">
      <c r="A2334" s="584"/>
      <c r="B2334" s="585"/>
      <c r="C2334" s="586"/>
      <c r="D2334" s="587"/>
      <c r="E2334" s="591"/>
      <c r="G2334" s="593"/>
    </row>
    <row r="2335" spans="1:7">
      <c r="A2335" s="584"/>
      <c r="B2335" s="585"/>
      <c r="C2335" s="586"/>
      <c r="D2335" s="587"/>
      <c r="E2335" s="591"/>
      <c r="G2335" s="593"/>
    </row>
    <row r="2336" spans="1:7">
      <c r="A2336" s="584"/>
      <c r="B2336" s="585"/>
      <c r="C2336" s="586"/>
      <c r="D2336" s="587"/>
      <c r="E2336" s="591"/>
      <c r="G2336" s="593"/>
    </row>
    <row r="2337" spans="1:7">
      <c r="A2337" s="584"/>
      <c r="B2337" s="585"/>
      <c r="C2337" s="586"/>
      <c r="D2337" s="587"/>
      <c r="E2337" s="591"/>
      <c r="G2337" s="593"/>
    </row>
    <row r="2338" spans="1:7">
      <c r="A2338" s="584"/>
      <c r="B2338" s="585"/>
      <c r="C2338" s="586"/>
      <c r="D2338" s="587"/>
      <c r="E2338" s="591"/>
      <c r="G2338" s="593"/>
    </row>
    <row r="2339" spans="1:7">
      <c r="A2339" s="584"/>
      <c r="B2339" s="585"/>
      <c r="C2339" s="586"/>
      <c r="D2339" s="587"/>
      <c r="E2339" s="591"/>
      <c r="G2339" s="593"/>
    </row>
    <row r="2340" spans="1:7">
      <c r="A2340" s="584"/>
      <c r="B2340" s="585"/>
      <c r="C2340" s="586"/>
      <c r="D2340" s="587"/>
      <c r="E2340" s="591"/>
      <c r="G2340" s="593"/>
    </row>
    <row r="2341" spans="1:7">
      <c r="A2341" s="584"/>
      <c r="B2341" s="585"/>
      <c r="C2341" s="586"/>
      <c r="D2341" s="587"/>
      <c r="E2341" s="591"/>
      <c r="G2341" s="593"/>
    </row>
    <row r="2342" spans="1:7">
      <c r="A2342" s="584"/>
      <c r="B2342" s="585"/>
      <c r="C2342" s="586"/>
      <c r="D2342" s="587"/>
      <c r="E2342" s="591"/>
      <c r="G2342" s="593"/>
    </row>
    <row r="2343" spans="1:7">
      <c r="A2343" s="584"/>
      <c r="B2343" s="585"/>
      <c r="C2343" s="586"/>
      <c r="D2343" s="587"/>
      <c r="E2343" s="591"/>
      <c r="G2343" s="593"/>
    </row>
    <row r="2344" spans="1:7">
      <c r="A2344" s="584"/>
      <c r="B2344" s="585"/>
      <c r="C2344" s="586"/>
      <c r="D2344" s="587"/>
      <c r="E2344" s="591"/>
      <c r="G2344" s="593"/>
    </row>
    <row r="2345" spans="1:7">
      <c r="A2345" s="584"/>
      <c r="B2345" s="585"/>
      <c r="C2345" s="586"/>
      <c r="D2345" s="587"/>
      <c r="E2345" s="591"/>
      <c r="G2345" s="593"/>
    </row>
    <row r="2346" spans="1:7">
      <c r="A2346" s="584"/>
      <c r="B2346" s="585"/>
      <c r="C2346" s="586"/>
      <c r="D2346" s="587"/>
      <c r="E2346" s="591"/>
      <c r="G2346" s="593"/>
    </row>
    <row r="2347" spans="1:7">
      <c r="A2347" s="584"/>
      <c r="B2347" s="585"/>
      <c r="C2347" s="586"/>
      <c r="D2347" s="587"/>
      <c r="E2347" s="591"/>
      <c r="G2347" s="593"/>
    </row>
    <row r="2348" spans="1:7">
      <c r="A2348" s="584"/>
      <c r="B2348" s="585"/>
      <c r="C2348" s="586"/>
      <c r="D2348" s="587"/>
      <c r="E2348" s="591"/>
      <c r="G2348" s="593"/>
    </row>
    <row r="2349" spans="1:7">
      <c r="A2349" s="584"/>
      <c r="B2349" s="585"/>
      <c r="C2349" s="586"/>
      <c r="D2349" s="587"/>
      <c r="E2349" s="591"/>
      <c r="G2349" s="593"/>
    </row>
    <row r="2350" spans="1:7">
      <c r="A2350" s="584"/>
      <c r="B2350" s="585"/>
      <c r="C2350" s="586"/>
      <c r="D2350" s="587"/>
      <c r="E2350" s="591"/>
      <c r="G2350" s="593"/>
    </row>
    <row r="2351" spans="1:7">
      <c r="A2351" s="584"/>
      <c r="B2351" s="585"/>
      <c r="C2351" s="586"/>
      <c r="D2351" s="587"/>
      <c r="E2351" s="591"/>
      <c r="G2351" s="593"/>
    </row>
    <row r="2352" spans="1:7">
      <c r="A2352" s="584"/>
      <c r="B2352" s="585"/>
      <c r="C2352" s="586"/>
      <c r="D2352" s="587"/>
      <c r="E2352" s="591"/>
      <c r="G2352" s="593"/>
    </row>
    <row r="2353" spans="1:7">
      <c r="A2353" s="584"/>
      <c r="B2353" s="585"/>
      <c r="C2353" s="586"/>
      <c r="D2353" s="587"/>
      <c r="E2353" s="591"/>
      <c r="G2353" s="593"/>
    </row>
    <row r="2354" spans="1:7">
      <c r="A2354" s="584"/>
      <c r="B2354" s="585"/>
      <c r="C2354" s="586"/>
      <c r="D2354" s="587"/>
      <c r="E2354" s="591"/>
      <c r="G2354" s="593"/>
    </row>
    <row r="2355" spans="1:7">
      <c r="A2355" s="584"/>
      <c r="B2355" s="585"/>
      <c r="C2355" s="586"/>
      <c r="D2355" s="587"/>
      <c r="E2355" s="591"/>
      <c r="G2355" s="593"/>
    </row>
    <row r="2356" spans="1:7">
      <c r="A2356" s="584"/>
      <c r="B2356" s="585"/>
      <c r="C2356" s="586"/>
      <c r="D2356" s="587"/>
      <c r="E2356" s="591"/>
      <c r="G2356" s="593"/>
    </row>
    <row r="2357" spans="1:7">
      <c r="A2357" s="584"/>
      <c r="B2357" s="585"/>
      <c r="C2357" s="586"/>
      <c r="D2357" s="587"/>
      <c r="E2357" s="591"/>
      <c r="G2357" s="593"/>
    </row>
    <row r="2358" spans="1:7">
      <c r="A2358" s="584"/>
      <c r="B2358" s="585"/>
      <c r="C2358" s="586"/>
      <c r="D2358" s="587"/>
      <c r="E2358" s="591"/>
      <c r="G2358" s="593"/>
    </row>
    <row r="2359" spans="1:7">
      <c r="A2359" s="584"/>
      <c r="B2359" s="585"/>
      <c r="C2359" s="586"/>
      <c r="D2359" s="587"/>
      <c r="E2359" s="591"/>
      <c r="G2359" s="593"/>
    </row>
    <row r="2360" spans="1:7">
      <c r="A2360" s="584"/>
      <c r="B2360" s="585"/>
      <c r="C2360" s="586"/>
      <c r="D2360" s="587"/>
      <c r="E2360" s="591"/>
      <c r="G2360" s="593"/>
    </row>
    <row r="2361" spans="1:7">
      <c r="A2361" s="584"/>
      <c r="B2361" s="585"/>
      <c r="C2361" s="586"/>
      <c r="D2361" s="587"/>
      <c r="E2361" s="591"/>
      <c r="G2361" s="593"/>
    </row>
    <row r="2362" spans="1:7">
      <c r="A2362" s="584"/>
      <c r="B2362" s="585"/>
      <c r="C2362" s="586"/>
      <c r="D2362" s="587"/>
      <c r="E2362" s="591"/>
      <c r="G2362" s="593"/>
    </row>
    <row r="2363" spans="1:7">
      <c r="A2363" s="584"/>
      <c r="B2363" s="585"/>
      <c r="C2363" s="586"/>
      <c r="D2363" s="587"/>
      <c r="E2363" s="591"/>
      <c r="G2363" s="593"/>
    </row>
    <row r="2364" spans="1:7">
      <c r="A2364" s="584"/>
      <c r="B2364" s="585"/>
      <c r="C2364" s="586"/>
      <c r="D2364" s="587"/>
      <c r="E2364" s="591"/>
      <c r="G2364" s="593"/>
    </row>
    <row r="2365" spans="1:7">
      <c r="A2365" s="584"/>
      <c r="B2365" s="585"/>
      <c r="C2365" s="586"/>
      <c r="D2365" s="587"/>
      <c r="E2365" s="591"/>
      <c r="G2365" s="593"/>
    </row>
    <row r="2366" spans="1:7">
      <c r="A2366" s="584"/>
      <c r="B2366" s="585"/>
      <c r="C2366" s="586"/>
      <c r="D2366" s="587"/>
      <c r="E2366" s="591"/>
      <c r="G2366" s="593"/>
    </row>
    <row r="2367" spans="1:7">
      <c r="A2367" s="584"/>
      <c r="B2367" s="585"/>
      <c r="C2367" s="586"/>
      <c r="D2367" s="587"/>
      <c r="E2367" s="591"/>
      <c r="G2367" s="593"/>
    </row>
    <row r="2368" spans="1:7">
      <c r="A2368" s="584"/>
      <c r="B2368" s="585"/>
      <c r="C2368" s="586"/>
      <c r="D2368" s="587"/>
      <c r="E2368" s="591"/>
      <c r="G2368" s="593"/>
    </row>
    <row r="2369" spans="1:7">
      <c r="A2369" s="584"/>
      <c r="B2369" s="585"/>
      <c r="C2369" s="586"/>
      <c r="D2369" s="587"/>
      <c r="E2369" s="591"/>
      <c r="G2369" s="593"/>
    </row>
    <row r="2370" spans="1:7">
      <c r="A2370" s="584"/>
      <c r="B2370" s="585"/>
      <c r="C2370" s="586"/>
      <c r="D2370" s="587"/>
      <c r="E2370" s="591"/>
      <c r="G2370" s="593"/>
    </row>
    <row r="2371" spans="1:7">
      <c r="A2371" s="584"/>
      <c r="B2371" s="585"/>
      <c r="C2371" s="586"/>
      <c r="D2371" s="587"/>
      <c r="E2371" s="591"/>
      <c r="G2371" s="593"/>
    </row>
    <row r="2372" spans="1:7">
      <c r="A2372" s="584"/>
      <c r="B2372" s="585"/>
      <c r="C2372" s="586"/>
      <c r="D2372" s="587"/>
      <c r="E2372" s="591"/>
      <c r="G2372" s="593"/>
    </row>
    <row r="2373" spans="1:7">
      <c r="A2373" s="584"/>
      <c r="B2373" s="585"/>
      <c r="C2373" s="586"/>
      <c r="D2373" s="587"/>
      <c r="E2373" s="591"/>
      <c r="G2373" s="593"/>
    </row>
    <row r="2374" spans="1:7">
      <c r="A2374" s="584"/>
      <c r="B2374" s="585"/>
      <c r="C2374" s="586"/>
      <c r="D2374" s="587"/>
      <c r="E2374" s="591"/>
      <c r="G2374" s="593"/>
    </row>
    <row r="2375" spans="1:7">
      <c r="A2375" s="584"/>
      <c r="B2375" s="585"/>
      <c r="C2375" s="586"/>
      <c r="D2375" s="587"/>
      <c r="E2375" s="591"/>
      <c r="G2375" s="593"/>
    </row>
    <row r="2376" spans="1:7">
      <c r="A2376" s="584"/>
      <c r="B2376" s="585"/>
      <c r="C2376" s="586"/>
      <c r="D2376" s="587"/>
      <c r="E2376" s="591"/>
      <c r="G2376" s="593"/>
    </row>
    <row r="2377" spans="1:7">
      <c r="A2377" s="584"/>
      <c r="B2377" s="585"/>
      <c r="C2377" s="586"/>
      <c r="D2377" s="587"/>
      <c r="E2377" s="591"/>
      <c r="G2377" s="593"/>
    </row>
    <row r="2378" spans="1:7">
      <c r="A2378" s="584"/>
      <c r="B2378" s="585"/>
      <c r="C2378" s="586"/>
      <c r="D2378" s="587"/>
      <c r="E2378" s="591"/>
      <c r="G2378" s="593"/>
    </row>
    <row r="2379" spans="1:7">
      <c r="A2379" s="584"/>
      <c r="B2379" s="585"/>
      <c r="C2379" s="586"/>
      <c r="D2379" s="587"/>
      <c r="E2379" s="591"/>
      <c r="G2379" s="593"/>
    </row>
    <row r="2380" spans="1:7">
      <c r="A2380" s="584"/>
      <c r="B2380" s="585"/>
      <c r="C2380" s="586"/>
      <c r="D2380" s="587"/>
      <c r="E2380" s="591"/>
      <c r="G2380" s="593"/>
    </row>
    <row r="2381" spans="1:7">
      <c r="A2381" s="584"/>
      <c r="B2381" s="585"/>
      <c r="C2381" s="586"/>
      <c r="D2381" s="587"/>
      <c r="E2381" s="591"/>
      <c r="G2381" s="593"/>
    </row>
    <row r="2382" spans="1:7">
      <c r="A2382" s="584"/>
      <c r="B2382" s="585"/>
      <c r="C2382" s="586"/>
      <c r="D2382" s="587"/>
      <c r="E2382" s="591"/>
      <c r="G2382" s="593"/>
    </row>
    <row r="2383" spans="1:7">
      <c r="A2383" s="584"/>
      <c r="B2383" s="585"/>
      <c r="C2383" s="586"/>
      <c r="D2383" s="587"/>
      <c r="E2383" s="591"/>
      <c r="G2383" s="593"/>
    </row>
    <row r="2384" spans="1:7">
      <c r="A2384" s="584"/>
      <c r="B2384" s="585"/>
      <c r="C2384" s="586"/>
      <c r="D2384" s="587"/>
      <c r="E2384" s="591"/>
      <c r="G2384" s="593"/>
    </row>
    <row r="2385" spans="1:7">
      <c r="A2385" s="584"/>
      <c r="B2385" s="585"/>
      <c r="C2385" s="586"/>
      <c r="D2385" s="587"/>
      <c r="E2385" s="591"/>
      <c r="G2385" s="593"/>
    </row>
    <row r="2386" spans="1:7">
      <c r="A2386" s="584"/>
      <c r="B2386" s="585"/>
      <c r="C2386" s="586"/>
      <c r="D2386" s="587"/>
      <c r="E2386" s="591"/>
      <c r="G2386" s="593"/>
    </row>
    <row r="2387" spans="1:7">
      <c r="A2387" s="584"/>
      <c r="B2387" s="585"/>
      <c r="C2387" s="586"/>
      <c r="D2387" s="587"/>
      <c r="E2387" s="591"/>
      <c r="G2387" s="593"/>
    </row>
    <row r="2388" spans="1:7">
      <c r="A2388" s="584"/>
      <c r="B2388" s="585"/>
      <c r="C2388" s="586"/>
      <c r="D2388" s="587"/>
      <c r="E2388" s="591"/>
      <c r="G2388" s="593"/>
    </row>
    <row r="2389" spans="1:7">
      <c r="A2389" s="584"/>
      <c r="B2389" s="585"/>
      <c r="C2389" s="586"/>
      <c r="D2389" s="587"/>
      <c r="E2389" s="591"/>
      <c r="G2389" s="593"/>
    </row>
    <row r="2390" spans="1:7">
      <c r="A2390" s="584"/>
      <c r="B2390" s="585"/>
      <c r="C2390" s="586"/>
      <c r="D2390" s="587"/>
      <c r="E2390" s="591"/>
      <c r="G2390" s="593"/>
    </row>
    <row r="2391" spans="1:7">
      <c r="A2391" s="584"/>
      <c r="B2391" s="585"/>
      <c r="C2391" s="586"/>
      <c r="D2391" s="587"/>
      <c r="E2391" s="591"/>
      <c r="G2391" s="593"/>
    </row>
    <row r="2392" spans="1:7">
      <c r="A2392" s="584"/>
      <c r="B2392" s="585"/>
      <c r="C2392" s="586"/>
      <c r="D2392" s="587"/>
      <c r="E2392" s="591"/>
      <c r="G2392" s="593"/>
    </row>
    <row r="2393" spans="1:7">
      <c r="A2393" s="584"/>
      <c r="B2393" s="585"/>
      <c r="C2393" s="586"/>
      <c r="D2393" s="587"/>
      <c r="E2393" s="591"/>
      <c r="G2393" s="593"/>
    </row>
    <row r="2394" spans="1:7">
      <c r="A2394" s="584"/>
      <c r="B2394" s="585"/>
      <c r="C2394" s="586"/>
      <c r="D2394" s="587"/>
      <c r="E2394" s="591"/>
      <c r="G2394" s="593"/>
    </row>
    <row r="2395" spans="1:7">
      <c r="A2395" s="584"/>
      <c r="B2395" s="585"/>
      <c r="C2395" s="586"/>
      <c r="D2395" s="587"/>
      <c r="E2395" s="591"/>
      <c r="G2395" s="593"/>
    </row>
    <row r="2396" spans="1:7">
      <c r="A2396" s="584"/>
      <c r="B2396" s="585"/>
      <c r="C2396" s="586"/>
      <c r="D2396" s="587"/>
      <c r="E2396" s="591"/>
      <c r="G2396" s="593"/>
    </row>
    <row r="2397" spans="1:7">
      <c r="A2397" s="584"/>
      <c r="B2397" s="585"/>
      <c r="C2397" s="586"/>
      <c r="D2397" s="587"/>
      <c r="E2397" s="591"/>
      <c r="G2397" s="593"/>
    </row>
    <row r="2398" spans="1:7">
      <c r="A2398" s="584"/>
      <c r="B2398" s="585"/>
      <c r="C2398" s="586"/>
      <c r="D2398" s="587"/>
      <c r="E2398" s="591"/>
      <c r="G2398" s="593"/>
    </row>
    <row r="2399" spans="1:7">
      <c r="A2399" s="584"/>
      <c r="B2399" s="585"/>
      <c r="C2399" s="586"/>
      <c r="D2399" s="587"/>
      <c r="E2399" s="591"/>
      <c r="G2399" s="593"/>
    </row>
    <row r="2400" spans="1:7">
      <c r="A2400" s="584"/>
      <c r="B2400" s="585"/>
      <c r="C2400" s="586"/>
      <c r="D2400" s="587"/>
      <c r="E2400" s="591"/>
      <c r="G2400" s="593"/>
    </row>
    <row r="2401" spans="1:7">
      <c r="A2401" s="584"/>
      <c r="B2401" s="585"/>
      <c r="C2401" s="586"/>
      <c r="D2401" s="587"/>
      <c r="E2401" s="591"/>
      <c r="G2401" s="593"/>
    </row>
    <row r="2402" spans="1:7">
      <c r="A2402" s="584"/>
      <c r="B2402" s="585"/>
      <c r="C2402" s="586"/>
      <c r="D2402" s="587"/>
      <c r="E2402" s="591"/>
      <c r="G2402" s="593"/>
    </row>
    <row r="2403" spans="1:7">
      <c r="A2403" s="584"/>
      <c r="B2403" s="585"/>
      <c r="C2403" s="586"/>
      <c r="D2403" s="587"/>
      <c r="E2403" s="591"/>
      <c r="G2403" s="593"/>
    </row>
    <row r="2404" spans="1:7">
      <c r="A2404" s="584"/>
      <c r="B2404" s="585"/>
      <c r="C2404" s="586"/>
      <c r="D2404" s="587"/>
      <c r="E2404" s="591"/>
      <c r="G2404" s="593"/>
    </row>
    <row r="2405" spans="1:7">
      <c r="A2405" s="584"/>
      <c r="B2405" s="585"/>
      <c r="C2405" s="586"/>
      <c r="D2405" s="587"/>
      <c r="E2405" s="591"/>
      <c r="G2405" s="593"/>
    </row>
    <row r="2406" spans="1:7">
      <c r="A2406" s="584"/>
      <c r="B2406" s="585"/>
      <c r="C2406" s="586"/>
      <c r="D2406" s="587"/>
      <c r="E2406" s="591"/>
      <c r="G2406" s="593"/>
    </row>
    <row r="2407" spans="1:7">
      <c r="A2407" s="584"/>
      <c r="B2407" s="585"/>
      <c r="C2407" s="586"/>
      <c r="D2407" s="587"/>
      <c r="E2407" s="591"/>
      <c r="G2407" s="593"/>
    </row>
    <row r="2408" spans="1:7">
      <c r="A2408" s="584"/>
      <c r="B2408" s="585"/>
      <c r="C2408" s="586"/>
      <c r="D2408" s="587"/>
      <c r="E2408" s="591"/>
      <c r="G2408" s="593"/>
    </row>
    <row r="2409" spans="1:7">
      <c r="A2409" s="584"/>
      <c r="B2409" s="585"/>
      <c r="C2409" s="586"/>
      <c r="D2409" s="587"/>
      <c r="E2409" s="591"/>
      <c r="G2409" s="593"/>
    </row>
    <row r="2410" spans="1:7">
      <c r="A2410" s="584"/>
      <c r="B2410" s="585"/>
      <c r="C2410" s="586"/>
      <c r="D2410" s="587"/>
      <c r="E2410" s="591"/>
      <c r="G2410" s="593"/>
    </row>
    <row r="2411" spans="1:7">
      <c r="A2411" s="584"/>
      <c r="B2411" s="585"/>
      <c r="C2411" s="586"/>
      <c r="D2411" s="587"/>
      <c r="E2411" s="591"/>
      <c r="G2411" s="593"/>
    </row>
    <row r="2412" spans="1:7">
      <c r="A2412" s="584"/>
      <c r="B2412" s="585"/>
      <c r="C2412" s="586"/>
      <c r="D2412" s="587"/>
      <c r="E2412" s="591"/>
      <c r="G2412" s="593"/>
    </row>
    <row r="2413" spans="1:7">
      <c r="A2413" s="584"/>
      <c r="B2413" s="585"/>
      <c r="C2413" s="586"/>
      <c r="D2413" s="587"/>
      <c r="E2413" s="591"/>
      <c r="G2413" s="593"/>
    </row>
    <row r="2414" spans="1:7">
      <c r="A2414" s="584"/>
      <c r="B2414" s="585"/>
      <c r="C2414" s="586"/>
      <c r="D2414" s="587"/>
      <c r="E2414" s="591"/>
      <c r="G2414" s="593"/>
    </row>
    <row r="2415" spans="1:7">
      <c r="A2415" s="584"/>
      <c r="B2415" s="585"/>
      <c r="C2415" s="586"/>
      <c r="D2415" s="587"/>
      <c r="E2415" s="591"/>
      <c r="G2415" s="593"/>
    </row>
    <row r="2416" spans="1:7">
      <c r="A2416" s="584"/>
      <c r="B2416" s="585"/>
      <c r="C2416" s="586"/>
      <c r="D2416" s="587"/>
      <c r="E2416" s="591"/>
      <c r="G2416" s="593"/>
    </row>
    <row r="2417" spans="1:7">
      <c r="A2417" s="584"/>
      <c r="B2417" s="585"/>
      <c r="C2417" s="586"/>
      <c r="D2417" s="587"/>
      <c r="E2417" s="591"/>
      <c r="G2417" s="593"/>
    </row>
    <row r="2418" spans="1:7">
      <c r="A2418" s="584"/>
      <c r="B2418" s="585"/>
      <c r="C2418" s="586"/>
      <c r="D2418" s="587"/>
      <c r="E2418" s="591"/>
      <c r="G2418" s="593"/>
    </row>
    <row r="2419" spans="1:7">
      <c r="A2419" s="584"/>
      <c r="B2419" s="585"/>
      <c r="C2419" s="586"/>
      <c r="D2419" s="587"/>
      <c r="E2419" s="591"/>
      <c r="G2419" s="593"/>
    </row>
    <row r="2420" spans="1:7">
      <c r="A2420" s="584"/>
      <c r="B2420" s="585"/>
      <c r="C2420" s="586"/>
      <c r="D2420" s="587"/>
      <c r="E2420" s="591"/>
      <c r="G2420" s="593"/>
    </row>
    <row r="2421" spans="1:7">
      <c r="A2421" s="584"/>
      <c r="B2421" s="585"/>
      <c r="C2421" s="586"/>
      <c r="D2421" s="587"/>
      <c r="E2421" s="591"/>
      <c r="G2421" s="593"/>
    </row>
    <row r="2422" spans="1:7">
      <c r="A2422" s="584"/>
      <c r="B2422" s="585"/>
      <c r="C2422" s="586"/>
      <c r="D2422" s="587"/>
      <c r="E2422" s="591"/>
      <c r="G2422" s="593"/>
    </row>
    <row r="2423" spans="1:7">
      <c r="A2423" s="584"/>
      <c r="B2423" s="585"/>
      <c r="C2423" s="586"/>
      <c r="D2423" s="587"/>
      <c r="E2423" s="591"/>
      <c r="G2423" s="593"/>
    </row>
    <row r="2424" spans="1:7">
      <c r="A2424" s="584"/>
      <c r="B2424" s="585"/>
      <c r="C2424" s="586"/>
      <c r="D2424" s="587"/>
      <c r="E2424" s="591"/>
      <c r="G2424" s="593"/>
    </row>
    <row r="2425" spans="1:7">
      <c r="A2425" s="584"/>
      <c r="B2425" s="585"/>
      <c r="C2425" s="586"/>
      <c r="D2425" s="587"/>
      <c r="E2425" s="591"/>
      <c r="G2425" s="593"/>
    </row>
    <row r="2426" spans="1:7">
      <c r="A2426" s="584"/>
      <c r="B2426" s="585"/>
      <c r="C2426" s="586"/>
      <c r="D2426" s="587"/>
      <c r="E2426" s="591"/>
      <c r="G2426" s="593"/>
    </row>
    <row r="2427" spans="1:7">
      <c r="A2427" s="584"/>
      <c r="B2427" s="585"/>
      <c r="C2427" s="586"/>
      <c r="D2427" s="587"/>
      <c r="E2427" s="591"/>
      <c r="G2427" s="593"/>
    </row>
    <row r="2428" spans="1:7">
      <c r="A2428" s="584"/>
      <c r="B2428" s="585"/>
      <c r="C2428" s="586"/>
      <c r="D2428" s="587"/>
      <c r="E2428" s="591"/>
      <c r="G2428" s="593"/>
    </row>
    <row r="2429" spans="1:7">
      <c r="A2429" s="584"/>
      <c r="B2429" s="585"/>
      <c r="C2429" s="586"/>
      <c r="D2429" s="587"/>
      <c r="E2429" s="591"/>
      <c r="G2429" s="593"/>
    </row>
    <row r="2430" spans="1:7">
      <c r="A2430" s="584"/>
      <c r="B2430" s="585"/>
      <c r="C2430" s="586"/>
      <c r="D2430" s="587"/>
      <c r="E2430" s="591"/>
      <c r="G2430" s="593"/>
    </row>
    <row r="2431" spans="1:7">
      <c r="A2431" s="584"/>
      <c r="B2431" s="585"/>
      <c r="C2431" s="586"/>
      <c r="D2431" s="587"/>
      <c r="E2431" s="591"/>
      <c r="G2431" s="593"/>
    </row>
    <row r="2432" spans="1:7">
      <c r="A2432" s="584"/>
      <c r="B2432" s="585"/>
      <c r="C2432" s="586"/>
      <c r="D2432" s="587"/>
      <c r="E2432" s="591"/>
      <c r="G2432" s="593"/>
    </row>
    <row r="2433" spans="1:7">
      <c r="A2433" s="584"/>
      <c r="B2433" s="585"/>
      <c r="C2433" s="586"/>
      <c r="D2433" s="587"/>
      <c r="E2433" s="591"/>
      <c r="G2433" s="593"/>
    </row>
    <row r="2434" spans="1:7">
      <c r="A2434" s="584"/>
      <c r="B2434" s="585"/>
      <c r="C2434" s="586"/>
      <c r="D2434" s="587"/>
      <c r="E2434" s="591"/>
      <c r="G2434" s="593"/>
    </row>
    <row r="2435" spans="1:7">
      <c r="A2435" s="584"/>
      <c r="B2435" s="585"/>
      <c r="C2435" s="586"/>
      <c r="D2435" s="587"/>
      <c r="E2435" s="591"/>
      <c r="G2435" s="593"/>
    </row>
    <row r="2436" spans="1:7">
      <c r="A2436" s="584"/>
      <c r="B2436" s="585"/>
      <c r="C2436" s="586"/>
      <c r="D2436" s="587"/>
      <c r="E2436" s="591"/>
      <c r="G2436" s="593"/>
    </row>
    <row r="2437" spans="1:7">
      <c r="A2437" s="584"/>
      <c r="B2437" s="585"/>
      <c r="C2437" s="586"/>
      <c r="D2437" s="587"/>
      <c r="E2437" s="591"/>
      <c r="G2437" s="593"/>
    </row>
    <row r="2438" spans="1:7">
      <c r="A2438" s="584"/>
      <c r="B2438" s="585"/>
      <c r="C2438" s="586"/>
      <c r="D2438" s="587"/>
      <c r="E2438" s="591"/>
      <c r="G2438" s="593"/>
    </row>
    <row r="2439" spans="1:7">
      <c r="A2439" s="584"/>
      <c r="B2439" s="585"/>
      <c r="C2439" s="586"/>
      <c r="D2439" s="587"/>
      <c r="E2439" s="591"/>
      <c r="G2439" s="593"/>
    </row>
    <row r="2440" spans="1:7">
      <c r="A2440" s="584"/>
      <c r="B2440" s="585"/>
      <c r="C2440" s="586"/>
      <c r="D2440" s="587"/>
      <c r="E2440" s="591"/>
      <c r="G2440" s="593"/>
    </row>
    <row r="2441" spans="1:7">
      <c r="A2441" s="584"/>
      <c r="B2441" s="585"/>
      <c r="C2441" s="586"/>
      <c r="D2441" s="587"/>
      <c r="E2441" s="591"/>
      <c r="G2441" s="593"/>
    </row>
    <row r="2442" spans="1:7">
      <c r="A2442" s="584"/>
      <c r="B2442" s="585"/>
      <c r="C2442" s="586"/>
      <c r="D2442" s="587"/>
      <c r="E2442" s="591"/>
      <c r="G2442" s="593"/>
    </row>
    <row r="2443" spans="1:7">
      <c r="A2443" s="584"/>
      <c r="B2443" s="585"/>
      <c r="C2443" s="586"/>
      <c r="D2443" s="587"/>
      <c r="E2443" s="591"/>
      <c r="G2443" s="593"/>
    </row>
    <row r="2444" spans="1:7">
      <c r="A2444" s="584"/>
      <c r="B2444" s="585"/>
      <c r="C2444" s="586"/>
      <c r="D2444" s="587"/>
      <c r="E2444" s="591"/>
      <c r="G2444" s="593"/>
    </row>
    <row r="2445" spans="1:7">
      <c r="A2445" s="584"/>
      <c r="B2445" s="585"/>
      <c r="C2445" s="586"/>
      <c r="D2445" s="587"/>
      <c r="E2445" s="591"/>
      <c r="G2445" s="593"/>
    </row>
    <row r="2446" spans="1:7">
      <c r="A2446" s="584"/>
      <c r="B2446" s="585"/>
      <c r="C2446" s="586"/>
      <c r="D2446" s="587"/>
      <c r="E2446" s="591"/>
      <c r="G2446" s="593"/>
    </row>
    <row r="2447" spans="1:7">
      <c r="A2447" s="584"/>
      <c r="B2447" s="585"/>
      <c r="C2447" s="586"/>
      <c r="D2447" s="587"/>
      <c r="E2447" s="591"/>
      <c r="G2447" s="593"/>
    </row>
    <row r="2448" spans="1:7">
      <c r="A2448" s="584"/>
      <c r="B2448" s="585"/>
      <c r="C2448" s="586"/>
      <c r="D2448" s="587"/>
      <c r="E2448" s="591"/>
      <c r="G2448" s="593"/>
    </row>
    <row r="2449" spans="1:7">
      <c r="A2449" s="584"/>
      <c r="B2449" s="585"/>
      <c r="C2449" s="586"/>
      <c r="D2449" s="587"/>
      <c r="E2449" s="591"/>
      <c r="G2449" s="593"/>
    </row>
    <row r="2450" spans="1:7">
      <c r="A2450" s="584"/>
      <c r="B2450" s="585"/>
      <c r="C2450" s="586"/>
      <c r="D2450" s="587"/>
      <c r="E2450" s="591"/>
      <c r="G2450" s="593"/>
    </row>
    <row r="2451" spans="1:7">
      <c r="A2451" s="584"/>
      <c r="B2451" s="585"/>
      <c r="C2451" s="586"/>
      <c r="D2451" s="587"/>
      <c r="E2451" s="591"/>
      <c r="G2451" s="593"/>
    </row>
    <row r="2452" spans="1:7">
      <c r="A2452" s="584"/>
      <c r="B2452" s="585"/>
      <c r="C2452" s="586"/>
      <c r="D2452" s="587"/>
      <c r="E2452" s="591"/>
      <c r="G2452" s="593"/>
    </row>
    <row r="2453" spans="1:7">
      <c r="A2453" s="584"/>
      <c r="B2453" s="585"/>
      <c r="C2453" s="586"/>
      <c r="D2453" s="587"/>
      <c r="E2453" s="591"/>
      <c r="G2453" s="593"/>
    </row>
    <row r="2454" spans="1:7">
      <c r="A2454" s="584"/>
      <c r="B2454" s="585"/>
      <c r="C2454" s="586"/>
      <c r="D2454" s="587"/>
      <c r="E2454" s="591"/>
      <c r="G2454" s="593"/>
    </row>
    <row r="2455" spans="1:7">
      <c r="A2455" s="584"/>
      <c r="B2455" s="585"/>
      <c r="C2455" s="586"/>
      <c r="D2455" s="587"/>
      <c r="E2455" s="591"/>
      <c r="G2455" s="593"/>
    </row>
    <row r="2456" spans="1:7">
      <c r="A2456" s="584"/>
      <c r="B2456" s="585"/>
      <c r="C2456" s="586"/>
      <c r="D2456" s="587"/>
      <c r="E2456" s="591"/>
      <c r="G2456" s="593"/>
    </row>
    <row r="2457" spans="1:7">
      <c r="A2457" s="584"/>
      <c r="B2457" s="585"/>
      <c r="C2457" s="586"/>
      <c r="D2457" s="587"/>
      <c r="E2457" s="591"/>
      <c r="G2457" s="593"/>
    </row>
    <row r="2458" spans="1:7">
      <c r="A2458" s="584"/>
      <c r="B2458" s="585"/>
      <c r="C2458" s="586"/>
      <c r="D2458" s="587"/>
      <c r="E2458" s="591"/>
      <c r="G2458" s="593"/>
    </row>
    <row r="2459" spans="1:7">
      <c r="A2459" s="584"/>
      <c r="B2459" s="585"/>
      <c r="C2459" s="586"/>
      <c r="D2459" s="587"/>
      <c r="E2459" s="591"/>
      <c r="G2459" s="593"/>
    </row>
    <row r="2460" spans="1:7">
      <c r="A2460" s="584"/>
      <c r="B2460" s="585"/>
      <c r="C2460" s="586"/>
      <c r="D2460" s="587"/>
      <c r="E2460" s="591"/>
      <c r="G2460" s="593"/>
    </row>
    <row r="2461" spans="1:7">
      <c r="A2461" s="584"/>
      <c r="B2461" s="585"/>
      <c r="C2461" s="586"/>
      <c r="D2461" s="587"/>
      <c r="E2461" s="591"/>
      <c r="G2461" s="593"/>
    </row>
    <row r="2462" spans="1:7">
      <c r="A2462" s="584"/>
      <c r="B2462" s="585"/>
      <c r="C2462" s="586"/>
      <c r="D2462" s="587"/>
      <c r="E2462" s="591"/>
      <c r="G2462" s="593"/>
    </row>
    <row r="2463" spans="1:7">
      <c r="A2463" s="584"/>
      <c r="B2463" s="585"/>
      <c r="C2463" s="586"/>
      <c r="D2463" s="587"/>
      <c r="E2463" s="591"/>
      <c r="G2463" s="593"/>
    </row>
    <row r="2464" spans="1:7">
      <c r="A2464" s="584"/>
      <c r="B2464" s="585"/>
      <c r="C2464" s="586"/>
      <c r="D2464" s="587"/>
      <c r="E2464" s="591"/>
      <c r="G2464" s="593"/>
    </row>
    <row r="2465" spans="1:7">
      <c r="A2465" s="584"/>
      <c r="B2465" s="585"/>
      <c r="C2465" s="586"/>
      <c r="D2465" s="587"/>
      <c r="E2465" s="591"/>
      <c r="G2465" s="593"/>
    </row>
    <row r="2466" spans="1:7">
      <c r="A2466" s="584"/>
      <c r="B2466" s="585"/>
      <c r="C2466" s="586"/>
      <c r="D2466" s="587"/>
      <c r="E2466" s="591"/>
      <c r="G2466" s="593"/>
    </row>
    <row r="2467" spans="1:7">
      <c r="A2467" s="584"/>
      <c r="B2467" s="585"/>
      <c r="C2467" s="586"/>
      <c r="D2467" s="587"/>
      <c r="E2467" s="591"/>
      <c r="G2467" s="593"/>
    </row>
    <row r="2468" spans="1:7">
      <c r="A2468" s="584"/>
      <c r="B2468" s="585"/>
      <c r="C2468" s="586"/>
      <c r="D2468" s="587"/>
      <c r="E2468" s="591"/>
      <c r="G2468" s="593"/>
    </row>
    <row r="2469" spans="1:7">
      <c r="A2469" s="584"/>
      <c r="B2469" s="585"/>
      <c r="C2469" s="586"/>
      <c r="D2469" s="587"/>
      <c r="E2469" s="591"/>
      <c r="G2469" s="593"/>
    </row>
    <row r="2470" spans="1:7">
      <c r="A2470" s="584"/>
      <c r="B2470" s="585"/>
      <c r="C2470" s="586"/>
      <c r="D2470" s="587"/>
      <c r="E2470" s="591"/>
      <c r="G2470" s="593"/>
    </row>
    <row r="2471" spans="1:7">
      <c r="A2471" s="584"/>
      <c r="B2471" s="585"/>
      <c r="C2471" s="586"/>
      <c r="D2471" s="587"/>
      <c r="E2471" s="591"/>
      <c r="G2471" s="593"/>
    </row>
    <row r="2472" spans="1:7">
      <c r="A2472" s="584"/>
      <c r="B2472" s="585"/>
      <c r="C2472" s="586"/>
      <c r="D2472" s="587"/>
      <c r="E2472" s="591"/>
      <c r="G2472" s="593"/>
    </row>
    <row r="2473" spans="1:7">
      <c r="A2473" s="584"/>
      <c r="B2473" s="585"/>
      <c r="C2473" s="586"/>
      <c r="D2473" s="587"/>
      <c r="E2473" s="591"/>
      <c r="G2473" s="593"/>
    </row>
    <row r="2474" spans="1:7">
      <c r="A2474" s="584"/>
      <c r="B2474" s="585"/>
      <c r="C2474" s="586"/>
      <c r="D2474" s="587"/>
      <c r="E2474" s="591"/>
      <c r="G2474" s="593"/>
    </row>
    <row r="2475" spans="1:7">
      <c r="A2475" s="584"/>
      <c r="B2475" s="585"/>
      <c r="C2475" s="586"/>
      <c r="D2475" s="587"/>
      <c r="E2475" s="591"/>
      <c r="G2475" s="593"/>
    </row>
    <row r="2476" spans="1:7">
      <c r="A2476" s="584"/>
      <c r="B2476" s="585"/>
      <c r="C2476" s="586"/>
      <c r="D2476" s="587"/>
      <c r="E2476" s="591"/>
      <c r="G2476" s="593"/>
    </row>
    <row r="2477" spans="1:7">
      <c r="A2477" s="584"/>
      <c r="B2477" s="585"/>
      <c r="C2477" s="586"/>
      <c r="D2477" s="587"/>
      <c r="E2477" s="591"/>
      <c r="G2477" s="593"/>
    </row>
    <row r="2478" spans="1:7">
      <c r="A2478" s="584"/>
      <c r="B2478" s="585"/>
      <c r="C2478" s="586"/>
      <c r="D2478" s="587"/>
      <c r="E2478" s="591"/>
      <c r="G2478" s="593"/>
    </row>
    <row r="2479" spans="1:7">
      <c r="A2479" s="584"/>
      <c r="B2479" s="585"/>
      <c r="C2479" s="586"/>
      <c r="D2479" s="587"/>
      <c r="E2479" s="591"/>
      <c r="G2479" s="593"/>
    </row>
    <row r="2480" spans="1:7">
      <c r="A2480" s="584"/>
      <c r="B2480" s="585"/>
      <c r="C2480" s="586"/>
      <c r="D2480" s="587"/>
      <c r="E2480" s="591"/>
      <c r="G2480" s="593"/>
    </row>
    <row r="2481" spans="1:7">
      <c r="A2481" s="584"/>
      <c r="B2481" s="585"/>
      <c r="C2481" s="586"/>
      <c r="D2481" s="587"/>
      <c r="E2481" s="591"/>
      <c r="G2481" s="593"/>
    </row>
    <row r="2482" spans="1:7">
      <c r="A2482" s="584"/>
      <c r="B2482" s="585"/>
      <c r="C2482" s="586"/>
      <c r="D2482" s="587"/>
      <c r="E2482" s="591"/>
      <c r="G2482" s="593"/>
    </row>
    <row r="2483" spans="1:7">
      <c r="A2483" s="584"/>
      <c r="B2483" s="585"/>
      <c r="C2483" s="586"/>
      <c r="D2483" s="587"/>
      <c r="E2483" s="591"/>
      <c r="G2483" s="593"/>
    </row>
    <row r="2484" spans="1:7">
      <c r="A2484" s="584"/>
      <c r="B2484" s="585"/>
      <c r="C2484" s="586"/>
      <c r="D2484" s="587"/>
      <c r="E2484" s="591"/>
      <c r="G2484" s="593"/>
    </row>
    <row r="2485" spans="1:7">
      <c r="A2485" s="584"/>
      <c r="B2485" s="585"/>
      <c r="C2485" s="586"/>
      <c r="D2485" s="587"/>
      <c r="E2485" s="591"/>
      <c r="G2485" s="593"/>
    </row>
    <row r="2486" spans="1:7">
      <c r="A2486" s="584"/>
      <c r="B2486" s="585"/>
      <c r="C2486" s="586"/>
      <c r="D2486" s="587"/>
      <c r="E2486" s="591"/>
      <c r="G2486" s="593"/>
    </row>
    <row r="2487" spans="1:7">
      <c r="A2487" s="584"/>
      <c r="B2487" s="585"/>
      <c r="C2487" s="586"/>
      <c r="D2487" s="587"/>
      <c r="E2487" s="591"/>
      <c r="G2487" s="593"/>
    </row>
    <row r="2488" spans="1:7">
      <c r="A2488" s="584"/>
      <c r="B2488" s="585"/>
      <c r="C2488" s="586"/>
      <c r="D2488" s="587"/>
      <c r="E2488" s="591"/>
      <c r="G2488" s="593"/>
    </row>
    <row r="2489" spans="1:7">
      <c r="A2489" s="584"/>
      <c r="B2489" s="585"/>
      <c r="C2489" s="586"/>
      <c r="D2489" s="587"/>
      <c r="E2489" s="591"/>
      <c r="G2489" s="593"/>
    </row>
    <row r="2490" spans="1:7">
      <c r="A2490" s="584"/>
      <c r="B2490" s="585"/>
      <c r="C2490" s="586"/>
      <c r="D2490" s="587"/>
      <c r="E2490" s="591"/>
      <c r="G2490" s="593"/>
    </row>
    <row r="2491" spans="1:7">
      <c r="A2491" s="584"/>
      <c r="B2491" s="585"/>
      <c r="C2491" s="586"/>
      <c r="D2491" s="587"/>
      <c r="E2491" s="591"/>
      <c r="G2491" s="593"/>
    </row>
    <row r="2492" spans="1:7">
      <c r="A2492" s="584"/>
      <c r="B2492" s="585"/>
      <c r="C2492" s="586"/>
      <c r="D2492" s="587"/>
      <c r="E2492" s="591"/>
      <c r="G2492" s="593"/>
    </row>
    <row r="2493" spans="1:7">
      <c r="A2493" s="584"/>
      <c r="B2493" s="585"/>
      <c r="C2493" s="586"/>
      <c r="D2493" s="587"/>
      <c r="E2493" s="591"/>
      <c r="G2493" s="593"/>
    </row>
    <row r="2494" spans="1:7">
      <c r="A2494" s="584"/>
      <c r="B2494" s="585"/>
      <c r="C2494" s="586"/>
      <c r="D2494" s="587"/>
      <c r="E2494" s="591"/>
      <c r="G2494" s="593"/>
    </row>
    <row r="2495" spans="1:7">
      <c r="A2495" s="584"/>
      <c r="B2495" s="585"/>
      <c r="C2495" s="586"/>
      <c r="D2495" s="587"/>
      <c r="E2495" s="591"/>
      <c r="G2495" s="593"/>
    </row>
    <row r="2496" spans="1:7">
      <c r="A2496" s="584"/>
      <c r="B2496" s="585"/>
      <c r="C2496" s="586"/>
      <c r="D2496" s="587"/>
      <c r="E2496" s="591"/>
      <c r="G2496" s="593"/>
    </row>
    <row r="2497" spans="1:7">
      <c r="A2497" s="584"/>
      <c r="B2497" s="585"/>
      <c r="C2497" s="586"/>
      <c r="D2497" s="587"/>
      <c r="E2497" s="591"/>
      <c r="G2497" s="593"/>
    </row>
    <row r="2498" spans="1:7">
      <c r="A2498" s="584"/>
      <c r="B2498" s="585"/>
      <c r="C2498" s="586"/>
      <c r="D2498" s="587"/>
      <c r="E2498" s="591"/>
      <c r="G2498" s="593"/>
    </row>
    <row r="2499" spans="1:7">
      <c r="A2499" s="584"/>
      <c r="B2499" s="585"/>
      <c r="C2499" s="586"/>
      <c r="D2499" s="587"/>
      <c r="E2499" s="591"/>
      <c r="G2499" s="593"/>
    </row>
    <row r="2500" spans="1:7">
      <c r="A2500" s="584"/>
      <c r="B2500" s="585"/>
      <c r="C2500" s="586"/>
      <c r="D2500" s="587"/>
      <c r="E2500" s="591"/>
      <c r="G2500" s="593"/>
    </row>
    <row r="2501" spans="1:7">
      <c r="A2501" s="584"/>
      <c r="B2501" s="585"/>
      <c r="C2501" s="586"/>
      <c r="D2501" s="587"/>
      <c r="E2501" s="591"/>
      <c r="G2501" s="593"/>
    </row>
    <row r="2502" spans="1:7">
      <c r="A2502" s="584"/>
      <c r="B2502" s="585"/>
      <c r="C2502" s="586"/>
      <c r="D2502" s="587"/>
      <c r="E2502" s="591"/>
      <c r="G2502" s="593"/>
    </row>
    <row r="2503" spans="1:7">
      <c r="A2503" s="584"/>
      <c r="B2503" s="585"/>
      <c r="C2503" s="586"/>
      <c r="D2503" s="587"/>
      <c r="E2503" s="591"/>
      <c r="G2503" s="593"/>
    </row>
    <row r="2504" spans="1:7">
      <c r="A2504" s="584"/>
      <c r="B2504" s="585"/>
      <c r="C2504" s="586"/>
      <c r="D2504" s="587"/>
      <c r="E2504" s="591"/>
      <c r="G2504" s="593"/>
    </row>
    <row r="2505" spans="1:7">
      <c r="A2505" s="584"/>
      <c r="B2505" s="585"/>
      <c r="C2505" s="586"/>
      <c r="D2505" s="587"/>
      <c r="E2505" s="591"/>
      <c r="G2505" s="593"/>
    </row>
    <row r="2506" spans="1:7">
      <c r="A2506" s="584"/>
      <c r="B2506" s="585"/>
      <c r="C2506" s="586"/>
      <c r="D2506" s="587"/>
      <c r="E2506" s="591"/>
      <c r="G2506" s="593"/>
    </row>
    <row r="2507" spans="1:7">
      <c r="A2507" s="584"/>
      <c r="B2507" s="585"/>
      <c r="C2507" s="586"/>
      <c r="D2507" s="587"/>
      <c r="E2507" s="591"/>
      <c r="G2507" s="593"/>
    </row>
    <row r="2508" spans="1:7">
      <c r="A2508" s="584"/>
      <c r="B2508" s="585"/>
      <c r="C2508" s="586"/>
      <c r="D2508" s="587"/>
      <c r="E2508" s="591"/>
      <c r="G2508" s="593"/>
    </row>
    <row r="2509" spans="1:7">
      <c r="A2509" s="584"/>
      <c r="B2509" s="585"/>
      <c r="C2509" s="586"/>
      <c r="D2509" s="587"/>
      <c r="E2509" s="591"/>
      <c r="G2509" s="593"/>
    </row>
    <row r="2510" spans="1:7">
      <c r="A2510" s="584"/>
      <c r="B2510" s="585"/>
      <c r="C2510" s="586"/>
      <c r="D2510" s="587"/>
      <c r="E2510" s="591"/>
      <c r="G2510" s="593"/>
    </row>
    <row r="2511" spans="1:7">
      <c r="A2511" s="584"/>
      <c r="B2511" s="585"/>
      <c r="C2511" s="586"/>
      <c r="D2511" s="587"/>
      <c r="E2511" s="591"/>
      <c r="G2511" s="593"/>
    </row>
    <row r="2512" spans="1:7">
      <c r="A2512" s="584"/>
      <c r="B2512" s="585"/>
      <c r="C2512" s="586"/>
      <c r="D2512" s="587"/>
      <c r="E2512" s="591"/>
      <c r="G2512" s="593"/>
    </row>
    <row r="2513" spans="1:7">
      <c r="A2513" s="584"/>
      <c r="B2513" s="585"/>
      <c r="C2513" s="586"/>
      <c r="D2513" s="587"/>
      <c r="E2513" s="591"/>
      <c r="G2513" s="593"/>
    </row>
    <row r="2514" spans="1:7">
      <c r="A2514" s="584"/>
      <c r="B2514" s="585"/>
      <c r="C2514" s="586"/>
      <c r="D2514" s="587"/>
      <c r="E2514" s="591"/>
      <c r="G2514" s="593"/>
    </row>
    <row r="2515" spans="1:7">
      <c r="A2515" s="584"/>
      <c r="B2515" s="585"/>
      <c r="C2515" s="586"/>
      <c r="D2515" s="587"/>
      <c r="E2515" s="591"/>
      <c r="G2515" s="593"/>
    </row>
    <row r="2516" spans="1:7">
      <c r="A2516" s="584"/>
      <c r="B2516" s="585"/>
      <c r="C2516" s="586"/>
      <c r="D2516" s="587"/>
      <c r="E2516" s="591"/>
      <c r="G2516" s="593"/>
    </row>
    <row r="2517" spans="1:7">
      <c r="A2517" s="584"/>
      <c r="B2517" s="585"/>
      <c r="C2517" s="586"/>
      <c r="D2517" s="587"/>
      <c r="E2517" s="591"/>
      <c r="G2517" s="593"/>
    </row>
    <row r="2518" spans="1:7">
      <c r="A2518" s="584"/>
      <c r="B2518" s="585"/>
      <c r="C2518" s="586"/>
      <c r="D2518" s="587"/>
      <c r="E2518" s="591"/>
      <c r="G2518" s="593"/>
    </row>
    <row r="2519" spans="1:7">
      <c r="A2519" s="584"/>
      <c r="B2519" s="585"/>
      <c r="C2519" s="586"/>
      <c r="D2519" s="587"/>
      <c r="E2519" s="591"/>
      <c r="G2519" s="593"/>
    </row>
    <row r="2520" spans="1:7">
      <c r="A2520" s="584"/>
      <c r="B2520" s="585"/>
      <c r="C2520" s="586"/>
      <c r="D2520" s="587"/>
      <c r="E2520" s="591"/>
      <c r="G2520" s="593"/>
    </row>
    <row r="2521" spans="1:7">
      <c r="A2521" s="584"/>
      <c r="B2521" s="585"/>
      <c r="C2521" s="586"/>
      <c r="D2521" s="587"/>
      <c r="E2521" s="591"/>
      <c r="G2521" s="593"/>
    </row>
    <row r="2522" spans="1:7">
      <c r="A2522" s="584"/>
      <c r="B2522" s="585"/>
      <c r="C2522" s="586"/>
      <c r="D2522" s="587"/>
      <c r="E2522" s="591"/>
      <c r="G2522" s="593"/>
    </row>
    <row r="2523" spans="1:7">
      <c r="A2523" s="584"/>
      <c r="B2523" s="585"/>
      <c r="C2523" s="586"/>
      <c r="D2523" s="587"/>
      <c r="E2523" s="591"/>
      <c r="G2523" s="593"/>
    </row>
    <row r="2524" spans="1:7">
      <c r="A2524" s="584"/>
      <c r="B2524" s="585"/>
      <c r="C2524" s="586"/>
      <c r="D2524" s="587"/>
      <c r="E2524" s="591"/>
      <c r="G2524" s="593"/>
    </row>
    <row r="2525" spans="1:7">
      <c r="A2525" s="584"/>
      <c r="B2525" s="585"/>
      <c r="C2525" s="586"/>
      <c r="D2525" s="587"/>
      <c r="E2525" s="591"/>
      <c r="G2525" s="593"/>
    </row>
    <row r="2526" spans="1:7">
      <c r="A2526" s="584"/>
      <c r="B2526" s="585"/>
      <c r="C2526" s="586"/>
      <c r="D2526" s="587"/>
      <c r="E2526" s="591"/>
      <c r="G2526" s="593"/>
    </row>
    <row r="2527" spans="1:7">
      <c r="A2527" s="584"/>
      <c r="B2527" s="585"/>
      <c r="C2527" s="586"/>
      <c r="D2527" s="587"/>
      <c r="E2527" s="591"/>
      <c r="G2527" s="593"/>
    </row>
    <row r="2528" spans="1:7">
      <c r="A2528" s="584"/>
      <c r="B2528" s="585"/>
      <c r="C2528" s="586"/>
      <c r="D2528" s="587"/>
      <c r="E2528" s="591"/>
      <c r="G2528" s="593"/>
    </row>
    <row r="2529" spans="1:7">
      <c r="A2529" s="584"/>
      <c r="B2529" s="585"/>
      <c r="C2529" s="586"/>
      <c r="D2529" s="587"/>
      <c r="E2529" s="591"/>
      <c r="G2529" s="593"/>
    </row>
    <row r="2530" spans="1:7">
      <c r="A2530" s="584"/>
      <c r="B2530" s="585"/>
      <c r="C2530" s="586"/>
      <c r="D2530" s="587"/>
      <c r="E2530" s="591"/>
      <c r="G2530" s="593"/>
    </row>
    <row r="2531" spans="1:7">
      <c r="A2531" s="584"/>
      <c r="B2531" s="585"/>
      <c r="C2531" s="586"/>
      <c r="D2531" s="587"/>
      <c r="E2531" s="591"/>
      <c r="G2531" s="593"/>
    </row>
    <row r="2532" spans="1:7">
      <c r="A2532" s="584"/>
      <c r="B2532" s="585"/>
      <c r="C2532" s="586"/>
      <c r="D2532" s="587"/>
      <c r="E2532" s="591"/>
      <c r="G2532" s="593"/>
    </row>
    <row r="2533" spans="1:7">
      <c r="A2533" s="584"/>
      <c r="B2533" s="585"/>
      <c r="C2533" s="586"/>
      <c r="D2533" s="587"/>
      <c r="E2533" s="591"/>
      <c r="G2533" s="593"/>
    </row>
    <row r="2534" spans="1:7">
      <c r="A2534" s="584"/>
      <c r="B2534" s="585"/>
      <c r="C2534" s="586"/>
      <c r="D2534" s="587"/>
      <c r="E2534" s="591"/>
      <c r="G2534" s="593"/>
    </row>
    <row r="2535" spans="1:7">
      <c r="A2535" s="584"/>
      <c r="B2535" s="585"/>
      <c r="C2535" s="586"/>
      <c r="D2535" s="587"/>
      <c r="E2535" s="591"/>
      <c r="G2535" s="593"/>
    </row>
    <row r="2536" spans="1:7">
      <c r="A2536" s="584"/>
      <c r="B2536" s="585"/>
      <c r="C2536" s="586"/>
      <c r="D2536" s="587"/>
      <c r="E2536" s="591"/>
      <c r="G2536" s="593"/>
    </row>
    <row r="2537" spans="1:7">
      <c r="A2537" s="584"/>
      <c r="B2537" s="585"/>
      <c r="C2537" s="586"/>
      <c r="D2537" s="587"/>
      <c r="E2537" s="591"/>
      <c r="G2537" s="593"/>
    </row>
    <row r="2538" spans="1:7">
      <c r="A2538" s="584"/>
      <c r="B2538" s="585"/>
      <c r="C2538" s="586"/>
      <c r="D2538" s="587"/>
      <c r="E2538" s="591"/>
      <c r="G2538" s="593"/>
    </row>
    <row r="2539" spans="1:7">
      <c r="A2539" s="584"/>
      <c r="B2539" s="585"/>
      <c r="C2539" s="586"/>
      <c r="D2539" s="587"/>
      <c r="E2539" s="591"/>
      <c r="G2539" s="593"/>
    </row>
    <row r="2540" spans="1:7">
      <c r="A2540" s="584"/>
      <c r="B2540" s="585"/>
      <c r="C2540" s="586"/>
      <c r="D2540" s="587"/>
      <c r="E2540" s="591"/>
      <c r="G2540" s="593"/>
    </row>
    <row r="2541" spans="1:7">
      <c r="A2541" s="584"/>
      <c r="B2541" s="585"/>
      <c r="C2541" s="586"/>
      <c r="D2541" s="587"/>
      <c r="E2541" s="591"/>
      <c r="G2541" s="593"/>
    </row>
    <row r="2542" spans="1:7">
      <c r="A2542" s="584"/>
      <c r="B2542" s="585"/>
      <c r="C2542" s="586"/>
      <c r="D2542" s="587"/>
      <c r="E2542" s="591"/>
      <c r="G2542" s="593"/>
    </row>
    <row r="2543" spans="1:7">
      <c r="A2543" s="584"/>
      <c r="B2543" s="585"/>
      <c r="C2543" s="586"/>
      <c r="D2543" s="587"/>
      <c r="E2543" s="591"/>
      <c r="G2543" s="593"/>
    </row>
    <row r="2544" spans="1:7">
      <c r="A2544" s="584"/>
      <c r="B2544" s="585"/>
      <c r="C2544" s="586"/>
      <c r="D2544" s="587"/>
      <c r="E2544" s="591"/>
      <c r="G2544" s="593"/>
    </row>
    <row r="2545" spans="1:7">
      <c r="A2545" s="584"/>
      <c r="B2545" s="585"/>
      <c r="C2545" s="586"/>
      <c r="D2545" s="587"/>
      <c r="E2545" s="591"/>
      <c r="G2545" s="593"/>
    </row>
    <row r="2546" spans="1:7">
      <c r="A2546" s="584"/>
      <c r="B2546" s="585"/>
      <c r="C2546" s="586"/>
      <c r="D2546" s="587"/>
      <c r="E2546" s="591"/>
      <c r="G2546" s="593"/>
    </row>
    <row r="2547" spans="1:7">
      <c r="A2547" s="584"/>
      <c r="B2547" s="585"/>
      <c r="C2547" s="586"/>
      <c r="D2547" s="587"/>
      <c r="E2547" s="591"/>
      <c r="G2547" s="593"/>
    </row>
    <row r="2548" spans="1:7">
      <c r="A2548" s="584"/>
      <c r="B2548" s="585"/>
      <c r="C2548" s="586"/>
      <c r="D2548" s="587"/>
      <c r="E2548" s="591"/>
      <c r="G2548" s="593"/>
    </row>
    <row r="2549" spans="1:7">
      <c r="A2549" s="584"/>
      <c r="B2549" s="585"/>
      <c r="C2549" s="586"/>
      <c r="D2549" s="587"/>
      <c r="E2549" s="591"/>
      <c r="G2549" s="593"/>
    </row>
    <row r="2550" spans="1:7">
      <c r="A2550" s="584"/>
      <c r="B2550" s="585"/>
      <c r="C2550" s="586"/>
      <c r="D2550" s="587"/>
      <c r="E2550" s="591"/>
      <c r="G2550" s="593"/>
    </row>
    <row r="2551" spans="1:7">
      <c r="A2551" s="584"/>
      <c r="B2551" s="585"/>
      <c r="C2551" s="586"/>
      <c r="D2551" s="587"/>
      <c r="E2551" s="591"/>
      <c r="G2551" s="593"/>
    </row>
    <row r="2552" spans="1:7">
      <c r="A2552" s="584"/>
      <c r="B2552" s="585"/>
      <c r="C2552" s="586"/>
      <c r="D2552" s="587"/>
      <c r="E2552" s="591"/>
      <c r="G2552" s="593"/>
    </row>
    <row r="2553" spans="1:7">
      <c r="A2553" s="584"/>
      <c r="B2553" s="585"/>
      <c r="C2553" s="586"/>
      <c r="D2553" s="587"/>
      <c r="E2553" s="591"/>
      <c r="G2553" s="593"/>
    </row>
    <row r="2554" spans="1:7">
      <c r="A2554" s="584"/>
      <c r="B2554" s="585"/>
      <c r="C2554" s="586"/>
      <c r="D2554" s="587"/>
      <c r="E2554" s="591"/>
      <c r="G2554" s="593"/>
    </row>
    <row r="2555" spans="1:7">
      <c r="A2555" s="584"/>
      <c r="B2555" s="585"/>
      <c r="C2555" s="586"/>
      <c r="D2555" s="587"/>
      <c r="E2555" s="591"/>
      <c r="G2555" s="593"/>
    </row>
    <row r="2556" spans="1:7">
      <c r="A2556" s="584"/>
      <c r="B2556" s="585"/>
      <c r="C2556" s="586"/>
      <c r="D2556" s="587"/>
      <c r="E2556" s="591"/>
      <c r="G2556" s="593"/>
    </row>
    <row r="2557" spans="1:7">
      <c r="A2557" s="584"/>
      <c r="B2557" s="585"/>
      <c r="C2557" s="586"/>
      <c r="D2557" s="587"/>
      <c r="E2557" s="591"/>
      <c r="G2557" s="593"/>
    </row>
    <row r="2558" spans="1:7">
      <c r="A2558" s="584"/>
      <c r="B2558" s="585"/>
      <c r="C2558" s="586"/>
      <c r="D2558" s="587"/>
      <c r="E2558" s="591"/>
      <c r="G2558" s="593"/>
    </row>
    <row r="2559" spans="1:7">
      <c r="A2559" s="584"/>
      <c r="B2559" s="585"/>
      <c r="C2559" s="586"/>
      <c r="D2559" s="587"/>
      <c r="E2559" s="591"/>
      <c r="G2559" s="593"/>
    </row>
    <row r="2560" spans="1:7">
      <c r="A2560" s="584"/>
      <c r="B2560" s="585"/>
      <c r="C2560" s="586"/>
      <c r="D2560" s="587"/>
      <c r="E2560" s="591"/>
      <c r="G2560" s="593"/>
    </row>
    <row r="2561" spans="1:7">
      <c r="A2561" s="584"/>
      <c r="B2561" s="585"/>
      <c r="C2561" s="586"/>
      <c r="D2561" s="587"/>
      <c r="E2561" s="591"/>
      <c r="G2561" s="593"/>
    </row>
    <row r="2562" spans="1:7">
      <c r="A2562" s="584"/>
      <c r="B2562" s="585"/>
      <c r="C2562" s="586"/>
      <c r="D2562" s="587"/>
      <c r="E2562" s="591"/>
      <c r="G2562" s="593"/>
    </row>
    <row r="2563" spans="1:7">
      <c r="A2563" s="584"/>
      <c r="B2563" s="585"/>
      <c r="C2563" s="586"/>
      <c r="D2563" s="587"/>
      <c r="E2563" s="591"/>
      <c r="G2563" s="593"/>
    </row>
    <row r="2564" spans="1:7">
      <c r="A2564" s="584"/>
      <c r="B2564" s="585"/>
      <c r="C2564" s="586"/>
      <c r="D2564" s="587"/>
      <c r="E2564" s="591"/>
      <c r="G2564" s="593"/>
    </row>
    <row r="2565" spans="1:7">
      <c r="A2565" s="584"/>
      <c r="B2565" s="585"/>
      <c r="C2565" s="586"/>
      <c r="D2565" s="587"/>
      <c r="E2565" s="591"/>
      <c r="G2565" s="593"/>
    </row>
    <row r="2566" spans="1:7">
      <c r="A2566" s="584"/>
      <c r="B2566" s="585"/>
      <c r="C2566" s="586"/>
      <c r="D2566" s="587"/>
      <c r="E2566" s="591"/>
      <c r="G2566" s="593"/>
    </row>
    <row r="2567" spans="1:7">
      <c r="A2567" s="584"/>
      <c r="B2567" s="585"/>
      <c r="C2567" s="586"/>
      <c r="D2567" s="587"/>
      <c r="E2567" s="591"/>
      <c r="G2567" s="593"/>
    </row>
    <row r="2568" spans="1:7">
      <c r="A2568" s="584"/>
      <c r="B2568" s="585"/>
      <c r="C2568" s="586"/>
      <c r="D2568" s="587"/>
      <c r="E2568" s="591"/>
      <c r="G2568" s="593"/>
    </row>
    <row r="2569" spans="1:7">
      <c r="A2569" s="584"/>
      <c r="B2569" s="585"/>
      <c r="C2569" s="586"/>
      <c r="D2569" s="587"/>
      <c r="E2569" s="591"/>
      <c r="G2569" s="593"/>
    </row>
    <row r="2570" spans="1:7">
      <c r="A2570" s="584"/>
      <c r="B2570" s="585"/>
      <c r="C2570" s="586"/>
      <c r="D2570" s="587"/>
      <c r="E2570" s="591"/>
      <c r="G2570" s="593"/>
    </row>
    <row r="2571" spans="1:7">
      <c r="A2571" s="584"/>
      <c r="B2571" s="585"/>
      <c r="C2571" s="586"/>
      <c r="D2571" s="587"/>
      <c r="E2571" s="591"/>
      <c r="G2571" s="593"/>
    </row>
    <row r="2572" spans="1:7">
      <c r="A2572" s="584"/>
      <c r="B2572" s="585"/>
      <c r="C2572" s="586"/>
      <c r="D2572" s="587"/>
      <c r="E2572" s="591"/>
      <c r="G2572" s="593"/>
    </row>
    <row r="2573" spans="1:7">
      <c r="A2573" s="584"/>
      <c r="B2573" s="585"/>
      <c r="C2573" s="586"/>
      <c r="D2573" s="587"/>
      <c r="E2573" s="591"/>
      <c r="G2573" s="593"/>
    </row>
    <row r="2574" spans="1:7">
      <c r="A2574" s="584"/>
      <c r="B2574" s="585"/>
      <c r="C2574" s="586"/>
      <c r="D2574" s="587"/>
      <c r="E2574" s="591"/>
      <c r="G2574" s="593"/>
    </row>
    <row r="2575" spans="1:7">
      <c r="A2575" s="584"/>
      <c r="B2575" s="585"/>
      <c r="C2575" s="586"/>
      <c r="D2575" s="587"/>
      <c r="E2575" s="591"/>
      <c r="G2575" s="593"/>
    </row>
    <row r="2576" spans="1:7">
      <c r="A2576" s="584"/>
      <c r="B2576" s="585"/>
      <c r="C2576" s="586"/>
      <c r="D2576" s="587"/>
      <c r="E2576" s="591"/>
      <c r="G2576" s="593"/>
    </row>
    <row r="2577" spans="1:7">
      <c r="A2577" s="584"/>
      <c r="B2577" s="585"/>
      <c r="C2577" s="586"/>
      <c r="D2577" s="587"/>
      <c r="E2577" s="591"/>
      <c r="G2577" s="593"/>
    </row>
    <row r="2578" spans="1:7">
      <c r="A2578" s="584"/>
      <c r="B2578" s="585"/>
      <c r="C2578" s="586"/>
      <c r="D2578" s="587"/>
      <c r="E2578" s="591"/>
      <c r="G2578" s="593"/>
    </row>
    <row r="2579" spans="1:7">
      <c r="A2579" s="584"/>
      <c r="B2579" s="585"/>
      <c r="C2579" s="586"/>
      <c r="D2579" s="587"/>
      <c r="E2579" s="591"/>
      <c r="G2579" s="593"/>
    </row>
    <row r="2580" spans="1:7">
      <c r="A2580" s="584"/>
      <c r="B2580" s="585"/>
      <c r="C2580" s="586"/>
      <c r="D2580" s="587"/>
      <c r="E2580" s="591"/>
      <c r="G2580" s="593"/>
    </row>
    <row r="2581" spans="1:7">
      <c r="A2581" s="584"/>
      <c r="B2581" s="585"/>
      <c r="C2581" s="586"/>
      <c r="D2581" s="587"/>
      <c r="E2581" s="591"/>
      <c r="G2581" s="593"/>
    </row>
    <row r="2582" spans="1:7">
      <c r="A2582" s="584"/>
      <c r="B2582" s="585"/>
      <c r="C2582" s="586"/>
      <c r="D2582" s="587"/>
      <c r="E2582" s="591"/>
      <c r="G2582" s="593"/>
    </row>
    <row r="2583" spans="1:7">
      <c r="A2583" s="584"/>
      <c r="B2583" s="585"/>
      <c r="C2583" s="586"/>
      <c r="D2583" s="587"/>
      <c r="E2583" s="591"/>
      <c r="G2583" s="593"/>
    </row>
    <row r="2584" spans="1:7">
      <c r="A2584" s="584"/>
      <c r="B2584" s="585"/>
      <c r="C2584" s="586"/>
      <c r="D2584" s="587"/>
      <c r="E2584" s="591"/>
      <c r="G2584" s="593"/>
    </row>
    <row r="2585" spans="1:7">
      <c r="A2585" s="584"/>
      <c r="B2585" s="585"/>
      <c r="C2585" s="586"/>
      <c r="D2585" s="587"/>
      <c r="E2585" s="591"/>
      <c r="G2585" s="593"/>
    </row>
    <row r="2586" spans="1:7">
      <c r="A2586" s="584"/>
      <c r="B2586" s="585"/>
      <c r="C2586" s="586"/>
      <c r="D2586" s="587"/>
      <c r="E2586" s="591"/>
      <c r="G2586" s="593"/>
    </row>
    <row r="2587" spans="1:7">
      <c r="A2587" s="584"/>
      <c r="B2587" s="585"/>
      <c r="C2587" s="586"/>
      <c r="D2587" s="587"/>
      <c r="E2587" s="591"/>
      <c r="G2587" s="593"/>
    </row>
    <row r="2588" spans="1:7">
      <c r="A2588" s="584"/>
      <c r="B2588" s="585"/>
      <c r="C2588" s="586"/>
      <c r="D2588" s="587"/>
      <c r="E2588" s="591"/>
      <c r="G2588" s="593"/>
    </row>
    <row r="2589" spans="1:7">
      <c r="A2589" s="584"/>
      <c r="B2589" s="585"/>
      <c r="C2589" s="586"/>
      <c r="D2589" s="587"/>
      <c r="E2589" s="591"/>
      <c r="G2589" s="593"/>
    </row>
    <row r="2590" spans="1:7">
      <c r="A2590" s="584"/>
      <c r="B2590" s="585"/>
      <c r="C2590" s="586"/>
      <c r="D2590" s="587"/>
      <c r="E2590" s="591"/>
      <c r="G2590" s="593"/>
    </row>
    <row r="2591" spans="1:7">
      <c r="A2591" s="584"/>
      <c r="B2591" s="585"/>
      <c r="C2591" s="586"/>
      <c r="D2591" s="587"/>
      <c r="E2591" s="591"/>
      <c r="G2591" s="593"/>
    </row>
    <row r="2592" spans="1:7">
      <c r="A2592" s="584"/>
      <c r="B2592" s="585"/>
      <c r="C2592" s="586"/>
      <c r="D2592" s="587"/>
      <c r="E2592" s="591"/>
      <c r="G2592" s="593"/>
    </row>
    <row r="2593" spans="1:7">
      <c r="A2593" s="584"/>
      <c r="B2593" s="585"/>
      <c r="C2593" s="586"/>
      <c r="D2593" s="587"/>
      <c r="E2593" s="591"/>
      <c r="G2593" s="593"/>
    </row>
    <row r="2594" spans="1:7">
      <c r="A2594" s="584"/>
      <c r="B2594" s="585"/>
      <c r="C2594" s="586"/>
      <c r="D2594" s="587"/>
      <c r="E2594" s="591"/>
      <c r="G2594" s="593"/>
    </row>
    <row r="2595" spans="1:7">
      <c r="A2595" s="584"/>
      <c r="B2595" s="585"/>
      <c r="C2595" s="586"/>
      <c r="D2595" s="587"/>
      <c r="E2595" s="591"/>
      <c r="G2595" s="593"/>
    </row>
    <row r="2596" spans="1:7">
      <c r="A2596" s="584"/>
      <c r="B2596" s="585"/>
      <c r="C2596" s="586"/>
      <c r="D2596" s="587"/>
      <c r="E2596" s="591"/>
      <c r="G2596" s="593"/>
    </row>
    <row r="2597" spans="1:7">
      <c r="A2597" s="584"/>
      <c r="B2597" s="585"/>
      <c r="C2597" s="586"/>
      <c r="D2597" s="587"/>
      <c r="E2597" s="591"/>
      <c r="G2597" s="593"/>
    </row>
    <row r="2598" spans="1:7">
      <c r="A2598" s="584"/>
      <c r="B2598" s="585"/>
      <c r="C2598" s="586"/>
      <c r="D2598" s="587"/>
      <c r="E2598" s="591"/>
      <c r="G2598" s="593"/>
    </row>
    <row r="2599" spans="1:7">
      <c r="A2599" s="584"/>
      <c r="B2599" s="585"/>
      <c r="C2599" s="586"/>
      <c r="D2599" s="587"/>
      <c r="E2599" s="591"/>
      <c r="G2599" s="593"/>
    </row>
    <row r="2600" spans="1:7">
      <c r="A2600" s="584"/>
      <c r="B2600" s="585"/>
      <c r="C2600" s="586"/>
      <c r="D2600" s="587"/>
      <c r="E2600" s="591"/>
      <c r="G2600" s="593"/>
    </row>
    <row r="2601" spans="1:7">
      <c r="A2601" s="584"/>
      <c r="B2601" s="585"/>
      <c r="C2601" s="586"/>
      <c r="D2601" s="587"/>
      <c r="E2601" s="591"/>
      <c r="G2601" s="593"/>
    </row>
    <row r="2602" spans="1:7">
      <c r="A2602" s="584"/>
      <c r="B2602" s="585"/>
      <c r="C2602" s="586"/>
      <c r="D2602" s="587"/>
      <c r="E2602" s="591"/>
      <c r="G2602" s="593"/>
    </row>
    <row r="2603" spans="1:7">
      <c r="A2603" s="584"/>
      <c r="B2603" s="585"/>
      <c r="C2603" s="586"/>
      <c r="D2603" s="587"/>
      <c r="E2603" s="591"/>
      <c r="G2603" s="593"/>
    </row>
    <row r="2604" spans="1:7">
      <c r="A2604" s="584"/>
      <c r="B2604" s="585"/>
      <c r="C2604" s="586"/>
      <c r="D2604" s="587"/>
      <c r="E2604" s="591"/>
      <c r="G2604" s="593"/>
    </row>
    <row r="2605" spans="1:7">
      <c r="A2605" s="584"/>
      <c r="B2605" s="585"/>
      <c r="C2605" s="586"/>
      <c r="D2605" s="587"/>
      <c r="E2605" s="591"/>
      <c r="G2605" s="593"/>
    </row>
    <row r="2606" spans="1:7">
      <c r="A2606" s="584"/>
      <c r="B2606" s="585"/>
      <c r="C2606" s="586"/>
      <c r="D2606" s="587"/>
      <c r="E2606" s="591"/>
      <c r="G2606" s="593"/>
    </row>
    <row r="2607" spans="1:7">
      <c r="A2607" s="584"/>
      <c r="B2607" s="585"/>
      <c r="C2607" s="586"/>
      <c r="D2607" s="587"/>
      <c r="E2607" s="591"/>
      <c r="G2607" s="593"/>
    </row>
    <row r="2608" spans="1:7">
      <c r="A2608" s="584"/>
      <c r="B2608" s="585"/>
      <c r="C2608" s="586"/>
      <c r="D2608" s="587"/>
      <c r="E2608" s="591"/>
      <c r="G2608" s="593"/>
    </row>
    <row r="2609" spans="1:7">
      <c r="A2609" s="584"/>
      <c r="B2609" s="585"/>
      <c r="C2609" s="586"/>
      <c r="D2609" s="587"/>
      <c r="E2609" s="591"/>
      <c r="G2609" s="593"/>
    </row>
    <row r="2610" spans="1:7">
      <c r="A2610" s="584"/>
      <c r="B2610" s="585"/>
      <c r="C2610" s="586"/>
      <c r="D2610" s="587"/>
      <c r="E2610" s="591"/>
      <c r="G2610" s="593"/>
    </row>
    <row r="2611" spans="1:7">
      <c r="A2611" s="584"/>
      <c r="B2611" s="585"/>
      <c r="C2611" s="586"/>
      <c r="D2611" s="587"/>
      <c r="E2611" s="591"/>
      <c r="G2611" s="593"/>
    </row>
    <row r="2612" spans="1:7">
      <c r="A2612" s="584"/>
      <c r="B2612" s="585"/>
      <c r="C2612" s="586"/>
      <c r="D2612" s="587"/>
      <c r="E2612" s="591"/>
      <c r="G2612" s="593"/>
    </row>
    <row r="2613" spans="1:7">
      <c r="A2613" s="584"/>
      <c r="B2613" s="585"/>
      <c r="C2613" s="586"/>
      <c r="D2613" s="587"/>
      <c r="E2613" s="591"/>
      <c r="G2613" s="593"/>
    </row>
    <row r="2614" spans="1:7">
      <c r="A2614" s="584"/>
      <c r="B2614" s="585"/>
      <c r="C2614" s="586"/>
      <c r="D2614" s="587"/>
      <c r="E2614" s="591"/>
      <c r="G2614" s="593"/>
    </row>
    <row r="2615" spans="1:7">
      <c r="A2615" s="584"/>
      <c r="B2615" s="585"/>
      <c r="C2615" s="586"/>
      <c r="D2615" s="587"/>
      <c r="E2615" s="591"/>
      <c r="G2615" s="593"/>
    </row>
    <row r="2616" spans="1:7">
      <c r="A2616" s="584"/>
      <c r="B2616" s="585"/>
      <c r="C2616" s="586"/>
      <c r="D2616" s="587"/>
      <c r="E2616" s="591"/>
      <c r="G2616" s="593"/>
    </row>
    <row r="2617" spans="1:7">
      <c r="A2617" s="584"/>
      <c r="B2617" s="585"/>
      <c r="C2617" s="586"/>
      <c r="D2617" s="587"/>
      <c r="E2617" s="591"/>
      <c r="G2617" s="593"/>
    </row>
    <row r="2618" spans="1:7">
      <c r="A2618" s="584"/>
      <c r="B2618" s="585"/>
      <c r="C2618" s="586"/>
      <c r="D2618" s="587"/>
      <c r="E2618" s="591"/>
      <c r="G2618" s="593"/>
    </row>
    <row r="2619" spans="1:7">
      <c r="A2619" s="584"/>
      <c r="B2619" s="585"/>
      <c r="C2619" s="586"/>
      <c r="D2619" s="587"/>
      <c r="E2619" s="591"/>
      <c r="G2619" s="593"/>
    </row>
    <row r="2620" spans="1:7">
      <c r="A2620" s="584"/>
      <c r="B2620" s="585"/>
      <c r="C2620" s="586"/>
      <c r="D2620" s="587"/>
      <c r="E2620" s="591"/>
      <c r="G2620" s="593"/>
    </row>
    <row r="2621" spans="1:7">
      <c r="A2621" s="584"/>
      <c r="B2621" s="585"/>
      <c r="C2621" s="586"/>
      <c r="D2621" s="587"/>
      <c r="E2621" s="591"/>
      <c r="G2621" s="593"/>
    </row>
    <row r="2622" spans="1:7">
      <c r="A2622" s="584"/>
      <c r="B2622" s="585"/>
      <c r="C2622" s="586"/>
      <c r="D2622" s="587"/>
      <c r="E2622" s="591"/>
      <c r="G2622" s="593"/>
    </row>
    <row r="2623" spans="1:7">
      <c r="A2623" s="584"/>
      <c r="B2623" s="585"/>
      <c r="C2623" s="586"/>
      <c r="D2623" s="587"/>
      <c r="E2623" s="591"/>
      <c r="G2623" s="593"/>
    </row>
    <row r="2624" spans="1:7">
      <c r="A2624" s="584"/>
      <c r="B2624" s="585"/>
      <c r="C2624" s="586"/>
      <c r="D2624" s="587"/>
      <c r="E2624" s="591"/>
      <c r="G2624" s="593"/>
    </row>
    <row r="2625" spans="1:7">
      <c r="A2625" s="584"/>
      <c r="B2625" s="585"/>
      <c r="C2625" s="586"/>
      <c r="D2625" s="587"/>
      <c r="E2625" s="591"/>
      <c r="G2625" s="593"/>
    </row>
    <row r="2626" spans="1:7">
      <c r="A2626" s="584"/>
      <c r="B2626" s="585"/>
      <c r="C2626" s="586"/>
      <c r="D2626" s="587"/>
      <c r="E2626" s="591"/>
      <c r="G2626" s="593"/>
    </row>
    <row r="2627" spans="1:7">
      <c r="A2627" s="584"/>
      <c r="B2627" s="585"/>
      <c r="C2627" s="586"/>
      <c r="D2627" s="587"/>
      <c r="E2627" s="591"/>
      <c r="G2627" s="593"/>
    </row>
    <row r="2628" spans="1:7">
      <c r="A2628" s="584"/>
      <c r="B2628" s="585"/>
      <c r="C2628" s="586"/>
      <c r="D2628" s="587"/>
      <c r="E2628" s="591"/>
      <c r="G2628" s="593"/>
    </row>
    <row r="2629" spans="1:7">
      <c r="A2629" s="584"/>
      <c r="B2629" s="585"/>
      <c r="C2629" s="586"/>
      <c r="D2629" s="587"/>
      <c r="E2629" s="591"/>
      <c r="G2629" s="593"/>
    </row>
    <row r="2630" spans="1:7">
      <c r="A2630" s="584"/>
      <c r="B2630" s="585"/>
      <c r="C2630" s="586"/>
      <c r="D2630" s="587"/>
      <c r="E2630" s="591"/>
      <c r="G2630" s="593"/>
    </row>
    <row r="2631" spans="1:7">
      <c r="A2631" s="584"/>
      <c r="B2631" s="585"/>
      <c r="C2631" s="586"/>
      <c r="D2631" s="587"/>
      <c r="E2631" s="591"/>
      <c r="G2631" s="593"/>
    </row>
    <row r="2632" spans="1:7">
      <c r="A2632" s="584"/>
      <c r="B2632" s="585"/>
      <c r="C2632" s="586"/>
      <c r="D2632" s="587"/>
      <c r="E2632" s="591"/>
      <c r="G2632" s="593"/>
    </row>
    <row r="2633" spans="1:7">
      <c r="A2633" s="584"/>
      <c r="B2633" s="585"/>
      <c r="C2633" s="586"/>
      <c r="D2633" s="587"/>
      <c r="E2633" s="591"/>
      <c r="G2633" s="593"/>
    </row>
    <row r="2634" spans="1:7">
      <c r="A2634" s="584"/>
      <c r="B2634" s="585"/>
      <c r="C2634" s="586"/>
      <c r="D2634" s="587"/>
      <c r="E2634" s="591"/>
      <c r="G2634" s="593"/>
    </row>
    <row r="2635" spans="1:7">
      <c r="A2635" s="584"/>
      <c r="B2635" s="585"/>
      <c r="C2635" s="586"/>
      <c r="D2635" s="587"/>
      <c r="E2635" s="591"/>
      <c r="G2635" s="593"/>
    </row>
    <row r="2636" spans="1:7">
      <c r="A2636" s="584"/>
      <c r="B2636" s="585"/>
      <c r="C2636" s="586"/>
      <c r="D2636" s="587"/>
      <c r="E2636" s="591"/>
      <c r="G2636" s="593"/>
    </row>
    <row r="2637" spans="1:7">
      <c r="A2637" s="584"/>
      <c r="B2637" s="585"/>
      <c r="C2637" s="586"/>
      <c r="D2637" s="587"/>
      <c r="E2637" s="591"/>
      <c r="G2637" s="593"/>
    </row>
    <row r="2638" spans="1:7">
      <c r="A2638" s="584"/>
      <c r="B2638" s="585"/>
      <c r="C2638" s="586"/>
      <c r="D2638" s="587"/>
      <c r="E2638" s="591"/>
      <c r="G2638" s="593"/>
    </row>
    <row r="2639" spans="1:7">
      <c r="A2639" s="584"/>
      <c r="B2639" s="585"/>
      <c r="C2639" s="586"/>
      <c r="D2639" s="587"/>
      <c r="E2639" s="591"/>
      <c r="G2639" s="593"/>
    </row>
    <row r="2640" spans="1:7">
      <c r="A2640" s="584"/>
      <c r="B2640" s="585"/>
      <c r="C2640" s="586"/>
      <c r="D2640" s="587"/>
      <c r="E2640" s="591"/>
      <c r="G2640" s="593"/>
    </row>
    <row r="2641" spans="1:7">
      <c r="A2641" s="584"/>
      <c r="B2641" s="585"/>
      <c r="C2641" s="586"/>
      <c r="D2641" s="587"/>
      <c r="E2641" s="591"/>
      <c r="G2641" s="593"/>
    </row>
    <row r="2642" spans="1:7">
      <c r="A2642" s="584"/>
      <c r="B2642" s="585"/>
      <c r="C2642" s="586"/>
      <c r="D2642" s="587"/>
      <c r="E2642" s="591"/>
      <c r="G2642" s="593"/>
    </row>
    <row r="2643" spans="1:7">
      <c r="A2643" s="584"/>
      <c r="B2643" s="585"/>
      <c r="C2643" s="586"/>
      <c r="D2643" s="587"/>
      <c r="E2643" s="591"/>
      <c r="G2643" s="593"/>
    </row>
    <row r="2644" spans="1:7">
      <c r="A2644" s="584"/>
      <c r="B2644" s="585"/>
      <c r="C2644" s="586"/>
      <c r="D2644" s="587"/>
      <c r="E2644" s="591"/>
      <c r="G2644" s="593"/>
    </row>
    <row r="2645" spans="1:7">
      <c r="A2645" s="584"/>
      <c r="B2645" s="585"/>
      <c r="C2645" s="586"/>
      <c r="D2645" s="587"/>
      <c r="E2645" s="591"/>
      <c r="G2645" s="593"/>
    </row>
    <row r="2646" spans="1:7">
      <c r="A2646" s="584"/>
      <c r="B2646" s="585"/>
      <c r="C2646" s="586"/>
      <c r="D2646" s="587"/>
      <c r="E2646" s="591"/>
      <c r="G2646" s="593"/>
    </row>
    <row r="2647" spans="1:7">
      <c r="A2647" s="584"/>
      <c r="B2647" s="585"/>
      <c r="C2647" s="586"/>
      <c r="D2647" s="587"/>
      <c r="E2647" s="591"/>
      <c r="G2647" s="593"/>
    </row>
    <row r="2648" spans="1:7">
      <c r="A2648" s="584"/>
      <c r="B2648" s="585"/>
      <c r="C2648" s="586"/>
      <c r="D2648" s="587"/>
      <c r="E2648" s="591"/>
      <c r="G2648" s="593"/>
    </row>
    <row r="2649" spans="1:7">
      <c r="A2649" s="584"/>
      <c r="B2649" s="585"/>
      <c r="C2649" s="586"/>
      <c r="D2649" s="587"/>
      <c r="E2649" s="591"/>
      <c r="G2649" s="593"/>
    </row>
    <row r="2650" spans="1:7">
      <c r="A2650" s="584"/>
      <c r="B2650" s="585"/>
      <c r="C2650" s="586"/>
      <c r="D2650" s="587"/>
      <c r="E2650" s="591"/>
      <c r="G2650" s="593"/>
    </row>
    <row r="2651" spans="1:7">
      <c r="A2651" s="584"/>
      <c r="B2651" s="585"/>
      <c r="C2651" s="586"/>
      <c r="D2651" s="587"/>
      <c r="E2651" s="591"/>
      <c r="G2651" s="593"/>
    </row>
    <row r="2652" spans="1:7">
      <c r="A2652" s="584"/>
      <c r="B2652" s="585"/>
      <c r="C2652" s="586"/>
      <c r="D2652" s="587"/>
      <c r="E2652" s="591"/>
      <c r="G2652" s="593"/>
    </row>
    <row r="2653" spans="1:7">
      <c r="A2653" s="584"/>
      <c r="B2653" s="585"/>
      <c r="C2653" s="586"/>
      <c r="D2653" s="587"/>
      <c r="E2653" s="591"/>
      <c r="G2653" s="593"/>
    </row>
    <row r="2654" spans="1:7">
      <c r="A2654" s="584"/>
      <c r="B2654" s="585"/>
      <c r="C2654" s="586"/>
      <c r="D2654" s="587"/>
      <c r="E2654" s="591"/>
      <c r="G2654" s="593"/>
    </row>
    <row r="2655" spans="1:7">
      <c r="A2655" s="584"/>
      <c r="B2655" s="585"/>
      <c r="C2655" s="586"/>
      <c r="D2655" s="587"/>
      <c r="E2655" s="591"/>
      <c r="G2655" s="593"/>
    </row>
    <row r="2656" spans="1:7">
      <c r="A2656" s="584"/>
      <c r="B2656" s="585"/>
      <c r="C2656" s="586"/>
      <c r="D2656" s="587"/>
      <c r="E2656" s="591"/>
      <c r="G2656" s="593"/>
    </row>
    <row r="2657" spans="1:7">
      <c r="A2657" s="584"/>
      <c r="B2657" s="585"/>
      <c r="C2657" s="586"/>
      <c r="D2657" s="587"/>
      <c r="E2657" s="591"/>
      <c r="G2657" s="593"/>
    </row>
    <row r="2658" spans="1:7">
      <c r="A2658" s="584"/>
      <c r="B2658" s="585"/>
      <c r="C2658" s="586"/>
      <c r="D2658" s="587"/>
      <c r="E2658" s="591"/>
      <c r="G2658" s="593"/>
    </row>
    <row r="2659" spans="1:7">
      <c r="A2659" s="584"/>
      <c r="B2659" s="585"/>
      <c r="C2659" s="586"/>
      <c r="D2659" s="587"/>
      <c r="E2659" s="591"/>
      <c r="G2659" s="593"/>
    </row>
    <row r="2660" spans="1:7">
      <c r="A2660" s="584"/>
      <c r="B2660" s="585"/>
      <c r="C2660" s="586"/>
      <c r="D2660" s="587"/>
      <c r="E2660" s="591"/>
      <c r="G2660" s="593"/>
    </row>
    <row r="2661" spans="1:7">
      <c r="A2661" s="584"/>
      <c r="B2661" s="585"/>
      <c r="C2661" s="586"/>
      <c r="D2661" s="587"/>
      <c r="E2661" s="591"/>
      <c r="G2661" s="593"/>
    </row>
    <row r="2662" spans="1:7">
      <c r="A2662" s="584"/>
      <c r="B2662" s="585"/>
      <c r="C2662" s="586"/>
      <c r="D2662" s="587"/>
      <c r="E2662" s="591"/>
      <c r="G2662" s="593"/>
    </row>
    <row r="2663" spans="1:7">
      <c r="A2663" s="584"/>
      <c r="B2663" s="585"/>
      <c r="C2663" s="586"/>
      <c r="D2663" s="587"/>
      <c r="E2663" s="591"/>
      <c r="G2663" s="593"/>
    </row>
    <row r="2664" spans="1:7">
      <c r="A2664" s="584"/>
      <c r="B2664" s="585"/>
      <c r="C2664" s="586"/>
      <c r="D2664" s="587"/>
      <c r="E2664" s="591"/>
      <c r="G2664" s="593"/>
    </row>
    <row r="2665" spans="1:7">
      <c r="A2665" s="584"/>
      <c r="B2665" s="585"/>
      <c r="C2665" s="586"/>
      <c r="D2665" s="587"/>
      <c r="E2665" s="591"/>
      <c r="G2665" s="593"/>
    </row>
    <row r="2666" spans="1:7">
      <c r="A2666" s="584"/>
      <c r="B2666" s="585"/>
      <c r="C2666" s="586"/>
      <c r="D2666" s="587"/>
      <c r="E2666" s="591"/>
      <c r="G2666" s="593"/>
    </row>
    <row r="2667" spans="1:7">
      <c r="A2667" s="584"/>
      <c r="B2667" s="585"/>
      <c r="C2667" s="586"/>
      <c r="D2667" s="587"/>
      <c r="E2667" s="591"/>
      <c r="G2667" s="593"/>
    </row>
    <row r="2668" spans="1:7">
      <c r="A2668" s="584"/>
      <c r="B2668" s="585"/>
      <c r="C2668" s="586"/>
      <c r="D2668" s="587"/>
      <c r="E2668" s="591"/>
      <c r="G2668" s="593"/>
    </row>
    <row r="2669" spans="1:7">
      <c r="A2669" s="584"/>
      <c r="B2669" s="585"/>
      <c r="C2669" s="586"/>
      <c r="D2669" s="587"/>
      <c r="E2669" s="591"/>
      <c r="G2669" s="593"/>
    </row>
    <row r="2670" spans="1:7">
      <c r="A2670" s="584"/>
      <c r="B2670" s="585"/>
      <c r="C2670" s="586"/>
      <c r="D2670" s="587"/>
      <c r="E2670" s="591"/>
      <c r="G2670" s="593"/>
    </row>
    <row r="2671" spans="1:7">
      <c r="A2671" s="584"/>
      <c r="B2671" s="585"/>
      <c r="C2671" s="586"/>
      <c r="D2671" s="587"/>
      <c r="E2671" s="591"/>
      <c r="G2671" s="593"/>
    </row>
    <row r="2672" spans="1:7">
      <c r="A2672" s="584"/>
      <c r="B2672" s="585"/>
      <c r="C2672" s="586"/>
      <c r="D2672" s="587"/>
      <c r="E2672" s="591"/>
      <c r="G2672" s="593"/>
    </row>
    <row r="2673" spans="1:7">
      <c r="A2673" s="584"/>
      <c r="B2673" s="585"/>
      <c r="C2673" s="586"/>
      <c r="D2673" s="587"/>
      <c r="E2673" s="591"/>
      <c r="G2673" s="593"/>
    </row>
    <row r="2674" spans="1:7">
      <c r="A2674" s="584"/>
      <c r="B2674" s="585"/>
      <c r="C2674" s="586"/>
      <c r="D2674" s="587"/>
      <c r="E2674" s="591"/>
      <c r="G2674" s="593"/>
    </row>
    <row r="2675" spans="1:7">
      <c r="A2675" s="584"/>
      <c r="B2675" s="585"/>
      <c r="C2675" s="586"/>
      <c r="D2675" s="587"/>
      <c r="E2675" s="591"/>
      <c r="G2675" s="593"/>
    </row>
    <row r="2676" spans="1:7">
      <c r="A2676" s="584"/>
      <c r="B2676" s="585"/>
      <c r="C2676" s="586"/>
      <c r="D2676" s="587"/>
      <c r="E2676" s="591"/>
      <c r="G2676" s="593"/>
    </row>
    <row r="2677" spans="1:7">
      <c r="A2677" s="584"/>
      <c r="B2677" s="585"/>
      <c r="C2677" s="586"/>
      <c r="D2677" s="587"/>
      <c r="E2677" s="591"/>
      <c r="G2677" s="593"/>
    </row>
    <row r="2678" spans="1:7">
      <c r="A2678" s="584"/>
      <c r="B2678" s="585"/>
      <c r="C2678" s="586"/>
      <c r="D2678" s="587"/>
      <c r="E2678" s="591"/>
      <c r="G2678" s="593"/>
    </row>
    <row r="2679" spans="1:7">
      <c r="A2679" s="584"/>
      <c r="B2679" s="585"/>
      <c r="C2679" s="586"/>
      <c r="D2679" s="587"/>
      <c r="E2679" s="591"/>
      <c r="G2679" s="593"/>
    </row>
    <row r="2680" spans="1:7">
      <c r="A2680" s="584"/>
      <c r="B2680" s="585"/>
      <c r="C2680" s="586"/>
      <c r="D2680" s="587"/>
      <c r="E2680" s="591"/>
      <c r="G2680" s="593"/>
    </row>
    <row r="2681" spans="1:7">
      <c r="A2681" s="584"/>
      <c r="B2681" s="585"/>
      <c r="C2681" s="586"/>
      <c r="D2681" s="587"/>
      <c r="E2681" s="591"/>
      <c r="G2681" s="593"/>
    </row>
    <row r="2682" spans="1:7">
      <c r="A2682" s="584"/>
      <c r="B2682" s="585"/>
      <c r="C2682" s="586"/>
      <c r="D2682" s="587"/>
      <c r="E2682" s="591"/>
      <c r="G2682" s="593"/>
    </row>
    <row r="2683" spans="1:7">
      <c r="A2683" s="584"/>
      <c r="B2683" s="585"/>
      <c r="C2683" s="586"/>
      <c r="D2683" s="587"/>
      <c r="E2683" s="591"/>
      <c r="G2683" s="593"/>
    </row>
    <row r="2684" spans="1:7">
      <c r="A2684" s="584"/>
      <c r="B2684" s="585"/>
      <c r="C2684" s="586"/>
      <c r="D2684" s="587"/>
      <c r="E2684" s="591"/>
      <c r="G2684" s="593"/>
    </row>
    <row r="2685" spans="1:7">
      <c r="A2685" s="584"/>
      <c r="B2685" s="585"/>
      <c r="C2685" s="586"/>
      <c r="D2685" s="587"/>
      <c r="E2685" s="591"/>
      <c r="G2685" s="593"/>
    </row>
    <row r="2686" spans="1:7">
      <c r="A2686" s="584"/>
      <c r="B2686" s="585"/>
      <c r="C2686" s="586"/>
      <c r="D2686" s="587"/>
      <c r="E2686" s="591"/>
      <c r="G2686" s="593"/>
    </row>
    <row r="2687" spans="1:7">
      <c r="A2687" s="584"/>
      <c r="B2687" s="585"/>
      <c r="C2687" s="586"/>
      <c r="D2687" s="587"/>
      <c r="E2687" s="591"/>
      <c r="G2687" s="593"/>
    </row>
    <row r="2688" spans="1:7">
      <c r="A2688" s="584"/>
      <c r="B2688" s="585"/>
      <c r="C2688" s="586"/>
      <c r="D2688" s="587"/>
      <c r="E2688" s="591"/>
      <c r="G2688" s="593"/>
    </row>
    <row r="2689" spans="1:7">
      <c r="A2689" s="584"/>
      <c r="B2689" s="585"/>
      <c r="C2689" s="586"/>
      <c r="D2689" s="587"/>
      <c r="E2689" s="591"/>
      <c r="G2689" s="593"/>
    </row>
    <row r="2690" spans="1:7">
      <c r="A2690" s="584"/>
      <c r="B2690" s="585"/>
      <c r="C2690" s="586"/>
      <c r="D2690" s="587"/>
      <c r="E2690" s="591"/>
      <c r="G2690" s="593"/>
    </row>
    <row r="2691" spans="1:7">
      <c r="A2691" s="584"/>
      <c r="B2691" s="585"/>
      <c r="C2691" s="586"/>
      <c r="D2691" s="587"/>
      <c r="E2691" s="591"/>
      <c r="G2691" s="593"/>
    </row>
    <row r="2692" spans="1:7">
      <c r="A2692" s="584"/>
      <c r="B2692" s="585"/>
      <c r="C2692" s="586"/>
      <c r="D2692" s="587"/>
      <c r="E2692" s="591"/>
      <c r="G2692" s="593"/>
    </row>
    <row r="2693" spans="1:7">
      <c r="A2693" s="584"/>
      <c r="B2693" s="585"/>
      <c r="C2693" s="586"/>
      <c r="D2693" s="587"/>
      <c r="E2693" s="591"/>
      <c r="G2693" s="593"/>
    </row>
    <row r="2694" spans="1:7">
      <c r="A2694" s="584"/>
      <c r="B2694" s="585"/>
      <c r="C2694" s="586"/>
      <c r="D2694" s="587"/>
      <c r="E2694" s="591"/>
      <c r="G2694" s="593"/>
    </row>
    <row r="2695" spans="1:7">
      <c r="A2695" s="584"/>
      <c r="B2695" s="585"/>
      <c r="C2695" s="586"/>
      <c r="D2695" s="587"/>
      <c r="E2695" s="591"/>
      <c r="G2695" s="593"/>
    </row>
    <row r="2696" spans="1:7">
      <c r="A2696" s="584"/>
      <c r="B2696" s="585"/>
      <c r="C2696" s="586"/>
      <c r="D2696" s="587"/>
      <c r="E2696" s="591"/>
      <c r="G2696" s="593"/>
    </row>
    <row r="2697" spans="1:7">
      <c r="A2697" s="584"/>
      <c r="B2697" s="585"/>
      <c r="C2697" s="586"/>
      <c r="D2697" s="587"/>
      <c r="E2697" s="591"/>
      <c r="G2697" s="593"/>
    </row>
    <row r="2698" spans="1:7">
      <c r="A2698" s="584"/>
      <c r="B2698" s="585"/>
      <c r="C2698" s="586"/>
      <c r="D2698" s="587"/>
      <c r="E2698" s="591"/>
      <c r="G2698" s="593"/>
    </row>
    <row r="2699" spans="1:7">
      <c r="A2699" s="584"/>
      <c r="B2699" s="585"/>
      <c r="C2699" s="586"/>
      <c r="D2699" s="587"/>
      <c r="E2699" s="591"/>
      <c r="G2699" s="593"/>
    </row>
    <row r="2700" spans="1:7">
      <c r="A2700" s="584"/>
      <c r="B2700" s="585"/>
      <c r="C2700" s="586"/>
      <c r="D2700" s="587"/>
      <c r="E2700" s="591"/>
      <c r="G2700" s="593"/>
    </row>
    <row r="2701" spans="1:7">
      <c r="A2701" s="584"/>
      <c r="B2701" s="585"/>
      <c r="C2701" s="586"/>
      <c r="D2701" s="587"/>
      <c r="E2701" s="591"/>
      <c r="G2701" s="593"/>
    </row>
    <row r="2702" spans="1:7">
      <c r="A2702" s="584"/>
      <c r="B2702" s="585"/>
      <c r="C2702" s="586"/>
      <c r="D2702" s="587"/>
      <c r="E2702" s="591"/>
      <c r="G2702" s="593"/>
    </row>
    <row r="2703" spans="1:7">
      <c r="A2703" s="584"/>
      <c r="B2703" s="585"/>
      <c r="C2703" s="586"/>
      <c r="D2703" s="587"/>
      <c r="E2703" s="591"/>
      <c r="G2703" s="593"/>
    </row>
    <row r="2704" spans="1:7">
      <c r="A2704" s="584"/>
      <c r="B2704" s="585"/>
      <c r="C2704" s="586"/>
      <c r="D2704" s="587"/>
      <c r="E2704" s="591"/>
      <c r="G2704" s="593"/>
    </row>
    <row r="2705" spans="1:7">
      <c r="A2705" s="584"/>
      <c r="B2705" s="585"/>
      <c r="C2705" s="586"/>
      <c r="D2705" s="587"/>
      <c r="E2705" s="591"/>
      <c r="G2705" s="593"/>
    </row>
    <row r="2706" spans="1:7">
      <c r="A2706" s="584"/>
      <c r="B2706" s="585"/>
      <c r="C2706" s="586"/>
      <c r="D2706" s="587"/>
      <c r="E2706" s="591"/>
      <c r="G2706" s="593"/>
    </row>
    <row r="2707" spans="1:7">
      <c r="A2707" s="584"/>
      <c r="B2707" s="585"/>
      <c r="C2707" s="586"/>
      <c r="D2707" s="587"/>
      <c r="E2707" s="591"/>
      <c r="G2707" s="593"/>
    </row>
    <row r="2708" spans="1:7">
      <c r="A2708" s="584"/>
      <c r="B2708" s="585"/>
      <c r="C2708" s="586"/>
      <c r="D2708" s="587"/>
      <c r="E2708" s="591"/>
      <c r="G2708" s="593"/>
    </row>
    <row r="2709" spans="1:7">
      <c r="A2709" s="584"/>
      <c r="B2709" s="585"/>
      <c r="C2709" s="586"/>
      <c r="D2709" s="587"/>
      <c r="E2709" s="591"/>
      <c r="G2709" s="593"/>
    </row>
    <row r="2710" spans="1:7">
      <c r="A2710" s="584"/>
      <c r="B2710" s="585"/>
      <c r="C2710" s="586"/>
      <c r="D2710" s="587"/>
      <c r="E2710" s="591"/>
      <c r="G2710" s="593"/>
    </row>
    <row r="2711" spans="1:7">
      <c r="A2711" s="584"/>
      <c r="B2711" s="585"/>
      <c r="C2711" s="586"/>
      <c r="D2711" s="587"/>
      <c r="E2711" s="591"/>
      <c r="G2711" s="593"/>
    </row>
    <row r="2712" spans="1:7">
      <c r="A2712" s="584"/>
      <c r="B2712" s="585"/>
      <c r="C2712" s="586"/>
      <c r="D2712" s="587"/>
      <c r="E2712" s="591"/>
      <c r="G2712" s="593"/>
    </row>
    <row r="2713" spans="1:7">
      <c r="A2713" s="584"/>
      <c r="B2713" s="585"/>
      <c r="C2713" s="586"/>
      <c r="D2713" s="587"/>
      <c r="E2713" s="591"/>
      <c r="G2713" s="593"/>
    </row>
    <row r="2714" spans="1:7">
      <c r="A2714" s="584"/>
      <c r="B2714" s="585"/>
      <c r="C2714" s="586"/>
      <c r="D2714" s="587"/>
      <c r="E2714" s="591"/>
      <c r="G2714" s="593"/>
    </row>
    <row r="2715" spans="1:7">
      <c r="A2715" s="584"/>
      <c r="B2715" s="585"/>
      <c r="C2715" s="586"/>
      <c r="D2715" s="587"/>
      <c r="E2715" s="591"/>
      <c r="G2715" s="593"/>
    </row>
    <row r="2716" spans="1:7">
      <c r="A2716" s="584"/>
      <c r="B2716" s="585"/>
      <c r="C2716" s="586"/>
      <c r="D2716" s="587"/>
      <c r="E2716" s="591"/>
      <c r="G2716" s="593"/>
    </row>
    <row r="2717" spans="1:7">
      <c r="A2717" s="584"/>
      <c r="B2717" s="585"/>
      <c r="C2717" s="586"/>
      <c r="D2717" s="587"/>
      <c r="E2717" s="591"/>
      <c r="G2717" s="593"/>
    </row>
    <row r="2718" spans="1:7">
      <c r="A2718" s="584"/>
      <c r="B2718" s="585"/>
      <c r="C2718" s="586"/>
      <c r="D2718" s="587"/>
      <c r="E2718" s="591"/>
      <c r="G2718" s="593"/>
    </row>
    <row r="2719" spans="1:7">
      <c r="A2719" s="584"/>
      <c r="B2719" s="585"/>
      <c r="C2719" s="586"/>
      <c r="D2719" s="587"/>
      <c r="E2719" s="591"/>
      <c r="G2719" s="593"/>
    </row>
    <row r="2720" spans="1:7">
      <c r="A2720" s="584"/>
      <c r="B2720" s="585"/>
      <c r="C2720" s="586"/>
      <c r="D2720" s="587"/>
      <c r="E2720" s="591"/>
      <c r="G2720" s="593"/>
    </row>
    <row r="2721" spans="1:7">
      <c r="A2721" s="584"/>
      <c r="B2721" s="585"/>
      <c r="C2721" s="586"/>
      <c r="D2721" s="587"/>
      <c r="E2721" s="591"/>
      <c r="G2721" s="593"/>
    </row>
    <row r="2722" spans="1:7">
      <c r="A2722" s="584"/>
      <c r="B2722" s="585"/>
      <c r="C2722" s="586"/>
      <c r="D2722" s="587"/>
      <c r="E2722" s="591"/>
      <c r="G2722" s="593"/>
    </row>
    <row r="2723" spans="1:7">
      <c r="A2723" s="584"/>
      <c r="B2723" s="585"/>
      <c r="C2723" s="586"/>
      <c r="D2723" s="587"/>
      <c r="E2723" s="591"/>
      <c r="G2723" s="593"/>
    </row>
    <row r="2724" spans="1:7">
      <c r="A2724" s="584"/>
      <c r="B2724" s="585"/>
      <c r="C2724" s="586"/>
      <c r="D2724" s="587"/>
      <c r="E2724" s="591"/>
      <c r="G2724" s="593"/>
    </row>
    <row r="2725" spans="1:7">
      <c r="A2725" s="584"/>
      <c r="B2725" s="585"/>
      <c r="C2725" s="586"/>
      <c r="D2725" s="587"/>
      <c r="E2725" s="591"/>
      <c r="G2725" s="593"/>
    </row>
    <row r="2726" spans="1:7">
      <c r="A2726" s="584"/>
      <c r="B2726" s="585"/>
      <c r="C2726" s="586"/>
      <c r="D2726" s="587"/>
      <c r="E2726" s="591"/>
      <c r="G2726" s="593"/>
    </row>
    <row r="2727" spans="1:7">
      <c r="A2727" s="584"/>
      <c r="B2727" s="585"/>
      <c r="C2727" s="586"/>
      <c r="D2727" s="587"/>
      <c r="E2727" s="591"/>
      <c r="G2727" s="593"/>
    </row>
    <row r="2728" spans="1:7">
      <c r="A2728" s="584"/>
      <c r="B2728" s="585"/>
      <c r="C2728" s="586"/>
      <c r="D2728" s="587"/>
      <c r="E2728" s="591"/>
      <c r="G2728" s="593"/>
    </row>
    <row r="2729" spans="1:7">
      <c r="A2729" s="584"/>
      <c r="B2729" s="585"/>
      <c r="C2729" s="586"/>
      <c r="D2729" s="587"/>
      <c r="E2729" s="591"/>
      <c r="G2729" s="593"/>
    </row>
    <row r="2730" spans="1:7">
      <c r="A2730" s="584"/>
      <c r="B2730" s="585"/>
      <c r="C2730" s="586"/>
      <c r="D2730" s="587"/>
      <c r="E2730" s="591"/>
      <c r="G2730" s="593"/>
    </row>
    <row r="2731" spans="1:7">
      <c r="A2731" s="584"/>
      <c r="B2731" s="585"/>
      <c r="C2731" s="586"/>
      <c r="D2731" s="587"/>
      <c r="E2731" s="591"/>
      <c r="G2731" s="593"/>
    </row>
    <row r="2732" spans="1:7">
      <c r="A2732" s="584"/>
      <c r="B2732" s="585"/>
      <c r="C2732" s="586"/>
      <c r="D2732" s="587"/>
      <c r="E2732" s="591"/>
      <c r="G2732" s="593"/>
    </row>
    <row r="2733" spans="1:7">
      <c r="A2733" s="584"/>
      <c r="B2733" s="585"/>
      <c r="C2733" s="586"/>
      <c r="D2733" s="587"/>
      <c r="E2733" s="591"/>
      <c r="G2733" s="593"/>
    </row>
    <row r="2734" spans="1:7">
      <c r="A2734" s="584"/>
      <c r="B2734" s="585"/>
      <c r="C2734" s="586"/>
      <c r="D2734" s="587"/>
      <c r="E2734" s="591"/>
      <c r="G2734" s="593"/>
    </row>
    <row r="2735" spans="1:7">
      <c r="A2735" s="584"/>
      <c r="B2735" s="585"/>
      <c r="C2735" s="586"/>
      <c r="D2735" s="587"/>
      <c r="E2735" s="591"/>
      <c r="G2735" s="593"/>
    </row>
    <row r="2736" spans="1:7">
      <c r="A2736" s="584"/>
      <c r="B2736" s="585"/>
      <c r="C2736" s="586"/>
      <c r="D2736" s="587"/>
      <c r="E2736" s="591"/>
      <c r="G2736" s="593"/>
    </row>
    <row r="2737" spans="1:7">
      <c r="A2737" s="584"/>
      <c r="B2737" s="585"/>
      <c r="C2737" s="586"/>
      <c r="D2737" s="587"/>
      <c r="E2737" s="591"/>
      <c r="G2737" s="593"/>
    </row>
    <row r="2738" spans="1:7">
      <c r="A2738" s="584"/>
      <c r="B2738" s="585"/>
      <c r="C2738" s="586"/>
      <c r="D2738" s="587"/>
      <c r="E2738" s="591"/>
      <c r="G2738" s="593"/>
    </row>
    <row r="2739" spans="1:7">
      <c r="A2739" s="584"/>
      <c r="B2739" s="585"/>
      <c r="C2739" s="586"/>
      <c r="D2739" s="587"/>
      <c r="E2739" s="591"/>
      <c r="G2739" s="593"/>
    </row>
    <row r="2740" spans="1:7">
      <c r="A2740" s="584"/>
      <c r="B2740" s="585"/>
      <c r="C2740" s="586"/>
      <c r="D2740" s="587"/>
      <c r="E2740" s="591"/>
      <c r="G2740" s="593"/>
    </row>
    <row r="2741" spans="1:7">
      <c r="A2741" s="584"/>
      <c r="B2741" s="585"/>
      <c r="C2741" s="586"/>
      <c r="D2741" s="587"/>
      <c r="E2741" s="591"/>
      <c r="G2741" s="593"/>
    </row>
    <row r="2742" spans="1:7">
      <c r="A2742" s="584"/>
      <c r="B2742" s="585"/>
      <c r="C2742" s="586"/>
      <c r="D2742" s="587"/>
      <c r="E2742" s="591"/>
      <c r="G2742" s="593"/>
    </row>
    <row r="2743" spans="1:7">
      <c r="A2743" s="584"/>
      <c r="B2743" s="585"/>
      <c r="C2743" s="586"/>
      <c r="D2743" s="587"/>
      <c r="E2743" s="591"/>
      <c r="G2743" s="593"/>
    </row>
    <row r="2744" spans="1:7">
      <c r="A2744" s="584"/>
      <c r="B2744" s="585"/>
      <c r="C2744" s="586"/>
      <c r="D2744" s="587"/>
      <c r="E2744" s="591"/>
      <c r="G2744" s="593"/>
    </row>
    <row r="2745" spans="1:7">
      <c r="A2745" s="584"/>
      <c r="B2745" s="585"/>
      <c r="C2745" s="586"/>
      <c r="D2745" s="587"/>
      <c r="E2745" s="591"/>
      <c r="G2745" s="593"/>
    </row>
    <row r="2746" spans="1:7">
      <c r="A2746" s="584"/>
      <c r="B2746" s="585"/>
      <c r="C2746" s="586"/>
      <c r="D2746" s="587"/>
      <c r="E2746" s="591"/>
      <c r="G2746" s="593"/>
    </row>
    <row r="2747" spans="1:7">
      <c r="A2747" s="584"/>
      <c r="B2747" s="585"/>
      <c r="C2747" s="586"/>
      <c r="D2747" s="587"/>
      <c r="E2747" s="591"/>
      <c r="G2747" s="593"/>
    </row>
    <row r="2748" spans="1:7">
      <c r="A2748" s="584"/>
      <c r="B2748" s="585"/>
      <c r="C2748" s="586"/>
      <c r="D2748" s="587"/>
      <c r="E2748" s="591"/>
      <c r="G2748" s="593"/>
    </row>
    <row r="2749" spans="1:7">
      <c r="A2749" s="584"/>
      <c r="B2749" s="585"/>
      <c r="C2749" s="586"/>
      <c r="D2749" s="587"/>
      <c r="E2749" s="591"/>
      <c r="G2749" s="593"/>
    </row>
    <row r="2750" spans="1:7">
      <c r="A2750" s="584"/>
      <c r="B2750" s="585"/>
      <c r="C2750" s="586"/>
      <c r="D2750" s="587"/>
      <c r="E2750" s="591"/>
      <c r="G2750" s="593"/>
    </row>
    <row r="2751" spans="1:7">
      <c r="A2751" s="584"/>
      <c r="B2751" s="585"/>
      <c r="C2751" s="586"/>
      <c r="D2751" s="587"/>
      <c r="E2751" s="591"/>
      <c r="G2751" s="593"/>
    </row>
    <row r="2752" spans="1:7">
      <c r="A2752" s="584"/>
      <c r="B2752" s="585"/>
      <c r="C2752" s="586"/>
      <c r="D2752" s="587"/>
      <c r="E2752" s="591"/>
      <c r="G2752" s="593"/>
    </row>
    <row r="2753" spans="1:7">
      <c r="A2753" s="584"/>
      <c r="B2753" s="585"/>
      <c r="C2753" s="586"/>
      <c r="D2753" s="587"/>
      <c r="E2753" s="591"/>
      <c r="G2753" s="593"/>
    </row>
    <row r="2754" spans="1:7">
      <c r="A2754" s="584"/>
      <c r="B2754" s="585"/>
      <c r="C2754" s="586"/>
      <c r="D2754" s="587"/>
      <c r="E2754" s="591"/>
      <c r="G2754" s="593"/>
    </row>
    <row r="2755" spans="1:7">
      <c r="A2755" s="584"/>
      <c r="B2755" s="585"/>
      <c r="C2755" s="586"/>
      <c r="D2755" s="587"/>
      <c r="E2755" s="591"/>
      <c r="G2755" s="593"/>
    </row>
    <row r="2756" spans="1:7">
      <c r="A2756" s="584"/>
      <c r="B2756" s="585"/>
      <c r="C2756" s="586"/>
      <c r="D2756" s="587"/>
      <c r="E2756" s="591"/>
      <c r="G2756" s="593"/>
    </row>
    <row r="2757" spans="1:7">
      <c r="A2757" s="584"/>
      <c r="B2757" s="585"/>
      <c r="C2757" s="586"/>
      <c r="D2757" s="587"/>
      <c r="E2757" s="591"/>
      <c r="G2757" s="593"/>
    </row>
    <row r="2758" spans="1:7">
      <c r="A2758" s="584"/>
      <c r="B2758" s="585"/>
      <c r="C2758" s="586"/>
      <c r="D2758" s="587"/>
      <c r="E2758" s="591"/>
      <c r="G2758" s="593"/>
    </row>
    <row r="2759" spans="1:7">
      <c r="A2759" s="584"/>
      <c r="B2759" s="585"/>
      <c r="C2759" s="586"/>
      <c r="D2759" s="587"/>
      <c r="E2759" s="591"/>
      <c r="G2759" s="593"/>
    </row>
    <row r="2760" spans="1:7">
      <c r="A2760" s="584"/>
      <c r="B2760" s="585"/>
      <c r="C2760" s="586"/>
      <c r="D2760" s="587"/>
      <c r="E2760" s="591"/>
      <c r="G2760" s="593"/>
    </row>
    <row r="2761" spans="1:7">
      <c r="A2761" s="584"/>
      <c r="B2761" s="585"/>
      <c r="C2761" s="586"/>
      <c r="D2761" s="587"/>
      <c r="E2761" s="591"/>
      <c r="G2761" s="593"/>
    </row>
    <row r="2762" spans="1:7">
      <c r="A2762" s="584"/>
      <c r="B2762" s="585"/>
      <c r="C2762" s="586"/>
      <c r="D2762" s="587"/>
      <c r="E2762" s="591"/>
      <c r="G2762" s="593"/>
    </row>
    <row r="2763" spans="1:7">
      <c r="A2763" s="584"/>
      <c r="B2763" s="585"/>
      <c r="C2763" s="586"/>
      <c r="D2763" s="587"/>
      <c r="E2763" s="591"/>
      <c r="G2763" s="593"/>
    </row>
    <row r="2764" spans="1:7">
      <c r="A2764" s="584"/>
      <c r="B2764" s="585"/>
      <c r="C2764" s="586"/>
      <c r="D2764" s="587"/>
      <c r="E2764" s="591"/>
      <c r="G2764" s="593"/>
    </row>
    <row r="2765" spans="1:7">
      <c r="A2765" s="584"/>
      <c r="B2765" s="585"/>
      <c r="C2765" s="586"/>
      <c r="D2765" s="587"/>
      <c r="E2765" s="591"/>
      <c r="G2765" s="593"/>
    </row>
    <row r="2766" spans="1:7">
      <c r="A2766" s="584"/>
      <c r="B2766" s="585"/>
      <c r="C2766" s="586"/>
      <c r="D2766" s="587"/>
      <c r="E2766" s="591"/>
      <c r="G2766" s="593"/>
    </row>
    <row r="2767" spans="1:7">
      <c r="A2767" s="584"/>
      <c r="B2767" s="585"/>
      <c r="C2767" s="586"/>
      <c r="D2767" s="587"/>
      <c r="E2767" s="591"/>
      <c r="G2767" s="593"/>
    </row>
    <row r="2768" spans="1:7">
      <c r="A2768" s="584"/>
      <c r="B2768" s="585"/>
      <c r="C2768" s="586"/>
      <c r="D2768" s="587"/>
      <c r="E2768" s="591"/>
      <c r="G2768" s="593"/>
    </row>
    <row r="2769" spans="1:7">
      <c r="A2769" s="584"/>
      <c r="B2769" s="585"/>
      <c r="C2769" s="586"/>
      <c r="D2769" s="587"/>
      <c r="E2769" s="591"/>
      <c r="G2769" s="593"/>
    </row>
    <row r="2770" spans="1:7">
      <c r="A2770" s="584"/>
      <c r="B2770" s="585"/>
      <c r="C2770" s="586"/>
      <c r="D2770" s="587"/>
      <c r="E2770" s="591"/>
      <c r="G2770" s="593"/>
    </row>
    <row r="2771" spans="1:7">
      <c r="A2771" s="584"/>
      <c r="B2771" s="585"/>
      <c r="C2771" s="586"/>
      <c r="D2771" s="587"/>
      <c r="E2771" s="591"/>
      <c r="G2771" s="593"/>
    </row>
    <row r="2772" spans="1:7">
      <c r="A2772" s="584"/>
      <c r="B2772" s="585"/>
      <c r="C2772" s="586"/>
      <c r="D2772" s="587"/>
      <c r="E2772" s="591"/>
      <c r="G2772" s="593"/>
    </row>
    <row r="2773" spans="1:7">
      <c r="A2773" s="584"/>
      <c r="B2773" s="585"/>
      <c r="C2773" s="586"/>
      <c r="D2773" s="587"/>
      <c r="E2773" s="591"/>
      <c r="G2773" s="593"/>
    </row>
    <row r="2774" spans="1:7">
      <c r="A2774" s="584"/>
      <c r="B2774" s="585"/>
      <c r="C2774" s="586"/>
      <c r="D2774" s="587"/>
      <c r="E2774" s="591"/>
      <c r="G2774" s="593"/>
    </row>
    <row r="2775" spans="1:7">
      <c r="A2775" s="584"/>
      <c r="B2775" s="585"/>
      <c r="C2775" s="586"/>
      <c r="D2775" s="587"/>
      <c r="E2775" s="591"/>
      <c r="G2775" s="593"/>
    </row>
    <row r="2776" spans="1:7">
      <c r="A2776" s="584"/>
      <c r="B2776" s="585"/>
      <c r="C2776" s="586"/>
      <c r="D2776" s="587"/>
      <c r="E2776" s="591"/>
      <c r="G2776" s="593"/>
    </row>
    <row r="2777" spans="1:7">
      <c r="A2777" s="584"/>
      <c r="B2777" s="585"/>
      <c r="C2777" s="586"/>
      <c r="D2777" s="587"/>
      <c r="E2777" s="591"/>
      <c r="G2777" s="593"/>
    </row>
    <row r="2778" spans="1:7">
      <c r="A2778" s="584"/>
      <c r="B2778" s="585"/>
      <c r="C2778" s="586"/>
      <c r="D2778" s="587"/>
      <c r="E2778" s="591"/>
      <c r="G2778" s="593"/>
    </row>
    <row r="2779" spans="1:7">
      <c r="A2779" s="584"/>
      <c r="B2779" s="585"/>
      <c r="C2779" s="586"/>
      <c r="D2779" s="587"/>
      <c r="E2779" s="591"/>
      <c r="G2779" s="593"/>
    </row>
    <row r="2780" spans="1:7">
      <c r="A2780" s="584"/>
      <c r="B2780" s="585"/>
      <c r="C2780" s="586"/>
      <c r="D2780" s="587"/>
      <c r="E2780" s="591"/>
      <c r="G2780" s="593"/>
    </row>
    <row r="2781" spans="1:7">
      <c r="A2781" s="584"/>
      <c r="B2781" s="585"/>
      <c r="C2781" s="586"/>
      <c r="D2781" s="587"/>
      <c r="E2781" s="591"/>
      <c r="G2781" s="593"/>
    </row>
    <row r="2782" spans="1:7">
      <c r="A2782" s="584"/>
      <c r="B2782" s="585"/>
      <c r="C2782" s="586"/>
      <c r="D2782" s="587"/>
      <c r="E2782" s="591"/>
      <c r="G2782" s="593"/>
    </row>
    <row r="2783" spans="1:7">
      <c r="A2783" s="584"/>
      <c r="B2783" s="585"/>
      <c r="C2783" s="586"/>
      <c r="D2783" s="587"/>
      <c r="E2783" s="591"/>
      <c r="G2783" s="593"/>
    </row>
    <row r="2784" spans="1:7">
      <c r="A2784" s="584"/>
      <c r="B2784" s="585"/>
      <c r="C2784" s="586"/>
      <c r="D2784" s="587"/>
      <c r="E2784" s="591"/>
      <c r="G2784" s="593"/>
    </row>
    <row r="2785" spans="1:7">
      <c r="A2785" s="584"/>
      <c r="B2785" s="585"/>
      <c r="C2785" s="586"/>
      <c r="D2785" s="587"/>
      <c r="E2785" s="591"/>
      <c r="G2785" s="593"/>
    </row>
    <row r="2786" spans="1:7">
      <c r="A2786" s="584"/>
      <c r="B2786" s="585"/>
      <c r="C2786" s="586"/>
      <c r="D2786" s="587"/>
      <c r="E2786" s="591"/>
      <c r="G2786" s="593"/>
    </row>
    <row r="2787" spans="1:7">
      <c r="A2787" s="584"/>
      <c r="B2787" s="585"/>
      <c r="C2787" s="586"/>
      <c r="D2787" s="587"/>
      <c r="E2787" s="591"/>
      <c r="G2787" s="593"/>
    </row>
    <row r="2788" spans="1:7">
      <c r="A2788" s="584"/>
      <c r="B2788" s="585"/>
      <c r="C2788" s="586"/>
      <c r="D2788" s="587"/>
      <c r="E2788" s="591"/>
      <c r="G2788" s="593"/>
    </row>
    <row r="2789" spans="1:7">
      <c r="A2789" s="584"/>
      <c r="B2789" s="585"/>
      <c r="C2789" s="586"/>
      <c r="D2789" s="587"/>
      <c r="E2789" s="591"/>
      <c r="G2789" s="593"/>
    </row>
    <row r="2790" spans="1:7">
      <c r="A2790" s="584"/>
      <c r="B2790" s="585"/>
      <c r="C2790" s="586"/>
      <c r="D2790" s="587"/>
      <c r="E2790" s="591"/>
      <c r="G2790" s="593"/>
    </row>
    <row r="2791" spans="1:7">
      <c r="A2791" s="584"/>
      <c r="B2791" s="585"/>
      <c r="C2791" s="586"/>
      <c r="D2791" s="587"/>
      <c r="E2791" s="591"/>
      <c r="G2791" s="593"/>
    </row>
    <row r="2792" spans="1:7">
      <c r="A2792" s="584"/>
      <c r="B2792" s="585"/>
      <c r="C2792" s="586"/>
      <c r="D2792" s="587"/>
      <c r="E2792" s="591"/>
      <c r="G2792" s="593"/>
    </row>
    <row r="2793" spans="1:7">
      <c r="A2793" s="584"/>
      <c r="B2793" s="585"/>
      <c r="C2793" s="586"/>
      <c r="D2793" s="587"/>
      <c r="E2793" s="591"/>
      <c r="G2793" s="593"/>
    </row>
    <row r="2794" spans="1:7">
      <c r="A2794" s="584"/>
      <c r="B2794" s="585"/>
      <c r="C2794" s="586"/>
      <c r="D2794" s="587"/>
      <c r="E2794" s="591"/>
      <c r="G2794" s="593"/>
    </row>
    <row r="2795" spans="1:7">
      <c r="A2795" s="584"/>
      <c r="B2795" s="585"/>
      <c r="C2795" s="586"/>
      <c r="D2795" s="587"/>
      <c r="E2795" s="591"/>
      <c r="G2795" s="593"/>
    </row>
    <row r="2796" spans="1:7">
      <c r="A2796" s="584"/>
      <c r="B2796" s="585"/>
      <c r="C2796" s="586"/>
      <c r="D2796" s="587"/>
      <c r="E2796" s="591"/>
      <c r="G2796" s="593"/>
    </row>
    <row r="2797" spans="1:7">
      <c r="A2797" s="584"/>
      <c r="B2797" s="585"/>
      <c r="C2797" s="586"/>
      <c r="D2797" s="587"/>
      <c r="E2797" s="591"/>
      <c r="G2797" s="593"/>
    </row>
    <row r="2798" spans="1:7">
      <c r="A2798" s="584"/>
      <c r="B2798" s="585"/>
      <c r="C2798" s="586"/>
      <c r="D2798" s="587"/>
      <c r="E2798" s="591"/>
      <c r="G2798" s="593"/>
    </row>
    <row r="2799" spans="1:7">
      <c r="A2799" s="584"/>
      <c r="B2799" s="585"/>
      <c r="C2799" s="586"/>
      <c r="D2799" s="587"/>
      <c r="E2799" s="591"/>
      <c r="G2799" s="593"/>
    </row>
    <row r="2800" spans="1:7">
      <c r="A2800" s="584"/>
      <c r="B2800" s="585"/>
      <c r="C2800" s="586"/>
      <c r="D2800" s="587"/>
      <c r="E2800" s="591"/>
      <c r="G2800" s="593"/>
    </row>
    <row r="2801" spans="1:7">
      <c r="A2801" s="584"/>
      <c r="B2801" s="585"/>
      <c r="C2801" s="586"/>
      <c r="D2801" s="587"/>
      <c r="E2801" s="591"/>
      <c r="G2801" s="593"/>
    </row>
    <row r="2802" spans="1:7">
      <c r="A2802" s="584"/>
      <c r="B2802" s="585"/>
      <c r="C2802" s="586"/>
      <c r="D2802" s="587"/>
      <c r="E2802" s="591"/>
      <c r="G2802" s="593"/>
    </row>
    <row r="2803" spans="1:7">
      <c r="A2803" s="584"/>
      <c r="B2803" s="585"/>
      <c r="C2803" s="586"/>
      <c r="D2803" s="587"/>
      <c r="E2803" s="591"/>
      <c r="G2803" s="593"/>
    </row>
    <row r="2804" spans="1:7">
      <c r="A2804" s="584"/>
      <c r="B2804" s="585"/>
      <c r="C2804" s="586"/>
      <c r="D2804" s="587"/>
      <c r="E2804" s="591"/>
      <c r="G2804" s="593"/>
    </row>
    <row r="2805" spans="1:7">
      <c r="A2805" s="584"/>
      <c r="B2805" s="585"/>
      <c r="C2805" s="586"/>
      <c r="D2805" s="587"/>
      <c r="E2805" s="591"/>
      <c r="G2805" s="593"/>
    </row>
    <row r="2806" spans="1:7">
      <c r="A2806" s="584"/>
      <c r="B2806" s="585"/>
      <c r="C2806" s="586"/>
      <c r="D2806" s="587"/>
      <c r="E2806" s="591"/>
      <c r="G2806" s="593"/>
    </row>
    <row r="2807" spans="1:7">
      <c r="A2807" s="584"/>
      <c r="B2807" s="585"/>
      <c r="C2807" s="586"/>
      <c r="D2807" s="587"/>
      <c r="E2807" s="591"/>
      <c r="G2807" s="593"/>
    </row>
    <row r="2808" spans="1:7">
      <c r="A2808" s="584"/>
      <c r="B2808" s="585"/>
      <c r="C2808" s="586"/>
      <c r="D2808" s="587"/>
      <c r="E2808" s="591"/>
      <c r="G2808" s="593"/>
    </row>
    <row r="2809" spans="1:7">
      <c r="A2809" s="584"/>
      <c r="B2809" s="585"/>
      <c r="C2809" s="586"/>
      <c r="D2809" s="587"/>
      <c r="E2809" s="591"/>
      <c r="G2809" s="593"/>
    </row>
    <row r="2810" spans="1:7">
      <c r="A2810" s="584"/>
      <c r="B2810" s="585"/>
      <c r="C2810" s="586"/>
      <c r="D2810" s="587"/>
      <c r="E2810" s="591"/>
      <c r="G2810" s="593"/>
    </row>
    <row r="2811" spans="1:7">
      <c r="A2811" s="584"/>
      <c r="B2811" s="585"/>
      <c r="C2811" s="586"/>
      <c r="D2811" s="587"/>
      <c r="E2811" s="591"/>
      <c r="G2811" s="593"/>
    </row>
    <row r="2812" spans="1:7">
      <c r="A2812" s="584"/>
      <c r="B2812" s="585"/>
      <c r="C2812" s="586"/>
      <c r="D2812" s="587"/>
      <c r="E2812" s="591"/>
      <c r="G2812" s="593"/>
    </row>
    <row r="2813" spans="1:7">
      <c r="A2813" s="584"/>
      <c r="B2813" s="585"/>
      <c r="C2813" s="586"/>
      <c r="D2813" s="587"/>
      <c r="E2813" s="591"/>
      <c r="G2813" s="593"/>
    </row>
    <row r="2814" spans="1:7">
      <c r="A2814" s="584"/>
      <c r="B2814" s="585"/>
      <c r="C2814" s="586"/>
      <c r="D2814" s="587"/>
      <c r="E2814" s="591"/>
      <c r="G2814" s="593"/>
    </row>
    <row r="2815" spans="1:7">
      <c r="A2815" s="584"/>
      <c r="B2815" s="585"/>
      <c r="C2815" s="586"/>
      <c r="D2815" s="587"/>
      <c r="E2815" s="591"/>
      <c r="G2815" s="593"/>
    </row>
    <row r="2816" spans="1:7">
      <c r="A2816" s="584"/>
      <c r="B2816" s="585"/>
      <c r="C2816" s="586"/>
      <c r="D2816" s="587"/>
      <c r="E2816" s="591"/>
      <c r="G2816" s="593"/>
    </row>
    <row r="2817" spans="1:7">
      <c r="A2817" s="584"/>
      <c r="B2817" s="585"/>
      <c r="C2817" s="586"/>
      <c r="D2817" s="587"/>
      <c r="E2817" s="591"/>
      <c r="G2817" s="593"/>
    </row>
    <row r="2818" spans="1:7">
      <c r="A2818" s="584"/>
      <c r="B2818" s="585"/>
      <c r="C2818" s="586"/>
      <c r="D2818" s="587"/>
      <c r="E2818" s="591"/>
      <c r="G2818" s="593"/>
    </row>
    <row r="2819" spans="1:7">
      <c r="A2819" s="584"/>
      <c r="B2819" s="585"/>
      <c r="C2819" s="586"/>
      <c r="D2819" s="587"/>
      <c r="E2819" s="591"/>
      <c r="G2819" s="593"/>
    </row>
    <row r="2820" spans="1:7">
      <c r="A2820" s="584"/>
      <c r="B2820" s="585"/>
      <c r="C2820" s="586"/>
      <c r="D2820" s="587"/>
      <c r="E2820" s="591"/>
      <c r="G2820" s="593"/>
    </row>
    <row r="2821" spans="1:7">
      <c r="A2821" s="584"/>
      <c r="B2821" s="585"/>
      <c r="C2821" s="586"/>
      <c r="D2821" s="587"/>
      <c r="E2821" s="591"/>
      <c r="G2821" s="593"/>
    </row>
    <row r="2822" spans="1:7">
      <c r="A2822" s="584"/>
      <c r="B2822" s="585"/>
      <c r="C2822" s="586"/>
      <c r="D2822" s="587"/>
      <c r="E2822" s="591"/>
      <c r="G2822" s="593"/>
    </row>
    <row r="2823" spans="1:7">
      <c r="A2823" s="584"/>
      <c r="B2823" s="585"/>
      <c r="C2823" s="586"/>
      <c r="D2823" s="587"/>
      <c r="E2823" s="591"/>
      <c r="G2823" s="593"/>
    </row>
    <row r="2824" spans="1:7">
      <c r="A2824" s="584"/>
      <c r="B2824" s="585"/>
      <c r="C2824" s="586"/>
      <c r="D2824" s="587"/>
      <c r="E2824" s="591"/>
      <c r="G2824" s="593"/>
    </row>
    <row r="2825" spans="1:7">
      <c r="A2825" s="584"/>
      <c r="B2825" s="585"/>
      <c r="C2825" s="586"/>
      <c r="D2825" s="587"/>
      <c r="E2825" s="591"/>
      <c r="G2825" s="593"/>
    </row>
    <row r="2826" spans="1:7">
      <c r="A2826" s="584"/>
      <c r="B2826" s="585"/>
      <c r="C2826" s="586"/>
      <c r="D2826" s="587"/>
      <c r="E2826" s="591"/>
      <c r="G2826" s="593"/>
    </row>
    <row r="2827" spans="1:7">
      <c r="A2827" s="584"/>
      <c r="B2827" s="585"/>
      <c r="C2827" s="586"/>
      <c r="D2827" s="587"/>
      <c r="E2827" s="591"/>
      <c r="G2827" s="593"/>
    </row>
    <row r="2828" spans="1:7">
      <c r="A2828" s="584"/>
      <c r="B2828" s="585"/>
      <c r="C2828" s="586"/>
      <c r="D2828" s="587"/>
      <c r="E2828" s="591"/>
      <c r="G2828" s="593"/>
    </row>
    <row r="2829" spans="1:7">
      <c r="A2829" s="584"/>
      <c r="B2829" s="585"/>
      <c r="C2829" s="586"/>
      <c r="D2829" s="587"/>
      <c r="E2829" s="591"/>
      <c r="G2829" s="593"/>
    </row>
    <row r="2830" spans="1:7">
      <c r="A2830" s="584"/>
      <c r="B2830" s="585"/>
      <c r="C2830" s="586"/>
      <c r="D2830" s="587"/>
      <c r="E2830" s="591"/>
      <c r="G2830" s="593"/>
    </row>
    <row r="2831" spans="1:7">
      <c r="A2831" s="584"/>
      <c r="B2831" s="585"/>
      <c r="C2831" s="586"/>
      <c r="D2831" s="587"/>
      <c r="E2831" s="591"/>
      <c r="G2831" s="593"/>
    </row>
    <row r="2832" spans="1:7">
      <c r="A2832" s="584"/>
      <c r="B2832" s="585"/>
      <c r="C2832" s="586"/>
      <c r="D2832" s="587"/>
      <c r="E2832" s="591"/>
      <c r="G2832" s="593"/>
    </row>
    <row r="2833" spans="1:7">
      <c r="A2833" s="584"/>
      <c r="B2833" s="585"/>
      <c r="C2833" s="586"/>
      <c r="D2833" s="587"/>
      <c r="E2833" s="591"/>
      <c r="G2833" s="593"/>
    </row>
    <row r="2834" spans="1:7">
      <c r="A2834" s="584"/>
      <c r="B2834" s="585"/>
      <c r="C2834" s="586"/>
      <c r="D2834" s="587"/>
      <c r="E2834" s="591"/>
      <c r="G2834" s="593"/>
    </row>
    <row r="2835" spans="1:7">
      <c r="A2835" s="584"/>
      <c r="B2835" s="585"/>
      <c r="C2835" s="586"/>
      <c r="D2835" s="587"/>
      <c r="E2835" s="591"/>
      <c r="G2835" s="593"/>
    </row>
    <row r="2836" spans="1:7">
      <c r="A2836" s="584"/>
      <c r="B2836" s="585"/>
      <c r="C2836" s="586"/>
      <c r="D2836" s="587"/>
      <c r="E2836" s="591"/>
      <c r="G2836" s="593"/>
    </row>
    <row r="2837" spans="1:7">
      <c r="A2837" s="584"/>
      <c r="B2837" s="585"/>
      <c r="C2837" s="586"/>
      <c r="D2837" s="587"/>
      <c r="E2837" s="591"/>
      <c r="G2837" s="593"/>
    </row>
    <row r="2838" spans="1:7">
      <c r="A2838" s="584"/>
      <c r="B2838" s="585"/>
      <c r="C2838" s="586"/>
      <c r="D2838" s="587"/>
      <c r="E2838" s="591"/>
      <c r="G2838" s="593"/>
    </row>
    <row r="2839" spans="1:7">
      <c r="A2839" s="584"/>
      <c r="B2839" s="585"/>
      <c r="C2839" s="586"/>
      <c r="D2839" s="587"/>
      <c r="E2839" s="591"/>
      <c r="G2839" s="593"/>
    </row>
    <row r="2840" spans="1:7">
      <c r="A2840" s="584"/>
      <c r="B2840" s="585"/>
      <c r="C2840" s="586"/>
      <c r="D2840" s="587"/>
      <c r="E2840" s="591"/>
      <c r="G2840" s="593"/>
    </row>
    <row r="2841" spans="1:7">
      <c r="A2841" s="584"/>
      <c r="B2841" s="585"/>
      <c r="C2841" s="586"/>
      <c r="D2841" s="587"/>
      <c r="E2841" s="591"/>
      <c r="G2841" s="593"/>
    </row>
    <row r="2842" spans="1:7">
      <c r="A2842" s="584"/>
      <c r="B2842" s="585"/>
      <c r="C2842" s="586"/>
      <c r="D2842" s="587"/>
      <c r="E2842" s="591"/>
      <c r="G2842" s="593"/>
    </row>
    <row r="2843" spans="1:7">
      <c r="A2843" s="584"/>
      <c r="B2843" s="585"/>
      <c r="C2843" s="586"/>
      <c r="D2843" s="587"/>
      <c r="E2843" s="591"/>
      <c r="G2843" s="593"/>
    </row>
    <row r="2844" spans="1:7">
      <c r="A2844" s="584"/>
      <c r="B2844" s="585"/>
      <c r="C2844" s="586"/>
      <c r="D2844" s="587"/>
      <c r="E2844" s="591"/>
      <c r="G2844" s="593"/>
    </row>
    <row r="2845" spans="1:7">
      <c r="A2845" s="584"/>
      <c r="B2845" s="585"/>
      <c r="C2845" s="586"/>
      <c r="D2845" s="587"/>
      <c r="E2845" s="591"/>
      <c r="G2845" s="593"/>
    </row>
    <row r="2846" spans="1:7">
      <c r="A2846" s="584"/>
      <c r="B2846" s="585"/>
      <c r="C2846" s="586"/>
      <c r="D2846" s="587"/>
      <c r="E2846" s="591"/>
      <c r="G2846" s="593"/>
    </row>
    <row r="2847" spans="1:7">
      <c r="A2847" s="584"/>
      <c r="B2847" s="585"/>
      <c r="C2847" s="586"/>
      <c r="D2847" s="587"/>
      <c r="E2847" s="591"/>
      <c r="G2847" s="593"/>
    </row>
    <row r="2848" spans="1:7">
      <c r="A2848" s="584"/>
      <c r="B2848" s="585"/>
      <c r="C2848" s="586"/>
      <c r="D2848" s="587"/>
      <c r="E2848" s="591"/>
      <c r="G2848" s="593"/>
    </row>
    <row r="2849" spans="1:7">
      <c r="A2849" s="584"/>
      <c r="B2849" s="585"/>
      <c r="C2849" s="586"/>
      <c r="D2849" s="587"/>
      <c r="E2849" s="591"/>
      <c r="G2849" s="593"/>
    </row>
    <row r="2850" spans="1:7">
      <c r="A2850" s="584"/>
      <c r="B2850" s="585"/>
      <c r="C2850" s="586"/>
      <c r="D2850" s="587"/>
      <c r="E2850" s="591"/>
      <c r="G2850" s="593"/>
    </row>
    <row r="2851" spans="1:7">
      <c r="A2851" s="584"/>
      <c r="B2851" s="585"/>
      <c r="C2851" s="586"/>
      <c r="D2851" s="587"/>
      <c r="E2851" s="591"/>
      <c r="G2851" s="593"/>
    </row>
    <row r="2852" spans="1:7">
      <c r="A2852" s="584"/>
      <c r="B2852" s="585"/>
      <c r="C2852" s="586"/>
      <c r="D2852" s="587"/>
      <c r="E2852" s="591"/>
      <c r="G2852" s="593"/>
    </row>
    <row r="2853" spans="1:7">
      <c r="A2853" s="584"/>
      <c r="B2853" s="585"/>
      <c r="C2853" s="586"/>
      <c r="D2853" s="587"/>
      <c r="E2853" s="591"/>
      <c r="G2853" s="593"/>
    </row>
    <row r="2854" spans="1:7">
      <c r="A2854" s="584"/>
      <c r="B2854" s="585"/>
      <c r="C2854" s="586"/>
      <c r="D2854" s="587"/>
      <c r="E2854" s="591"/>
      <c r="G2854" s="593"/>
    </row>
    <row r="2855" spans="1:7">
      <c r="A2855" s="584"/>
      <c r="B2855" s="585"/>
      <c r="C2855" s="586"/>
      <c r="D2855" s="587"/>
      <c r="E2855" s="591"/>
      <c r="G2855" s="593"/>
    </row>
    <row r="2856" spans="1:7">
      <c r="A2856" s="584"/>
      <c r="B2856" s="585"/>
      <c r="C2856" s="586"/>
      <c r="D2856" s="587"/>
      <c r="E2856" s="591"/>
      <c r="G2856" s="593"/>
    </row>
    <row r="2857" spans="1:7">
      <c r="A2857" s="584"/>
      <c r="B2857" s="585"/>
      <c r="C2857" s="586"/>
      <c r="D2857" s="587"/>
      <c r="E2857" s="591"/>
      <c r="G2857" s="593"/>
    </row>
    <row r="2858" spans="1:7">
      <c r="A2858" s="584"/>
      <c r="B2858" s="585"/>
      <c r="C2858" s="586"/>
      <c r="D2858" s="587"/>
      <c r="E2858" s="591"/>
      <c r="G2858" s="593"/>
    </row>
    <row r="2859" spans="1:7">
      <c r="A2859" s="584"/>
      <c r="B2859" s="585"/>
      <c r="C2859" s="586"/>
      <c r="D2859" s="587"/>
      <c r="E2859" s="591"/>
      <c r="G2859" s="593"/>
    </row>
    <row r="2860" spans="1:7">
      <c r="A2860" s="584"/>
      <c r="B2860" s="585"/>
      <c r="C2860" s="586"/>
      <c r="D2860" s="587"/>
      <c r="E2860" s="591"/>
      <c r="G2860" s="593"/>
    </row>
    <row r="2861" spans="1:7">
      <c r="A2861" s="584"/>
      <c r="B2861" s="585"/>
      <c r="C2861" s="586"/>
      <c r="D2861" s="587"/>
      <c r="E2861" s="591"/>
      <c r="G2861" s="593"/>
    </row>
    <row r="2862" spans="1:7">
      <c r="A2862" s="584"/>
      <c r="B2862" s="585"/>
      <c r="C2862" s="586"/>
      <c r="D2862" s="587"/>
      <c r="E2862" s="591"/>
      <c r="G2862" s="593"/>
    </row>
    <row r="2863" spans="1:7">
      <c r="A2863" s="584"/>
      <c r="B2863" s="585"/>
      <c r="C2863" s="586"/>
      <c r="D2863" s="587"/>
      <c r="E2863" s="591"/>
      <c r="G2863" s="593"/>
    </row>
    <row r="2864" spans="1:7">
      <c r="A2864" s="584"/>
      <c r="B2864" s="585"/>
      <c r="C2864" s="586"/>
      <c r="D2864" s="587"/>
      <c r="E2864" s="591"/>
      <c r="G2864" s="593"/>
    </row>
    <row r="2865" spans="1:7">
      <c r="A2865" s="584"/>
      <c r="B2865" s="585"/>
      <c r="C2865" s="586"/>
      <c r="D2865" s="587"/>
      <c r="E2865" s="591"/>
      <c r="G2865" s="593"/>
    </row>
    <row r="2866" spans="1:7">
      <c r="A2866" s="584"/>
      <c r="B2866" s="585"/>
      <c r="C2866" s="586"/>
      <c r="D2866" s="587"/>
      <c r="E2866" s="591"/>
      <c r="G2866" s="593"/>
    </row>
    <row r="2867" spans="1:7">
      <c r="A2867" s="584"/>
      <c r="B2867" s="585"/>
      <c r="C2867" s="586"/>
      <c r="D2867" s="587"/>
      <c r="E2867" s="591"/>
      <c r="G2867" s="593"/>
    </row>
    <row r="2868" spans="1:7">
      <c r="A2868" s="584"/>
      <c r="B2868" s="585"/>
      <c r="C2868" s="586"/>
      <c r="D2868" s="587"/>
      <c r="E2868" s="591"/>
      <c r="G2868" s="593"/>
    </row>
    <row r="2869" spans="1:7">
      <c r="A2869" s="584"/>
      <c r="B2869" s="585"/>
      <c r="C2869" s="586"/>
      <c r="D2869" s="587"/>
      <c r="E2869" s="591"/>
      <c r="G2869" s="593"/>
    </row>
    <row r="2870" spans="1:7">
      <c r="A2870" s="584"/>
      <c r="B2870" s="585"/>
      <c r="C2870" s="586"/>
      <c r="D2870" s="587"/>
      <c r="E2870" s="591"/>
      <c r="G2870" s="593"/>
    </row>
    <row r="2871" spans="1:7">
      <c r="A2871" s="584"/>
      <c r="B2871" s="585"/>
      <c r="C2871" s="586"/>
      <c r="D2871" s="587"/>
      <c r="E2871" s="591"/>
      <c r="G2871" s="593"/>
    </row>
    <row r="2872" spans="1:7">
      <c r="A2872" s="584"/>
      <c r="B2872" s="585"/>
      <c r="C2872" s="586"/>
      <c r="D2872" s="587"/>
      <c r="E2872" s="591"/>
      <c r="G2872" s="593"/>
    </row>
    <row r="2873" spans="1:7">
      <c r="A2873" s="584"/>
      <c r="B2873" s="585"/>
      <c r="C2873" s="586"/>
      <c r="D2873" s="587"/>
      <c r="E2873" s="591"/>
      <c r="G2873" s="593"/>
    </row>
    <row r="2874" spans="1:7">
      <c r="A2874" s="584"/>
      <c r="B2874" s="585"/>
      <c r="C2874" s="586"/>
      <c r="D2874" s="587"/>
      <c r="E2874" s="591"/>
      <c r="G2874" s="593"/>
    </row>
    <row r="2875" spans="1:7">
      <c r="A2875" s="584"/>
      <c r="B2875" s="585"/>
      <c r="C2875" s="586"/>
      <c r="D2875" s="587"/>
      <c r="E2875" s="591"/>
      <c r="G2875" s="593"/>
    </row>
    <row r="2876" spans="1:7">
      <c r="A2876" s="584"/>
      <c r="B2876" s="585"/>
      <c r="C2876" s="586"/>
      <c r="D2876" s="587"/>
      <c r="E2876" s="591"/>
      <c r="G2876" s="593"/>
    </row>
    <row r="2877" spans="1:7">
      <c r="A2877" s="584"/>
      <c r="B2877" s="585"/>
      <c r="C2877" s="586"/>
      <c r="D2877" s="587"/>
      <c r="E2877" s="591"/>
      <c r="G2877" s="593"/>
    </row>
    <row r="2878" spans="1:7">
      <c r="A2878" s="584"/>
      <c r="B2878" s="585"/>
      <c r="C2878" s="586"/>
      <c r="D2878" s="587"/>
      <c r="E2878" s="591"/>
      <c r="G2878" s="593"/>
    </row>
    <row r="2879" spans="1:7">
      <c r="A2879" s="584"/>
      <c r="B2879" s="585"/>
      <c r="C2879" s="586"/>
      <c r="D2879" s="587"/>
      <c r="E2879" s="591"/>
      <c r="G2879" s="593"/>
    </row>
    <row r="2880" spans="1:7">
      <c r="A2880" s="584"/>
      <c r="B2880" s="585"/>
      <c r="C2880" s="586"/>
      <c r="D2880" s="587"/>
      <c r="E2880" s="591"/>
      <c r="G2880" s="593"/>
    </row>
    <row r="2881" spans="1:7">
      <c r="A2881" s="584"/>
      <c r="B2881" s="585"/>
      <c r="C2881" s="586"/>
      <c r="D2881" s="587"/>
      <c r="E2881" s="591"/>
      <c r="G2881" s="593"/>
    </row>
    <row r="2882" spans="1:7">
      <c r="A2882" s="584"/>
      <c r="B2882" s="585"/>
      <c r="C2882" s="586"/>
      <c r="D2882" s="587"/>
      <c r="E2882" s="591"/>
      <c r="G2882" s="593"/>
    </row>
    <row r="2883" spans="1:7">
      <c r="A2883" s="584"/>
      <c r="B2883" s="585"/>
      <c r="C2883" s="586"/>
      <c r="D2883" s="587"/>
      <c r="E2883" s="591"/>
      <c r="G2883" s="593"/>
    </row>
    <row r="2884" spans="1:7">
      <c r="A2884" s="584"/>
      <c r="B2884" s="585"/>
      <c r="C2884" s="586"/>
      <c r="D2884" s="587"/>
      <c r="E2884" s="591"/>
      <c r="G2884" s="593"/>
    </row>
    <row r="2885" spans="1:7">
      <c r="A2885" s="584"/>
      <c r="B2885" s="585"/>
      <c r="C2885" s="586"/>
      <c r="D2885" s="587"/>
      <c r="E2885" s="591"/>
      <c r="G2885" s="593"/>
    </row>
    <row r="2886" spans="1:7">
      <c r="A2886" s="584"/>
      <c r="B2886" s="585"/>
      <c r="C2886" s="586"/>
      <c r="D2886" s="587"/>
      <c r="E2886" s="591"/>
      <c r="G2886" s="593"/>
    </row>
    <row r="2887" spans="1:7">
      <c r="A2887" s="584"/>
      <c r="B2887" s="585"/>
      <c r="C2887" s="586"/>
      <c r="D2887" s="587"/>
      <c r="E2887" s="591"/>
      <c r="G2887" s="593"/>
    </row>
    <row r="2888" spans="1:7">
      <c r="A2888" s="584"/>
      <c r="B2888" s="585"/>
      <c r="C2888" s="586"/>
      <c r="D2888" s="587"/>
      <c r="E2888" s="591"/>
      <c r="G2888" s="593"/>
    </row>
    <row r="2889" spans="1:7">
      <c r="A2889" s="584"/>
      <c r="B2889" s="585"/>
      <c r="C2889" s="586"/>
      <c r="D2889" s="587"/>
      <c r="E2889" s="591"/>
      <c r="G2889" s="593"/>
    </row>
    <row r="2890" spans="1:7">
      <c r="A2890" s="584"/>
      <c r="B2890" s="585"/>
      <c r="C2890" s="586"/>
      <c r="D2890" s="587"/>
      <c r="E2890" s="591"/>
      <c r="G2890" s="593"/>
    </row>
    <row r="2891" spans="1:7">
      <c r="A2891" s="584"/>
      <c r="B2891" s="585"/>
      <c r="C2891" s="586"/>
      <c r="D2891" s="587"/>
      <c r="E2891" s="591"/>
      <c r="G2891" s="593"/>
    </row>
    <row r="2892" spans="1:7">
      <c r="A2892" s="584"/>
      <c r="B2892" s="585"/>
      <c r="C2892" s="586"/>
      <c r="D2892" s="587"/>
      <c r="E2892" s="591"/>
      <c r="G2892" s="593"/>
    </row>
    <row r="2893" spans="1:7">
      <c r="A2893" s="584"/>
      <c r="B2893" s="585"/>
      <c r="C2893" s="586"/>
      <c r="D2893" s="587"/>
      <c r="E2893" s="591"/>
      <c r="G2893" s="593"/>
    </row>
    <row r="2894" spans="1:7">
      <c r="A2894" s="584"/>
      <c r="B2894" s="585"/>
      <c r="C2894" s="586"/>
      <c r="D2894" s="587"/>
      <c r="E2894" s="591"/>
      <c r="G2894" s="593"/>
    </row>
    <row r="2895" spans="1:7">
      <c r="A2895" s="584"/>
      <c r="B2895" s="585"/>
      <c r="C2895" s="586"/>
      <c r="D2895" s="587"/>
      <c r="E2895" s="591"/>
      <c r="G2895" s="593"/>
    </row>
    <row r="2896" spans="1:7">
      <c r="A2896" s="584"/>
      <c r="B2896" s="585"/>
      <c r="C2896" s="586"/>
      <c r="D2896" s="587"/>
      <c r="E2896" s="591"/>
      <c r="G2896" s="593"/>
    </row>
    <row r="2897" spans="1:7">
      <c r="A2897" s="584"/>
      <c r="B2897" s="585"/>
      <c r="C2897" s="586"/>
      <c r="D2897" s="587"/>
      <c r="E2897" s="591"/>
      <c r="G2897" s="593"/>
    </row>
    <row r="2898" spans="1:7">
      <c r="A2898" s="584"/>
      <c r="B2898" s="585"/>
      <c r="C2898" s="586"/>
      <c r="D2898" s="587"/>
      <c r="E2898" s="591"/>
      <c r="G2898" s="593"/>
    </row>
    <row r="2899" spans="1:7">
      <c r="A2899" s="584"/>
      <c r="B2899" s="585"/>
      <c r="C2899" s="586"/>
      <c r="D2899" s="587"/>
      <c r="E2899" s="591"/>
      <c r="G2899" s="593"/>
    </row>
    <row r="2900" spans="1:7">
      <c r="A2900" s="584"/>
      <c r="B2900" s="585"/>
      <c r="C2900" s="586"/>
      <c r="D2900" s="587"/>
      <c r="E2900" s="591"/>
      <c r="G2900" s="593"/>
    </row>
    <row r="2901" spans="1:7">
      <c r="A2901" s="584"/>
      <c r="B2901" s="585"/>
      <c r="C2901" s="586"/>
      <c r="D2901" s="587"/>
      <c r="E2901" s="591"/>
      <c r="G2901" s="593"/>
    </row>
    <row r="2902" spans="1:7">
      <c r="A2902" s="584"/>
      <c r="B2902" s="585"/>
      <c r="C2902" s="586"/>
      <c r="D2902" s="587"/>
      <c r="E2902" s="591"/>
      <c r="G2902" s="593"/>
    </row>
    <row r="2903" spans="1:7">
      <c r="A2903" s="584"/>
      <c r="B2903" s="585"/>
      <c r="C2903" s="586"/>
      <c r="D2903" s="587"/>
      <c r="E2903" s="591"/>
      <c r="G2903" s="593"/>
    </row>
    <row r="2904" spans="1:7">
      <c r="A2904" s="584"/>
      <c r="B2904" s="585"/>
      <c r="C2904" s="586"/>
      <c r="D2904" s="587"/>
      <c r="E2904" s="591"/>
      <c r="G2904" s="593"/>
    </row>
    <row r="2905" spans="1:7">
      <c r="A2905" s="584"/>
      <c r="B2905" s="585"/>
      <c r="C2905" s="586"/>
      <c r="D2905" s="587"/>
      <c r="E2905" s="591"/>
      <c r="G2905" s="593"/>
    </row>
    <row r="2906" spans="1:7">
      <c r="A2906" s="584"/>
      <c r="B2906" s="585"/>
      <c r="C2906" s="586"/>
      <c r="D2906" s="587"/>
      <c r="E2906" s="591"/>
      <c r="G2906" s="593"/>
    </row>
    <row r="2907" spans="1:7">
      <c r="A2907" s="584"/>
      <c r="B2907" s="585"/>
      <c r="C2907" s="586"/>
      <c r="D2907" s="587"/>
      <c r="E2907" s="591"/>
      <c r="G2907" s="593"/>
    </row>
    <row r="2908" spans="1:7">
      <c r="A2908" s="584"/>
      <c r="B2908" s="585"/>
      <c r="C2908" s="586"/>
      <c r="D2908" s="587"/>
      <c r="E2908" s="591"/>
      <c r="G2908" s="593"/>
    </row>
    <row r="2909" spans="1:7">
      <c r="A2909" s="584"/>
      <c r="B2909" s="585"/>
      <c r="C2909" s="586"/>
      <c r="D2909" s="587"/>
      <c r="E2909" s="591"/>
      <c r="G2909" s="593"/>
    </row>
    <row r="2910" spans="1:7">
      <c r="A2910" s="584"/>
      <c r="B2910" s="585"/>
      <c r="C2910" s="586"/>
      <c r="D2910" s="587"/>
      <c r="E2910" s="591"/>
      <c r="G2910" s="593"/>
    </row>
    <row r="2911" spans="1:7">
      <c r="A2911" s="584"/>
      <c r="B2911" s="585"/>
      <c r="C2911" s="586"/>
      <c r="D2911" s="587"/>
      <c r="E2911" s="591"/>
      <c r="G2911" s="593"/>
    </row>
    <row r="2912" spans="1:7">
      <c r="A2912" s="584"/>
      <c r="B2912" s="585"/>
      <c r="C2912" s="586"/>
      <c r="D2912" s="587"/>
      <c r="E2912" s="591"/>
      <c r="G2912" s="593"/>
    </row>
    <row r="2913" spans="1:7">
      <c r="A2913" s="584"/>
      <c r="B2913" s="585"/>
      <c r="C2913" s="586"/>
      <c r="D2913" s="587"/>
      <c r="E2913" s="591"/>
      <c r="G2913" s="593"/>
    </row>
    <row r="2914" spans="1:7">
      <c r="A2914" s="584"/>
      <c r="B2914" s="585"/>
      <c r="C2914" s="586"/>
      <c r="D2914" s="587"/>
      <c r="E2914" s="591"/>
      <c r="G2914" s="593"/>
    </row>
    <row r="2915" spans="1:7">
      <c r="A2915" s="584"/>
      <c r="B2915" s="585"/>
      <c r="C2915" s="586"/>
      <c r="D2915" s="587"/>
      <c r="E2915" s="591"/>
      <c r="G2915" s="593"/>
    </row>
    <row r="2916" spans="1:7">
      <c r="A2916" s="584"/>
      <c r="B2916" s="585"/>
      <c r="C2916" s="586"/>
      <c r="D2916" s="587"/>
      <c r="E2916" s="591"/>
      <c r="G2916" s="593"/>
    </row>
    <row r="2917" spans="1:7">
      <c r="A2917" s="584"/>
      <c r="B2917" s="585"/>
      <c r="C2917" s="586"/>
      <c r="D2917" s="587"/>
      <c r="E2917" s="591"/>
      <c r="G2917" s="593"/>
    </row>
    <row r="2918" spans="1:7">
      <c r="A2918" s="584"/>
      <c r="B2918" s="585"/>
      <c r="C2918" s="586"/>
      <c r="D2918" s="587"/>
      <c r="E2918" s="591"/>
      <c r="G2918" s="593"/>
    </row>
    <row r="2919" spans="1:7">
      <c r="A2919" s="584"/>
      <c r="B2919" s="585"/>
      <c r="C2919" s="586"/>
      <c r="D2919" s="587"/>
      <c r="E2919" s="591"/>
      <c r="G2919" s="593"/>
    </row>
    <row r="2920" spans="1:7">
      <c r="A2920" s="584"/>
      <c r="B2920" s="585"/>
      <c r="C2920" s="586"/>
      <c r="D2920" s="587"/>
      <c r="E2920" s="591"/>
      <c r="G2920" s="593"/>
    </row>
    <row r="2921" spans="1:7">
      <c r="A2921" s="584"/>
      <c r="B2921" s="585"/>
      <c r="C2921" s="586"/>
      <c r="D2921" s="587"/>
      <c r="E2921" s="591"/>
      <c r="G2921" s="593"/>
    </row>
    <row r="2922" spans="1:7">
      <c r="A2922" s="584"/>
      <c r="B2922" s="585"/>
      <c r="C2922" s="586"/>
      <c r="D2922" s="587"/>
      <c r="E2922" s="591"/>
      <c r="G2922" s="593"/>
    </row>
    <row r="2923" spans="1:7">
      <c r="A2923" s="584"/>
      <c r="B2923" s="585"/>
      <c r="C2923" s="586"/>
      <c r="D2923" s="587"/>
      <c r="E2923" s="591"/>
      <c r="G2923" s="593"/>
    </row>
    <row r="2924" spans="1:7">
      <c r="A2924" s="584"/>
      <c r="B2924" s="585"/>
      <c r="C2924" s="586"/>
      <c r="D2924" s="587"/>
      <c r="E2924" s="591"/>
      <c r="G2924" s="593"/>
    </row>
    <row r="2925" spans="1:7">
      <c r="A2925" s="584"/>
      <c r="B2925" s="585"/>
      <c r="C2925" s="586"/>
      <c r="D2925" s="587"/>
      <c r="E2925" s="591"/>
      <c r="G2925" s="593"/>
    </row>
    <row r="2926" spans="1:7">
      <c r="A2926" s="584"/>
      <c r="B2926" s="585"/>
      <c r="C2926" s="586"/>
      <c r="D2926" s="587"/>
      <c r="E2926" s="591"/>
      <c r="G2926" s="593"/>
    </row>
    <row r="2927" spans="1:7">
      <c r="A2927" s="584"/>
      <c r="B2927" s="585"/>
      <c r="C2927" s="586"/>
      <c r="D2927" s="587"/>
      <c r="E2927" s="591"/>
      <c r="G2927" s="593"/>
    </row>
    <row r="2928" spans="1:7">
      <c r="A2928" s="584"/>
      <c r="B2928" s="585"/>
      <c r="C2928" s="586"/>
      <c r="D2928" s="587"/>
      <c r="E2928" s="591"/>
      <c r="G2928" s="593"/>
    </row>
    <row r="2929" spans="1:7">
      <c r="A2929" s="584"/>
      <c r="B2929" s="585"/>
      <c r="C2929" s="586"/>
      <c r="D2929" s="587"/>
      <c r="E2929" s="591"/>
      <c r="G2929" s="593"/>
    </row>
    <row r="2930" spans="1:7">
      <c r="A2930" s="584"/>
      <c r="B2930" s="585"/>
      <c r="C2930" s="586"/>
      <c r="D2930" s="587"/>
      <c r="E2930" s="591"/>
      <c r="G2930" s="593"/>
    </row>
    <row r="2931" spans="1:7">
      <c r="A2931" s="584"/>
      <c r="B2931" s="585"/>
      <c r="C2931" s="586"/>
      <c r="D2931" s="587"/>
      <c r="E2931" s="591"/>
      <c r="G2931" s="593"/>
    </row>
    <row r="2932" spans="1:7">
      <c r="A2932" s="584"/>
      <c r="B2932" s="585"/>
      <c r="C2932" s="586"/>
      <c r="D2932" s="587"/>
      <c r="E2932" s="591"/>
      <c r="G2932" s="593"/>
    </row>
    <row r="2933" spans="1:7">
      <c r="A2933" s="584"/>
      <c r="B2933" s="585"/>
      <c r="C2933" s="586"/>
      <c r="D2933" s="587"/>
      <c r="E2933" s="591"/>
      <c r="G2933" s="593"/>
    </row>
    <row r="2934" spans="1:7">
      <c r="A2934" s="584"/>
      <c r="B2934" s="585"/>
      <c r="C2934" s="586"/>
      <c r="D2934" s="587"/>
      <c r="E2934" s="591"/>
      <c r="G2934" s="593"/>
    </row>
    <row r="2935" spans="1:7">
      <c r="A2935" s="584"/>
      <c r="B2935" s="585"/>
      <c r="C2935" s="586"/>
      <c r="D2935" s="587"/>
      <c r="E2935" s="591"/>
      <c r="G2935" s="593"/>
    </row>
    <row r="2936" spans="1:7">
      <c r="A2936" s="584"/>
      <c r="B2936" s="585"/>
      <c r="C2936" s="586"/>
      <c r="D2936" s="587"/>
      <c r="E2936" s="591"/>
      <c r="G2936" s="593"/>
    </row>
    <row r="2937" spans="1:7">
      <c r="A2937" s="584"/>
      <c r="B2937" s="585"/>
      <c r="C2937" s="586"/>
      <c r="D2937" s="587"/>
      <c r="E2937" s="591"/>
      <c r="G2937" s="593"/>
    </row>
    <row r="2938" spans="1:7">
      <c r="A2938" s="584"/>
      <c r="B2938" s="585"/>
      <c r="C2938" s="586"/>
      <c r="D2938" s="587"/>
      <c r="E2938" s="591"/>
      <c r="G2938" s="593"/>
    </row>
    <row r="2939" spans="1:7">
      <c r="A2939" s="584"/>
      <c r="B2939" s="585"/>
      <c r="C2939" s="586"/>
      <c r="D2939" s="587"/>
      <c r="E2939" s="591"/>
      <c r="G2939" s="593"/>
    </row>
    <row r="2940" spans="1:7">
      <c r="A2940" s="584"/>
      <c r="B2940" s="585"/>
      <c r="C2940" s="586"/>
      <c r="D2940" s="587"/>
      <c r="E2940" s="591"/>
      <c r="G2940" s="593"/>
    </row>
    <row r="2941" spans="1:7">
      <c r="A2941" s="584"/>
      <c r="B2941" s="585"/>
      <c r="C2941" s="586"/>
      <c r="D2941" s="587"/>
      <c r="E2941" s="591"/>
      <c r="G2941" s="593"/>
    </row>
    <row r="2942" spans="1:7">
      <c r="A2942" s="584"/>
      <c r="B2942" s="585"/>
      <c r="C2942" s="586"/>
      <c r="D2942" s="587"/>
      <c r="E2942" s="591"/>
      <c r="G2942" s="593"/>
    </row>
    <row r="2943" spans="1:7">
      <c r="A2943" s="584"/>
      <c r="B2943" s="585"/>
      <c r="C2943" s="586"/>
      <c r="D2943" s="587"/>
      <c r="E2943" s="591"/>
      <c r="G2943" s="593"/>
    </row>
    <row r="2944" spans="1:7">
      <c r="A2944" s="584"/>
      <c r="B2944" s="585"/>
      <c r="C2944" s="586"/>
      <c r="D2944" s="587"/>
      <c r="E2944" s="591"/>
      <c r="G2944" s="593"/>
    </row>
    <row r="2945" spans="1:7">
      <c r="A2945" s="584"/>
      <c r="B2945" s="585"/>
      <c r="C2945" s="586"/>
      <c r="D2945" s="587"/>
      <c r="E2945" s="591"/>
      <c r="G2945" s="593"/>
    </row>
    <row r="2946" spans="1:7">
      <c r="A2946" s="584"/>
      <c r="B2946" s="585"/>
      <c r="C2946" s="586"/>
      <c r="D2946" s="587"/>
      <c r="E2946" s="591"/>
      <c r="G2946" s="593"/>
    </row>
    <row r="2947" spans="1:7">
      <c r="A2947" s="584"/>
      <c r="B2947" s="585"/>
      <c r="C2947" s="586"/>
      <c r="D2947" s="587"/>
      <c r="E2947" s="591"/>
      <c r="G2947" s="593"/>
    </row>
    <row r="2948" spans="1:7">
      <c r="A2948" s="584"/>
      <c r="B2948" s="585"/>
      <c r="C2948" s="586"/>
      <c r="D2948" s="587"/>
      <c r="E2948" s="591"/>
      <c r="G2948" s="593"/>
    </row>
    <row r="2949" spans="1:7">
      <c r="A2949" s="584"/>
      <c r="B2949" s="585"/>
      <c r="C2949" s="586"/>
      <c r="D2949" s="587"/>
      <c r="E2949" s="591"/>
      <c r="G2949" s="593"/>
    </row>
    <row r="2950" spans="1:7">
      <c r="A2950" s="584"/>
      <c r="B2950" s="585"/>
      <c r="C2950" s="586"/>
      <c r="D2950" s="587"/>
      <c r="E2950" s="591"/>
      <c r="G2950" s="593"/>
    </row>
    <row r="2951" spans="1:7">
      <c r="A2951" s="584"/>
      <c r="B2951" s="585"/>
      <c r="C2951" s="586"/>
      <c r="D2951" s="587"/>
      <c r="E2951" s="591"/>
      <c r="G2951" s="593"/>
    </row>
    <row r="2952" spans="1:7">
      <c r="A2952" s="584"/>
      <c r="B2952" s="585"/>
      <c r="C2952" s="586"/>
      <c r="D2952" s="587"/>
      <c r="E2952" s="591"/>
      <c r="G2952" s="593"/>
    </row>
    <row r="2953" spans="1:7">
      <c r="A2953" s="584"/>
      <c r="B2953" s="585"/>
      <c r="C2953" s="586"/>
      <c r="D2953" s="587"/>
      <c r="E2953" s="591"/>
      <c r="G2953" s="593"/>
    </row>
    <row r="2954" spans="1:7">
      <c r="A2954" s="584"/>
      <c r="B2954" s="585"/>
      <c r="C2954" s="586"/>
      <c r="D2954" s="587"/>
      <c r="E2954" s="591"/>
      <c r="G2954" s="593"/>
    </row>
    <row r="2955" spans="1:7">
      <c r="A2955" s="584"/>
      <c r="B2955" s="585"/>
      <c r="C2955" s="586"/>
      <c r="D2955" s="587"/>
      <c r="E2955" s="591"/>
      <c r="G2955" s="593"/>
    </row>
    <row r="2956" spans="1:7">
      <c r="A2956" s="584"/>
      <c r="B2956" s="585"/>
      <c r="C2956" s="586"/>
      <c r="D2956" s="587"/>
      <c r="E2956" s="591"/>
      <c r="G2956" s="593"/>
    </row>
    <row r="2957" spans="1:7">
      <c r="A2957" s="584"/>
      <c r="B2957" s="585"/>
      <c r="C2957" s="586"/>
      <c r="D2957" s="587"/>
      <c r="E2957" s="591"/>
      <c r="G2957" s="593"/>
    </row>
    <row r="2958" spans="1:7">
      <c r="A2958" s="584"/>
      <c r="B2958" s="585"/>
      <c r="C2958" s="586"/>
      <c r="D2958" s="587"/>
      <c r="E2958" s="591"/>
      <c r="G2958" s="593"/>
    </row>
    <row r="2959" spans="1:7">
      <c r="A2959" s="584"/>
      <c r="B2959" s="585"/>
      <c r="C2959" s="586"/>
      <c r="D2959" s="587"/>
      <c r="E2959" s="591"/>
      <c r="G2959" s="593"/>
    </row>
    <row r="2960" spans="1:7">
      <c r="A2960" s="584"/>
      <c r="B2960" s="585"/>
      <c r="C2960" s="586"/>
      <c r="D2960" s="587"/>
      <c r="E2960" s="591"/>
      <c r="G2960" s="593"/>
    </row>
    <row r="2961" spans="1:7">
      <c r="A2961" s="584"/>
      <c r="B2961" s="585"/>
      <c r="C2961" s="586"/>
      <c r="D2961" s="587"/>
      <c r="E2961" s="591"/>
      <c r="G2961" s="593"/>
    </row>
    <row r="2962" spans="1:7">
      <c r="A2962" s="584"/>
      <c r="B2962" s="585"/>
      <c r="C2962" s="586"/>
      <c r="D2962" s="587"/>
      <c r="E2962" s="591"/>
      <c r="G2962" s="593"/>
    </row>
    <row r="2963" spans="1:7">
      <c r="A2963" s="584"/>
      <c r="B2963" s="585"/>
      <c r="C2963" s="586"/>
      <c r="D2963" s="587"/>
      <c r="E2963" s="591"/>
      <c r="G2963" s="593"/>
    </row>
    <row r="2964" spans="1:7">
      <c r="A2964" s="584"/>
      <c r="B2964" s="585"/>
      <c r="C2964" s="586"/>
      <c r="D2964" s="587"/>
      <c r="E2964" s="591"/>
      <c r="G2964" s="593"/>
    </row>
    <row r="2965" spans="1:7">
      <c r="A2965" s="584"/>
      <c r="B2965" s="585"/>
      <c r="C2965" s="586"/>
      <c r="D2965" s="587"/>
      <c r="E2965" s="591"/>
      <c r="G2965" s="593"/>
    </row>
    <row r="2966" spans="1:7">
      <c r="A2966" s="584"/>
      <c r="B2966" s="585"/>
      <c r="C2966" s="586"/>
      <c r="D2966" s="587"/>
      <c r="E2966" s="591"/>
      <c r="G2966" s="593"/>
    </row>
    <row r="2967" spans="1:7">
      <c r="A2967" s="584"/>
      <c r="B2967" s="585"/>
      <c r="C2967" s="586"/>
      <c r="D2967" s="587"/>
      <c r="E2967" s="591"/>
      <c r="G2967" s="593"/>
    </row>
    <row r="2968" spans="1:7">
      <c r="A2968" s="584"/>
      <c r="B2968" s="585"/>
      <c r="C2968" s="586"/>
      <c r="D2968" s="587"/>
      <c r="E2968" s="591"/>
      <c r="G2968" s="593"/>
    </row>
    <row r="2969" spans="1:7">
      <c r="A2969" s="584"/>
      <c r="B2969" s="585"/>
      <c r="C2969" s="586"/>
      <c r="D2969" s="587"/>
      <c r="E2969" s="591"/>
      <c r="G2969" s="593"/>
    </row>
    <row r="2970" spans="1:7">
      <c r="A2970" s="584"/>
      <c r="B2970" s="585"/>
      <c r="C2970" s="586"/>
      <c r="D2970" s="587"/>
      <c r="E2970" s="591"/>
      <c r="G2970" s="593"/>
    </row>
    <row r="2971" spans="1:7">
      <c r="A2971" s="584"/>
      <c r="B2971" s="585"/>
      <c r="C2971" s="586"/>
      <c r="D2971" s="587"/>
      <c r="E2971" s="591"/>
      <c r="G2971" s="593"/>
    </row>
    <row r="2972" spans="1:7">
      <c r="A2972" s="584"/>
      <c r="B2972" s="585"/>
      <c r="C2972" s="586"/>
      <c r="D2972" s="587"/>
      <c r="E2972" s="591"/>
      <c r="G2972" s="593"/>
    </row>
    <row r="2973" spans="1:7">
      <c r="A2973" s="584"/>
      <c r="B2973" s="585"/>
      <c r="C2973" s="586"/>
      <c r="D2973" s="587"/>
      <c r="E2973" s="591"/>
      <c r="G2973" s="593"/>
    </row>
    <row r="2974" spans="1:7">
      <c r="A2974" s="584"/>
      <c r="B2974" s="585"/>
      <c r="C2974" s="586"/>
      <c r="D2974" s="587"/>
      <c r="E2974" s="591"/>
      <c r="G2974" s="593"/>
    </row>
    <row r="2975" spans="1:7">
      <c r="A2975" s="584"/>
      <c r="B2975" s="585"/>
      <c r="C2975" s="586"/>
      <c r="D2975" s="587"/>
      <c r="E2975" s="591"/>
      <c r="G2975" s="593"/>
    </row>
    <row r="2976" spans="1:7">
      <c r="A2976" s="584"/>
      <c r="B2976" s="585"/>
      <c r="C2976" s="586"/>
      <c r="D2976" s="587"/>
      <c r="E2976" s="591"/>
      <c r="G2976" s="593"/>
    </row>
    <row r="2977" spans="1:7">
      <c r="A2977" s="584"/>
      <c r="B2977" s="585"/>
      <c r="C2977" s="586"/>
      <c r="D2977" s="587"/>
      <c r="E2977" s="591"/>
      <c r="G2977" s="593"/>
    </row>
    <row r="2978" spans="1:7">
      <c r="A2978" s="584"/>
      <c r="B2978" s="585"/>
      <c r="C2978" s="586"/>
      <c r="D2978" s="587"/>
      <c r="E2978" s="591"/>
      <c r="G2978" s="593"/>
    </row>
    <row r="2979" spans="1:7">
      <c r="A2979" s="584"/>
      <c r="B2979" s="585"/>
      <c r="C2979" s="586"/>
      <c r="D2979" s="587"/>
      <c r="E2979" s="591"/>
      <c r="G2979" s="593"/>
    </row>
    <row r="2980" spans="1:7">
      <c r="A2980" s="584"/>
      <c r="B2980" s="585"/>
      <c r="C2980" s="586"/>
      <c r="D2980" s="587"/>
      <c r="E2980" s="591"/>
      <c r="G2980" s="593"/>
    </row>
    <row r="2981" spans="1:7">
      <c r="A2981" s="584"/>
      <c r="B2981" s="585"/>
      <c r="C2981" s="586"/>
      <c r="D2981" s="587"/>
      <c r="E2981" s="591"/>
      <c r="G2981" s="593"/>
    </row>
    <row r="2982" spans="1:7">
      <c r="A2982" s="584"/>
      <c r="B2982" s="585"/>
      <c r="C2982" s="586"/>
      <c r="D2982" s="587"/>
      <c r="E2982" s="591"/>
      <c r="G2982" s="593"/>
    </row>
    <row r="2983" spans="1:7">
      <c r="A2983" s="584"/>
      <c r="B2983" s="585"/>
      <c r="C2983" s="586"/>
      <c r="D2983" s="587"/>
      <c r="E2983" s="591"/>
      <c r="G2983" s="593"/>
    </row>
    <row r="2984" spans="1:7">
      <c r="A2984" s="584"/>
      <c r="B2984" s="585"/>
      <c r="C2984" s="586"/>
      <c r="D2984" s="587"/>
      <c r="E2984" s="591"/>
      <c r="G2984" s="593"/>
    </row>
    <row r="2985" spans="1:7">
      <c r="A2985" s="584"/>
      <c r="B2985" s="585"/>
      <c r="C2985" s="586"/>
      <c r="D2985" s="587"/>
      <c r="E2985" s="591"/>
      <c r="G2985" s="593"/>
    </row>
    <row r="2986" spans="1:7">
      <c r="A2986" s="584"/>
      <c r="B2986" s="585"/>
      <c r="C2986" s="586"/>
      <c r="D2986" s="587"/>
      <c r="E2986" s="591"/>
      <c r="G2986" s="593"/>
    </row>
    <row r="2987" spans="1:7">
      <c r="A2987" s="584"/>
      <c r="B2987" s="585"/>
      <c r="C2987" s="586"/>
      <c r="D2987" s="587"/>
      <c r="E2987" s="591"/>
      <c r="G2987" s="593"/>
    </row>
    <row r="2988" spans="1:7">
      <c r="A2988" s="584"/>
      <c r="B2988" s="585"/>
      <c r="C2988" s="586"/>
      <c r="D2988" s="587"/>
      <c r="E2988" s="591"/>
      <c r="G2988" s="593"/>
    </row>
    <row r="2989" spans="1:7">
      <c r="A2989" s="584"/>
      <c r="B2989" s="585"/>
      <c r="C2989" s="586"/>
      <c r="D2989" s="587"/>
      <c r="E2989" s="591"/>
      <c r="G2989" s="593"/>
    </row>
    <row r="2990" spans="1:7">
      <c r="A2990" s="584"/>
      <c r="B2990" s="585"/>
      <c r="C2990" s="586"/>
      <c r="D2990" s="587"/>
      <c r="E2990" s="591"/>
      <c r="G2990" s="593"/>
    </row>
    <row r="2991" spans="1:7">
      <c r="A2991" s="584"/>
      <c r="B2991" s="585"/>
      <c r="C2991" s="586"/>
      <c r="D2991" s="587"/>
      <c r="E2991" s="591"/>
      <c r="G2991" s="593"/>
    </row>
    <row r="2992" spans="1:7">
      <c r="A2992" s="584"/>
      <c r="B2992" s="585"/>
      <c r="C2992" s="586"/>
      <c r="D2992" s="587"/>
      <c r="E2992" s="591"/>
      <c r="G2992" s="593"/>
    </row>
    <row r="2993" spans="1:7">
      <c r="A2993" s="584"/>
      <c r="B2993" s="585"/>
      <c r="C2993" s="586"/>
      <c r="D2993" s="587"/>
      <c r="E2993" s="591"/>
      <c r="G2993" s="593"/>
    </row>
    <row r="2994" spans="1:7">
      <c r="A2994" s="584"/>
      <c r="B2994" s="585"/>
      <c r="C2994" s="586"/>
      <c r="D2994" s="587"/>
      <c r="E2994" s="591"/>
      <c r="G2994" s="593"/>
    </row>
    <row r="2995" spans="1:7">
      <c r="A2995" s="584"/>
      <c r="B2995" s="585"/>
      <c r="C2995" s="586"/>
      <c r="D2995" s="587"/>
      <c r="E2995" s="591"/>
      <c r="G2995" s="593"/>
    </row>
    <row r="2996" spans="1:7">
      <c r="A2996" s="584"/>
      <c r="B2996" s="585"/>
      <c r="C2996" s="586"/>
      <c r="D2996" s="587"/>
      <c r="E2996" s="591"/>
      <c r="G2996" s="593"/>
    </row>
    <row r="2997" spans="1:7">
      <c r="A2997" s="584"/>
      <c r="B2997" s="585"/>
      <c r="C2997" s="586"/>
      <c r="D2997" s="587"/>
      <c r="E2997" s="591"/>
      <c r="G2997" s="593"/>
    </row>
    <row r="2998" spans="1:7">
      <c r="A2998" s="584"/>
      <c r="B2998" s="585"/>
      <c r="C2998" s="586"/>
      <c r="D2998" s="587"/>
      <c r="E2998" s="591"/>
      <c r="G2998" s="593"/>
    </row>
    <row r="2999" spans="1:7">
      <c r="A2999" s="584"/>
      <c r="B2999" s="585"/>
      <c r="C2999" s="586"/>
      <c r="D2999" s="587"/>
      <c r="E2999" s="591"/>
      <c r="G2999" s="593"/>
    </row>
    <row r="3000" spans="1:7">
      <c r="A3000" s="584"/>
      <c r="B3000" s="585"/>
      <c r="C3000" s="586"/>
      <c r="D3000" s="587"/>
      <c r="E3000" s="591"/>
      <c r="G3000" s="593"/>
    </row>
    <row r="3001" spans="1:7">
      <c r="A3001" s="584"/>
      <c r="B3001" s="585"/>
      <c r="C3001" s="586"/>
      <c r="D3001" s="587"/>
      <c r="E3001" s="591"/>
      <c r="G3001" s="593"/>
    </row>
    <row r="3002" spans="1:7">
      <c r="A3002" s="584"/>
      <c r="B3002" s="585"/>
      <c r="C3002" s="586"/>
      <c r="D3002" s="587"/>
      <c r="E3002" s="591"/>
      <c r="G3002" s="593"/>
    </row>
    <row r="3003" spans="1:7">
      <c r="A3003" s="584"/>
      <c r="B3003" s="585"/>
      <c r="C3003" s="586"/>
      <c r="D3003" s="587"/>
      <c r="E3003" s="591"/>
      <c r="G3003" s="593"/>
    </row>
    <row r="3004" spans="1:7">
      <c r="A3004" s="584"/>
      <c r="B3004" s="585"/>
      <c r="C3004" s="586"/>
      <c r="D3004" s="587"/>
      <c r="E3004" s="591"/>
      <c r="G3004" s="593"/>
    </row>
    <row r="3005" spans="1:7">
      <c r="A3005" s="584"/>
      <c r="B3005" s="585"/>
      <c r="C3005" s="586"/>
      <c r="D3005" s="587"/>
      <c r="E3005" s="591"/>
      <c r="G3005" s="593"/>
    </row>
    <row r="3006" spans="1:7">
      <c r="A3006" s="584"/>
      <c r="B3006" s="585"/>
      <c r="C3006" s="586"/>
      <c r="D3006" s="587"/>
      <c r="E3006" s="591"/>
      <c r="G3006" s="593"/>
    </row>
    <row r="3007" spans="1:7">
      <c r="A3007" s="584"/>
      <c r="B3007" s="585"/>
      <c r="C3007" s="586"/>
      <c r="D3007" s="587"/>
      <c r="E3007" s="591"/>
      <c r="G3007" s="593"/>
    </row>
    <row r="3008" spans="1:7">
      <c r="A3008" s="584"/>
      <c r="B3008" s="585"/>
      <c r="C3008" s="586"/>
      <c r="D3008" s="587"/>
      <c r="E3008" s="591"/>
      <c r="G3008" s="593"/>
    </row>
    <row r="3009" spans="1:7">
      <c r="A3009" s="584"/>
      <c r="B3009" s="585"/>
      <c r="C3009" s="586"/>
      <c r="D3009" s="587"/>
      <c r="E3009" s="591"/>
      <c r="G3009" s="593"/>
    </row>
    <row r="3010" spans="1:7">
      <c r="A3010" s="584"/>
      <c r="B3010" s="585"/>
      <c r="C3010" s="586"/>
      <c r="D3010" s="587"/>
      <c r="E3010" s="591"/>
      <c r="G3010" s="593"/>
    </row>
    <row r="3011" spans="1:7">
      <c r="A3011" s="584"/>
      <c r="B3011" s="585"/>
      <c r="C3011" s="586"/>
      <c r="D3011" s="587"/>
      <c r="E3011" s="591"/>
      <c r="G3011" s="593"/>
    </row>
    <row r="3012" spans="1:7">
      <c r="A3012" s="584"/>
      <c r="B3012" s="585"/>
      <c r="C3012" s="586"/>
      <c r="D3012" s="587"/>
      <c r="E3012" s="591"/>
      <c r="G3012" s="593"/>
    </row>
    <row r="3013" spans="1:7">
      <c r="A3013" s="584"/>
      <c r="B3013" s="585"/>
      <c r="C3013" s="586"/>
      <c r="D3013" s="587"/>
      <c r="E3013" s="591"/>
      <c r="G3013" s="593"/>
    </row>
    <row r="3014" spans="1:7">
      <c r="A3014" s="584"/>
      <c r="B3014" s="585"/>
      <c r="C3014" s="586"/>
      <c r="D3014" s="587"/>
      <c r="E3014" s="591"/>
      <c r="G3014" s="593"/>
    </row>
    <row r="3015" spans="1:7">
      <c r="A3015" s="584"/>
      <c r="B3015" s="585"/>
      <c r="C3015" s="586"/>
      <c r="D3015" s="587"/>
      <c r="E3015" s="591"/>
      <c r="G3015" s="593"/>
    </row>
    <row r="3016" spans="1:7">
      <c r="A3016" s="584"/>
      <c r="B3016" s="585"/>
      <c r="C3016" s="586"/>
      <c r="D3016" s="587"/>
      <c r="E3016" s="591"/>
      <c r="G3016" s="593"/>
    </row>
    <row r="3017" spans="1:7">
      <c r="A3017" s="584"/>
      <c r="B3017" s="585"/>
      <c r="C3017" s="586"/>
      <c r="D3017" s="587"/>
      <c r="E3017" s="591"/>
      <c r="G3017" s="593"/>
    </row>
    <row r="3018" spans="1:7">
      <c r="A3018" s="584"/>
      <c r="B3018" s="585"/>
      <c r="C3018" s="586"/>
      <c r="D3018" s="587"/>
      <c r="E3018" s="591"/>
      <c r="G3018" s="593"/>
    </row>
    <row r="3019" spans="1:7">
      <c r="A3019" s="584"/>
      <c r="B3019" s="585"/>
      <c r="C3019" s="586"/>
      <c r="D3019" s="587"/>
      <c r="E3019" s="591"/>
      <c r="G3019" s="593"/>
    </row>
    <row r="3020" spans="1:7">
      <c r="A3020" s="584"/>
      <c r="B3020" s="585"/>
      <c r="C3020" s="586"/>
      <c r="D3020" s="587"/>
      <c r="E3020" s="591"/>
      <c r="G3020" s="593"/>
    </row>
    <row r="3021" spans="1:7">
      <c r="A3021" s="584"/>
      <c r="B3021" s="585"/>
      <c r="C3021" s="586"/>
      <c r="D3021" s="587"/>
      <c r="E3021" s="591"/>
      <c r="G3021" s="593"/>
    </row>
    <row r="3022" spans="1:7">
      <c r="A3022" s="584"/>
      <c r="B3022" s="585"/>
      <c r="C3022" s="586"/>
      <c r="D3022" s="587"/>
      <c r="E3022" s="591"/>
      <c r="G3022" s="593"/>
    </row>
    <row r="3023" spans="1:7">
      <c r="A3023" s="584"/>
      <c r="B3023" s="585"/>
      <c r="C3023" s="586"/>
      <c r="D3023" s="587"/>
      <c r="E3023" s="591"/>
      <c r="G3023" s="593"/>
    </row>
    <row r="3024" spans="1:7">
      <c r="A3024" s="584"/>
      <c r="B3024" s="585"/>
      <c r="C3024" s="586"/>
      <c r="D3024" s="587"/>
      <c r="E3024" s="591"/>
      <c r="G3024" s="593"/>
    </row>
    <row r="3025" spans="1:7">
      <c r="A3025" s="584"/>
      <c r="B3025" s="585"/>
      <c r="C3025" s="586"/>
      <c r="D3025" s="587"/>
      <c r="E3025" s="591"/>
      <c r="G3025" s="593"/>
    </row>
    <row r="3026" spans="1:7">
      <c r="A3026" s="584"/>
      <c r="B3026" s="585"/>
      <c r="C3026" s="586"/>
      <c r="D3026" s="587"/>
      <c r="E3026" s="591"/>
      <c r="G3026" s="593"/>
    </row>
    <row r="3027" spans="1:7">
      <c r="A3027" s="584"/>
      <c r="B3027" s="585"/>
      <c r="C3027" s="586"/>
      <c r="D3027" s="587"/>
      <c r="E3027" s="591"/>
      <c r="G3027" s="593"/>
    </row>
    <row r="3028" spans="1:7">
      <c r="A3028" s="584"/>
      <c r="B3028" s="585"/>
      <c r="C3028" s="586"/>
      <c r="D3028" s="587"/>
      <c r="E3028" s="591"/>
      <c r="G3028" s="593"/>
    </row>
    <row r="3029" spans="1:7">
      <c r="A3029" s="584"/>
      <c r="B3029" s="585"/>
      <c r="C3029" s="586"/>
      <c r="D3029" s="587"/>
      <c r="E3029" s="591"/>
      <c r="G3029" s="593"/>
    </row>
    <row r="3030" spans="1:7">
      <c r="A3030" s="584"/>
      <c r="B3030" s="585"/>
      <c r="C3030" s="586"/>
      <c r="D3030" s="587"/>
      <c r="E3030" s="591"/>
      <c r="G3030" s="593"/>
    </row>
    <row r="3031" spans="1:7">
      <c r="A3031" s="584"/>
      <c r="B3031" s="585"/>
      <c r="C3031" s="586"/>
      <c r="D3031" s="587"/>
      <c r="E3031" s="591"/>
      <c r="G3031" s="593"/>
    </row>
    <row r="3032" spans="1:7">
      <c r="A3032" s="584"/>
      <c r="B3032" s="585"/>
      <c r="C3032" s="586"/>
      <c r="D3032" s="587"/>
      <c r="E3032" s="591"/>
      <c r="G3032" s="593"/>
    </row>
    <row r="3033" spans="1:7">
      <c r="A3033" s="584"/>
      <c r="B3033" s="585"/>
      <c r="C3033" s="586"/>
      <c r="D3033" s="587"/>
      <c r="E3033" s="591"/>
      <c r="G3033" s="593"/>
    </row>
    <row r="3034" spans="1:7">
      <c r="A3034" s="584"/>
      <c r="B3034" s="585"/>
      <c r="C3034" s="586"/>
      <c r="D3034" s="587"/>
      <c r="E3034" s="591"/>
      <c r="G3034" s="593"/>
    </row>
    <row r="3035" spans="1:7">
      <c r="A3035" s="584"/>
      <c r="B3035" s="585"/>
      <c r="C3035" s="586"/>
      <c r="D3035" s="587"/>
      <c r="E3035" s="591"/>
      <c r="G3035" s="593"/>
    </row>
    <row r="3036" spans="1:7">
      <c r="A3036" s="584"/>
      <c r="B3036" s="585"/>
      <c r="C3036" s="586"/>
      <c r="D3036" s="587"/>
      <c r="E3036" s="591"/>
      <c r="G3036" s="593"/>
    </row>
    <row r="3037" spans="1:7">
      <c r="A3037" s="584"/>
      <c r="B3037" s="585"/>
      <c r="C3037" s="586"/>
      <c r="D3037" s="587"/>
      <c r="E3037" s="591"/>
      <c r="G3037" s="593"/>
    </row>
    <row r="3038" spans="1:7">
      <c r="A3038" s="584"/>
      <c r="B3038" s="585"/>
      <c r="C3038" s="586"/>
      <c r="D3038" s="587"/>
      <c r="E3038" s="591"/>
      <c r="G3038" s="593"/>
    </row>
    <row r="3039" spans="1:7">
      <c r="A3039" s="584"/>
      <c r="B3039" s="585"/>
      <c r="C3039" s="586"/>
      <c r="D3039" s="587"/>
      <c r="E3039" s="591"/>
      <c r="G3039" s="593"/>
    </row>
    <row r="3040" spans="1:7">
      <c r="A3040" s="584"/>
      <c r="B3040" s="585"/>
      <c r="C3040" s="586"/>
      <c r="D3040" s="587"/>
      <c r="E3040" s="591"/>
      <c r="G3040" s="593"/>
    </row>
    <row r="3041" spans="1:7">
      <c r="A3041" s="584"/>
      <c r="B3041" s="585"/>
      <c r="C3041" s="586"/>
      <c r="D3041" s="587"/>
      <c r="E3041" s="591"/>
      <c r="G3041" s="593"/>
    </row>
    <row r="3042" spans="1:7">
      <c r="A3042" s="584"/>
      <c r="B3042" s="585"/>
      <c r="C3042" s="586"/>
      <c r="D3042" s="587"/>
      <c r="E3042" s="591"/>
      <c r="G3042" s="593"/>
    </row>
    <row r="3043" spans="1:7">
      <c r="A3043" s="584"/>
      <c r="B3043" s="585"/>
      <c r="C3043" s="586"/>
      <c r="D3043" s="587"/>
      <c r="E3043" s="591"/>
      <c r="G3043" s="593"/>
    </row>
    <row r="3044" spans="1:7">
      <c r="A3044" s="584"/>
      <c r="B3044" s="585"/>
      <c r="C3044" s="586"/>
      <c r="D3044" s="587"/>
      <c r="E3044" s="591"/>
      <c r="G3044" s="593"/>
    </row>
    <row r="3045" spans="1:7">
      <c r="A3045" s="584"/>
      <c r="B3045" s="585"/>
      <c r="C3045" s="586"/>
      <c r="D3045" s="587"/>
      <c r="E3045" s="591"/>
      <c r="G3045" s="593"/>
    </row>
    <row r="3046" spans="1:7">
      <c r="A3046" s="584"/>
      <c r="B3046" s="585"/>
      <c r="C3046" s="586"/>
      <c r="D3046" s="587"/>
      <c r="E3046" s="591"/>
      <c r="G3046" s="593"/>
    </row>
    <row r="3047" spans="1:7">
      <c r="A3047" s="584"/>
      <c r="B3047" s="585"/>
      <c r="C3047" s="586"/>
      <c r="D3047" s="587"/>
      <c r="E3047" s="591"/>
      <c r="G3047" s="593"/>
    </row>
    <row r="3048" spans="1:7">
      <c r="A3048" s="584"/>
      <c r="B3048" s="585"/>
      <c r="C3048" s="586"/>
      <c r="D3048" s="587"/>
      <c r="E3048" s="591"/>
      <c r="G3048" s="593"/>
    </row>
    <row r="3049" spans="1:7">
      <c r="A3049" s="584"/>
      <c r="B3049" s="585"/>
      <c r="C3049" s="586"/>
      <c r="D3049" s="587"/>
      <c r="E3049" s="591"/>
      <c r="G3049" s="593"/>
    </row>
    <row r="3050" spans="1:7">
      <c r="A3050" s="584"/>
      <c r="B3050" s="585"/>
      <c r="C3050" s="586"/>
      <c r="D3050" s="587"/>
      <c r="E3050" s="591"/>
      <c r="G3050" s="593"/>
    </row>
    <row r="3051" spans="1:7">
      <c r="A3051" s="584"/>
      <c r="B3051" s="585"/>
      <c r="C3051" s="586"/>
      <c r="D3051" s="587"/>
      <c r="E3051" s="591"/>
      <c r="G3051" s="593"/>
    </row>
    <row r="3052" spans="1:7">
      <c r="A3052" s="584"/>
      <c r="B3052" s="585"/>
      <c r="C3052" s="586"/>
      <c r="D3052" s="587"/>
      <c r="E3052" s="591"/>
      <c r="G3052" s="593"/>
    </row>
    <row r="3053" spans="1:7">
      <c r="A3053" s="584"/>
      <c r="B3053" s="585"/>
      <c r="C3053" s="586"/>
      <c r="D3053" s="587"/>
      <c r="E3053" s="591"/>
      <c r="G3053" s="593"/>
    </row>
    <row r="3054" spans="1:7">
      <c r="A3054" s="584"/>
      <c r="B3054" s="585"/>
      <c r="C3054" s="586"/>
      <c r="D3054" s="587"/>
      <c r="E3054" s="591"/>
      <c r="G3054" s="593"/>
    </row>
    <row r="3055" spans="1:7">
      <c r="A3055" s="584"/>
      <c r="B3055" s="585"/>
      <c r="C3055" s="586"/>
      <c r="D3055" s="587"/>
      <c r="E3055" s="591"/>
      <c r="G3055" s="593"/>
    </row>
    <row r="3056" spans="1:7">
      <c r="A3056" s="584"/>
      <c r="B3056" s="585"/>
      <c r="C3056" s="586"/>
      <c r="D3056" s="587"/>
      <c r="E3056" s="591"/>
      <c r="G3056" s="593"/>
    </row>
    <row r="3057" spans="1:7">
      <c r="A3057" s="584"/>
      <c r="B3057" s="585"/>
      <c r="C3057" s="586"/>
      <c r="D3057" s="587"/>
      <c r="E3057" s="591"/>
      <c r="G3057" s="593"/>
    </row>
    <row r="3058" spans="1:7">
      <c r="A3058" s="584"/>
      <c r="B3058" s="585"/>
      <c r="C3058" s="586"/>
      <c r="D3058" s="587"/>
      <c r="E3058" s="591"/>
      <c r="G3058" s="593"/>
    </row>
    <row r="3059" spans="1:7">
      <c r="A3059" s="584"/>
      <c r="B3059" s="585"/>
      <c r="C3059" s="586"/>
      <c r="D3059" s="587"/>
      <c r="E3059" s="591"/>
      <c r="G3059" s="593"/>
    </row>
    <row r="3060" spans="1:7">
      <c r="A3060" s="584"/>
      <c r="B3060" s="585"/>
      <c r="C3060" s="586"/>
      <c r="D3060" s="587"/>
      <c r="E3060" s="591"/>
      <c r="G3060" s="593"/>
    </row>
    <row r="3061" spans="1:7">
      <c r="A3061" s="584"/>
      <c r="B3061" s="585"/>
      <c r="C3061" s="586"/>
      <c r="D3061" s="587"/>
      <c r="E3061" s="591"/>
      <c r="G3061" s="593"/>
    </row>
    <row r="3062" spans="1:7">
      <c r="A3062" s="584"/>
      <c r="B3062" s="585"/>
      <c r="C3062" s="586"/>
      <c r="D3062" s="587"/>
      <c r="E3062" s="591"/>
      <c r="G3062" s="593"/>
    </row>
    <row r="3063" spans="1:7">
      <c r="A3063" s="584"/>
      <c r="B3063" s="585"/>
      <c r="C3063" s="586"/>
      <c r="D3063" s="587"/>
      <c r="E3063" s="591"/>
      <c r="G3063" s="593"/>
    </row>
    <row r="3064" spans="1:7">
      <c r="A3064" s="584"/>
      <c r="B3064" s="585"/>
      <c r="C3064" s="586"/>
      <c r="D3064" s="587"/>
      <c r="E3064" s="591"/>
      <c r="G3064" s="593"/>
    </row>
    <row r="3065" spans="1:7">
      <c r="A3065" s="584"/>
      <c r="B3065" s="585"/>
      <c r="C3065" s="586"/>
      <c r="D3065" s="587"/>
      <c r="E3065" s="591"/>
      <c r="G3065" s="593"/>
    </row>
    <row r="3066" spans="1:7">
      <c r="A3066" s="584"/>
      <c r="B3066" s="585"/>
      <c r="C3066" s="586"/>
      <c r="D3066" s="587"/>
      <c r="E3066" s="591"/>
      <c r="G3066" s="593"/>
    </row>
    <row r="3067" spans="1:7">
      <c r="A3067" s="584"/>
      <c r="B3067" s="585"/>
      <c r="C3067" s="586"/>
      <c r="D3067" s="587"/>
      <c r="E3067" s="591"/>
      <c r="G3067" s="593"/>
    </row>
    <row r="3068" spans="1:7">
      <c r="A3068" s="584"/>
      <c r="B3068" s="585"/>
      <c r="C3068" s="586"/>
      <c r="D3068" s="587"/>
      <c r="E3068" s="591"/>
      <c r="G3068" s="593"/>
    </row>
    <row r="3069" spans="1:7">
      <c r="A3069" s="584"/>
      <c r="B3069" s="585"/>
      <c r="C3069" s="586"/>
      <c r="D3069" s="587"/>
      <c r="E3069" s="591"/>
      <c r="G3069" s="593"/>
    </row>
    <row r="3070" spans="1:7">
      <c r="A3070" s="584"/>
      <c r="B3070" s="585"/>
      <c r="C3070" s="586"/>
      <c r="D3070" s="587"/>
      <c r="E3070" s="591"/>
      <c r="G3070" s="593"/>
    </row>
    <row r="3071" spans="1:7">
      <c r="A3071" s="584"/>
      <c r="B3071" s="585"/>
      <c r="C3071" s="586"/>
      <c r="D3071" s="587"/>
      <c r="E3071" s="591"/>
      <c r="G3071" s="593"/>
    </row>
    <row r="3072" spans="1:7">
      <c r="A3072" s="584"/>
      <c r="B3072" s="585"/>
      <c r="C3072" s="586"/>
      <c r="D3072" s="587"/>
      <c r="E3072" s="591"/>
      <c r="G3072" s="593"/>
    </row>
    <row r="3073" spans="1:7">
      <c r="A3073" s="584"/>
      <c r="B3073" s="585"/>
      <c r="C3073" s="586"/>
      <c r="D3073" s="587"/>
      <c r="E3073" s="591"/>
      <c r="G3073" s="593"/>
    </row>
    <row r="3074" spans="1:7">
      <c r="A3074" s="584"/>
      <c r="B3074" s="585"/>
      <c r="C3074" s="586"/>
      <c r="D3074" s="587"/>
      <c r="E3074" s="591"/>
      <c r="G3074" s="593"/>
    </row>
    <row r="3075" spans="1:7">
      <c r="A3075" s="584"/>
      <c r="B3075" s="585"/>
      <c r="C3075" s="586"/>
      <c r="D3075" s="587"/>
      <c r="E3075" s="591"/>
      <c r="G3075" s="593"/>
    </row>
    <row r="3076" spans="1:7">
      <c r="A3076" s="584"/>
      <c r="B3076" s="585"/>
      <c r="C3076" s="586"/>
      <c r="D3076" s="587"/>
      <c r="E3076" s="591"/>
      <c r="G3076" s="593"/>
    </row>
    <row r="3077" spans="1:7">
      <c r="A3077" s="584"/>
      <c r="B3077" s="585"/>
      <c r="C3077" s="586"/>
      <c r="D3077" s="587"/>
      <c r="E3077" s="591"/>
      <c r="G3077" s="593"/>
    </row>
    <row r="3078" spans="1:7">
      <c r="A3078" s="584"/>
      <c r="B3078" s="585"/>
      <c r="C3078" s="586"/>
      <c r="D3078" s="587"/>
      <c r="E3078" s="591"/>
      <c r="G3078" s="593"/>
    </row>
    <row r="3079" spans="1:7">
      <c r="A3079" s="584"/>
      <c r="B3079" s="585"/>
      <c r="C3079" s="586"/>
      <c r="D3079" s="587"/>
      <c r="E3079" s="591"/>
      <c r="G3079" s="593"/>
    </row>
    <row r="3080" spans="1:7">
      <c r="A3080" s="584"/>
      <c r="B3080" s="585"/>
      <c r="C3080" s="586"/>
      <c r="D3080" s="587"/>
      <c r="E3080" s="591"/>
      <c r="G3080" s="593"/>
    </row>
    <row r="3081" spans="1:7">
      <c r="A3081" s="584"/>
      <c r="B3081" s="585"/>
      <c r="C3081" s="586"/>
      <c r="D3081" s="587"/>
      <c r="E3081" s="591"/>
      <c r="G3081" s="593"/>
    </row>
    <row r="3082" spans="1:7">
      <c r="A3082" s="584"/>
      <c r="B3082" s="585"/>
      <c r="C3082" s="586"/>
      <c r="D3082" s="587"/>
      <c r="E3082" s="591"/>
      <c r="G3082" s="593"/>
    </row>
    <row r="3083" spans="1:7">
      <c r="A3083" s="584"/>
      <c r="B3083" s="585"/>
      <c r="C3083" s="586"/>
      <c r="D3083" s="587"/>
      <c r="E3083" s="591"/>
      <c r="G3083" s="593"/>
    </row>
    <row r="3084" spans="1:7">
      <c r="A3084" s="584"/>
      <c r="B3084" s="585"/>
      <c r="C3084" s="586"/>
      <c r="D3084" s="587"/>
      <c r="E3084" s="591"/>
      <c r="G3084" s="593"/>
    </row>
    <row r="3085" spans="1:7">
      <c r="A3085" s="584"/>
      <c r="B3085" s="585"/>
      <c r="C3085" s="586"/>
      <c r="D3085" s="587"/>
      <c r="E3085" s="591"/>
      <c r="G3085" s="593"/>
    </row>
    <row r="3086" spans="1:7">
      <c r="A3086" s="584"/>
      <c r="B3086" s="585"/>
      <c r="C3086" s="586"/>
      <c r="D3086" s="587"/>
      <c r="E3086" s="591"/>
      <c r="G3086" s="593"/>
    </row>
    <row r="3087" spans="1:7">
      <c r="A3087" s="584"/>
      <c r="B3087" s="585"/>
      <c r="C3087" s="586"/>
      <c r="D3087" s="587"/>
      <c r="E3087" s="591"/>
      <c r="G3087" s="593"/>
    </row>
    <row r="3088" spans="1:7">
      <c r="A3088" s="584"/>
      <c r="B3088" s="585"/>
      <c r="C3088" s="586"/>
      <c r="D3088" s="587"/>
      <c r="E3088" s="591"/>
      <c r="G3088" s="593"/>
    </row>
    <row r="3089" spans="1:7">
      <c r="A3089" s="584"/>
      <c r="B3089" s="585"/>
      <c r="C3089" s="586"/>
      <c r="D3089" s="587"/>
      <c r="E3089" s="591"/>
      <c r="G3089" s="593"/>
    </row>
    <row r="3090" spans="1:7">
      <c r="A3090" s="584"/>
      <c r="B3090" s="585"/>
      <c r="C3090" s="586"/>
      <c r="D3090" s="587"/>
      <c r="E3090" s="591"/>
      <c r="G3090" s="593"/>
    </row>
    <row r="3091" spans="1:7">
      <c r="A3091" s="584"/>
      <c r="B3091" s="585"/>
      <c r="C3091" s="586"/>
      <c r="D3091" s="587"/>
      <c r="E3091" s="591"/>
      <c r="G3091" s="593"/>
    </row>
    <row r="3092" spans="1:7">
      <c r="A3092" s="584"/>
      <c r="B3092" s="585"/>
      <c r="C3092" s="586"/>
      <c r="D3092" s="587"/>
      <c r="E3092" s="591"/>
      <c r="G3092" s="593"/>
    </row>
    <row r="3093" spans="1:7">
      <c r="A3093" s="584"/>
      <c r="B3093" s="585"/>
      <c r="C3093" s="586"/>
      <c r="D3093" s="587"/>
      <c r="E3093" s="591"/>
      <c r="G3093" s="593"/>
    </row>
    <row r="3094" spans="1:7">
      <c r="A3094" s="584"/>
      <c r="B3094" s="585"/>
      <c r="C3094" s="586"/>
      <c r="D3094" s="587"/>
      <c r="E3094" s="591"/>
      <c r="G3094" s="593"/>
    </row>
    <row r="3095" spans="1:7">
      <c r="A3095" s="584"/>
      <c r="B3095" s="585"/>
      <c r="C3095" s="586"/>
      <c r="D3095" s="587"/>
      <c r="E3095" s="591"/>
      <c r="G3095" s="593"/>
    </row>
    <row r="3096" spans="1:7">
      <c r="A3096" s="584"/>
      <c r="B3096" s="585"/>
      <c r="C3096" s="586"/>
      <c r="D3096" s="587"/>
      <c r="E3096" s="591"/>
      <c r="G3096" s="593"/>
    </row>
    <row r="3097" spans="1:7">
      <c r="A3097" s="584"/>
      <c r="B3097" s="585"/>
      <c r="C3097" s="586"/>
      <c r="D3097" s="587"/>
      <c r="E3097" s="591"/>
      <c r="G3097" s="593"/>
    </row>
    <row r="3098" spans="1:7">
      <c r="A3098" s="584"/>
      <c r="B3098" s="585"/>
      <c r="C3098" s="586"/>
      <c r="D3098" s="587"/>
      <c r="E3098" s="591"/>
      <c r="G3098" s="593"/>
    </row>
    <row r="3099" spans="1:7">
      <c r="A3099" s="584"/>
      <c r="B3099" s="585"/>
      <c r="C3099" s="586"/>
      <c r="D3099" s="587"/>
      <c r="E3099" s="591"/>
      <c r="G3099" s="593"/>
    </row>
    <row r="3100" spans="1:7">
      <c r="A3100" s="584"/>
      <c r="B3100" s="585"/>
      <c r="C3100" s="586"/>
      <c r="D3100" s="587"/>
      <c r="E3100" s="591"/>
      <c r="G3100" s="593"/>
    </row>
    <row r="3101" spans="1:7">
      <c r="A3101" s="584"/>
      <c r="B3101" s="585"/>
      <c r="C3101" s="586"/>
      <c r="D3101" s="587"/>
      <c r="E3101" s="591"/>
      <c r="G3101" s="593"/>
    </row>
    <row r="3102" spans="1:7">
      <c r="A3102" s="584"/>
      <c r="B3102" s="585"/>
      <c r="C3102" s="586"/>
      <c r="D3102" s="587"/>
      <c r="E3102" s="591"/>
      <c r="G3102" s="593"/>
    </row>
    <row r="3103" spans="1:7">
      <c r="A3103" s="584"/>
      <c r="B3103" s="585"/>
      <c r="C3103" s="586"/>
      <c r="D3103" s="587"/>
      <c r="E3103" s="591"/>
      <c r="G3103" s="593"/>
    </row>
    <row r="3104" spans="1:7">
      <c r="A3104" s="584"/>
      <c r="B3104" s="585"/>
      <c r="C3104" s="586"/>
      <c r="D3104" s="587"/>
      <c r="E3104" s="591"/>
      <c r="G3104" s="593"/>
    </row>
    <row r="3105" spans="1:7">
      <c r="A3105" s="584"/>
      <c r="B3105" s="585"/>
      <c r="C3105" s="586"/>
      <c r="D3105" s="587"/>
      <c r="E3105" s="591"/>
      <c r="G3105" s="593"/>
    </row>
    <row r="3106" spans="1:7">
      <c r="A3106" s="584"/>
      <c r="B3106" s="585"/>
      <c r="C3106" s="586"/>
      <c r="D3106" s="587"/>
      <c r="E3106" s="591"/>
      <c r="G3106" s="593"/>
    </row>
    <row r="3107" spans="1:7">
      <c r="A3107" s="584"/>
      <c r="B3107" s="585"/>
      <c r="C3107" s="586"/>
      <c r="D3107" s="587"/>
      <c r="E3107" s="591"/>
      <c r="G3107" s="593"/>
    </row>
    <row r="3108" spans="1:7">
      <c r="A3108" s="584"/>
      <c r="B3108" s="585"/>
      <c r="C3108" s="586"/>
      <c r="D3108" s="587"/>
      <c r="E3108" s="591"/>
      <c r="G3108" s="593"/>
    </row>
    <row r="3109" spans="1:7">
      <c r="A3109" s="584"/>
      <c r="B3109" s="585"/>
      <c r="C3109" s="586"/>
      <c r="D3109" s="587"/>
      <c r="E3109" s="591"/>
      <c r="G3109" s="593"/>
    </row>
    <row r="3110" spans="1:7">
      <c r="A3110" s="584"/>
      <c r="B3110" s="585"/>
      <c r="C3110" s="586"/>
      <c r="D3110" s="587"/>
      <c r="E3110" s="591"/>
      <c r="G3110" s="593"/>
    </row>
    <row r="3111" spans="1:7">
      <c r="A3111" s="584"/>
      <c r="B3111" s="585"/>
      <c r="C3111" s="586"/>
      <c r="D3111" s="587"/>
      <c r="E3111" s="591"/>
      <c r="G3111" s="593"/>
    </row>
    <row r="3112" spans="1:7">
      <c r="A3112" s="584"/>
      <c r="B3112" s="585"/>
      <c r="C3112" s="586"/>
      <c r="D3112" s="587"/>
      <c r="E3112" s="591"/>
      <c r="G3112" s="593"/>
    </row>
    <row r="3113" spans="1:7">
      <c r="A3113" s="584"/>
      <c r="B3113" s="585"/>
      <c r="C3113" s="586"/>
      <c r="D3113" s="587"/>
      <c r="E3113" s="591"/>
      <c r="G3113" s="593"/>
    </row>
    <row r="3114" spans="1:7">
      <c r="A3114" s="584"/>
      <c r="B3114" s="585"/>
      <c r="C3114" s="586"/>
      <c r="D3114" s="587"/>
      <c r="E3114" s="591"/>
      <c r="G3114" s="593"/>
    </row>
    <row r="3115" spans="1:7">
      <c r="A3115" s="584"/>
      <c r="B3115" s="585"/>
      <c r="C3115" s="586"/>
      <c r="D3115" s="587"/>
      <c r="E3115" s="591"/>
      <c r="G3115" s="593"/>
    </row>
    <row r="3116" spans="1:7">
      <c r="A3116" s="584"/>
      <c r="B3116" s="585"/>
      <c r="C3116" s="586"/>
      <c r="D3116" s="587"/>
      <c r="E3116" s="591"/>
      <c r="G3116" s="593"/>
    </row>
    <row r="3117" spans="1:7">
      <c r="A3117" s="584"/>
      <c r="B3117" s="585"/>
      <c r="C3117" s="586"/>
      <c r="D3117" s="587"/>
      <c r="E3117" s="591"/>
      <c r="G3117" s="593"/>
    </row>
    <row r="3118" spans="1:7">
      <c r="A3118" s="584"/>
      <c r="B3118" s="585"/>
      <c r="C3118" s="586"/>
      <c r="D3118" s="587"/>
      <c r="E3118" s="591"/>
      <c r="G3118" s="593"/>
    </row>
    <row r="3119" spans="1:7">
      <c r="A3119" s="584"/>
      <c r="B3119" s="585"/>
      <c r="C3119" s="586"/>
      <c r="D3119" s="587"/>
      <c r="E3119" s="591"/>
      <c r="G3119" s="593"/>
    </row>
    <row r="3120" spans="1:7">
      <c r="A3120" s="584"/>
      <c r="B3120" s="585"/>
      <c r="C3120" s="586"/>
      <c r="D3120" s="587"/>
      <c r="E3120" s="591"/>
      <c r="G3120" s="593"/>
    </row>
    <row r="3121" spans="1:7">
      <c r="A3121" s="584"/>
      <c r="B3121" s="585"/>
      <c r="C3121" s="586"/>
      <c r="D3121" s="587"/>
      <c r="E3121" s="591"/>
      <c r="G3121" s="593"/>
    </row>
    <row r="3122" spans="1:7">
      <c r="A3122" s="584"/>
      <c r="B3122" s="585"/>
      <c r="C3122" s="586"/>
      <c r="D3122" s="587"/>
      <c r="E3122" s="591"/>
      <c r="G3122" s="593"/>
    </row>
    <row r="3123" spans="1:7">
      <c r="A3123" s="584"/>
      <c r="B3123" s="585"/>
      <c r="C3123" s="586"/>
      <c r="D3123" s="587"/>
      <c r="E3123" s="591"/>
      <c r="G3123" s="593"/>
    </row>
    <row r="3124" spans="1:7">
      <c r="A3124" s="584"/>
      <c r="B3124" s="585"/>
      <c r="C3124" s="586"/>
      <c r="D3124" s="587"/>
      <c r="E3124" s="591"/>
      <c r="G3124" s="593"/>
    </row>
    <row r="3125" spans="1:7">
      <c r="A3125" s="584"/>
      <c r="B3125" s="585"/>
      <c r="C3125" s="586"/>
      <c r="D3125" s="587"/>
      <c r="E3125" s="591"/>
      <c r="G3125" s="593"/>
    </row>
    <row r="3126" spans="1:7">
      <c r="A3126" s="584"/>
      <c r="B3126" s="585"/>
      <c r="C3126" s="586"/>
      <c r="D3126" s="587"/>
      <c r="E3126" s="591"/>
      <c r="G3126" s="593"/>
    </row>
    <row r="3127" spans="1:7">
      <c r="A3127" s="584"/>
      <c r="B3127" s="585"/>
      <c r="C3127" s="586"/>
      <c r="D3127" s="587"/>
      <c r="E3127" s="591"/>
      <c r="G3127" s="593"/>
    </row>
    <row r="3128" spans="1:7">
      <c r="A3128" s="584"/>
      <c r="B3128" s="585"/>
      <c r="C3128" s="586"/>
      <c r="D3128" s="587"/>
      <c r="E3128" s="591"/>
      <c r="G3128" s="593"/>
    </row>
    <row r="3129" spans="1:7">
      <c r="A3129" s="584"/>
      <c r="B3129" s="585"/>
      <c r="C3129" s="586"/>
      <c r="D3129" s="587"/>
      <c r="E3129" s="591"/>
      <c r="G3129" s="593"/>
    </row>
    <row r="3130" spans="1:7">
      <c r="A3130" s="584"/>
      <c r="B3130" s="585"/>
      <c r="C3130" s="586"/>
      <c r="D3130" s="587"/>
      <c r="E3130" s="591"/>
      <c r="G3130" s="593"/>
    </row>
    <row r="3131" spans="1:7">
      <c r="A3131" s="584"/>
      <c r="B3131" s="585"/>
      <c r="C3131" s="586"/>
      <c r="D3131" s="587"/>
      <c r="E3131" s="591"/>
      <c r="G3131" s="593"/>
    </row>
    <row r="3132" spans="1:7">
      <c r="A3132" s="584"/>
      <c r="B3132" s="585"/>
      <c r="C3132" s="586"/>
      <c r="D3132" s="587"/>
      <c r="E3132" s="591"/>
      <c r="G3132" s="593"/>
    </row>
    <row r="3133" spans="1:7">
      <c r="A3133" s="584"/>
      <c r="B3133" s="585"/>
      <c r="C3133" s="586"/>
      <c r="D3133" s="587"/>
      <c r="E3133" s="591"/>
      <c r="G3133" s="593"/>
    </row>
    <row r="3134" spans="1:7">
      <c r="A3134" s="584"/>
      <c r="B3134" s="585"/>
      <c r="C3134" s="586"/>
      <c r="D3134" s="587"/>
      <c r="E3134" s="591"/>
      <c r="G3134" s="593"/>
    </row>
    <row r="3135" spans="1:7">
      <c r="A3135" s="584"/>
      <c r="B3135" s="585"/>
      <c r="C3135" s="586"/>
      <c r="D3135" s="587"/>
      <c r="E3135" s="591"/>
      <c r="G3135" s="593"/>
    </row>
    <row r="3136" spans="1:7">
      <c r="A3136" s="584"/>
      <c r="B3136" s="585"/>
      <c r="C3136" s="586"/>
      <c r="D3136" s="587"/>
      <c r="E3136" s="591"/>
      <c r="G3136" s="593"/>
    </row>
    <row r="3137" spans="1:7">
      <c r="A3137" s="584"/>
      <c r="B3137" s="585"/>
      <c r="C3137" s="586"/>
      <c r="D3137" s="587"/>
      <c r="E3137" s="591"/>
      <c r="G3137" s="593"/>
    </row>
    <row r="3138" spans="1:7">
      <c r="A3138" s="584"/>
      <c r="B3138" s="585"/>
      <c r="C3138" s="586"/>
      <c r="D3138" s="587"/>
      <c r="E3138" s="591"/>
      <c r="G3138" s="593"/>
    </row>
    <row r="3139" spans="1:7">
      <c r="A3139" s="584"/>
      <c r="B3139" s="585"/>
      <c r="C3139" s="586"/>
      <c r="D3139" s="587"/>
      <c r="E3139" s="591"/>
      <c r="G3139" s="593"/>
    </row>
    <row r="3140" spans="1:7">
      <c r="A3140" s="584"/>
      <c r="B3140" s="585"/>
      <c r="C3140" s="586"/>
      <c r="D3140" s="587"/>
      <c r="E3140" s="591"/>
      <c r="G3140" s="593"/>
    </row>
    <row r="3141" spans="1:7">
      <c r="A3141" s="584"/>
      <c r="B3141" s="585"/>
      <c r="C3141" s="586"/>
      <c r="D3141" s="587"/>
      <c r="E3141" s="591"/>
      <c r="G3141" s="593"/>
    </row>
    <row r="3142" spans="1:7">
      <c r="A3142" s="584"/>
      <c r="B3142" s="585"/>
      <c r="C3142" s="586"/>
      <c r="D3142" s="587"/>
      <c r="E3142" s="591"/>
      <c r="G3142" s="593"/>
    </row>
    <row r="3143" spans="1:7">
      <c r="A3143" s="584"/>
      <c r="B3143" s="585"/>
      <c r="C3143" s="586"/>
      <c r="D3143" s="587"/>
      <c r="E3143" s="591"/>
      <c r="G3143" s="593"/>
    </row>
    <row r="3144" spans="1:7">
      <c r="A3144" s="584"/>
      <c r="B3144" s="585"/>
      <c r="C3144" s="586"/>
      <c r="D3144" s="587"/>
      <c r="E3144" s="591"/>
      <c r="G3144" s="593"/>
    </row>
    <row r="3145" spans="1:7">
      <c r="A3145" s="584"/>
      <c r="B3145" s="585"/>
      <c r="C3145" s="586"/>
      <c r="D3145" s="587"/>
      <c r="E3145" s="591"/>
      <c r="G3145" s="593"/>
    </row>
    <row r="3146" spans="1:7">
      <c r="A3146" s="584"/>
      <c r="B3146" s="585"/>
      <c r="C3146" s="586"/>
      <c r="D3146" s="587"/>
      <c r="E3146" s="591"/>
      <c r="G3146" s="593"/>
    </row>
    <row r="3147" spans="1:7">
      <c r="A3147" s="584"/>
      <c r="B3147" s="585"/>
      <c r="C3147" s="586"/>
      <c r="D3147" s="587"/>
      <c r="E3147" s="591"/>
      <c r="G3147" s="593"/>
    </row>
    <row r="3148" spans="1:7">
      <c r="A3148" s="584"/>
      <c r="B3148" s="585"/>
      <c r="C3148" s="586"/>
      <c r="D3148" s="587"/>
      <c r="E3148" s="591"/>
      <c r="G3148" s="593"/>
    </row>
    <row r="3149" spans="1:7">
      <c r="A3149" s="584"/>
      <c r="B3149" s="585"/>
      <c r="C3149" s="586"/>
      <c r="D3149" s="587"/>
      <c r="E3149" s="591"/>
      <c r="G3149" s="593"/>
    </row>
    <row r="3150" spans="1:7">
      <c r="A3150" s="584"/>
      <c r="B3150" s="585"/>
      <c r="C3150" s="586"/>
      <c r="D3150" s="587"/>
      <c r="E3150" s="591"/>
      <c r="G3150" s="593"/>
    </row>
    <row r="3151" spans="1:7">
      <c r="A3151" s="584"/>
      <c r="B3151" s="585"/>
      <c r="C3151" s="586"/>
      <c r="D3151" s="587"/>
      <c r="E3151" s="591"/>
      <c r="G3151" s="593"/>
    </row>
    <row r="3152" spans="1:7">
      <c r="A3152" s="584"/>
      <c r="B3152" s="585"/>
      <c r="C3152" s="586"/>
      <c r="D3152" s="587"/>
      <c r="E3152" s="591"/>
      <c r="G3152" s="593"/>
    </row>
    <row r="3153" spans="1:7">
      <c r="A3153" s="584"/>
      <c r="B3153" s="585"/>
      <c r="C3153" s="586"/>
      <c r="D3153" s="587"/>
      <c r="E3153" s="591"/>
      <c r="G3153" s="593"/>
    </row>
    <row r="3154" spans="1:7">
      <c r="A3154" s="584"/>
      <c r="B3154" s="585"/>
      <c r="C3154" s="586"/>
      <c r="D3154" s="587"/>
      <c r="E3154" s="591"/>
      <c r="G3154" s="593"/>
    </row>
    <row r="3155" spans="1:7">
      <c r="A3155" s="584"/>
      <c r="B3155" s="585"/>
      <c r="C3155" s="586"/>
      <c r="D3155" s="587"/>
      <c r="E3155" s="591"/>
      <c r="G3155" s="593"/>
    </row>
    <row r="3156" spans="1:7">
      <c r="A3156" s="584"/>
      <c r="B3156" s="585"/>
      <c r="C3156" s="586"/>
      <c r="D3156" s="587"/>
      <c r="E3156" s="591"/>
      <c r="G3156" s="593"/>
    </row>
    <row r="3157" spans="1:7">
      <c r="A3157" s="584"/>
      <c r="B3157" s="585"/>
      <c r="C3157" s="586"/>
      <c r="D3157" s="587"/>
      <c r="E3157" s="591"/>
      <c r="G3157" s="593"/>
    </row>
    <row r="3158" spans="1:7">
      <c r="A3158" s="584"/>
      <c r="B3158" s="585"/>
      <c r="C3158" s="586"/>
      <c r="D3158" s="587"/>
      <c r="E3158" s="591"/>
      <c r="G3158" s="593"/>
    </row>
    <row r="3159" spans="1:7">
      <c r="A3159" s="584"/>
      <c r="B3159" s="585"/>
      <c r="C3159" s="586"/>
      <c r="D3159" s="587"/>
      <c r="E3159" s="591"/>
      <c r="G3159" s="593"/>
    </row>
    <row r="3160" spans="1:7">
      <c r="A3160" s="584"/>
      <c r="B3160" s="585"/>
      <c r="C3160" s="586"/>
      <c r="D3160" s="587"/>
      <c r="E3160" s="591"/>
      <c r="G3160" s="593"/>
    </row>
    <row r="3161" spans="1:7">
      <c r="A3161" s="584"/>
      <c r="B3161" s="585"/>
      <c r="C3161" s="586"/>
      <c r="D3161" s="587"/>
      <c r="E3161" s="591"/>
      <c r="G3161" s="593"/>
    </row>
    <row r="3162" spans="1:7">
      <c r="A3162" s="584"/>
      <c r="B3162" s="585"/>
      <c r="C3162" s="586"/>
      <c r="D3162" s="587"/>
      <c r="E3162" s="591"/>
      <c r="G3162" s="593"/>
    </row>
    <row r="3163" spans="1:7">
      <c r="A3163" s="584"/>
      <c r="B3163" s="585"/>
      <c r="C3163" s="586"/>
      <c r="D3163" s="587"/>
      <c r="E3163" s="591"/>
      <c r="G3163" s="593"/>
    </row>
    <row r="3164" spans="1:7">
      <c r="A3164" s="584"/>
      <c r="B3164" s="585"/>
      <c r="C3164" s="586"/>
      <c r="D3164" s="587"/>
      <c r="E3164" s="591"/>
      <c r="G3164" s="593"/>
    </row>
    <row r="3165" spans="1:7">
      <c r="A3165" s="584"/>
      <c r="B3165" s="585"/>
      <c r="C3165" s="586"/>
      <c r="D3165" s="587"/>
      <c r="E3165" s="591"/>
      <c r="G3165" s="593"/>
    </row>
    <row r="3166" spans="1:7">
      <c r="A3166" s="584"/>
      <c r="B3166" s="585"/>
      <c r="C3166" s="586"/>
      <c r="D3166" s="587"/>
      <c r="E3166" s="591"/>
      <c r="G3166" s="593"/>
    </row>
    <row r="3167" spans="1:7">
      <c r="A3167" s="584"/>
      <c r="B3167" s="585"/>
      <c r="C3167" s="586"/>
      <c r="D3167" s="587"/>
      <c r="E3167" s="591"/>
      <c r="G3167" s="593"/>
    </row>
    <row r="3168" spans="1:7">
      <c r="A3168" s="584"/>
      <c r="B3168" s="585"/>
      <c r="C3168" s="586"/>
      <c r="D3168" s="587"/>
      <c r="E3168" s="591"/>
      <c r="G3168" s="593"/>
    </row>
    <row r="3169" spans="1:7">
      <c r="A3169" s="584"/>
      <c r="B3169" s="585"/>
      <c r="C3169" s="586"/>
      <c r="D3169" s="587"/>
      <c r="E3169" s="591"/>
      <c r="G3169" s="593"/>
    </row>
    <row r="3170" spans="1:7">
      <c r="A3170" s="584"/>
      <c r="B3170" s="585"/>
      <c r="C3170" s="586"/>
      <c r="D3170" s="587"/>
      <c r="E3170" s="591"/>
      <c r="G3170" s="593"/>
    </row>
    <row r="3171" spans="1:7">
      <c r="A3171" s="584"/>
      <c r="B3171" s="585"/>
      <c r="C3171" s="586"/>
      <c r="D3171" s="587"/>
      <c r="E3171" s="591"/>
      <c r="G3171" s="593"/>
    </row>
    <row r="3172" spans="1:7">
      <c r="A3172" s="584"/>
      <c r="B3172" s="585"/>
      <c r="C3172" s="586"/>
      <c r="D3172" s="587"/>
      <c r="E3172" s="591"/>
      <c r="G3172" s="593"/>
    </row>
    <row r="3173" spans="1:7">
      <c r="A3173" s="584"/>
      <c r="B3173" s="585"/>
      <c r="C3173" s="586"/>
      <c r="D3173" s="587"/>
      <c r="E3173" s="591"/>
      <c r="G3173" s="593"/>
    </row>
    <row r="3174" spans="1:7">
      <c r="A3174" s="584"/>
      <c r="B3174" s="585"/>
      <c r="C3174" s="586"/>
      <c r="D3174" s="587"/>
      <c r="E3174" s="591"/>
      <c r="G3174" s="593"/>
    </row>
    <row r="3175" spans="1:7">
      <c r="A3175" s="584"/>
      <c r="B3175" s="585"/>
      <c r="C3175" s="586"/>
      <c r="D3175" s="587"/>
      <c r="E3175" s="591"/>
      <c r="G3175" s="593"/>
    </row>
    <row r="3176" spans="1:7">
      <c r="A3176" s="584"/>
      <c r="B3176" s="585"/>
      <c r="C3176" s="586"/>
      <c r="D3176" s="587"/>
      <c r="E3176" s="591"/>
      <c r="G3176" s="593"/>
    </row>
    <row r="3177" spans="1:7">
      <c r="A3177" s="584"/>
      <c r="B3177" s="585"/>
      <c r="C3177" s="586"/>
      <c r="D3177" s="587"/>
      <c r="E3177" s="591"/>
      <c r="G3177" s="593"/>
    </row>
    <row r="3178" spans="1:7">
      <c r="A3178" s="584"/>
      <c r="B3178" s="585"/>
      <c r="C3178" s="586"/>
      <c r="D3178" s="587"/>
      <c r="E3178" s="591"/>
      <c r="G3178" s="593"/>
    </row>
    <row r="3179" spans="1:7">
      <c r="A3179" s="584"/>
      <c r="B3179" s="585"/>
      <c r="C3179" s="586"/>
      <c r="D3179" s="587"/>
      <c r="E3179" s="591"/>
      <c r="G3179" s="593"/>
    </row>
    <row r="3180" spans="1:7">
      <c r="A3180" s="584"/>
      <c r="B3180" s="585"/>
      <c r="C3180" s="586"/>
      <c r="D3180" s="587"/>
      <c r="E3180" s="591"/>
      <c r="G3180" s="593"/>
    </row>
    <row r="3181" spans="1:7">
      <c r="A3181" s="584"/>
      <c r="B3181" s="585"/>
      <c r="C3181" s="586"/>
      <c r="D3181" s="587"/>
      <c r="E3181" s="591"/>
      <c r="G3181" s="593"/>
    </row>
    <row r="3182" spans="1:7">
      <c r="A3182" s="584"/>
      <c r="B3182" s="585"/>
      <c r="C3182" s="586"/>
      <c r="D3182" s="587"/>
      <c r="E3182" s="591"/>
      <c r="G3182" s="593"/>
    </row>
    <row r="3183" spans="1:7">
      <c r="A3183" s="584"/>
      <c r="B3183" s="585"/>
      <c r="C3183" s="586"/>
      <c r="D3183" s="587"/>
      <c r="E3183" s="591"/>
      <c r="G3183" s="593"/>
    </row>
    <row r="3184" spans="1:7">
      <c r="A3184" s="584"/>
      <c r="B3184" s="585"/>
      <c r="C3184" s="586"/>
      <c r="D3184" s="587"/>
      <c r="E3184" s="591"/>
      <c r="G3184" s="593"/>
    </row>
    <row r="3185" spans="1:7">
      <c r="A3185" s="584"/>
      <c r="B3185" s="585"/>
      <c r="C3185" s="586"/>
      <c r="D3185" s="587"/>
      <c r="E3185" s="591"/>
      <c r="G3185" s="593"/>
    </row>
    <row r="3186" spans="1:7">
      <c r="A3186" s="584"/>
      <c r="B3186" s="585"/>
      <c r="C3186" s="586"/>
      <c r="D3186" s="587"/>
      <c r="E3186" s="591"/>
      <c r="G3186" s="593"/>
    </row>
    <row r="3187" spans="1:7">
      <c r="A3187" s="584"/>
      <c r="B3187" s="585"/>
      <c r="C3187" s="586"/>
      <c r="D3187" s="587"/>
      <c r="E3187" s="591"/>
      <c r="G3187" s="593"/>
    </row>
    <row r="3188" spans="1:7">
      <c r="A3188" s="584"/>
      <c r="B3188" s="585"/>
      <c r="C3188" s="586"/>
      <c r="D3188" s="587"/>
      <c r="E3188" s="591"/>
      <c r="G3188" s="593"/>
    </row>
    <row r="3189" spans="1:7">
      <c r="A3189" s="584"/>
      <c r="B3189" s="585"/>
      <c r="C3189" s="586"/>
      <c r="D3189" s="587"/>
      <c r="E3189" s="591"/>
      <c r="G3189" s="593"/>
    </row>
    <row r="3190" spans="1:7">
      <c r="A3190" s="584"/>
      <c r="B3190" s="585"/>
      <c r="C3190" s="586"/>
      <c r="D3190" s="587"/>
      <c r="E3190" s="591"/>
      <c r="G3190" s="593"/>
    </row>
    <row r="3191" spans="1:7">
      <c r="A3191" s="584"/>
      <c r="B3191" s="585"/>
      <c r="C3191" s="586"/>
      <c r="D3191" s="587"/>
      <c r="E3191" s="591"/>
      <c r="G3191" s="593"/>
    </row>
    <row r="3192" spans="1:7">
      <c r="A3192" s="584"/>
      <c r="B3192" s="585"/>
      <c r="C3192" s="586"/>
      <c r="D3192" s="587"/>
      <c r="E3192" s="591"/>
      <c r="G3192" s="593"/>
    </row>
    <row r="3193" spans="1:7">
      <c r="A3193" s="584"/>
      <c r="B3193" s="585"/>
      <c r="C3193" s="586"/>
      <c r="D3193" s="587"/>
      <c r="E3193" s="591"/>
      <c r="G3193" s="593"/>
    </row>
    <row r="3194" spans="1:7">
      <c r="A3194" s="584"/>
      <c r="B3194" s="585"/>
      <c r="C3194" s="586"/>
      <c r="D3194" s="587"/>
      <c r="E3194" s="591"/>
      <c r="G3194" s="593"/>
    </row>
    <row r="3195" spans="1:7">
      <c r="A3195" s="584"/>
      <c r="B3195" s="585"/>
      <c r="C3195" s="586"/>
      <c r="D3195" s="587"/>
      <c r="E3195" s="591"/>
      <c r="G3195" s="593"/>
    </row>
    <row r="3196" spans="1:7">
      <c r="A3196" s="584"/>
      <c r="B3196" s="585"/>
      <c r="C3196" s="586"/>
      <c r="D3196" s="587"/>
      <c r="E3196" s="591"/>
      <c r="G3196" s="593"/>
    </row>
    <row r="3197" spans="1:7">
      <c r="A3197" s="584"/>
      <c r="B3197" s="585"/>
      <c r="C3197" s="586"/>
      <c r="D3197" s="587"/>
      <c r="E3197" s="591"/>
      <c r="G3197" s="593"/>
    </row>
    <row r="3198" spans="1:7">
      <c r="A3198" s="584"/>
      <c r="B3198" s="585"/>
      <c r="C3198" s="586"/>
      <c r="D3198" s="587"/>
      <c r="E3198" s="591"/>
      <c r="G3198" s="593"/>
    </row>
    <row r="3199" spans="1:7">
      <c r="A3199" s="584"/>
      <c r="B3199" s="585"/>
      <c r="C3199" s="586"/>
      <c r="D3199" s="587"/>
      <c r="E3199" s="591"/>
      <c r="G3199" s="593"/>
    </row>
    <row r="3200" spans="1:7">
      <c r="A3200" s="584"/>
      <c r="B3200" s="585"/>
      <c r="C3200" s="586"/>
      <c r="D3200" s="587"/>
      <c r="E3200" s="591"/>
      <c r="G3200" s="593"/>
    </row>
    <row r="3201" spans="1:7">
      <c r="A3201" s="584"/>
      <c r="B3201" s="585"/>
      <c r="C3201" s="586"/>
      <c r="D3201" s="587"/>
      <c r="E3201" s="591"/>
      <c r="G3201" s="593"/>
    </row>
    <row r="3202" spans="1:7">
      <c r="A3202" s="584"/>
      <c r="B3202" s="585"/>
      <c r="C3202" s="586"/>
      <c r="D3202" s="587"/>
      <c r="E3202" s="591"/>
      <c r="G3202" s="593"/>
    </row>
    <row r="3203" spans="1:7">
      <c r="A3203" s="584"/>
      <c r="B3203" s="585"/>
      <c r="C3203" s="586"/>
      <c r="D3203" s="587"/>
      <c r="E3203" s="591"/>
      <c r="G3203" s="593"/>
    </row>
    <row r="3204" spans="1:7">
      <c r="A3204" s="584"/>
      <c r="B3204" s="585"/>
      <c r="C3204" s="586"/>
      <c r="D3204" s="587"/>
      <c r="E3204" s="591"/>
      <c r="G3204" s="593"/>
    </row>
    <row r="3205" spans="1:7">
      <c r="A3205" s="584"/>
      <c r="B3205" s="585"/>
      <c r="C3205" s="586"/>
      <c r="D3205" s="587"/>
      <c r="E3205" s="591"/>
      <c r="G3205" s="593"/>
    </row>
    <row r="3206" spans="1:7">
      <c r="A3206" s="584"/>
      <c r="B3206" s="585"/>
      <c r="C3206" s="586"/>
      <c r="D3206" s="587"/>
      <c r="E3206" s="591"/>
      <c r="G3206" s="593"/>
    </row>
    <row r="3207" spans="1:7">
      <c r="A3207" s="584"/>
      <c r="B3207" s="585"/>
      <c r="C3207" s="586"/>
      <c r="D3207" s="587"/>
      <c r="E3207" s="591"/>
      <c r="G3207" s="593"/>
    </row>
    <row r="3208" spans="1:7">
      <c r="A3208" s="584"/>
      <c r="B3208" s="585"/>
      <c r="C3208" s="586"/>
      <c r="D3208" s="587"/>
      <c r="E3208" s="591"/>
      <c r="G3208" s="593"/>
    </row>
    <row r="3209" spans="1:7">
      <c r="A3209" s="584"/>
      <c r="B3209" s="585"/>
      <c r="C3209" s="586"/>
      <c r="D3209" s="587"/>
      <c r="E3209" s="591"/>
      <c r="G3209" s="593"/>
    </row>
    <row r="3210" spans="1:7">
      <c r="A3210" s="584"/>
      <c r="B3210" s="585"/>
      <c r="C3210" s="586"/>
      <c r="D3210" s="587"/>
      <c r="E3210" s="591"/>
      <c r="G3210" s="593"/>
    </row>
    <row r="3211" spans="1:7">
      <c r="A3211" s="584"/>
      <c r="B3211" s="585"/>
      <c r="C3211" s="586"/>
      <c r="D3211" s="587"/>
      <c r="E3211" s="591"/>
      <c r="G3211" s="593"/>
    </row>
    <row r="3212" spans="1:7">
      <c r="A3212" s="584"/>
      <c r="B3212" s="585"/>
      <c r="C3212" s="586"/>
      <c r="D3212" s="587"/>
      <c r="E3212" s="591"/>
      <c r="G3212" s="593"/>
    </row>
    <row r="3213" spans="1:7">
      <c r="A3213" s="584"/>
      <c r="B3213" s="585"/>
      <c r="C3213" s="586"/>
      <c r="D3213" s="587"/>
      <c r="E3213" s="591"/>
      <c r="G3213" s="593"/>
    </row>
    <row r="3214" spans="1:7">
      <c r="A3214" s="584"/>
      <c r="B3214" s="585"/>
      <c r="C3214" s="586"/>
      <c r="D3214" s="587"/>
      <c r="E3214" s="591"/>
      <c r="G3214" s="593"/>
    </row>
    <row r="3215" spans="1:7">
      <c r="A3215" s="584"/>
      <c r="B3215" s="585"/>
      <c r="C3215" s="586"/>
      <c r="D3215" s="587"/>
      <c r="E3215" s="591"/>
      <c r="G3215" s="593"/>
    </row>
    <row r="3216" spans="1:7">
      <c r="A3216" s="584"/>
      <c r="B3216" s="585"/>
      <c r="C3216" s="586"/>
      <c r="D3216" s="587"/>
      <c r="E3216" s="591"/>
      <c r="G3216" s="593"/>
    </row>
    <row r="3217" spans="1:7">
      <c r="A3217" s="584"/>
      <c r="B3217" s="585"/>
      <c r="C3217" s="586"/>
      <c r="D3217" s="587"/>
      <c r="E3217" s="591"/>
      <c r="G3217" s="593"/>
    </row>
    <row r="3218" spans="1:7">
      <c r="A3218" s="584"/>
      <c r="B3218" s="585"/>
      <c r="C3218" s="586"/>
      <c r="D3218" s="587"/>
      <c r="E3218" s="591"/>
      <c r="G3218" s="593"/>
    </row>
    <row r="3219" spans="1:7">
      <c r="A3219" s="584"/>
      <c r="B3219" s="585"/>
      <c r="C3219" s="586"/>
      <c r="D3219" s="587"/>
      <c r="E3219" s="591"/>
      <c r="G3219" s="593"/>
    </row>
    <row r="3220" spans="1:7">
      <c r="A3220" s="584"/>
      <c r="B3220" s="585"/>
      <c r="C3220" s="586"/>
      <c r="D3220" s="587"/>
      <c r="E3220" s="591"/>
      <c r="G3220" s="593"/>
    </row>
    <row r="3221" spans="1:7">
      <c r="A3221" s="584"/>
      <c r="B3221" s="585"/>
      <c r="C3221" s="586"/>
      <c r="D3221" s="587"/>
      <c r="E3221" s="591"/>
      <c r="G3221" s="593"/>
    </row>
    <row r="3222" spans="1:7">
      <c r="A3222" s="584"/>
      <c r="B3222" s="585"/>
      <c r="C3222" s="586"/>
      <c r="D3222" s="587"/>
      <c r="E3222" s="591"/>
      <c r="G3222" s="593"/>
    </row>
    <row r="3223" spans="1:7">
      <c r="A3223" s="584"/>
      <c r="B3223" s="585"/>
      <c r="C3223" s="586"/>
      <c r="D3223" s="587"/>
      <c r="E3223" s="591"/>
      <c r="G3223" s="593"/>
    </row>
    <row r="3224" spans="1:7">
      <c r="A3224" s="584"/>
      <c r="B3224" s="585"/>
      <c r="C3224" s="586"/>
      <c r="D3224" s="587"/>
      <c r="E3224" s="591"/>
      <c r="G3224" s="593"/>
    </row>
    <row r="3225" spans="1:7">
      <c r="A3225" s="584"/>
      <c r="B3225" s="585"/>
      <c r="C3225" s="586"/>
      <c r="D3225" s="587"/>
      <c r="E3225" s="591"/>
      <c r="G3225" s="593"/>
    </row>
    <row r="3226" spans="1:7">
      <c r="A3226" s="584"/>
      <c r="B3226" s="585"/>
      <c r="C3226" s="586"/>
      <c r="D3226" s="587"/>
      <c r="E3226" s="591"/>
      <c r="G3226" s="593"/>
    </row>
    <row r="3227" spans="1:7">
      <c r="A3227" s="584"/>
      <c r="B3227" s="585"/>
      <c r="C3227" s="586"/>
      <c r="D3227" s="587"/>
      <c r="E3227" s="591"/>
      <c r="G3227" s="593"/>
    </row>
    <row r="3228" spans="1:7">
      <c r="A3228" s="584"/>
      <c r="B3228" s="585"/>
      <c r="C3228" s="586"/>
      <c r="D3228" s="587"/>
      <c r="E3228" s="591"/>
      <c r="G3228" s="593"/>
    </row>
    <row r="3229" spans="1:7">
      <c r="A3229" s="584"/>
      <c r="B3229" s="585"/>
      <c r="C3229" s="586"/>
      <c r="D3229" s="587"/>
      <c r="E3229" s="591"/>
      <c r="G3229" s="593"/>
    </row>
    <row r="3230" spans="1:7">
      <c r="A3230" s="584"/>
      <c r="B3230" s="585"/>
      <c r="C3230" s="586"/>
      <c r="D3230" s="587"/>
      <c r="E3230" s="591"/>
      <c r="G3230" s="593"/>
    </row>
    <row r="3231" spans="1:7">
      <c r="A3231" s="584"/>
      <c r="B3231" s="585"/>
      <c r="C3231" s="586"/>
      <c r="D3231" s="587"/>
      <c r="E3231" s="591"/>
      <c r="G3231" s="593"/>
    </row>
    <row r="3232" spans="1:7">
      <c r="A3232" s="584"/>
      <c r="B3232" s="585"/>
      <c r="C3232" s="586"/>
      <c r="D3232" s="587"/>
      <c r="E3232" s="591"/>
      <c r="G3232" s="593"/>
    </row>
    <row r="3233" spans="1:7">
      <c r="A3233" s="584"/>
      <c r="B3233" s="585"/>
      <c r="C3233" s="586"/>
      <c r="D3233" s="587"/>
      <c r="E3233" s="591"/>
      <c r="G3233" s="593"/>
    </row>
    <row r="3234" spans="1:7">
      <c r="A3234" s="584"/>
      <c r="B3234" s="585"/>
      <c r="C3234" s="586"/>
      <c r="D3234" s="587"/>
      <c r="E3234" s="591"/>
      <c r="G3234" s="593"/>
    </row>
    <row r="3235" spans="1:7">
      <c r="A3235" s="584"/>
      <c r="B3235" s="585"/>
      <c r="C3235" s="586"/>
      <c r="D3235" s="587"/>
      <c r="E3235" s="591"/>
      <c r="G3235" s="593"/>
    </row>
    <row r="3236" spans="1:7">
      <c r="A3236" s="584"/>
      <c r="B3236" s="585"/>
      <c r="C3236" s="586"/>
      <c r="D3236" s="587"/>
      <c r="E3236" s="591"/>
      <c r="G3236" s="593"/>
    </row>
    <row r="3237" spans="1:7">
      <c r="A3237" s="584"/>
      <c r="B3237" s="585"/>
      <c r="C3237" s="586"/>
      <c r="D3237" s="587"/>
      <c r="E3237" s="591"/>
      <c r="G3237" s="593"/>
    </row>
    <row r="3238" spans="1:7">
      <c r="A3238" s="584"/>
      <c r="B3238" s="585"/>
      <c r="C3238" s="586"/>
      <c r="D3238" s="587"/>
      <c r="E3238" s="591"/>
      <c r="G3238" s="593"/>
    </row>
    <row r="3239" spans="1:7">
      <c r="A3239" s="584"/>
      <c r="B3239" s="585"/>
      <c r="C3239" s="586"/>
      <c r="D3239" s="587"/>
      <c r="E3239" s="591"/>
      <c r="G3239" s="593"/>
    </row>
    <row r="3240" spans="1:7">
      <c r="A3240" s="584"/>
      <c r="B3240" s="585"/>
      <c r="C3240" s="586"/>
      <c r="D3240" s="587"/>
      <c r="E3240" s="591"/>
      <c r="G3240" s="593"/>
    </row>
    <row r="3241" spans="1:7">
      <c r="A3241" s="584"/>
      <c r="B3241" s="585"/>
      <c r="C3241" s="586"/>
      <c r="D3241" s="587"/>
      <c r="E3241" s="591"/>
      <c r="G3241" s="593"/>
    </row>
    <row r="3242" spans="1:7">
      <c r="A3242" s="584"/>
      <c r="B3242" s="585"/>
      <c r="C3242" s="586"/>
      <c r="D3242" s="587"/>
      <c r="E3242" s="591"/>
      <c r="G3242" s="593"/>
    </row>
    <row r="3243" spans="1:7">
      <c r="A3243" s="584"/>
      <c r="B3243" s="585"/>
      <c r="C3243" s="586"/>
      <c r="D3243" s="587"/>
      <c r="E3243" s="591"/>
      <c r="G3243" s="593"/>
    </row>
    <row r="3244" spans="1:7">
      <c r="A3244" s="584"/>
      <c r="B3244" s="585"/>
      <c r="C3244" s="586"/>
      <c r="D3244" s="587"/>
      <c r="E3244" s="591"/>
      <c r="G3244" s="593"/>
    </row>
    <row r="3245" spans="1:7">
      <c r="A3245" s="584"/>
      <c r="B3245" s="585"/>
      <c r="C3245" s="586"/>
      <c r="D3245" s="587"/>
      <c r="E3245" s="591"/>
      <c r="G3245" s="593"/>
    </row>
    <row r="3246" spans="1:7">
      <c r="A3246" s="584"/>
      <c r="B3246" s="585"/>
      <c r="C3246" s="586"/>
      <c r="D3246" s="587"/>
      <c r="E3246" s="591"/>
      <c r="G3246" s="593"/>
    </row>
    <row r="3247" spans="1:7">
      <c r="A3247" s="584"/>
      <c r="B3247" s="585"/>
      <c r="C3247" s="586"/>
      <c r="D3247" s="587"/>
      <c r="E3247" s="591"/>
      <c r="G3247" s="593"/>
    </row>
    <row r="3248" spans="1:7">
      <c r="A3248" s="584"/>
      <c r="B3248" s="585"/>
      <c r="C3248" s="586"/>
      <c r="D3248" s="587"/>
      <c r="E3248" s="591"/>
      <c r="G3248" s="593"/>
    </row>
    <row r="3249" spans="1:7">
      <c r="A3249" s="584"/>
      <c r="B3249" s="585"/>
      <c r="C3249" s="586"/>
      <c r="D3249" s="587"/>
      <c r="E3249" s="591"/>
      <c r="G3249" s="593"/>
    </row>
    <row r="3250" spans="1:7">
      <c r="A3250" s="584"/>
      <c r="B3250" s="585"/>
      <c r="C3250" s="586"/>
      <c r="D3250" s="587"/>
      <c r="E3250" s="591"/>
      <c r="G3250" s="593"/>
    </row>
    <row r="3251" spans="1:7">
      <c r="A3251" s="584"/>
      <c r="B3251" s="585"/>
      <c r="C3251" s="586"/>
      <c r="D3251" s="587"/>
      <c r="E3251" s="591"/>
      <c r="G3251" s="593"/>
    </row>
    <row r="3252" spans="1:7">
      <c r="A3252" s="584"/>
      <c r="B3252" s="585"/>
      <c r="C3252" s="586"/>
      <c r="D3252" s="587"/>
      <c r="E3252" s="591"/>
      <c r="G3252" s="593"/>
    </row>
    <row r="3253" spans="1:7">
      <c r="A3253" s="584"/>
      <c r="B3253" s="585"/>
      <c r="C3253" s="586"/>
      <c r="D3253" s="587"/>
      <c r="E3253" s="591"/>
      <c r="G3253" s="593"/>
    </row>
    <row r="3254" spans="1:7">
      <c r="A3254" s="584"/>
      <c r="B3254" s="585"/>
      <c r="C3254" s="586"/>
      <c r="D3254" s="587"/>
      <c r="E3254" s="591"/>
      <c r="G3254" s="593"/>
    </row>
    <row r="3255" spans="1:7">
      <c r="A3255" s="584"/>
      <c r="B3255" s="585"/>
      <c r="C3255" s="586"/>
      <c r="D3255" s="587"/>
      <c r="E3255" s="591"/>
      <c r="G3255" s="593"/>
    </row>
    <row r="3256" spans="1:7">
      <c r="A3256" s="584"/>
      <c r="B3256" s="585"/>
      <c r="C3256" s="586"/>
      <c r="D3256" s="587"/>
      <c r="E3256" s="591"/>
      <c r="G3256" s="593"/>
    </row>
    <row r="3257" spans="1:7">
      <c r="A3257" s="584"/>
      <c r="B3257" s="585"/>
      <c r="C3257" s="586"/>
      <c r="D3257" s="587"/>
      <c r="E3257" s="591"/>
      <c r="G3257" s="593"/>
    </row>
    <row r="3258" spans="1:7">
      <c r="A3258" s="584"/>
      <c r="B3258" s="585"/>
      <c r="C3258" s="586"/>
      <c r="D3258" s="587"/>
      <c r="E3258" s="591"/>
      <c r="G3258" s="593"/>
    </row>
    <row r="3259" spans="1:7">
      <c r="A3259" s="584"/>
      <c r="B3259" s="585"/>
      <c r="C3259" s="586"/>
      <c r="D3259" s="587"/>
      <c r="E3259" s="591"/>
      <c r="G3259" s="593"/>
    </row>
    <row r="3260" spans="1:7">
      <c r="A3260" s="584"/>
      <c r="B3260" s="585"/>
      <c r="C3260" s="586"/>
      <c r="D3260" s="587"/>
      <c r="E3260" s="591"/>
      <c r="G3260" s="593"/>
    </row>
    <row r="3261" spans="1:7">
      <c r="A3261" s="584"/>
      <c r="B3261" s="585"/>
      <c r="C3261" s="586"/>
      <c r="D3261" s="587"/>
      <c r="E3261" s="591"/>
      <c r="G3261" s="593"/>
    </row>
    <row r="3262" spans="1:7">
      <c r="A3262" s="584"/>
      <c r="B3262" s="585"/>
      <c r="C3262" s="586"/>
      <c r="D3262" s="587"/>
      <c r="E3262" s="591"/>
      <c r="G3262" s="593"/>
    </row>
    <row r="3263" spans="1:7">
      <c r="A3263" s="584"/>
      <c r="B3263" s="585"/>
      <c r="C3263" s="586"/>
      <c r="D3263" s="587"/>
      <c r="E3263" s="591"/>
      <c r="G3263" s="593"/>
    </row>
    <row r="3264" spans="1:7">
      <c r="A3264" s="584"/>
      <c r="B3264" s="585"/>
      <c r="C3264" s="586"/>
      <c r="D3264" s="587"/>
      <c r="E3264" s="591"/>
      <c r="G3264" s="593"/>
    </row>
    <row r="3265" spans="1:7">
      <c r="A3265" s="584"/>
      <c r="B3265" s="585"/>
      <c r="C3265" s="586"/>
      <c r="D3265" s="587"/>
      <c r="E3265" s="591"/>
      <c r="G3265" s="593"/>
    </row>
    <row r="3266" spans="1:7">
      <c r="A3266" s="584"/>
      <c r="B3266" s="585"/>
      <c r="C3266" s="586"/>
      <c r="D3266" s="587"/>
      <c r="E3266" s="591"/>
      <c r="G3266" s="593"/>
    </row>
    <row r="3267" spans="1:7">
      <c r="A3267" s="584"/>
      <c r="B3267" s="585"/>
      <c r="C3267" s="586"/>
      <c r="D3267" s="587"/>
      <c r="E3267" s="591"/>
      <c r="G3267" s="593"/>
    </row>
    <row r="3268" spans="1:7">
      <c r="A3268" s="584"/>
      <c r="B3268" s="585"/>
      <c r="C3268" s="586"/>
      <c r="D3268" s="587"/>
      <c r="E3268" s="591"/>
      <c r="G3268" s="593"/>
    </row>
    <row r="3269" spans="1:7">
      <c r="A3269" s="584"/>
      <c r="B3269" s="585"/>
      <c r="C3269" s="586"/>
      <c r="D3269" s="587"/>
      <c r="E3269" s="591"/>
      <c r="G3269" s="593"/>
    </row>
    <row r="3270" spans="1:7">
      <c r="A3270" s="584"/>
      <c r="B3270" s="585"/>
      <c r="C3270" s="586"/>
      <c r="D3270" s="587"/>
      <c r="E3270" s="591"/>
      <c r="G3270" s="593"/>
    </row>
    <row r="3271" spans="1:7">
      <c r="A3271" s="584"/>
      <c r="B3271" s="585"/>
      <c r="C3271" s="586"/>
      <c r="D3271" s="587"/>
      <c r="E3271" s="591"/>
      <c r="G3271" s="593"/>
    </row>
    <row r="3272" spans="1:7">
      <c r="A3272" s="584"/>
      <c r="B3272" s="585"/>
      <c r="C3272" s="586"/>
      <c r="D3272" s="587"/>
      <c r="E3272" s="591"/>
      <c r="G3272" s="593"/>
    </row>
    <row r="3273" spans="1:7">
      <c r="A3273" s="584"/>
      <c r="B3273" s="585"/>
      <c r="C3273" s="586"/>
      <c r="D3273" s="587"/>
      <c r="E3273" s="591"/>
      <c r="G3273" s="593"/>
    </row>
    <row r="3274" spans="1:7">
      <c r="A3274" s="584"/>
      <c r="B3274" s="585"/>
      <c r="C3274" s="586"/>
      <c r="D3274" s="587"/>
      <c r="E3274" s="591"/>
      <c r="G3274" s="593"/>
    </row>
    <row r="3275" spans="1:7">
      <c r="A3275" s="584"/>
      <c r="B3275" s="585"/>
      <c r="C3275" s="586"/>
      <c r="D3275" s="587"/>
      <c r="E3275" s="591"/>
      <c r="G3275" s="593"/>
    </row>
    <row r="3276" spans="1:7">
      <c r="A3276" s="584"/>
      <c r="B3276" s="585"/>
      <c r="C3276" s="586"/>
      <c r="D3276" s="587"/>
      <c r="E3276" s="591"/>
      <c r="G3276" s="593"/>
    </row>
    <row r="3277" spans="1:7">
      <c r="A3277" s="584"/>
      <c r="B3277" s="585"/>
      <c r="C3277" s="586"/>
      <c r="D3277" s="587"/>
      <c r="E3277" s="591"/>
      <c r="G3277" s="593"/>
    </row>
    <row r="3278" spans="1:7">
      <c r="A3278" s="584"/>
      <c r="B3278" s="585"/>
      <c r="C3278" s="586"/>
      <c r="D3278" s="587"/>
      <c r="E3278" s="591"/>
      <c r="G3278" s="593"/>
    </row>
    <row r="3279" spans="1:7">
      <c r="A3279" s="584"/>
      <c r="B3279" s="585"/>
      <c r="C3279" s="586"/>
      <c r="D3279" s="587"/>
      <c r="E3279" s="591"/>
      <c r="G3279" s="593"/>
    </row>
    <row r="3280" spans="1:7">
      <c r="A3280" s="584"/>
      <c r="B3280" s="585"/>
      <c r="C3280" s="586"/>
      <c r="D3280" s="587"/>
      <c r="E3280" s="591"/>
      <c r="G3280" s="593"/>
    </row>
    <row r="3281" spans="1:7">
      <c r="A3281" s="584"/>
      <c r="B3281" s="585"/>
      <c r="C3281" s="586"/>
      <c r="D3281" s="587"/>
      <c r="E3281" s="591"/>
      <c r="G3281" s="593"/>
    </row>
    <row r="3282" spans="1:7">
      <c r="A3282" s="584"/>
      <c r="B3282" s="585"/>
      <c r="C3282" s="586"/>
      <c r="D3282" s="587"/>
      <c r="E3282" s="591"/>
      <c r="G3282" s="593"/>
    </row>
    <row r="3283" spans="1:7">
      <c r="A3283" s="584"/>
      <c r="B3283" s="585"/>
      <c r="C3283" s="586"/>
      <c r="D3283" s="587"/>
      <c r="E3283" s="591"/>
      <c r="G3283" s="593"/>
    </row>
    <row r="3284" spans="1:7">
      <c r="A3284" s="584"/>
      <c r="B3284" s="585"/>
      <c r="C3284" s="586"/>
      <c r="D3284" s="587"/>
      <c r="E3284" s="591"/>
      <c r="G3284" s="593"/>
    </row>
    <row r="3285" spans="1:7">
      <c r="A3285" s="584"/>
      <c r="B3285" s="585"/>
      <c r="C3285" s="586"/>
      <c r="D3285" s="587"/>
      <c r="E3285" s="591"/>
      <c r="G3285" s="593"/>
    </row>
    <row r="3286" spans="1:7">
      <c r="A3286" s="584"/>
      <c r="B3286" s="585"/>
      <c r="C3286" s="586"/>
      <c r="D3286" s="587"/>
      <c r="E3286" s="591"/>
      <c r="G3286" s="593"/>
    </row>
    <row r="3287" spans="1:7">
      <c r="A3287" s="584"/>
      <c r="B3287" s="585"/>
      <c r="C3287" s="586"/>
      <c r="D3287" s="587"/>
      <c r="E3287" s="591"/>
      <c r="G3287" s="593"/>
    </row>
    <row r="3288" spans="1:7">
      <c r="A3288" s="584"/>
      <c r="B3288" s="585"/>
      <c r="C3288" s="586"/>
      <c r="D3288" s="587"/>
      <c r="E3288" s="591"/>
      <c r="G3288" s="593"/>
    </row>
    <row r="3289" spans="1:7">
      <c r="A3289" s="584"/>
      <c r="B3289" s="585"/>
      <c r="C3289" s="586"/>
      <c r="D3289" s="587"/>
      <c r="E3289" s="591"/>
      <c r="G3289" s="593"/>
    </row>
    <row r="3290" spans="1:7">
      <c r="A3290" s="584"/>
      <c r="B3290" s="585"/>
      <c r="C3290" s="586"/>
      <c r="D3290" s="587"/>
      <c r="E3290" s="591"/>
      <c r="G3290" s="593"/>
    </row>
    <row r="3291" spans="1:7">
      <c r="A3291" s="584"/>
      <c r="B3291" s="585"/>
      <c r="C3291" s="586"/>
      <c r="D3291" s="587"/>
      <c r="E3291" s="591"/>
      <c r="G3291" s="593"/>
    </row>
    <row r="3292" spans="1:7">
      <c r="A3292" s="584"/>
      <c r="B3292" s="585"/>
      <c r="C3292" s="586"/>
      <c r="D3292" s="587"/>
      <c r="E3292" s="591"/>
      <c r="G3292" s="593"/>
    </row>
    <row r="3293" spans="1:7">
      <c r="A3293" s="584"/>
      <c r="B3293" s="585"/>
      <c r="C3293" s="586"/>
      <c r="D3293" s="587"/>
      <c r="E3293" s="591"/>
      <c r="G3293" s="593"/>
    </row>
    <row r="3294" spans="1:7">
      <c r="A3294" s="584"/>
      <c r="B3294" s="585"/>
      <c r="C3294" s="586"/>
      <c r="D3294" s="587"/>
      <c r="E3294" s="591"/>
      <c r="G3294" s="593"/>
    </row>
    <row r="3295" spans="1:7">
      <c r="A3295" s="584"/>
      <c r="B3295" s="585"/>
      <c r="C3295" s="586"/>
      <c r="D3295" s="587"/>
      <c r="E3295" s="591"/>
      <c r="G3295" s="593"/>
    </row>
    <row r="3296" spans="1:7">
      <c r="A3296" s="584"/>
      <c r="B3296" s="585"/>
      <c r="C3296" s="586"/>
      <c r="D3296" s="587"/>
      <c r="E3296" s="591"/>
      <c r="G3296" s="593"/>
    </row>
    <row r="3297" spans="1:7">
      <c r="A3297" s="584"/>
      <c r="B3297" s="585"/>
      <c r="C3297" s="586"/>
      <c r="D3297" s="587"/>
      <c r="E3297" s="591"/>
      <c r="G3297" s="593"/>
    </row>
    <row r="3298" spans="1:7">
      <c r="A3298" s="584"/>
      <c r="B3298" s="585"/>
      <c r="C3298" s="586"/>
      <c r="D3298" s="587"/>
      <c r="E3298" s="591"/>
      <c r="G3298" s="593"/>
    </row>
    <row r="3299" spans="1:7">
      <c r="A3299" s="584"/>
      <c r="B3299" s="585"/>
      <c r="C3299" s="586"/>
      <c r="D3299" s="587"/>
      <c r="E3299" s="591"/>
      <c r="G3299" s="593"/>
    </row>
    <row r="3300" spans="1:7">
      <c r="A3300" s="584"/>
      <c r="B3300" s="585"/>
      <c r="C3300" s="586"/>
      <c r="D3300" s="587"/>
      <c r="E3300" s="591"/>
      <c r="G3300" s="593"/>
    </row>
    <row r="3301" spans="1:7">
      <c r="A3301" s="584"/>
      <c r="B3301" s="585"/>
      <c r="C3301" s="586"/>
      <c r="D3301" s="587"/>
      <c r="E3301" s="591"/>
      <c r="G3301" s="593"/>
    </row>
    <row r="3302" spans="1:7">
      <c r="A3302" s="584"/>
      <c r="B3302" s="585"/>
      <c r="C3302" s="586"/>
      <c r="D3302" s="587"/>
      <c r="E3302" s="591"/>
      <c r="G3302" s="593"/>
    </row>
    <row r="3303" spans="1:7">
      <c r="A3303" s="584"/>
      <c r="B3303" s="585"/>
      <c r="C3303" s="586"/>
      <c r="D3303" s="587"/>
      <c r="E3303" s="591"/>
      <c r="G3303" s="593"/>
    </row>
    <row r="3304" spans="1:7">
      <c r="A3304" s="584"/>
      <c r="B3304" s="585"/>
      <c r="C3304" s="586"/>
      <c r="D3304" s="587"/>
      <c r="E3304" s="591"/>
      <c r="G3304" s="593"/>
    </row>
    <row r="3305" spans="1:7">
      <c r="A3305" s="584"/>
      <c r="B3305" s="585"/>
      <c r="C3305" s="586"/>
      <c r="D3305" s="587"/>
      <c r="E3305" s="591"/>
      <c r="G3305" s="593"/>
    </row>
    <row r="3306" spans="1:7">
      <c r="A3306" s="584"/>
      <c r="B3306" s="585"/>
      <c r="C3306" s="586"/>
      <c r="D3306" s="587"/>
      <c r="E3306" s="591"/>
      <c r="G3306" s="593"/>
    </row>
    <row r="3307" spans="1:7">
      <c r="A3307" s="584"/>
      <c r="B3307" s="585"/>
      <c r="C3307" s="586"/>
      <c r="D3307" s="587"/>
      <c r="E3307" s="591"/>
      <c r="G3307" s="593"/>
    </row>
    <row r="3308" spans="1:7">
      <c r="A3308" s="584"/>
      <c r="B3308" s="585"/>
      <c r="C3308" s="586"/>
      <c r="D3308" s="587"/>
      <c r="E3308" s="591"/>
      <c r="G3308" s="593"/>
    </row>
    <row r="3309" spans="1:7">
      <c r="A3309" s="584"/>
      <c r="B3309" s="585"/>
      <c r="C3309" s="586"/>
      <c r="D3309" s="587"/>
      <c r="E3309" s="591"/>
      <c r="G3309" s="593"/>
    </row>
    <row r="3310" spans="1:7">
      <c r="A3310" s="584"/>
      <c r="B3310" s="585"/>
      <c r="C3310" s="586"/>
      <c r="D3310" s="587"/>
      <c r="E3310" s="591"/>
      <c r="G3310" s="593"/>
    </row>
    <row r="3311" spans="1:7">
      <c r="A3311" s="584"/>
      <c r="B3311" s="585"/>
      <c r="C3311" s="586"/>
      <c r="D3311" s="587"/>
      <c r="E3311" s="591"/>
      <c r="G3311" s="593"/>
    </row>
    <row r="3312" spans="1:7">
      <c r="A3312" s="584"/>
      <c r="B3312" s="585"/>
      <c r="C3312" s="586"/>
      <c r="D3312" s="587"/>
      <c r="E3312" s="591"/>
      <c r="G3312" s="593"/>
    </row>
    <row r="3313" spans="1:7">
      <c r="A3313" s="584"/>
      <c r="B3313" s="585"/>
      <c r="C3313" s="586"/>
      <c r="D3313" s="587"/>
      <c r="E3313" s="591"/>
      <c r="G3313" s="593"/>
    </row>
    <row r="3314" spans="1:7">
      <c r="A3314" s="584"/>
      <c r="B3314" s="585"/>
      <c r="C3314" s="586"/>
      <c r="D3314" s="587"/>
      <c r="E3314" s="591"/>
      <c r="G3314" s="593"/>
    </row>
    <row r="3315" spans="1:7">
      <c r="A3315" s="584"/>
      <c r="B3315" s="585"/>
      <c r="C3315" s="586"/>
      <c r="D3315" s="587"/>
      <c r="E3315" s="591"/>
      <c r="G3315" s="593"/>
    </row>
    <row r="3316" spans="1:7">
      <c r="A3316" s="584"/>
      <c r="B3316" s="585"/>
      <c r="C3316" s="586"/>
      <c r="D3316" s="587"/>
      <c r="E3316" s="591"/>
      <c r="G3316" s="593"/>
    </row>
    <row r="3317" spans="1:7">
      <c r="A3317" s="584"/>
      <c r="B3317" s="585"/>
      <c r="C3317" s="586"/>
      <c r="D3317" s="587"/>
      <c r="E3317" s="591"/>
      <c r="G3317" s="593"/>
    </row>
    <row r="3318" spans="1:7">
      <c r="A3318" s="584"/>
      <c r="B3318" s="585"/>
      <c r="C3318" s="586"/>
      <c r="D3318" s="587"/>
      <c r="E3318" s="591"/>
      <c r="G3318" s="593"/>
    </row>
    <row r="3319" spans="1:7">
      <c r="A3319" s="584"/>
      <c r="B3319" s="585"/>
      <c r="C3319" s="586"/>
      <c r="D3319" s="587"/>
      <c r="E3319" s="591"/>
      <c r="G3319" s="593"/>
    </row>
    <row r="3320" spans="1:7">
      <c r="A3320" s="584"/>
      <c r="B3320" s="585"/>
      <c r="C3320" s="586"/>
      <c r="D3320" s="587"/>
      <c r="E3320" s="591"/>
      <c r="G3320" s="593"/>
    </row>
    <row r="3321" spans="1:7">
      <c r="A3321" s="584"/>
      <c r="B3321" s="585"/>
      <c r="C3321" s="586"/>
      <c r="D3321" s="587"/>
      <c r="E3321" s="591"/>
      <c r="G3321" s="593"/>
    </row>
    <row r="3322" spans="1:7">
      <c r="A3322" s="584"/>
      <c r="B3322" s="585"/>
      <c r="C3322" s="586"/>
      <c r="D3322" s="587"/>
      <c r="E3322" s="591"/>
      <c r="G3322" s="593"/>
    </row>
    <row r="3323" spans="1:7">
      <c r="A3323" s="584"/>
      <c r="B3323" s="585"/>
      <c r="C3323" s="586"/>
      <c r="D3323" s="587"/>
      <c r="E3323" s="591"/>
      <c r="G3323" s="593"/>
    </row>
    <row r="3324" spans="1:7">
      <c r="A3324" s="584"/>
      <c r="B3324" s="585"/>
      <c r="C3324" s="586"/>
      <c r="D3324" s="587"/>
      <c r="E3324" s="591"/>
      <c r="G3324" s="593"/>
    </row>
    <row r="3325" spans="1:7">
      <c r="A3325" s="584"/>
      <c r="B3325" s="585"/>
      <c r="C3325" s="586"/>
      <c r="D3325" s="587"/>
      <c r="E3325" s="591"/>
      <c r="G3325" s="593"/>
    </row>
    <row r="3326" spans="1:7">
      <c r="A3326" s="584"/>
      <c r="B3326" s="585"/>
      <c r="C3326" s="586"/>
      <c r="D3326" s="587"/>
      <c r="E3326" s="591"/>
      <c r="G3326" s="593"/>
    </row>
    <row r="3327" spans="1:7">
      <c r="A3327" s="584"/>
      <c r="B3327" s="585"/>
      <c r="C3327" s="586"/>
      <c r="D3327" s="587"/>
      <c r="E3327" s="591"/>
      <c r="G3327" s="593"/>
    </row>
    <row r="3328" spans="1:7">
      <c r="A3328" s="584"/>
      <c r="B3328" s="585"/>
      <c r="C3328" s="586"/>
      <c r="D3328" s="587"/>
      <c r="E3328" s="591"/>
      <c r="G3328" s="593"/>
    </row>
    <row r="3329" spans="1:7">
      <c r="A3329" s="584"/>
      <c r="B3329" s="585"/>
      <c r="C3329" s="586"/>
      <c r="D3329" s="587"/>
      <c r="E3329" s="591"/>
      <c r="G3329" s="593"/>
    </row>
    <row r="3330" spans="1:7">
      <c r="A3330" s="584"/>
      <c r="B3330" s="585"/>
      <c r="C3330" s="586"/>
      <c r="D3330" s="587"/>
      <c r="E3330" s="591"/>
      <c r="G3330" s="593"/>
    </row>
    <row r="3331" spans="1:7">
      <c r="A3331" s="584"/>
      <c r="B3331" s="585"/>
      <c r="C3331" s="586"/>
      <c r="D3331" s="587"/>
      <c r="E3331" s="591"/>
      <c r="G3331" s="593"/>
    </row>
    <row r="3332" spans="1:7">
      <c r="A3332" s="584"/>
      <c r="B3332" s="585"/>
      <c r="C3332" s="586"/>
      <c r="D3332" s="587"/>
      <c r="E3332" s="591"/>
      <c r="G3332" s="593"/>
    </row>
    <row r="3333" spans="1:7">
      <c r="A3333" s="584"/>
      <c r="B3333" s="585"/>
      <c r="C3333" s="586"/>
      <c r="D3333" s="587"/>
      <c r="E3333" s="591"/>
      <c r="G3333" s="593"/>
    </row>
    <row r="3334" spans="1:7">
      <c r="A3334" s="584"/>
      <c r="B3334" s="585"/>
      <c r="C3334" s="586"/>
      <c r="D3334" s="587"/>
      <c r="E3334" s="591"/>
      <c r="G3334" s="593"/>
    </row>
    <row r="3335" spans="1:7">
      <c r="A3335" s="584"/>
      <c r="B3335" s="585"/>
      <c r="C3335" s="586"/>
      <c r="D3335" s="587"/>
      <c r="E3335" s="591"/>
      <c r="G3335" s="593"/>
    </row>
    <row r="3336" spans="1:7">
      <c r="A3336" s="584"/>
      <c r="B3336" s="585"/>
      <c r="C3336" s="586"/>
      <c r="D3336" s="587"/>
      <c r="E3336" s="591"/>
      <c r="G3336" s="593"/>
    </row>
    <row r="3337" spans="1:7">
      <c r="A3337" s="584"/>
      <c r="B3337" s="585"/>
      <c r="C3337" s="586"/>
      <c r="D3337" s="587"/>
      <c r="E3337" s="591"/>
      <c r="G3337" s="593"/>
    </row>
    <row r="3338" spans="1:7">
      <c r="A3338" s="584"/>
      <c r="B3338" s="585"/>
      <c r="C3338" s="586"/>
      <c r="D3338" s="587"/>
      <c r="E3338" s="591"/>
      <c r="G3338" s="593"/>
    </row>
    <row r="3339" spans="1:7">
      <c r="A3339" s="584"/>
      <c r="B3339" s="585"/>
      <c r="C3339" s="586"/>
      <c r="D3339" s="587"/>
      <c r="E3339" s="591"/>
      <c r="G3339" s="593"/>
    </row>
    <row r="3340" spans="1:7">
      <c r="A3340" s="584"/>
      <c r="B3340" s="585"/>
      <c r="C3340" s="586"/>
      <c r="D3340" s="587"/>
      <c r="E3340" s="591"/>
      <c r="G3340" s="593"/>
    </row>
    <row r="3341" spans="1:7">
      <c r="A3341" s="584"/>
      <c r="B3341" s="585"/>
      <c r="C3341" s="586"/>
      <c r="D3341" s="587"/>
      <c r="E3341" s="591"/>
      <c r="G3341" s="593"/>
    </row>
    <row r="3342" spans="1:7">
      <c r="A3342" s="584"/>
      <c r="B3342" s="585"/>
      <c r="C3342" s="586"/>
      <c r="D3342" s="587"/>
      <c r="E3342" s="591"/>
      <c r="G3342" s="593"/>
    </row>
    <row r="3343" spans="1:7">
      <c r="A3343" s="584"/>
      <c r="B3343" s="585"/>
      <c r="C3343" s="586"/>
      <c r="D3343" s="587"/>
      <c r="E3343" s="591"/>
      <c r="G3343" s="593"/>
    </row>
    <row r="3344" spans="1:7">
      <c r="A3344" s="584"/>
      <c r="B3344" s="585"/>
      <c r="C3344" s="586"/>
      <c r="D3344" s="587"/>
      <c r="E3344" s="591"/>
      <c r="G3344" s="593"/>
    </row>
    <row r="3345" spans="1:7">
      <c r="A3345" s="584"/>
      <c r="B3345" s="585"/>
      <c r="C3345" s="586"/>
      <c r="D3345" s="587"/>
      <c r="E3345" s="591"/>
      <c r="G3345" s="593"/>
    </row>
    <row r="3346" spans="1:7">
      <c r="A3346" s="584"/>
      <c r="B3346" s="585"/>
      <c r="C3346" s="586"/>
      <c r="D3346" s="587"/>
      <c r="E3346" s="591"/>
      <c r="G3346" s="593"/>
    </row>
    <row r="3347" spans="1:7">
      <c r="A3347" s="584"/>
      <c r="B3347" s="585"/>
      <c r="C3347" s="586"/>
      <c r="D3347" s="587"/>
      <c r="E3347" s="591"/>
      <c r="G3347" s="593"/>
    </row>
    <row r="3348" spans="1:7">
      <c r="A3348" s="584"/>
      <c r="B3348" s="585"/>
      <c r="C3348" s="586"/>
      <c r="D3348" s="587"/>
      <c r="E3348" s="591"/>
      <c r="G3348" s="593"/>
    </row>
    <row r="3349" spans="1:7">
      <c r="A3349" s="584"/>
      <c r="B3349" s="585"/>
      <c r="C3349" s="586"/>
      <c r="D3349" s="587"/>
      <c r="E3349" s="591"/>
      <c r="G3349" s="593"/>
    </row>
    <row r="3350" spans="1:7">
      <c r="A3350" s="584"/>
      <c r="B3350" s="585"/>
      <c r="C3350" s="586"/>
      <c r="D3350" s="587"/>
      <c r="E3350" s="591"/>
      <c r="G3350" s="593"/>
    </row>
    <row r="3351" spans="1:7">
      <c r="A3351" s="584"/>
      <c r="B3351" s="585"/>
      <c r="C3351" s="586"/>
      <c r="D3351" s="587"/>
      <c r="E3351" s="591"/>
      <c r="G3351" s="593"/>
    </row>
    <row r="3352" spans="1:7">
      <c r="A3352" s="584"/>
      <c r="B3352" s="585"/>
      <c r="C3352" s="586"/>
      <c r="D3352" s="587"/>
      <c r="E3352" s="591"/>
      <c r="G3352" s="593"/>
    </row>
    <row r="3353" spans="1:7">
      <c r="A3353" s="584"/>
      <c r="B3353" s="585"/>
      <c r="C3353" s="586"/>
      <c r="D3353" s="587"/>
      <c r="E3353" s="591"/>
      <c r="G3353" s="593"/>
    </row>
    <row r="3354" spans="1:7">
      <c r="A3354" s="584"/>
      <c r="B3354" s="585"/>
      <c r="C3354" s="586"/>
      <c r="D3354" s="587"/>
      <c r="E3354" s="591"/>
      <c r="G3354" s="593"/>
    </row>
    <row r="3355" spans="1:7">
      <c r="A3355" s="584"/>
      <c r="B3355" s="585"/>
      <c r="C3355" s="586"/>
      <c r="D3355" s="587"/>
      <c r="E3355" s="591"/>
      <c r="G3355" s="593"/>
    </row>
    <row r="3356" spans="1:7">
      <c r="A3356" s="584"/>
      <c r="B3356" s="585"/>
      <c r="C3356" s="586"/>
      <c r="D3356" s="587"/>
      <c r="E3356" s="591"/>
      <c r="G3356" s="593"/>
    </row>
    <row r="3357" spans="1:7">
      <c r="A3357" s="584"/>
      <c r="B3357" s="585"/>
      <c r="C3357" s="586"/>
      <c r="D3357" s="587"/>
      <c r="E3357" s="591"/>
      <c r="G3357" s="593"/>
    </row>
    <row r="3358" spans="1:7">
      <c r="A3358" s="584"/>
      <c r="B3358" s="585"/>
      <c r="C3358" s="586"/>
      <c r="D3358" s="587"/>
      <c r="E3358" s="591"/>
      <c r="G3358" s="593"/>
    </row>
    <row r="3359" spans="1:7">
      <c r="A3359" s="584"/>
      <c r="B3359" s="585"/>
      <c r="C3359" s="586"/>
      <c r="D3359" s="587"/>
      <c r="E3359" s="591"/>
      <c r="G3359" s="593"/>
    </row>
    <row r="3360" spans="1:7">
      <c r="A3360" s="584"/>
      <c r="B3360" s="585"/>
      <c r="C3360" s="586"/>
      <c r="D3360" s="587"/>
      <c r="E3360" s="591"/>
      <c r="G3360" s="593"/>
    </row>
    <row r="3361" spans="1:7">
      <c r="A3361" s="584"/>
      <c r="B3361" s="585"/>
      <c r="C3361" s="586"/>
      <c r="D3361" s="587"/>
      <c r="E3361" s="591"/>
      <c r="G3361" s="593"/>
    </row>
    <row r="3362" spans="1:7">
      <c r="A3362" s="584"/>
      <c r="B3362" s="585"/>
      <c r="C3362" s="586"/>
      <c r="D3362" s="587"/>
      <c r="E3362" s="591"/>
      <c r="G3362" s="593"/>
    </row>
    <row r="3363" spans="1:7">
      <c r="A3363" s="584"/>
      <c r="B3363" s="585"/>
      <c r="C3363" s="586"/>
      <c r="D3363" s="587"/>
      <c r="E3363" s="591"/>
      <c r="G3363" s="593"/>
    </row>
    <row r="3364" spans="1:7">
      <c r="A3364" s="584"/>
      <c r="B3364" s="585"/>
      <c r="C3364" s="586"/>
      <c r="D3364" s="587"/>
      <c r="E3364" s="591"/>
      <c r="G3364" s="593"/>
    </row>
    <row r="3365" spans="1:7">
      <c r="A3365" s="584"/>
      <c r="B3365" s="585"/>
      <c r="C3365" s="586"/>
      <c r="D3365" s="587"/>
      <c r="E3365" s="591"/>
      <c r="G3365" s="593"/>
    </row>
    <row r="3366" spans="1:7">
      <c r="A3366" s="584"/>
      <c r="B3366" s="585"/>
      <c r="C3366" s="586"/>
      <c r="D3366" s="587"/>
      <c r="E3366" s="591"/>
      <c r="G3366" s="593"/>
    </row>
    <row r="3367" spans="1:7">
      <c r="A3367" s="584"/>
      <c r="B3367" s="585"/>
      <c r="C3367" s="586"/>
      <c r="D3367" s="587"/>
      <c r="E3367" s="591"/>
      <c r="G3367" s="593"/>
    </row>
    <row r="3368" spans="1:7">
      <c r="A3368" s="584"/>
      <c r="B3368" s="585"/>
      <c r="C3368" s="586"/>
      <c r="D3368" s="587"/>
      <c r="E3368" s="591"/>
      <c r="G3368" s="593"/>
    </row>
    <row r="3369" spans="1:7">
      <c r="A3369" s="584"/>
      <c r="B3369" s="585"/>
      <c r="C3369" s="586"/>
      <c r="D3369" s="587"/>
      <c r="E3369" s="591"/>
      <c r="G3369" s="593"/>
    </row>
    <row r="3370" spans="1:7">
      <c r="A3370" s="584"/>
      <c r="B3370" s="585"/>
      <c r="C3370" s="586"/>
      <c r="D3370" s="587"/>
      <c r="E3370" s="591"/>
      <c r="G3370" s="593"/>
    </row>
    <row r="3371" spans="1:7">
      <c r="A3371" s="584"/>
      <c r="B3371" s="585"/>
      <c r="C3371" s="586"/>
      <c r="D3371" s="587"/>
      <c r="E3371" s="591"/>
      <c r="G3371" s="593"/>
    </row>
    <row r="3372" spans="1:7">
      <c r="A3372" s="584"/>
      <c r="B3372" s="585"/>
      <c r="C3372" s="586"/>
      <c r="D3372" s="587"/>
      <c r="E3372" s="591"/>
      <c r="G3372" s="593"/>
    </row>
    <row r="3373" spans="1:7">
      <c r="A3373" s="584"/>
      <c r="B3373" s="585"/>
      <c r="C3373" s="586"/>
      <c r="D3373" s="587"/>
      <c r="E3373" s="591"/>
      <c r="G3373" s="593"/>
    </row>
    <row r="3374" spans="1:7">
      <c r="A3374" s="584"/>
      <c r="B3374" s="585"/>
      <c r="C3374" s="586"/>
      <c r="D3374" s="587"/>
      <c r="E3374" s="591"/>
      <c r="G3374" s="593"/>
    </row>
    <row r="3375" spans="1:7">
      <c r="A3375" s="584"/>
      <c r="B3375" s="585"/>
      <c r="C3375" s="586"/>
      <c r="D3375" s="587"/>
      <c r="E3375" s="591"/>
      <c r="G3375" s="593"/>
    </row>
    <row r="3376" spans="1:7">
      <c r="A3376" s="584"/>
      <c r="B3376" s="585"/>
      <c r="C3376" s="586"/>
      <c r="D3376" s="587"/>
      <c r="E3376" s="591"/>
      <c r="G3376" s="593"/>
    </row>
    <row r="3377" spans="1:7">
      <c r="A3377" s="584"/>
      <c r="B3377" s="585"/>
      <c r="C3377" s="586"/>
      <c r="D3377" s="587"/>
      <c r="E3377" s="591"/>
      <c r="G3377" s="593"/>
    </row>
    <row r="3378" spans="1:7">
      <c r="A3378" s="584"/>
      <c r="B3378" s="585"/>
      <c r="C3378" s="586"/>
      <c r="D3378" s="587"/>
      <c r="E3378" s="591"/>
      <c r="G3378" s="593"/>
    </row>
    <row r="3379" spans="1:7">
      <c r="A3379" s="584"/>
      <c r="B3379" s="585"/>
      <c r="C3379" s="586"/>
      <c r="D3379" s="587"/>
      <c r="E3379" s="591"/>
      <c r="G3379" s="593"/>
    </row>
    <row r="3380" spans="1:7">
      <c r="A3380" s="584"/>
      <c r="B3380" s="585"/>
      <c r="C3380" s="586"/>
      <c r="D3380" s="587"/>
      <c r="E3380" s="591"/>
      <c r="G3380" s="593"/>
    </row>
    <row r="3381" spans="1:7">
      <c r="A3381" s="584"/>
      <c r="B3381" s="585"/>
      <c r="C3381" s="586"/>
      <c r="D3381" s="587"/>
      <c r="E3381" s="591"/>
      <c r="G3381" s="593"/>
    </row>
    <row r="3382" spans="1:7">
      <c r="A3382" s="584"/>
      <c r="B3382" s="585"/>
      <c r="C3382" s="586"/>
      <c r="D3382" s="587"/>
      <c r="E3382" s="591"/>
      <c r="G3382" s="593"/>
    </row>
    <row r="3383" spans="1:7">
      <c r="A3383" s="584"/>
      <c r="B3383" s="585"/>
      <c r="C3383" s="586"/>
      <c r="D3383" s="587"/>
      <c r="E3383" s="591"/>
      <c r="G3383" s="593"/>
    </row>
    <row r="3384" spans="1:7">
      <c r="A3384" s="584"/>
      <c r="B3384" s="585"/>
      <c r="C3384" s="586"/>
      <c r="D3384" s="587"/>
      <c r="E3384" s="591"/>
      <c r="G3384" s="593"/>
    </row>
    <row r="3385" spans="1:7">
      <c r="A3385" s="584"/>
      <c r="B3385" s="585"/>
      <c r="C3385" s="586"/>
      <c r="D3385" s="587"/>
      <c r="E3385" s="591"/>
      <c r="G3385" s="593"/>
    </row>
    <row r="3386" spans="1:7">
      <c r="A3386" s="584"/>
      <c r="B3386" s="585"/>
      <c r="C3386" s="586"/>
      <c r="D3386" s="587"/>
      <c r="E3386" s="591"/>
      <c r="G3386" s="593"/>
    </row>
    <row r="3387" spans="1:7">
      <c r="A3387" s="584"/>
      <c r="B3387" s="585"/>
      <c r="C3387" s="586"/>
      <c r="D3387" s="587"/>
      <c r="E3387" s="591"/>
      <c r="G3387" s="593"/>
    </row>
    <row r="3388" spans="1:7">
      <c r="A3388" s="584"/>
      <c r="B3388" s="585"/>
      <c r="C3388" s="586"/>
      <c r="D3388" s="587"/>
      <c r="E3388" s="591"/>
      <c r="G3388" s="593"/>
    </row>
    <row r="3389" spans="1:7">
      <c r="A3389" s="584"/>
      <c r="B3389" s="585"/>
      <c r="C3389" s="586"/>
      <c r="D3389" s="587"/>
      <c r="E3389" s="591"/>
      <c r="G3389" s="593"/>
    </row>
    <row r="3390" spans="1:7">
      <c r="A3390" s="584"/>
      <c r="B3390" s="585"/>
      <c r="C3390" s="586"/>
      <c r="D3390" s="587"/>
      <c r="E3390" s="591"/>
      <c r="G3390" s="593"/>
    </row>
    <row r="3391" spans="1:7">
      <c r="A3391" s="584"/>
      <c r="B3391" s="585"/>
      <c r="C3391" s="586"/>
      <c r="D3391" s="587"/>
      <c r="E3391" s="591"/>
      <c r="G3391" s="593"/>
    </row>
    <row r="3392" spans="1:7">
      <c r="A3392" s="584"/>
      <c r="B3392" s="585"/>
      <c r="C3392" s="586"/>
      <c r="D3392" s="587"/>
      <c r="E3392" s="591"/>
      <c r="G3392" s="593"/>
    </row>
    <row r="3393" spans="1:7">
      <c r="A3393" s="584"/>
      <c r="B3393" s="585"/>
      <c r="C3393" s="586"/>
      <c r="D3393" s="587"/>
      <c r="E3393" s="591"/>
      <c r="G3393" s="593"/>
    </row>
    <row r="3394" spans="1:7">
      <c r="A3394" s="584"/>
      <c r="B3394" s="585"/>
      <c r="C3394" s="586"/>
      <c r="D3394" s="587"/>
      <c r="E3394" s="591"/>
      <c r="G3394" s="593"/>
    </row>
    <row r="3395" spans="1:7">
      <c r="A3395" s="584"/>
      <c r="B3395" s="585"/>
      <c r="C3395" s="586"/>
      <c r="D3395" s="587"/>
      <c r="E3395" s="591"/>
      <c r="G3395" s="593"/>
    </row>
    <row r="3396" spans="1:7">
      <c r="A3396" s="584"/>
      <c r="B3396" s="585"/>
      <c r="C3396" s="586"/>
      <c r="D3396" s="587"/>
      <c r="E3396" s="591"/>
      <c r="G3396" s="593"/>
    </row>
    <row r="3397" spans="1:7">
      <c r="A3397" s="584"/>
      <c r="B3397" s="585"/>
      <c r="C3397" s="586"/>
      <c r="D3397" s="587"/>
      <c r="E3397" s="591"/>
      <c r="G3397" s="593"/>
    </row>
    <row r="3398" spans="1:7">
      <c r="A3398" s="584"/>
      <c r="B3398" s="585"/>
      <c r="C3398" s="586"/>
      <c r="D3398" s="587"/>
      <c r="E3398" s="591"/>
      <c r="G3398" s="593"/>
    </row>
    <row r="3399" spans="1:7">
      <c r="A3399" s="584"/>
      <c r="B3399" s="585"/>
      <c r="C3399" s="586"/>
      <c r="D3399" s="587"/>
      <c r="E3399" s="591"/>
      <c r="G3399" s="593"/>
    </row>
    <row r="3400" spans="1:7">
      <c r="A3400" s="584"/>
      <c r="B3400" s="585"/>
      <c r="C3400" s="586"/>
      <c r="D3400" s="587"/>
      <c r="E3400" s="591"/>
      <c r="G3400" s="593"/>
    </row>
    <row r="3401" spans="1:7">
      <c r="A3401" s="584"/>
      <c r="B3401" s="585"/>
      <c r="C3401" s="586"/>
      <c r="D3401" s="587"/>
      <c r="E3401" s="591"/>
      <c r="G3401" s="593"/>
    </row>
    <row r="3402" spans="1:7">
      <c r="A3402" s="584"/>
      <c r="B3402" s="585"/>
      <c r="C3402" s="586"/>
      <c r="D3402" s="587"/>
      <c r="E3402" s="591"/>
      <c r="G3402" s="593"/>
    </row>
    <row r="3403" spans="1:7">
      <c r="A3403" s="584"/>
      <c r="B3403" s="585"/>
      <c r="C3403" s="586"/>
      <c r="D3403" s="587"/>
      <c r="E3403" s="591"/>
      <c r="G3403" s="593"/>
    </row>
    <row r="3404" spans="1:7">
      <c r="A3404" s="584"/>
      <c r="B3404" s="585"/>
      <c r="C3404" s="586"/>
      <c r="D3404" s="587"/>
      <c r="E3404" s="591"/>
      <c r="G3404" s="593"/>
    </row>
    <row r="3405" spans="1:7">
      <c r="A3405" s="584"/>
      <c r="B3405" s="585"/>
      <c r="C3405" s="586"/>
      <c r="D3405" s="587"/>
      <c r="E3405" s="591"/>
      <c r="G3405" s="593"/>
    </row>
    <row r="3406" spans="1:7">
      <c r="A3406" s="584"/>
      <c r="B3406" s="585"/>
      <c r="C3406" s="586"/>
      <c r="D3406" s="587"/>
      <c r="E3406" s="591"/>
      <c r="G3406" s="593"/>
    </row>
    <row r="3407" spans="1:7">
      <c r="A3407" s="584"/>
      <c r="B3407" s="585"/>
      <c r="C3407" s="586"/>
      <c r="D3407" s="587"/>
      <c r="E3407" s="591"/>
      <c r="G3407" s="593"/>
    </row>
    <row r="3408" spans="1:7">
      <c r="A3408" s="584"/>
      <c r="B3408" s="585"/>
      <c r="C3408" s="586"/>
      <c r="D3408" s="587"/>
      <c r="E3408" s="591"/>
      <c r="G3408" s="593"/>
    </row>
    <row r="3409" spans="1:7">
      <c r="A3409" s="584"/>
      <c r="B3409" s="585"/>
      <c r="C3409" s="586"/>
      <c r="D3409" s="587"/>
      <c r="E3409" s="591"/>
      <c r="G3409" s="593"/>
    </row>
    <row r="3410" spans="1:7">
      <c r="A3410" s="584"/>
      <c r="B3410" s="585"/>
      <c r="C3410" s="586"/>
      <c r="D3410" s="587"/>
      <c r="E3410" s="591"/>
      <c r="G3410" s="593"/>
    </row>
    <row r="3411" spans="1:7">
      <c r="A3411" s="584"/>
      <c r="B3411" s="585"/>
      <c r="C3411" s="586"/>
      <c r="D3411" s="587"/>
      <c r="E3411" s="591"/>
      <c r="G3411" s="593"/>
    </row>
    <row r="3412" spans="1:7">
      <c r="A3412" s="584"/>
      <c r="B3412" s="585"/>
      <c r="C3412" s="586"/>
      <c r="D3412" s="587"/>
      <c r="E3412" s="591"/>
      <c r="G3412" s="593"/>
    </row>
    <row r="3413" spans="1:7">
      <c r="A3413" s="584"/>
      <c r="B3413" s="585"/>
      <c r="C3413" s="586"/>
      <c r="D3413" s="587"/>
      <c r="E3413" s="591"/>
      <c r="G3413" s="593"/>
    </row>
    <row r="3414" spans="1:7">
      <c r="A3414" s="584"/>
      <c r="B3414" s="585"/>
      <c r="C3414" s="586"/>
      <c r="D3414" s="587"/>
      <c r="E3414" s="591"/>
      <c r="G3414" s="593"/>
    </row>
    <row r="3415" spans="1:7">
      <c r="A3415" s="584"/>
      <c r="B3415" s="585"/>
      <c r="C3415" s="586"/>
      <c r="D3415" s="587"/>
      <c r="E3415" s="591"/>
      <c r="G3415" s="593"/>
    </row>
    <row r="3416" spans="1:7">
      <c r="A3416" s="584"/>
      <c r="B3416" s="585"/>
      <c r="C3416" s="586"/>
      <c r="D3416" s="587"/>
      <c r="E3416" s="591"/>
      <c r="G3416" s="593"/>
    </row>
    <row r="3417" spans="1:7">
      <c r="A3417" s="584"/>
      <c r="B3417" s="585"/>
      <c r="C3417" s="586"/>
      <c r="D3417" s="587"/>
      <c r="E3417" s="591"/>
      <c r="G3417" s="593"/>
    </row>
    <row r="3418" spans="1:7">
      <c r="A3418" s="584"/>
      <c r="B3418" s="585"/>
      <c r="C3418" s="586"/>
      <c r="D3418" s="587"/>
      <c r="E3418" s="591"/>
      <c r="G3418" s="593"/>
    </row>
    <row r="3419" spans="1:7">
      <c r="A3419" s="584"/>
      <c r="B3419" s="585"/>
      <c r="C3419" s="586"/>
      <c r="D3419" s="587"/>
      <c r="E3419" s="591"/>
      <c r="G3419" s="593"/>
    </row>
    <row r="3420" spans="1:7">
      <c r="A3420" s="584"/>
      <c r="B3420" s="585"/>
      <c r="C3420" s="586"/>
      <c r="D3420" s="587"/>
      <c r="E3420" s="591"/>
      <c r="G3420" s="593"/>
    </row>
    <row r="3421" spans="1:7">
      <c r="A3421" s="584"/>
      <c r="B3421" s="585"/>
      <c r="C3421" s="586"/>
      <c r="D3421" s="587"/>
      <c r="E3421" s="591"/>
      <c r="G3421" s="593"/>
    </row>
    <row r="3422" spans="1:7">
      <c r="A3422" s="584"/>
      <c r="B3422" s="585"/>
      <c r="C3422" s="586"/>
      <c r="D3422" s="587"/>
      <c r="E3422" s="591"/>
      <c r="G3422" s="593"/>
    </row>
    <row r="3423" spans="1:7">
      <c r="A3423" s="584"/>
      <c r="B3423" s="585"/>
      <c r="C3423" s="586"/>
      <c r="D3423" s="587"/>
      <c r="E3423" s="591"/>
      <c r="G3423" s="593"/>
    </row>
    <row r="3424" spans="1:7">
      <c r="A3424" s="584"/>
      <c r="B3424" s="585"/>
      <c r="C3424" s="586"/>
      <c r="D3424" s="587"/>
      <c r="E3424" s="591"/>
      <c r="G3424" s="593"/>
    </row>
    <row r="3425" spans="1:7">
      <c r="A3425" s="584"/>
      <c r="B3425" s="585"/>
      <c r="C3425" s="586"/>
      <c r="D3425" s="587"/>
      <c r="E3425" s="591"/>
      <c r="G3425" s="593"/>
    </row>
    <row r="3426" spans="1:7">
      <c r="A3426" s="584"/>
      <c r="B3426" s="585"/>
      <c r="C3426" s="586"/>
      <c r="D3426" s="587"/>
      <c r="E3426" s="591"/>
      <c r="G3426" s="593"/>
    </row>
    <row r="3427" spans="1:7">
      <c r="A3427" s="584"/>
      <c r="B3427" s="585"/>
      <c r="C3427" s="586"/>
      <c r="D3427" s="587"/>
      <c r="E3427" s="591"/>
      <c r="G3427" s="593"/>
    </row>
    <row r="3428" spans="1:7">
      <c r="A3428" s="584"/>
      <c r="B3428" s="585"/>
      <c r="C3428" s="586"/>
      <c r="D3428" s="587"/>
      <c r="E3428" s="591"/>
      <c r="G3428" s="593"/>
    </row>
    <row r="3429" spans="1:7">
      <c r="A3429" s="584"/>
      <c r="B3429" s="585"/>
      <c r="C3429" s="586"/>
      <c r="D3429" s="587"/>
      <c r="E3429" s="591"/>
      <c r="G3429" s="593"/>
    </row>
    <row r="3430" spans="1:7">
      <c r="A3430" s="584"/>
      <c r="B3430" s="585"/>
      <c r="C3430" s="586"/>
      <c r="D3430" s="587"/>
      <c r="E3430" s="591"/>
      <c r="G3430" s="593"/>
    </row>
    <row r="3431" spans="1:7">
      <c r="A3431" s="584"/>
      <c r="B3431" s="585"/>
      <c r="C3431" s="586"/>
      <c r="D3431" s="587"/>
      <c r="E3431" s="591"/>
      <c r="G3431" s="593"/>
    </row>
    <row r="3432" spans="1:7">
      <c r="A3432" s="584"/>
      <c r="B3432" s="585"/>
      <c r="C3432" s="586"/>
      <c r="D3432" s="587"/>
      <c r="E3432" s="591"/>
      <c r="G3432" s="593"/>
    </row>
    <row r="3433" spans="1:7">
      <c r="A3433" s="584"/>
      <c r="B3433" s="585"/>
      <c r="C3433" s="586"/>
      <c r="D3433" s="587"/>
      <c r="E3433" s="591"/>
      <c r="G3433" s="593"/>
    </row>
    <row r="3434" spans="1:7">
      <c r="A3434" s="584"/>
      <c r="B3434" s="585"/>
      <c r="C3434" s="586"/>
      <c r="D3434" s="587"/>
      <c r="E3434" s="591"/>
      <c r="G3434" s="593"/>
    </row>
    <row r="3435" spans="1:7">
      <c r="A3435" s="584"/>
      <c r="B3435" s="585"/>
      <c r="C3435" s="586"/>
      <c r="D3435" s="587"/>
      <c r="E3435" s="591"/>
      <c r="G3435" s="593"/>
    </row>
    <row r="3436" spans="1:7">
      <c r="A3436" s="584"/>
      <c r="B3436" s="585"/>
      <c r="C3436" s="586"/>
      <c r="D3436" s="587"/>
      <c r="E3436" s="591"/>
      <c r="G3436" s="593"/>
    </row>
    <row r="3437" spans="1:7">
      <c r="A3437" s="584"/>
      <c r="B3437" s="585"/>
      <c r="C3437" s="586"/>
      <c r="D3437" s="587"/>
      <c r="E3437" s="591"/>
      <c r="G3437" s="593"/>
    </row>
    <row r="3438" spans="1:7">
      <c r="A3438" s="584"/>
      <c r="B3438" s="585"/>
      <c r="C3438" s="586"/>
      <c r="D3438" s="587"/>
      <c r="E3438" s="591"/>
      <c r="G3438" s="593"/>
    </row>
    <row r="3439" spans="1:7">
      <c r="A3439" s="584"/>
      <c r="B3439" s="585"/>
      <c r="C3439" s="586"/>
      <c r="D3439" s="587"/>
      <c r="E3439" s="591"/>
      <c r="G3439" s="593"/>
    </row>
    <row r="3440" spans="1:7">
      <c r="A3440" s="584"/>
      <c r="B3440" s="585"/>
      <c r="C3440" s="586"/>
      <c r="D3440" s="587"/>
      <c r="E3440" s="591"/>
      <c r="G3440" s="593"/>
    </row>
    <row r="3441" spans="1:7">
      <c r="A3441" s="584"/>
      <c r="B3441" s="585"/>
      <c r="C3441" s="586"/>
      <c r="D3441" s="587"/>
      <c r="E3441" s="591"/>
      <c r="G3441" s="593"/>
    </row>
    <row r="3442" spans="1:7">
      <c r="A3442" s="584"/>
      <c r="B3442" s="585"/>
      <c r="C3442" s="586"/>
      <c r="D3442" s="587"/>
      <c r="E3442" s="591"/>
      <c r="G3442" s="593"/>
    </row>
    <row r="3443" spans="1:7">
      <c r="A3443" s="584"/>
      <c r="B3443" s="585"/>
      <c r="C3443" s="586"/>
      <c r="D3443" s="587"/>
      <c r="E3443" s="591"/>
      <c r="G3443" s="593"/>
    </row>
    <row r="3444" spans="1:7">
      <c r="A3444" s="584"/>
      <c r="B3444" s="585"/>
      <c r="C3444" s="586"/>
      <c r="D3444" s="587"/>
      <c r="E3444" s="591"/>
      <c r="G3444" s="593"/>
    </row>
    <row r="3445" spans="1:7">
      <c r="A3445" s="584"/>
      <c r="B3445" s="585"/>
      <c r="C3445" s="586"/>
      <c r="D3445" s="587"/>
      <c r="E3445" s="591"/>
      <c r="G3445" s="593"/>
    </row>
    <row r="3446" spans="1:7">
      <c r="A3446" s="584"/>
      <c r="B3446" s="585"/>
      <c r="C3446" s="586"/>
      <c r="D3446" s="587"/>
      <c r="E3446" s="591"/>
      <c r="G3446" s="593"/>
    </row>
    <row r="3447" spans="1:7">
      <c r="A3447" s="584"/>
      <c r="B3447" s="585"/>
      <c r="C3447" s="586"/>
      <c r="D3447" s="587"/>
      <c r="E3447" s="591"/>
      <c r="G3447" s="593"/>
    </row>
    <row r="3448" spans="1:7">
      <c r="A3448" s="584"/>
      <c r="B3448" s="585"/>
      <c r="C3448" s="586"/>
      <c r="D3448" s="587"/>
      <c r="E3448" s="591"/>
      <c r="G3448" s="593"/>
    </row>
    <row r="3449" spans="1:7">
      <c r="A3449" s="584"/>
      <c r="B3449" s="585"/>
      <c r="C3449" s="586"/>
      <c r="D3449" s="587"/>
      <c r="E3449" s="591"/>
      <c r="G3449" s="593"/>
    </row>
    <row r="3450" spans="1:7">
      <c r="A3450" s="584"/>
      <c r="B3450" s="585"/>
      <c r="C3450" s="586"/>
      <c r="D3450" s="587"/>
      <c r="E3450" s="591"/>
      <c r="G3450" s="593"/>
    </row>
    <row r="3451" spans="1:7">
      <c r="A3451" s="584"/>
      <c r="B3451" s="585"/>
      <c r="C3451" s="586"/>
      <c r="D3451" s="587"/>
      <c r="E3451" s="591"/>
      <c r="G3451" s="593"/>
    </row>
    <row r="3452" spans="1:7">
      <c r="A3452" s="584"/>
      <c r="B3452" s="585"/>
      <c r="C3452" s="586"/>
      <c r="D3452" s="587"/>
      <c r="E3452" s="591"/>
      <c r="G3452" s="593"/>
    </row>
    <row r="3453" spans="1:7">
      <c r="A3453" s="584"/>
      <c r="B3453" s="585"/>
      <c r="C3453" s="586"/>
      <c r="D3453" s="587"/>
      <c r="E3453" s="591"/>
      <c r="G3453" s="593"/>
    </row>
    <row r="3454" spans="1:7">
      <c r="A3454" s="584"/>
      <c r="B3454" s="585"/>
      <c r="C3454" s="586"/>
      <c r="D3454" s="587"/>
      <c r="E3454" s="591"/>
      <c r="G3454" s="593"/>
    </row>
    <row r="3455" spans="1:7">
      <c r="A3455" s="584"/>
      <c r="B3455" s="585"/>
      <c r="C3455" s="586"/>
      <c r="D3455" s="587"/>
      <c r="E3455" s="591"/>
      <c r="G3455" s="593"/>
    </row>
    <row r="3456" spans="1:7">
      <c r="A3456" s="584"/>
      <c r="B3456" s="585"/>
      <c r="C3456" s="586"/>
      <c r="D3456" s="587"/>
      <c r="E3456" s="591"/>
      <c r="G3456" s="593"/>
    </row>
    <row r="3457" spans="1:7">
      <c r="A3457" s="584"/>
      <c r="B3457" s="585"/>
      <c r="C3457" s="586"/>
      <c r="D3457" s="587"/>
      <c r="E3457" s="591"/>
      <c r="G3457" s="593"/>
    </row>
    <row r="3458" spans="1:7">
      <c r="A3458" s="584"/>
      <c r="B3458" s="585"/>
      <c r="C3458" s="586"/>
      <c r="D3458" s="587"/>
      <c r="E3458" s="591"/>
      <c r="G3458" s="593"/>
    </row>
    <row r="3459" spans="1:7">
      <c r="A3459" s="584"/>
      <c r="B3459" s="585"/>
      <c r="C3459" s="586"/>
      <c r="D3459" s="587"/>
      <c r="E3459" s="591"/>
      <c r="G3459" s="593"/>
    </row>
    <row r="3460" spans="1:7">
      <c r="A3460" s="584"/>
      <c r="B3460" s="585"/>
      <c r="C3460" s="586"/>
      <c r="D3460" s="587"/>
      <c r="E3460" s="591"/>
      <c r="G3460" s="593"/>
    </row>
    <row r="3461" spans="1:7">
      <c r="A3461" s="584"/>
      <c r="B3461" s="585"/>
      <c r="C3461" s="586"/>
      <c r="D3461" s="587"/>
      <c r="E3461" s="591"/>
      <c r="G3461" s="593"/>
    </row>
    <row r="3462" spans="1:7">
      <c r="A3462" s="584"/>
      <c r="B3462" s="585"/>
      <c r="C3462" s="586"/>
      <c r="D3462" s="587"/>
      <c r="E3462" s="591"/>
      <c r="G3462" s="593"/>
    </row>
    <row r="3463" spans="1:7">
      <c r="A3463" s="584"/>
      <c r="B3463" s="585"/>
      <c r="C3463" s="586"/>
      <c r="D3463" s="587"/>
      <c r="E3463" s="591"/>
      <c r="G3463" s="593"/>
    </row>
    <row r="3464" spans="1:7">
      <c r="A3464" s="584"/>
      <c r="B3464" s="585"/>
      <c r="C3464" s="586"/>
      <c r="D3464" s="587"/>
      <c r="E3464" s="591"/>
      <c r="G3464" s="593"/>
    </row>
    <row r="3465" spans="1:7">
      <c r="A3465" s="584"/>
      <c r="B3465" s="585"/>
      <c r="C3465" s="586"/>
      <c r="D3465" s="587"/>
      <c r="E3465" s="591"/>
      <c r="G3465" s="593"/>
    </row>
    <row r="3466" spans="1:7">
      <c r="A3466" s="584"/>
      <c r="B3466" s="585"/>
      <c r="C3466" s="586"/>
      <c r="D3466" s="587"/>
      <c r="E3466" s="591"/>
      <c r="G3466" s="593"/>
    </row>
    <row r="3467" spans="1:7">
      <c r="A3467" s="584"/>
      <c r="B3467" s="585"/>
      <c r="C3467" s="586"/>
      <c r="D3467" s="587"/>
      <c r="E3467" s="591"/>
      <c r="G3467" s="593"/>
    </row>
    <row r="3468" spans="1:7">
      <c r="A3468" s="584"/>
      <c r="B3468" s="585"/>
      <c r="C3468" s="586"/>
      <c r="D3468" s="587"/>
      <c r="E3468" s="591"/>
      <c r="G3468" s="593"/>
    </row>
    <row r="3469" spans="1:7">
      <c r="A3469" s="584"/>
      <c r="B3469" s="585"/>
      <c r="C3469" s="586"/>
      <c r="D3469" s="587"/>
      <c r="E3469" s="591"/>
      <c r="G3469" s="593"/>
    </row>
    <row r="3470" spans="1:7">
      <c r="A3470" s="584"/>
      <c r="B3470" s="585"/>
      <c r="C3470" s="586"/>
      <c r="D3470" s="587"/>
      <c r="E3470" s="591"/>
      <c r="G3470" s="593"/>
    </row>
    <row r="3471" spans="1:7">
      <c r="A3471" s="584"/>
      <c r="B3471" s="585"/>
      <c r="C3471" s="586"/>
      <c r="D3471" s="587"/>
      <c r="E3471" s="591"/>
      <c r="G3471" s="593"/>
    </row>
    <row r="3472" spans="1:7">
      <c r="A3472" s="584"/>
      <c r="B3472" s="585"/>
      <c r="C3472" s="586"/>
      <c r="D3472" s="587"/>
      <c r="E3472" s="591"/>
      <c r="G3472" s="593"/>
    </row>
    <row r="3473" spans="1:7">
      <c r="A3473" s="584"/>
      <c r="B3473" s="585"/>
      <c r="C3473" s="586"/>
      <c r="D3473" s="587"/>
      <c r="E3473" s="591"/>
      <c r="G3473" s="593"/>
    </row>
    <row r="3474" spans="1:7">
      <c r="A3474" s="584"/>
      <c r="B3474" s="585"/>
      <c r="C3474" s="586"/>
      <c r="D3474" s="587"/>
      <c r="E3474" s="591"/>
      <c r="G3474" s="593"/>
    </row>
    <row r="3475" spans="1:7">
      <c r="A3475" s="584"/>
      <c r="B3475" s="585"/>
      <c r="C3475" s="586"/>
      <c r="D3475" s="587"/>
      <c r="E3475" s="591"/>
      <c r="G3475" s="593"/>
    </row>
    <row r="3476" spans="1:7">
      <c r="A3476" s="584"/>
      <c r="B3476" s="585"/>
      <c r="C3476" s="586"/>
      <c r="D3476" s="587"/>
      <c r="E3476" s="591"/>
      <c r="G3476" s="593"/>
    </row>
    <row r="3477" spans="1:7">
      <c r="A3477" s="584"/>
      <c r="B3477" s="585"/>
      <c r="C3477" s="586"/>
      <c r="D3477" s="587"/>
      <c r="E3477" s="591"/>
      <c r="G3477" s="593"/>
    </row>
    <row r="3478" spans="1:7">
      <c r="A3478" s="584"/>
      <c r="B3478" s="585"/>
      <c r="C3478" s="586"/>
      <c r="D3478" s="587"/>
      <c r="E3478" s="591"/>
      <c r="G3478" s="593"/>
    </row>
    <row r="3479" spans="1:7">
      <c r="A3479" s="584"/>
      <c r="B3479" s="585"/>
      <c r="C3479" s="586"/>
      <c r="D3479" s="587"/>
      <c r="E3479" s="591"/>
      <c r="G3479" s="593"/>
    </row>
    <row r="3480" spans="1:7">
      <c r="A3480" s="584"/>
      <c r="B3480" s="585"/>
      <c r="C3480" s="586"/>
      <c r="D3480" s="587"/>
      <c r="E3480" s="591"/>
      <c r="G3480" s="593"/>
    </row>
    <row r="3481" spans="1:7">
      <c r="A3481" s="584"/>
      <c r="B3481" s="585"/>
      <c r="C3481" s="586"/>
      <c r="D3481" s="587"/>
      <c r="E3481" s="591"/>
      <c r="G3481" s="593"/>
    </row>
    <row r="3482" spans="1:7">
      <c r="A3482" s="584"/>
      <c r="B3482" s="585"/>
      <c r="C3482" s="586"/>
      <c r="D3482" s="587"/>
      <c r="E3482" s="591"/>
      <c r="G3482" s="593"/>
    </row>
    <row r="3483" spans="1:7">
      <c r="A3483" s="584"/>
      <c r="B3483" s="585"/>
      <c r="C3483" s="586"/>
      <c r="D3483" s="587"/>
      <c r="E3483" s="591"/>
      <c r="G3483" s="593"/>
    </row>
    <row r="3484" spans="1:7">
      <c r="A3484" s="584"/>
      <c r="B3484" s="585"/>
      <c r="C3484" s="586"/>
      <c r="D3484" s="587"/>
      <c r="E3484" s="591"/>
      <c r="G3484" s="593"/>
    </row>
    <row r="3485" spans="1:7">
      <c r="A3485" s="584"/>
      <c r="B3485" s="585"/>
      <c r="C3485" s="586"/>
      <c r="D3485" s="587"/>
      <c r="E3485" s="591"/>
      <c r="G3485" s="593"/>
    </row>
    <row r="3486" spans="1:7">
      <c r="A3486" s="584"/>
      <c r="B3486" s="585"/>
      <c r="C3486" s="586"/>
      <c r="D3486" s="587"/>
      <c r="E3486" s="591"/>
      <c r="G3486" s="593"/>
    </row>
    <row r="3487" spans="1:7">
      <c r="A3487" s="584"/>
      <c r="B3487" s="585"/>
      <c r="C3487" s="586"/>
      <c r="D3487" s="587"/>
      <c r="E3487" s="591"/>
      <c r="G3487" s="593"/>
    </row>
    <row r="3488" spans="1:7">
      <c r="A3488" s="584"/>
      <c r="B3488" s="585"/>
      <c r="C3488" s="586"/>
      <c r="D3488" s="587"/>
      <c r="E3488" s="591"/>
      <c r="G3488" s="593"/>
    </row>
    <row r="3489" spans="1:7">
      <c r="A3489" s="584"/>
      <c r="B3489" s="585"/>
      <c r="C3489" s="586"/>
      <c r="D3489" s="587"/>
      <c r="E3489" s="591"/>
      <c r="G3489" s="593"/>
    </row>
    <row r="3490" spans="1:7">
      <c r="A3490" s="584"/>
      <c r="B3490" s="585"/>
      <c r="C3490" s="586"/>
      <c r="D3490" s="587"/>
      <c r="E3490" s="591"/>
      <c r="G3490" s="593"/>
    </row>
    <row r="3491" spans="1:7">
      <c r="A3491" s="584"/>
      <c r="B3491" s="585"/>
      <c r="C3491" s="586"/>
      <c r="D3491" s="587"/>
      <c r="E3491" s="591"/>
      <c r="G3491" s="593"/>
    </row>
    <row r="3492" spans="1:7">
      <c r="A3492" s="584"/>
      <c r="B3492" s="585"/>
      <c r="C3492" s="586"/>
      <c r="D3492" s="587"/>
      <c r="E3492" s="591"/>
      <c r="G3492" s="593"/>
    </row>
    <row r="3493" spans="1:7">
      <c r="A3493" s="584"/>
      <c r="B3493" s="585"/>
      <c r="C3493" s="586"/>
      <c r="D3493" s="587"/>
      <c r="E3493" s="591"/>
      <c r="G3493" s="593"/>
    </row>
    <row r="3494" spans="1:7">
      <c r="A3494" s="584"/>
      <c r="B3494" s="585"/>
      <c r="C3494" s="586"/>
      <c r="D3494" s="587"/>
      <c r="E3494" s="591"/>
      <c r="G3494" s="593"/>
    </row>
    <row r="3495" spans="1:7">
      <c r="A3495" s="584"/>
      <c r="B3495" s="585"/>
      <c r="C3495" s="586"/>
      <c r="D3495" s="587"/>
      <c r="E3495" s="591"/>
      <c r="G3495" s="593"/>
    </row>
    <row r="3496" spans="1:7">
      <c r="A3496" s="584"/>
      <c r="B3496" s="585"/>
      <c r="C3496" s="586"/>
      <c r="D3496" s="587"/>
      <c r="E3496" s="591"/>
      <c r="G3496" s="593"/>
    </row>
    <row r="3497" spans="1:7">
      <c r="A3497" s="584"/>
      <c r="B3497" s="585"/>
      <c r="C3497" s="586"/>
      <c r="D3497" s="587"/>
      <c r="E3497" s="591"/>
      <c r="G3497" s="593"/>
    </row>
    <row r="3498" spans="1:7">
      <c r="A3498" s="584"/>
      <c r="B3498" s="585"/>
      <c r="C3498" s="586"/>
      <c r="D3498" s="587"/>
      <c r="E3498" s="591"/>
      <c r="G3498" s="593"/>
    </row>
    <row r="3499" spans="1:7">
      <c r="A3499" s="584"/>
      <c r="B3499" s="585"/>
      <c r="C3499" s="586"/>
      <c r="D3499" s="587"/>
      <c r="E3499" s="591"/>
      <c r="G3499" s="593"/>
    </row>
    <row r="3500" spans="1:7">
      <c r="A3500" s="584"/>
      <c r="B3500" s="585"/>
      <c r="C3500" s="586"/>
      <c r="D3500" s="587"/>
      <c r="E3500" s="591"/>
      <c r="G3500" s="593"/>
    </row>
    <row r="3501" spans="1:7">
      <c r="A3501" s="584"/>
      <c r="B3501" s="585"/>
      <c r="C3501" s="586"/>
      <c r="D3501" s="587"/>
      <c r="E3501" s="591"/>
      <c r="G3501" s="593"/>
    </row>
    <row r="3502" spans="1:7">
      <c r="A3502" s="584"/>
      <c r="B3502" s="585"/>
      <c r="C3502" s="586"/>
      <c r="D3502" s="587"/>
      <c r="E3502" s="591"/>
      <c r="G3502" s="593"/>
    </row>
    <row r="3503" spans="1:7">
      <c r="A3503" s="584"/>
      <c r="B3503" s="585"/>
      <c r="C3503" s="586"/>
      <c r="D3503" s="587"/>
      <c r="E3503" s="591"/>
      <c r="G3503" s="593"/>
    </row>
    <row r="3504" spans="1:7">
      <c r="A3504" s="584"/>
      <c r="B3504" s="585"/>
      <c r="C3504" s="586"/>
      <c r="D3504" s="587"/>
      <c r="E3504" s="591"/>
      <c r="G3504" s="593"/>
    </row>
    <row r="3505" spans="1:7">
      <c r="A3505" s="584"/>
      <c r="B3505" s="585"/>
      <c r="C3505" s="586"/>
      <c r="D3505" s="587"/>
      <c r="E3505" s="591"/>
      <c r="G3505" s="593"/>
    </row>
    <row r="3506" spans="1:7">
      <c r="A3506" s="584"/>
      <c r="B3506" s="585"/>
      <c r="C3506" s="586"/>
      <c r="D3506" s="587"/>
      <c r="E3506" s="591"/>
      <c r="G3506" s="593"/>
    </row>
    <row r="3507" spans="1:7">
      <c r="A3507" s="584"/>
      <c r="B3507" s="585"/>
      <c r="C3507" s="586"/>
      <c r="D3507" s="587"/>
      <c r="E3507" s="591"/>
      <c r="G3507" s="593"/>
    </row>
    <row r="3508" spans="1:7">
      <c r="A3508" s="584"/>
      <c r="B3508" s="585"/>
      <c r="C3508" s="586"/>
      <c r="D3508" s="587"/>
      <c r="E3508" s="591"/>
      <c r="G3508" s="593"/>
    </row>
    <row r="3509" spans="1:7">
      <c r="A3509" s="584"/>
      <c r="B3509" s="585"/>
      <c r="C3509" s="586"/>
      <c r="D3509" s="587"/>
      <c r="E3509" s="591"/>
      <c r="G3509" s="593"/>
    </row>
    <row r="3510" spans="1:7">
      <c r="A3510" s="584"/>
      <c r="B3510" s="585"/>
      <c r="C3510" s="586"/>
      <c r="D3510" s="587"/>
      <c r="E3510" s="591"/>
      <c r="G3510" s="593"/>
    </row>
    <row r="3511" spans="1:7">
      <c r="A3511" s="584"/>
      <c r="B3511" s="585"/>
      <c r="C3511" s="586"/>
      <c r="D3511" s="587"/>
      <c r="E3511" s="591"/>
      <c r="G3511" s="593"/>
    </row>
    <row r="3512" spans="1:7">
      <c r="A3512" s="584"/>
      <c r="B3512" s="585"/>
      <c r="C3512" s="586"/>
      <c r="D3512" s="587"/>
      <c r="E3512" s="591"/>
      <c r="G3512" s="593"/>
    </row>
    <row r="3513" spans="1:7">
      <c r="A3513" s="584"/>
      <c r="B3513" s="585"/>
      <c r="C3513" s="586"/>
      <c r="D3513" s="587"/>
      <c r="E3513" s="591"/>
      <c r="G3513" s="593"/>
    </row>
    <row r="3514" spans="1:7">
      <c r="A3514" s="584"/>
      <c r="B3514" s="585"/>
      <c r="C3514" s="586"/>
      <c r="D3514" s="587"/>
      <c r="E3514" s="591"/>
      <c r="G3514" s="593"/>
    </row>
    <row r="3515" spans="1:7">
      <c r="A3515" s="584"/>
      <c r="B3515" s="585"/>
      <c r="C3515" s="586"/>
      <c r="D3515" s="587"/>
      <c r="E3515" s="591"/>
      <c r="G3515" s="593"/>
    </row>
    <row r="3516" spans="1:7">
      <c r="A3516" s="584"/>
      <c r="B3516" s="585"/>
      <c r="C3516" s="586"/>
      <c r="D3516" s="587"/>
      <c r="E3516" s="591"/>
      <c r="G3516" s="593"/>
    </row>
    <row r="3517" spans="1:7">
      <c r="A3517" s="584"/>
      <c r="B3517" s="585"/>
      <c r="C3517" s="586"/>
      <c r="D3517" s="587"/>
      <c r="E3517" s="591"/>
      <c r="G3517" s="593"/>
    </row>
    <row r="3518" spans="1:7">
      <c r="A3518" s="584"/>
      <c r="B3518" s="585"/>
      <c r="C3518" s="586"/>
      <c r="D3518" s="587"/>
      <c r="E3518" s="591"/>
      <c r="G3518" s="593"/>
    </row>
    <row r="3519" spans="1:7">
      <c r="A3519" s="584"/>
      <c r="B3519" s="585"/>
      <c r="C3519" s="586"/>
      <c r="D3519" s="587"/>
      <c r="E3519" s="591"/>
      <c r="G3519" s="593"/>
    </row>
    <row r="3520" spans="1:7">
      <c r="A3520" s="584"/>
      <c r="B3520" s="585"/>
      <c r="C3520" s="586"/>
      <c r="D3520" s="587"/>
      <c r="E3520" s="591"/>
      <c r="G3520" s="593"/>
    </row>
    <row r="3521" spans="1:7">
      <c r="A3521" s="584"/>
      <c r="B3521" s="585"/>
      <c r="C3521" s="586"/>
      <c r="D3521" s="587"/>
      <c r="E3521" s="591"/>
      <c r="G3521" s="593"/>
    </row>
    <row r="3522" spans="1:7">
      <c r="A3522" s="584"/>
      <c r="B3522" s="585"/>
      <c r="C3522" s="586"/>
      <c r="D3522" s="587"/>
      <c r="E3522" s="591"/>
      <c r="G3522" s="593"/>
    </row>
    <row r="3523" spans="1:7">
      <c r="A3523" s="584"/>
      <c r="B3523" s="585"/>
      <c r="C3523" s="586"/>
      <c r="D3523" s="587"/>
      <c r="E3523" s="591"/>
      <c r="G3523" s="593"/>
    </row>
    <row r="3524" spans="1:7">
      <c r="A3524" s="584"/>
      <c r="B3524" s="585"/>
      <c r="C3524" s="586"/>
      <c r="D3524" s="587"/>
      <c r="E3524" s="591"/>
      <c r="G3524" s="593"/>
    </row>
    <row r="3525" spans="1:7">
      <c r="A3525" s="584"/>
      <c r="B3525" s="585"/>
      <c r="C3525" s="586"/>
      <c r="D3525" s="587"/>
      <c r="E3525" s="591"/>
      <c r="G3525" s="593"/>
    </row>
    <row r="3526" spans="1:7">
      <c r="A3526" s="584"/>
      <c r="B3526" s="585"/>
      <c r="C3526" s="586"/>
      <c r="D3526" s="587"/>
      <c r="E3526" s="591"/>
      <c r="G3526" s="593"/>
    </row>
    <row r="3527" spans="1:7">
      <c r="A3527" s="584"/>
      <c r="B3527" s="585"/>
      <c r="C3527" s="586"/>
      <c r="D3527" s="587"/>
      <c r="E3527" s="591"/>
      <c r="G3527" s="593"/>
    </row>
    <row r="3528" spans="1:7">
      <c r="A3528" s="584"/>
      <c r="B3528" s="585"/>
      <c r="C3528" s="586"/>
      <c r="D3528" s="587"/>
      <c r="E3528" s="591"/>
      <c r="G3528" s="593"/>
    </row>
    <row r="3529" spans="1:7">
      <c r="A3529" s="584"/>
      <c r="B3529" s="585"/>
      <c r="C3529" s="586"/>
      <c r="D3529" s="587"/>
      <c r="E3529" s="591"/>
      <c r="G3529" s="593"/>
    </row>
    <row r="3530" spans="1:7">
      <c r="A3530" s="584"/>
      <c r="B3530" s="585"/>
      <c r="C3530" s="586"/>
      <c r="D3530" s="587"/>
      <c r="E3530" s="591"/>
      <c r="G3530" s="593"/>
    </row>
    <row r="3531" spans="1:7">
      <c r="A3531" s="584"/>
      <c r="B3531" s="585"/>
      <c r="C3531" s="586"/>
      <c r="D3531" s="587"/>
      <c r="E3531" s="591"/>
      <c r="G3531" s="593"/>
    </row>
    <row r="3532" spans="1:7">
      <c r="A3532" s="584"/>
      <c r="B3532" s="585"/>
      <c r="C3532" s="586"/>
      <c r="D3532" s="587"/>
      <c r="E3532" s="591"/>
      <c r="G3532" s="593"/>
    </row>
    <row r="3533" spans="1:7">
      <c r="A3533" s="584"/>
      <c r="B3533" s="585"/>
      <c r="C3533" s="586"/>
      <c r="D3533" s="587"/>
      <c r="E3533" s="591"/>
      <c r="G3533" s="593"/>
    </row>
    <row r="3534" spans="1:7">
      <c r="A3534" s="584"/>
      <c r="B3534" s="585"/>
      <c r="C3534" s="586"/>
      <c r="D3534" s="587"/>
      <c r="E3534" s="591"/>
      <c r="G3534" s="593"/>
    </row>
    <row r="3535" spans="1:7">
      <c r="A3535" s="584"/>
      <c r="B3535" s="585"/>
      <c r="C3535" s="586"/>
      <c r="D3535" s="587"/>
      <c r="E3535" s="591"/>
      <c r="G3535" s="593"/>
    </row>
    <row r="3536" spans="1:7">
      <c r="A3536" s="584"/>
      <c r="B3536" s="585"/>
      <c r="C3536" s="586"/>
      <c r="D3536" s="587"/>
      <c r="E3536" s="591"/>
      <c r="G3536" s="593"/>
    </row>
    <row r="3537" spans="1:7">
      <c r="A3537" s="584"/>
      <c r="B3537" s="585"/>
      <c r="C3537" s="586"/>
      <c r="D3537" s="587"/>
      <c r="E3537" s="591"/>
      <c r="G3537" s="593"/>
    </row>
    <row r="3538" spans="1:7">
      <c r="A3538" s="584"/>
      <c r="B3538" s="585"/>
      <c r="C3538" s="586"/>
      <c r="D3538" s="587"/>
      <c r="E3538" s="591"/>
      <c r="G3538" s="593"/>
    </row>
    <row r="3539" spans="1:7">
      <c r="A3539" s="584"/>
      <c r="B3539" s="585"/>
      <c r="C3539" s="586"/>
      <c r="D3539" s="587"/>
      <c r="E3539" s="591"/>
      <c r="G3539" s="593"/>
    </row>
    <row r="3540" spans="1:7">
      <c r="A3540" s="584"/>
      <c r="B3540" s="585"/>
      <c r="C3540" s="586"/>
      <c r="D3540" s="587"/>
      <c r="E3540" s="591"/>
      <c r="G3540" s="593"/>
    </row>
    <row r="3541" spans="1:7">
      <c r="A3541" s="584"/>
      <c r="B3541" s="585"/>
      <c r="C3541" s="586"/>
      <c r="D3541" s="587"/>
      <c r="E3541" s="591"/>
      <c r="G3541" s="593"/>
    </row>
    <row r="3542" spans="1:7">
      <c r="A3542" s="584"/>
      <c r="B3542" s="585"/>
      <c r="C3542" s="586"/>
      <c r="D3542" s="587"/>
      <c r="E3542" s="591"/>
      <c r="G3542" s="593"/>
    </row>
    <row r="3543" spans="1:7">
      <c r="A3543" s="584"/>
      <c r="B3543" s="585"/>
      <c r="C3543" s="586"/>
      <c r="D3543" s="587"/>
      <c r="E3543" s="591"/>
      <c r="G3543" s="593"/>
    </row>
    <row r="3544" spans="1:7">
      <c r="A3544" s="584"/>
      <c r="B3544" s="585"/>
      <c r="C3544" s="586"/>
      <c r="D3544" s="587"/>
      <c r="E3544" s="591"/>
      <c r="G3544" s="593"/>
    </row>
    <row r="3545" spans="1:7">
      <c r="A3545" s="584"/>
      <c r="B3545" s="585"/>
      <c r="C3545" s="586"/>
      <c r="D3545" s="587"/>
      <c r="E3545" s="591"/>
      <c r="G3545" s="593"/>
    </row>
    <row r="3546" spans="1:7">
      <c r="A3546" s="584"/>
      <c r="B3546" s="585"/>
      <c r="C3546" s="586"/>
      <c r="D3546" s="587"/>
      <c r="E3546" s="591"/>
      <c r="G3546" s="593"/>
    </row>
    <row r="3547" spans="1:7">
      <c r="A3547" s="584"/>
      <c r="B3547" s="585"/>
      <c r="C3547" s="586"/>
      <c r="D3547" s="587"/>
      <c r="E3547" s="591"/>
      <c r="G3547" s="593"/>
    </row>
    <row r="3548" spans="1:7">
      <c r="A3548" s="584"/>
      <c r="B3548" s="585"/>
      <c r="C3548" s="586"/>
      <c r="D3548" s="587"/>
      <c r="E3548" s="591"/>
      <c r="G3548" s="593"/>
    </row>
    <row r="3549" spans="1:7">
      <c r="A3549" s="584"/>
      <c r="B3549" s="585"/>
      <c r="C3549" s="586"/>
      <c r="D3549" s="587"/>
      <c r="E3549" s="591"/>
      <c r="G3549" s="593"/>
    </row>
    <row r="3550" spans="1:7">
      <c r="A3550" s="584"/>
      <c r="B3550" s="585"/>
      <c r="C3550" s="586"/>
      <c r="D3550" s="587"/>
      <c r="E3550" s="591"/>
      <c r="G3550" s="593"/>
    </row>
    <row r="3551" spans="1:7">
      <c r="A3551" s="584"/>
      <c r="B3551" s="585"/>
      <c r="C3551" s="586"/>
      <c r="D3551" s="587"/>
      <c r="E3551" s="591"/>
      <c r="G3551" s="593"/>
    </row>
    <row r="3552" spans="1:7">
      <c r="A3552" s="584"/>
      <c r="B3552" s="585"/>
      <c r="C3552" s="586"/>
      <c r="D3552" s="587"/>
      <c r="E3552" s="591"/>
      <c r="G3552" s="593"/>
    </row>
    <row r="3553" spans="1:7">
      <c r="A3553" s="584"/>
      <c r="B3553" s="585"/>
      <c r="C3553" s="586"/>
      <c r="D3553" s="587"/>
      <c r="E3553" s="591"/>
      <c r="G3553" s="593"/>
    </row>
    <row r="3554" spans="1:7">
      <c r="A3554" s="584"/>
      <c r="B3554" s="585"/>
      <c r="C3554" s="586"/>
      <c r="D3554" s="587"/>
      <c r="E3554" s="591"/>
      <c r="G3554" s="593"/>
    </row>
    <row r="3555" spans="1:7">
      <c r="A3555" s="584"/>
      <c r="B3555" s="585"/>
      <c r="C3555" s="586"/>
      <c r="D3555" s="587"/>
      <c r="E3555" s="591"/>
      <c r="G3555" s="593"/>
    </row>
    <row r="3556" spans="1:7">
      <c r="A3556" s="584"/>
      <c r="B3556" s="585"/>
      <c r="C3556" s="586"/>
      <c r="D3556" s="587"/>
      <c r="E3556" s="591"/>
      <c r="G3556" s="593"/>
    </row>
    <row r="3557" spans="1:7">
      <c r="A3557" s="584"/>
      <c r="B3557" s="585"/>
      <c r="C3557" s="586"/>
      <c r="D3557" s="587"/>
      <c r="E3557" s="591"/>
      <c r="G3557" s="593"/>
    </row>
    <row r="3558" spans="1:7">
      <c r="A3558" s="584"/>
      <c r="B3558" s="585"/>
      <c r="C3558" s="586"/>
      <c r="D3558" s="587"/>
      <c r="E3558" s="591"/>
      <c r="G3558" s="593"/>
    </row>
    <row r="3559" spans="1:7">
      <c r="A3559" s="584"/>
      <c r="B3559" s="585"/>
      <c r="C3559" s="586"/>
      <c r="D3559" s="587"/>
      <c r="E3559" s="591"/>
      <c r="G3559" s="593"/>
    </row>
    <row r="3560" spans="1:7">
      <c r="A3560" s="584"/>
      <c r="B3560" s="585"/>
      <c r="C3560" s="586"/>
      <c r="D3560" s="587"/>
      <c r="E3560" s="591"/>
      <c r="G3560" s="593"/>
    </row>
    <row r="3561" spans="1:7">
      <c r="A3561" s="584"/>
      <c r="B3561" s="585"/>
      <c r="C3561" s="586"/>
      <c r="D3561" s="587"/>
      <c r="E3561" s="591"/>
      <c r="G3561" s="593"/>
    </row>
    <row r="3562" spans="1:7">
      <c r="A3562" s="584"/>
      <c r="B3562" s="585"/>
      <c r="C3562" s="586"/>
      <c r="D3562" s="587"/>
      <c r="E3562" s="591"/>
      <c r="G3562" s="593"/>
    </row>
    <row r="3563" spans="1:7">
      <c r="A3563" s="584"/>
      <c r="B3563" s="585"/>
      <c r="C3563" s="586"/>
      <c r="D3563" s="587"/>
      <c r="E3563" s="591"/>
      <c r="G3563" s="593"/>
    </row>
    <row r="3564" spans="1:7">
      <c r="A3564" s="584"/>
      <c r="B3564" s="585"/>
      <c r="C3564" s="586"/>
      <c r="D3564" s="587"/>
      <c r="E3564" s="591"/>
      <c r="G3564" s="593"/>
    </row>
    <row r="3565" spans="1:7">
      <c r="A3565" s="584"/>
      <c r="B3565" s="585"/>
      <c r="C3565" s="586"/>
      <c r="D3565" s="587"/>
      <c r="E3565" s="591"/>
      <c r="G3565" s="593"/>
    </row>
    <row r="3566" spans="1:7">
      <c r="A3566" s="584"/>
      <c r="B3566" s="585"/>
      <c r="C3566" s="586"/>
      <c r="D3566" s="587"/>
      <c r="E3566" s="591"/>
      <c r="G3566" s="593"/>
    </row>
    <row r="3567" spans="1:7">
      <c r="A3567" s="584"/>
      <c r="B3567" s="585"/>
      <c r="C3567" s="586"/>
      <c r="D3567" s="587"/>
      <c r="E3567" s="591"/>
      <c r="G3567" s="593"/>
    </row>
    <row r="3568" spans="1:7">
      <c r="A3568" s="584"/>
      <c r="B3568" s="585"/>
      <c r="C3568" s="586"/>
      <c r="D3568" s="587"/>
      <c r="E3568" s="591"/>
      <c r="G3568" s="593"/>
    </row>
    <row r="3569" spans="1:7">
      <c r="A3569" s="584"/>
      <c r="B3569" s="585"/>
      <c r="C3569" s="586"/>
      <c r="D3569" s="587"/>
      <c r="E3569" s="591"/>
      <c r="G3569" s="593"/>
    </row>
    <row r="3570" spans="1:7">
      <c r="A3570" s="584"/>
      <c r="B3570" s="585"/>
      <c r="C3570" s="586"/>
      <c r="D3570" s="587"/>
      <c r="E3570" s="591"/>
      <c r="G3570" s="593"/>
    </row>
    <row r="3571" spans="1:7">
      <c r="A3571" s="584"/>
      <c r="B3571" s="585"/>
      <c r="C3571" s="586"/>
      <c r="D3571" s="587"/>
      <c r="E3571" s="591"/>
      <c r="G3571" s="593"/>
    </row>
    <row r="3572" spans="1:7">
      <c r="A3572" s="584"/>
      <c r="B3572" s="585"/>
      <c r="C3572" s="586"/>
      <c r="D3572" s="587"/>
      <c r="E3572" s="591"/>
      <c r="G3572" s="593"/>
    </row>
    <row r="3573" spans="1:7">
      <c r="A3573" s="584"/>
      <c r="B3573" s="585"/>
      <c r="C3573" s="586"/>
      <c r="D3573" s="587"/>
      <c r="E3573" s="591"/>
      <c r="G3573" s="593"/>
    </row>
    <row r="3574" spans="1:7">
      <c r="A3574" s="584"/>
      <c r="B3574" s="585"/>
      <c r="C3574" s="586"/>
      <c r="D3574" s="587"/>
      <c r="E3574" s="591"/>
      <c r="G3574" s="593"/>
    </row>
    <row r="3575" spans="1:7">
      <c r="A3575" s="584"/>
      <c r="B3575" s="585"/>
      <c r="C3575" s="586"/>
      <c r="D3575" s="587"/>
      <c r="E3575" s="591"/>
      <c r="G3575" s="593"/>
    </row>
    <row r="3576" spans="1:7">
      <c r="A3576" s="584"/>
      <c r="B3576" s="585"/>
      <c r="C3576" s="586"/>
      <c r="D3576" s="587"/>
      <c r="E3576" s="591"/>
      <c r="G3576" s="593"/>
    </row>
    <row r="3577" spans="1:7">
      <c r="A3577" s="584"/>
      <c r="B3577" s="585"/>
      <c r="C3577" s="586"/>
      <c r="D3577" s="587"/>
      <c r="E3577" s="591"/>
      <c r="G3577" s="593"/>
    </row>
    <row r="3578" spans="1:7">
      <c r="A3578" s="584"/>
      <c r="B3578" s="585"/>
      <c r="C3578" s="586"/>
      <c r="D3578" s="587"/>
      <c r="E3578" s="591"/>
      <c r="G3578" s="593"/>
    </row>
    <row r="3579" spans="1:7">
      <c r="A3579" s="584"/>
      <c r="B3579" s="585"/>
      <c r="C3579" s="586"/>
      <c r="D3579" s="587"/>
      <c r="E3579" s="591"/>
      <c r="G3579" s="593"/>
    </row>
    <row r="3580" spans="1:7">
      <c r="A3580" s="584"/>
      <c r="B3580" s="585"/>
      <c r="C3580" s="586"/>
      <c r="D3580" s="587"/>
      <c r="E3580" s="591"/>
      <c r="G3580" s="593"/>
    </row>
    <row r="3581" spans="1:7">
      <c r="A3581" s="584"/>
      <c r="B3581" s="585"/>
      <c r="C3581" s="586"/>
      <c r="D3581" s="587"/>
      <c r="E3581" s="591"/>
      <c r="G3581" s="593"/>
    </row>
    <row r="3582" spans="1:7">
      <c r="A3582" s="584"/>
      <c r="B3582" s="585"/>
      <c r="C3582" s="586"/>
      <c r="D3582" s="587"/>
      <c r="E3582" s="591"/>
      <c r="G3582" s="593"/>
    </row>
    <row r="3583" spans="1:7">
      <c r="A3583" s="584"/>
      <c r="B3583" s="585"/>
      <c r="C3583" s="586"/>
      <c r="D3583" s="587"/>
      <c r="E3583" s="591"/>
      <c r="G3583" s="593"/>
    </row>
    <row r="3584" spans="1:7">
      <c r="A3584" s="584"/>
      <c r="B3584" s="585"/>
      <c r="C3584" s="586"/>
      <c r="D3584" s="587"/>
      <c r="E3584" s="591"/>
      <c r="G3584" s="593"/>
    </row>
    <row r="3585" spans="1:7">
      <c r="A3585" s="584"/>
      <c r="B3585" s="585"/>
      <c r="C3585" s="586"/>
      <c r="D3585" s="587"/>
      <c r="E3585" s="591"/>
      <c r="G3585" s="593"/>
    </row>
    <row r="3586" spans="1:7">
      <c r="A3586" s="584"/>
      <c r="B3586" s="585"/>
      <c r="C3586" s="586"/>
      <c r="D3586" s="587"/>
      <c r="E3586" s="591"/>
      <c r="G3586" s="593"/>
    </row>
    <row r="3587" spans="1:7">
      <c r="A3587" s="584"/>
      <c r="B3587" s="585"/>
      <c r="C3587" s="586"/>
      <c r="D3587" s="587"/>
      <c r="E3587" s="591"/>
      <c r="G3587" s="593"/>
    </row>
    <row r="3588" spans="1:7">
      <c r="A3588" s="584"/>
      <c r="B3588" s="585"/>
      <c r="C3588" s="586"/>
      <c r="D3588" s="587"/>
      <c r="E3588" s="591"/>
      <c r="G3588" s="593"/>
    </row>
    <row r="3589" spans="1:7">
      <c r="A3589" s="584"/>
      <c r="B3589" s="585"/>
      <c r="C3589" s="586"/>
      <c r="D3589" s="587"/>
      <c r="E3589" s="591"/>
      <c r="G3589" s="593"/>
    </row>
    <row r="3590" spans="1:7">
      <c r="A3590" s="584"/>
      <c r="B3590" s="585"/>
      <c r="C3590" s="586"/>
      <c r="D3590" s="587"/>
      <c r="E3590" s="591"/>
      <c r="G3590" s="593"/>
    </row>
    <row r="3591" spans="1:7">
      <c r="A3591" s="584"/>
      <c r="B3591" s="585"/>
      <c r="C3591" s="586"/>
      <c r="D3591" s="587"/>
      <c r="E3591" s="591"/>
      <c r="G3591" s="593"/>
    </row>
    <row r="3592" spans="1:7">
      <c r="A3592" s="584"/>
      <c r="B3592" s="585"/>
      <c r="C3592" s="586"/>
      <c r="D3592" s="587"/>
      <c r="E3592" s="591"/>
      <c r="G3592" s="593"/>
    </row>
    <row r="3593" spans="1:7">
      <c r="A3593" s="584"/>
      <c r="B3593" s="585"/>
      <c r="C3593" s="586"/>
      <c r="D3593" s="587"/>
      <c r="E3593" s="591"/>
      <c r="G3593" s="593"/>
    </row>
    <row r="3594" spans="1:7">
      <c r="A3594" s="584"/>
      <c r="B3594" s="585"/>
      <c r="C3594" s="586"/>
      <c r="D3594" s="587"/>
      <c r="E3594" s="591"/>
      <c r="G3594" s="593"/>
    </row>
    <row r="3595" spans="1:7">
      <c r="A3595" s="584"/>
      <c r="B3595" s="585"/>
      <c r="C3595" s="586"/>
      <c r="D3595" s="587"/>
      <c r="E3595" s="591"/>
      <c r="G3595" s="593"/>
    </row>
    <row r="3596" spans="1:7">
      <c r="A3596" s="584"/>
      <c r="B3596" s="585"/>
      <c r="C3596" s="586"/>
      <c r="D3596" s="587"/>
      <c r="E3596" s="591"/>
      <c r="G3596" s="593"/>
    </row>
    <row r="3597" spans="1:7">
      <c r="A3597" s="584"/>
      <c r="B3597" s="585"/>
      <c r="C3597" s="586"/>
      <c r="D3597" s="587"/>
      <c r="E3597" s="591"/>
      <c r="G3597" s="593"/>
    </row>
    <row r="3598" spans="1:7">
      <c r="A3598" s="584"/>
      <c r="B3598" s="585"/>
      <c r="C3598" s="586"/>
      <c r="D3598" s="587"/>
      <c r="E3598" s="591"/>
      <c r="G3598" s="593"/>
    </row>
    <row r="3599" spans="1:7">
      <c r="A3599" s="584"/>
      <c r="B3599" s="585"/>
      <c r="C3599" s="586"/>
      <c r="D3599" s="587"/>
      <c r="E3599" s="591"/>
      <c r="G3599" s="593"/>
    </row>
    <row r="3600" spans="1:7">
      <c r="A3600" s="584"/>
      <c r="B3600" s="585"/>
      <c r="C3600" s="586"/>
      <c r="D3600" s="587"/>
      <c r="E3600" s="591"/>
      <c r="G3600" s="593"/>
    </row>
    <row r="3601" spans="1:7">
      <c r="A3601" s="584"/>
      <c r="B3601" s="585"/>
      <c r="C3601" s="586"/>
      <c r="D3601" s="587"/>
      <c r="E3601" s="591"/>
      <c r="G3601" s="593"/>
    </row>
    <row r="3602" spans="1:7">
      <c r="A3602" s="584"/>
      <c r="B3602" s="585"/>
      <c r="C3602" s="586"/>
      <c r="D3602" s="587"/>
      <c r="E3602" s="591"/>
      <c r="G3602" s="593"/>
    </row>
    <row r="3603" spans="1:7">
      <c r="A3603" s="584"/>
      <c r="B3603" s="585"/>
      <c r="C3603" s="586"/>
      <c r="D3603" s="587"/>
      <c r="E3603" s="591"/>
      <c r="G3603" s="593"/>
    </row>
    <row r="3604" spans="1:7">
      <c r="A3604" s="584"/>
      <c r="B3604" s="585"/>
      <c r="C3604" s="586"/>
      <c r="D3604" s="587"/>
      <c r="E3604" s="591"/>
      <c r="G3604" s="593"/>
    </row>
    <row r="3605" spans="1:7">
      <c r="A3605" s="584"/>
      <c r="B3605" s="585"/>
      <c r="C3605" s="586"/>
      <c r="D3605" s="587"/>
      <c r="E3605" s="591"/>
      <c r="G3605" s="593"/>
    </row>
    <row r="3606" spans="1:7">
      <c r="A3606" s="584"/>
      <c r="B3606" s="585"/>
      <c r="C3606" s="586"/>
      <c r="D3606" s="587"/>
      <c r="E3606" s="591"/>
      <c r="G3606" s="593"/>
    </row>
    <row r="3607" spans="1:7">
      <c r="A3607" s="584"/>
      <c r="B3607" s="585"/>
      <c r="C3607" s="586"/>
      <c r="D3607" s="587"/>
      <c r="E3607" s="591"/>
      <c r="G3607" s="593"/>
    </row>
    <row r="3608" spans="1:7">
      <c r="A3608" s="584"/>
      <c r="B3608" s="585"/>
      <c r="C3608" s="586"/>
      <c r="D3608" s="587"/>
      <c r="E3608" s="591"/>
      <c r="G3608" s="593"/>
    </row>
    <row r="3609" spans="1:7">
      <c r="A3609" s="584"/>
      <c r="B3609" s="585"/>
      <c r="C3609" s="586"/>
      <c r="D3609" s="587"/>
      <c r="E3609" s="591"/>
      <c r="G3609" s="593"/>
    </row>
    <row r="3610" spans="1:7">
      <c r="A3610" s="584"/>
      <c r="B3610" s="585"/>
      <c r="C3610" s="586"/>
      <c r="D3610" s="587"/>
      <c r="E3610" s="591"/>
      <c r="G3610" s="593"/>
    </row>
    <row r="3611" spans="1:7">
      <c r="A3611" s="584"/>
      <c r="B3611" s="585"/>
      <c r="C3611" s="586"/>
      <c r="D3611" s="587"/>
      <c r="E3611" s="591"/>
      <c r="G3611" s="593"/>
    </row>
    <row r="3612" spans="1:7">
      <c r="A3612" s="584"/>
      <c r="B3612" s="585"/>
      <c r="C3612" s="586"/>
      <c r="D3612" s="587"/>
      <c r="E3612" s="591"/>
      <c r="G3612" s="593"/>
    </row>
    <row r="3613" spans="1:7">
      <c r="A3613" s="584"/>
      <c r="B3613" s="585"/>
      <c r="C3613" s="586"/>
      <c r="D3613" s="587"/>
      <c r="E3613" s="591"/>
      <c r="G3613" s="593"/>
    </row>
    <row r="3614" spans="1:7">
      <c r="A3614" s="584"/>
      <c r="B3614" s="585"/>
      <c r="C3614" s="586"/>
      <c r="D3614" s="587"/>
      <c r="E3614" s="591"/>
      <c r="G3614" s="593"/>
    </row>
    <row r="3615" spans="1:7">
      <c r="A3615" s="584"/>
      <c r="B3615" s="585"/>
      <c r="C3615" s="586"/>
      <c r="D3615" s="587"/>
      <c r="E3615" s="591"/>
      <c r="G3615" s="593"/>
    </row>
    <row r="3616" spans="1:7">
      <c r="A3616" s="584"/>
      <c r="B3616" s="585"/>
      <c r="C3616" s="586"/>
      <c r="D3616" s="587"/>
      <c r="E3616" s="591"/>
      <c r="G3616" s="593"/>
    </row>
    <row r="3617" spans="1:7">
      <c r="A3617" s="584"/>
      <c r="B3617" s="585"/>
      <c r="C3617" s="586"/>
      <c r="D3617" s="587"/>
      <c r="E3617" s="591"/>
      <c r="G3617" s="593"/>
    </row>
    <row r="3618" spans="1:7">
      <c r="A3618" s="584"/>
      <c r="B3618" s="585"/>
      <c r="C3618" s="586"/>
      <c r="D3618" s="587"/>
      <c r="E3618" s="591"/>
      <c r="G3618" s="593"/>
    </row>
    <row r="3619" spans="1:7">
      <c r="A3619" s="584"/>
      <c r="B3619" s="585"/>
      <c r="C3619" s="586"/>
      <c r="D3619" s="587"/>
      <c r="E3619" s="591"/>
      <c r="G3619" s="593"/>
    </row>
    <row r="3620" spans="1:7">
      <c r="A3620" s="584"/>
      <c r="B3620" s="585"/>
      <c r="C3620" s="586"/>
      <c r="D3620" s="587"/>
      <c r="E3620" s="591"/>
      <c r="G3620" s="593"/>
    </row>
    <row r="3621" spans="1:7">
      <c r="A3621" s="584"/>
      <c r="B3621" s="585"/>
      <c r="C3621" s="586"/>
      <c r="D3621" s="587"/>
      <c r="E3621" s="591"/>
      <c r="G3621" s="593"/>
    </row>
    <row r="3622" spans="1:7">
      <c r="A3622" s="584"/>
      <c r="B3622" s="585"/>
      <c r="C3622" s="586"/>
      <c r="D3622" s="587"/>
      <c r="E3622" s="591"/>
      <c r="G3622" s="593"/>
    </row>
    <row r="3623" spans="1:7">
      <c r="A3623" s="584"/>
      <c r="B3623" s="585"/>
      <c r="C3623" s="586"/>
      <c r="D3623" s="587"/>
      <c r="E3623" s="591"/>
      <c r="G3623" s="593"/>
    </row>
    <row r="3624" spans="1:7">
      <c r="A3624" s="584"/>
      <c r="B3624" s="585"/>
      <c r="C3624" s="586"/>
      <c r="D3624" s="587"/>
      <c r="E3624" s="591"/>
      <c r="G3624" s="593"/>
    </row>
    <row r="3625" spans="1:7">
      <c r="A3625" s="584"/>
      <c r="B3625" s="585"/>
      <c r="C3625" s="586"/>
      <c r="D3625" s="587"/>
      <c r="E3625" s="591"/>
      <c r="G3625" s="593"/>
    </row>
    <row r="3626" spans="1:7">
      <c r="A3626" s="584"/>
      <c r="B3626" s="585"/>
      <c r="C3626" s="586"/>
      <c r="D3626" s="587"/>
      <c r="E3626" s="591"/>
      <c r="G3626" s="593"/>
    </row>
    <row r="3627" spans="1:7">
      <c r="A3627" s="584"/>
      <c r="B3627" s="585"/>
      <c r="C3627" s="586"/>
      <c r="D3627" s="587"/>
      <c r="E3627" s="591"/>
      <c r="G3627" s="593"/>
    </row>
    <row r="3628" spans="1:7">
      <c r="A3628" s="584"/>
      <c r="B3628" s="585"/>
      <c r="C3628" s="586"/>
      <c r="D3628" s="587"/>
      <c r="E3628" s="591"/>
      <c r="G3628" s="593"/>
    </row>
    <row r="3629" spans="1:7">
      <c r="A3629" s="584"/>
      <c r="B3629" s="585"/>
      <c r="C3629" s="586"/>
      <c r="D3629" s="587"/>
      <c r="E3629" s="591"/>
      <c r="G3629" s="593"/>
    </row>
    <row r="3630" spans="1:7">
      <c r="A3630" s="584"/>
      <c r="B3630" s="585"/>
      <c r="C3630" s="586"/>
      <c r="D3630" s="587"/>
      <c r="E3630" s="591"/>
      <c r="G3630" s="593"/>
    </row>
    <row r="3631" spans="1:7">
      <c r="A3631" s="584"/>
      <c r="B3631" s="585"/>
      <c r="C3631" s="586"/>
      <c r="D3631" s="587"/>
      <c r="E3631" s="591"/>
      <c r="G3631" s="593"/>
    </row>
    <row r="3632" spans="1:7">
      <c r="A3632" s="584"/>
      <c r="B3632" s="585"/>
      <c r="C3632" s="586"/>
      <c r="D3632" s="587"/>
      <c r="E3632" s="591"/>
      <c r="G3632" s="593"/>
    </row>
    <row r="3633" spans="1:7">
      <c r="A3633" s="584"/>
      <c r="B3633" s="585"/>
      <c r="C3633" s="586"/>
      <c r="D3633" s="587"/>
      <c r="E3633" s="591"/>
      <c r="G3633" s="593"/>
    </row>
    <row r="3634" spans="1:7">
      <c r="A3634" s="584"/>
      <c r="B3634" s="585"/>
      <c r="C3634" s="586"/>
      <c r="D3634" s="587"/>
      <c r="E3634" s="591"/>
      <c r="G3634" s="593"/>
    </row>
    <row r="3635" spans="1:7">
      <c r="A3635" s="584"/>
      <c r="B3635" s="585"/>
      <c r="C3635" s="586"/>
      <c r="D3635" s="587"/>
      <c r="E3635" s="591"/>
      <c r="G3635" s="593"/>
    </row>
    <row r="3636" spans="1:7">
      <c r="A3636" s="584"/>
      <c r="B3636" s="585"/>
      <c r="C3636" s="586"/>
      <c r="D3636" s="587"/>
      <c r="E3636" s="591"/>
      <c r="G3636" s="593"/>
    </row>
    <row r="3637" spans="1:7">
      <c r="A3637" s="584"/>
      <c r="B3637" s="585"/>
      <c r="C3637" s="586"/>
      <c r="D3637" s="587"/>
      <c r="E3637" s="591"/>
      <c r="G3637" s="593"/>
    </row>
    <row r="3638" spans="1:7">
      <c r="A3638" s="584"/>
      <c r="B3638" s="585"/>
      <c r="C3638" s="586"/>
      <c r="D3638" s="587"/>
      <c r="E3638" s="591"/>
      <c r="G3638" s="593"/>
    </row>
    <row r="3639" spans="1:7">
      <c r="A3639" s="584"/>
      <c r="B3639" s="585"/>
      <c r="C3639" s="586"/>
      <c r="D3639" s="587"/>
      <c r="E3639" s="591"/>
      <c r="G3639" s="593"/>
    </row>
    <row r="3640" spans="1:7">
      <c r="A3640" s="584"/>
      <c r="B3640" s="585"/>
      <c r="C3640" s="586"/>
      <c r="D3640" s="587"/>
      <c r="E3640" s="591"/>
      <c r="G3640" s="593"/>
    </row>
    <row r="3641" spans="1:7">
      <c r="A3641" s="584"/>
      <c r="B3641" s="585"/>
      <c r="C3641" s="586"/>
      <c r="D3641" s="587"/>
      <c r="E3641" s="591"/>
      <c r="G3641" s="593"/>
    </row>
    <row r="3642" spans="1:7">
      <c r="A3642" s="584"/>
      <c r="B3642" s="585"/>
      <c r="C3642" s="586"/>
      <c r="D3642" s="587"/>
      <c r="E3642" s="591"/>
      <c r="G3642" s="593"/>
    </row>
    <row r="3643" spans="1:7">
      <c r="A3643" s="584"/>
      <c r="B3643" s="585"/>
      <c r="C3643" s="586"/>
      <c r="D3643" s="587"/>
      <c r="E3643" s="591"/>
      <c r="G3643" s="593"/>
    </row>
    <row r="3644" spans="1:7">
      <c r="A3644" s="584"/>
      <c r="B3644" s="585"/>
      <c r="C3644" s="586"/>
      <c r="D3644" s="587"/>
      <c r="E3644" s="591"/>
      <c r="G3644" s="593"/>
    </row>
    <row r="3645" spans="1:7">
      <c r="A3645" s="584"/>
      <c r="B3645" s="585"/>
      <c r="C3645" s="586"/>
      <c r="D3645" s="587"/>
      <c r="E3645" s="591"/>
      <c r="G3645" s="593"/>
    </row>
    <row r="3646" spans="1:7">
      <c r="A3646" s="584"/>
      <c r="B3646" s="585"/>
      <c r="C3646" s="586"/>
      <c r="D3646" s="587"/>
      <c r="E3646" s="591"/>
      <c r="G3646" s="593"/>
    </row>
    <row r="3647" spans="1:7">
      <c r="A3647" s="584"/>
      <c r="B3647" s="585"/>
      <c r="C3647" s="586"/>
      <c r="D3647" s="587"/>
      <c r="E3647" s="591"/>
      <c r="G3647" s="593"/>
    </row>
    <row r="3648" spans="1:7">
      <c r="A3648" s="584"/>
      <c r="B3648" s="585"/>
      <c r="C3648" s="586"/>
      <c r="D3648" s="587"/>
      <c r="E3648" s="591"/>
      <c r="G3648" s="593"/>
    </row>
    <row r="3649" spans="1:7">
      <c r="A3649" s="584"/>
      <c r="B3649" s="585"/>
      <c r="C3649" s="586"/>
      <c r="D3649" s="587"/>
      <c r="E3649" s="591"/>
      <c r="G3649" s="593"/>
    </row>
    <row r="3650" spans="1:7">
      <c r="A3650" s="584"/>
      <c r="B3650" s="585"/>
      <c r="C3650" s="586"/>
      <c r="D3650" s="587"/>
      <c r="E3650" s="591"/>
      <c r="G3650" s="593"/>
    </row>
    <row r="3651" spans="1:7">
      <c r="A3651" s="584"/>
      <c r="B3651" s="585"/>
      <c r="C3651" s="586"/>
      <c r="D3651" s="587"/>
      <c r="E3651" s="591"/>
      <c r="G3651" s="593"/>
    </row>
    <row r="3652" spans="1:7">
      <c r="A3652" s="584"/>
      <c r="B3652" s="585"/>
      <c r="C3652" s="586"/>
      <c r="D3652" s="587"/>
      <c r="E3652" s="591"/>
      <c r="G3652" s="593"/>
    </row>
    <row r="3653" spans="1:7">
      <c r="A3653" s="584"/>
      <c r="B3653" s="585"/>
      <c r="C3653" s="586"/>
      <c r="D3653" s="587"/>
      <c r="E3653" s="591"/>
      <c r="G3653" s="593"/>
    </row>
    <row r="3654" spans="1:7">
      <c r="A3654" s="584"/>
      <c r="B3654" s="585"/>
      <c r="C3654" s="586"/>
      <c r="D3654" s="587"/>
      <c r="E3654" s="591"/>
      <c r="G3654" s="593"/>
    </row>
    <row r="3655" spans="1:7">
      <c r="A3655" s="584"/>
      <c r="B3655" s="585"/>
      <c r="C3655" s="586"/>
      <c r="D3655" s="587"/>
      <c r="E3655" s="591"/>
      <c r="G3655" s="593"/>
    </row>
    <row r="3656" spans="1:7">
      <c r="A3656" s="584"/>
      <c r="B3656" s="585"/>
      <c r="C3656" s="586"/>
      <c r="D3656" s="587"/>
      <c r="E3656" s="591"/>
      <c r="G3656" s="593"/>
    </row>
    <row r="3657" spans="1:7">
      <c r="A3657" s="584"/>
      <c r="B3657" s="585"/>
      <c r="C3657" s="586"/>
      <c r="D3657" s="587"/>
      <c r="E3657" s="591"/>
      <c r="G3657" s="593"/>
    </row>
    <row r="3658" spans="1:7">
      <c r="A3658" s="584"/>
      <c r="B3658" s="585"/>
      <c r="C3658" s="586"/>
      <c r="D3658" s="587"/>
      <c r="E3658" s="591"/>
      <c r="G3658" s="593"/>
    </row>
    <row r="3659" spans="1:7">
      <c r="A3659" s="584"/>
      <c r="B3659" s="585"/>
      <c r="C3659" s="586"/>
      <c r="D3659" s="587"/>
      <c r="E3659" s="591"/>
      <c r="G3659" s="593"/>
    </row>
    <row r="3660" spans="1:7">
      <c r="A3660" s="584"/>
      <c r="B3660" s="585"/>
      <c r="C3660" s="586"/>
      <c r="D3660" s="587"/>
      <c r="E3660" s="591"/>
      <c r="G3660" s="593"/>
    </row>
    <row r="3661" spans="1:7">
      <c r="A3661" s="584"/>
      <c r="B3661" s="585"/>
      <c r="C3661" s="586"/>
      <c r="D3661" s="587"/>
      <c r="E3661" s="591"/>
      <c r="G3661" s="593"/>
    </row>
    <row r="3662" spans="1:7">
      <c r="A3662" s="584"/>
      <c r="B3662" s="585"/>
      <c r="C3662" s="586"/>
      <c r="D3662" s="587"/>
      <c r="E3662" s="591"/>
      <c r="G3662" s="593"/>
    </row>
    <row r="3663" spans="1:7">
      <c r="A3663" s="584"/>
      <c r="B3663" s="585"/>
      <c r="C3663" s="586"/>
      <c r="D3663" s="587"/>
      <c r="E3663" s="591"/>
      <c r="G3663" s="593"/>
    </row>
    <row r="3664" spans="1:7">
      <c r="A3664" s="584"/>
      <c r="B3664" s="585"/>
      <c r="C3664" s="586"/>
      <c r="D3664" s="587"/>
      <c r="E3664" s="591"/>
      <c r="G3664" s="593"/>
    </row>
    <row r="3665" spans="1:7">
      <c r="A3665" s="584"/>
      <c r="B3665" s="585"/>
      <c r="C3665" s="586"/>
      <c r="D3665" s="587"/>
      <c r="E3665" s="591"/>
      <c r="G3665" s="593"/>
    </row>
    <row r="3666" spans="1:7">
      <c r="A3666" s="584"/>
      <c r="B3666" s="585"/>
      <c r="C3666" s="586"/>
      <c r="D3666" s="587"/>
      <c r="E3666" s="591"/>
      <c r="G3666" s="593"/>
    </row>
    <row r="3667" spans="1:7">
      <c r="A3667" s="584"/>
      <c r="B3667" s="585"/>
      <c r="C3667" s="586"/>
      <c r="D3667" s="587"/>
      <c r="E3667" s="591"/>
      <c r="G3667" s="593"/>
    </row>
    <row r="3668" spans="1:7">
      <c r="A3668" s="584"/>
      <c r="B3668" s="585"/>
      <c r="C3668" s="586"/>
      <c r="D3668" s="587"/>
      <c r="E3668" s="591"/>
      <c r="G3668" s="593"/>
    </row>
    <row r="3669" spans="1:7">
      <c r="A3669" s="584"/>
      <c r="B3669" s="585"/>
      <c r="C3669" s="586"/>
      <c r="D3669" s="587"/>
      <c r="E3669" s="591"/>
      <c r="G3669" s="593"/>
    </row>
    <row r="3670" spans="1:7">
      <c r="A3670" s="584"/>
      <c r="B3670" s="585"/>
      <c r="C3670" s="586"/>
      <c r="D3670" s="587"/>
      <c r="E3670" s="591"/>
      <c r="G3670" s="593"/>
    </row>
    <row r="3671" spans="1:7">
      <c r="A3671" s="584"/>
      <c r="B3671" s="585"/>
      <c r="C3671" s="586"/>
      <c r="D3671" s="587"/>
      <c r="E3671" s="591"/>
      <c r="G3671" s="593"/>
    </row>
    <row r="3672" spans="1:7">
      <c r="A3672" s="584"/>
      <c r="B3672" s="585"/>
      <c r="C3672" s="586"/>
      <c r="D3672" s="587"/>
      <c r="E3672" s="591"/>
      <c r="G3672" s="593"/>
    </row>
    <row r="3673" spans="1:7">
      <c r="A3673" s="584"/>
      <c r="B3673" s="585"/>
      <c r="C3673" s="586"/>
      <c r="D3673" s="587"/>
      <c r="E3673" s="591"/>
      <c r="G3673" s="593"/>
    </row>
    <row r="3674" spans="1:7">
      <c r="A3674" s="584"/>
      <c r="B3674" s="585"/>
      <c r="C3674" s="586"/>
      <c r="D3674" s="587"/>
      <c r="E3674" s="591"/>
      <c r="G3674" s="593"/>
    </row>
    <row r="3675" spans="1:7">
      <c r="A3675" s="584"/>
      <c r="B3675" s="585"/>
      <c r="C3675" s="586"/>
      <c r="D3675" s="587"/>
      <c r="E3675" s="591"/>
      <c r="G3675" s="593"/>
    </row>
    <row r="3676" spans="1:7">
      <c r="A3676" s="584"/>
      <c r="B3676" s="585"/>
      <c r="C3676" s="586"/>
      <c r="D3676" s="587"/>
      <c r="E3676" s="591"/>
      <c r="G3676" s="593"/>
    </row>
    <row r="3677" spans="1:7">
      <c r="A3677" s="584"/>
      <c r="B3677" s="585"/>
      <c r="C3677" s="586"/>
      <c r="D3677" s="587"/>
      <c r="E3677" s="591"/>
      <c r="G3677" s="593"/>
    </row>
    <row r="3678" spans="1:7">
      <c r="A3678" s="584"/>
      <c r="B3678" s="585"/>
      <c r="C3678" s="586"/>
      <c r="D3678" s="587"/>
      <c r="E3678" s="591"/>
      <c r="G3678" s="593"/>
    </row>
    <row r="3679" spans="1:7">
      <c r="A3679" s="584"/>
      <c r="B3679" s="585"/>
      <c r="C3679" s="586"/>
      <c r="D3679" s="587"/>
      <c r="E3679" s="591"/>
      <c r="G3679" s="593"/>
    </row>
    <row r="3680" spans="1:7">
      <c r="A3680" s="584"/>
      <c r="B3680" s="585"/>
      <c r="C3680" s="586"/>
      <c r="D3680" s="587"/>
      <c r="E3680" s="591"/>
      <c r="G3680" s="593"/>
    </row>
    <row r="3681" spans="1:7">
      <c r="A3681" s="584"/>
      <c r="B3681" s="585"/>
      <c r="C3681" s="586"/>
      <c r="D3681" s="587"/>
      <c r="E3681" s="591"/>
      <c r="G3681" s="593"/>
    </row>
    <row r="3682" spans="1:7">
      <c r="A3682" s="584"/>
      <c r="B3682" s="585"/>
      <c r="C3682" s="586"/>
      <c r="D3682" s="587"/>
      <c r="E3682" s="591"/>
      <c r="G3682" s="593"/>
    </row>
    <row r="3683" spans="1:7">
      <c r="A3683" s="584"/>
      <c r="B3683" s="585"/>
      <c r="C3683" s="586"/>
      <c r="D3683" s="587"/>
      <c r="E3683" s="591"/>
      <c r="G3683" s="593"/>
    </row>
    <row r="3684" spans="1:7">
      <c r="A3684" s="584"/>
      <c r="B3684" s="585"/>
      <c r="C3684" s="586"/>
      <c r="D3684" s="587"/>
      <c r="E3684" s="591"/>
      <c r="G3684" s="593"/>
    </row>
    <row r="3685" spans="1:7">
      <c r="A3685" s="584"/>
      <c r="B3685" s="585"/>
      <c r="C3685" s="586"/>
      <c r="D3685" s="587"/>
      <c r="E3685" s="591"/>
      <c r="G3685" s="593"/>
    </row>
    <row r="3686" spans="1:7">
      <c r="A3686" s="584"/>
      <c r="B3686" s="585"/>
      <c r="C3686" s="586"/>
      <c r="D3686" s="587"/>
      <c r="E3686" s="591"/>
      <c r="G3686" s="593"/>
    </row>
    <row r="3687" spans="1:7">
      <c r="A3687" s="584"/>
      <c r="B3687" s="585"/>
      <c r="C3687" s="586"/>
      <c r="D3687" s="587"/>
      <c r="E3687" s="591"/>
      <c r="G3687" s="593"/>
    </row>
    <row r="3688" spans="1:7">
      <c r="A3688" s="584"/>
      <c r="B3688" s="585"/>
      <c r="C3688" s="586"/>
      <c r="D3688" s="587"/>
      <c r="E3688" s="591"/>
      <c r="G3688" s="593"/>
    </row>
    <row r="3689" spans="1:7">
      <c r="A3689" s="584"/>
      <c r="B3689" s="585"/>
      <c r="C3689" s="586"/>
      <c r="D3689" s="587"/>
      <c r="E3689" s="591"/>
      <c r="G3689" s="593"/>
    </row>
    <row r="3690" spans="1:7">
      <c r="A3690" s="584"/>
      <c r="B3690" s="585"/>
      <c r="C3690" s="586"/>
      <c r="D3690" s="587"/>
      <c r="E3690" s="591"/>
      <c r="G3690" s="593"/>
    </row>
    <row r="3691" spans="1:7">
      <c r="A3691" s="584"/>
      <c r="B3691" s="585"/>
      <c r="C3691" s="586"/>
      <c r="D3691" s="587"/>
      <c r="E3691" s="591"/>
      <c r="G3691" s="593"/>
    </row>
    <row r="3692" spans="1:7">
      <c r="A3692" s="584"/>
      <c r="B3692" s="585"/>
      <c r="C3692" s="586"/>
      <c r="D3692" s="587"/>
      <c r="E3692" s="591"/>
      <c r="G3692" s="593"/>
    </row>
    <row r="3693" spans="1:7">
      <c r="A3693" s="584"/>
      <c r="B3693" s="585"/>
      <c r="C3693" s="586"/>
      <c r="D3693" s="587"/>
      <c r="E3693" s="591"/>
      <c r="G3693" s="593"/>
    </row>
    <row r="3694" spans="1:7">
      <c r="A3694" s="584"/>
      <c r="B3694" s="585"/>
      <c r="C3694" s="586"/>
      <c r="D3694" s="587"/>
      <c r="E3694" s="591"/>
      <c r="G3694" s="593"/>
    </row>
    <row r="3695" spans="1:7">
      <c r="A3695" s="584"/>
      <c r="B3695" s="585"/>
      <c r="C3695" s="586"/>
      <c r="D3695" s="587"/>
      <c r="E3695" s="591"/>
      <c r="G3695" s="593"/>
    </row>
    <row r="3696" spans="1:7">
      <c r="A3696" s="584"/>
      <c r="B3696" s="585"/>
      <c r="C3696" s="586"/>
      <c r="D3696" s="587"/>
      <c r="E3696" s="591"/>
      <c r="G3696" s="593"/>
    </row>
    <row r="3697" spans="1:7">
      <c r="A3697" s="584"/>
      <c r="B3697" s="585"/>
      <c r="C3697" s="586"/>
      <c r="D3697" s="587"/>
      <c r="E3697" s="591"/>
      <c r="G3697" s="593"/>
    </row>
    <row r="3698" spans="1:7">
      <c r="A3698" s="584"/>
      <c r="B3698" s="585"/>
      <c r="C3698" s="586"/>
      <c r="D3698" s="587"/>
      <c r="E3698" s="591"/>
      <c r="G3698" s="593"/>
    </row>
    <row r="3699" spans="1:7">
      <c r="A3699" s="584"/>
      <c r="B3699" s="585"/>
      <c r="C3699" s="586"/>
      <c r="D3699" s="587"/>
      <c r="E3699" s="591"/>
      <c r="G3699" s="593"/>
    </row>
    <row r="3700" spans="1:7">
      <c r="A3700" s="584"/>
      <c r="B3700" s="585"/>
      <c r="C3700" s="586"/>
      <c r="D3700" s="587"/>
      <c r="E3700" s="591"/>
      <c r="G3700" s="593"/>
    </row>
    <row r="3701" spans="1:7">
      <c r="A3701" s="584"/>
      <c r="B3701" s="585"/>
      <c r="C3701" s="586"/>
      <c r="D3701" s="587"/>
      <c r="E3701" s="591"/>
      <c r="G3701" s="593"/>
    </row>
    <row r="3702" spans="1:7">
      <c r="A3702" s="584"/>
      <c r="B3702" s="585"/>
      <c r="C3702" s="586"/>
      <c r="D3702" s="587"/>
      <c r="E3702" s="591"/>
      <c r="G3702" s="593"/>
    </row>
    <row r="3703" spans="1:7">
      <c r="A3703" s="584"/>
      <c r="B3703" s="585"/>
      <c r="C3703" s="586"/>
      <c r="D3703" s="587"/>
      <c r="E3703" s="591"/>
      <c r="G3703" s="593"/>
    </row>
    <row r="3704" spans="1:7">
      <c r="A3704" s="584"/>
      <c r="B3704" s="585"/>
      <c r="C3704" s="586"/>
      <c r="D3704" s="587"/>
      <c r="E3704" s="591"/>
      <c r="G3704" s="593"/>
    </row>
    <row r="3705" spans="1:7">
      <c r="A3705" s="584"/>
      <c r="B3705" s="585"/>
      <c r="C3705" s="586"/>
      <c r="D3705" s="587"/>
      <c r="E3705" s="591"/>
      <c r="G3705" s="593"/>
    </row>
    <row r="3706" spans="1:7">
      <c r="A3706" s="584"/>
      <c r="B3706" s="585"/>
      <c r="C3706" s="586"/>
      <c r="D3706" s="587"/>
      <c r="E3706" s="591"/>
      <c r="G3706" s="593"/>
    </row>
    <row r="3707" spans="1:7">
      <c r="A3707" s="584"/>
      <c r="B3707" s="585"/>
      <c r="C3707" s="586"/>
      <c r="D3707" s="587"/>
      <c r="E3707" s="591"/>
      <c r="G3707" s="593"/>
    </row>
    <row r="3708" spans="1:7">
      <c r="A3708" s="584"/>
      <c r="B3708" s="585"/>
      <c r="C3708" s="586"/>
      <c r="D3708" s="587"/>
      <c r="E3708" s="591"/>
      <c r="G3708" s="593"/>
    </row>
    <row r="3709" spans="1:7">
      <c r="A3709" s="584"/>
      <c r="B3709" s="585"/>
      <c r="C3709" s="586"/>
      <c r="D3709" s="587"/>
      <c r="E3709" s="591"/>
      <c r="G3709" s="593"/>
    </row>
    <row r="3710" spans="1:7">
      <c r="A3710" s="584"/>
      <c r="B3710" s="585"/>
      <c r="C3710" s="586"/>
      <c r="D3710" s="587"/>
      <c r="E3710" s="591"/>
      <c r="G3710" s="593"/>
    </row>
    <row r="3711" spans="1:7">
      <c r="A3711" s="584"/>
      <c r="B3711" s="585"/>
      <c r="C3711" s="586"/>
      <c r="D3711" s="587"/>
      <c r="E3711" s="591"/>
      <c r="G3711" s="593"/>
    </row>
    <row r="3712" spans="1:7">
      <c r="A3712" s="584"/>
      <c r="B3712" s="585"/>
      <c r="C3712" s="586"/>
      <c r="D3712" s="587"/>
      <c r="E3712" s="591"/>
      <c r="G3712" s="593"/>
    </row>
    <row r="3713" spans="1:7">
      <c r="A3713" s="584"/>
      <c r="B3713" s="585"/>
      <c r="C3713" s="586"/>
      <c r="D3713" s="587"/>
      <c r="E3713" s="591"/>
      <c r="G3713" s="593"/>
    </row>
    <row r="3714" spans="1:7">
      <c r="A3714" s="584"/>
      <c r="B3714" s="585"/>
      <c r="C3714" s="586"/>
      <c r="D3714" s="587"/>
      <c r="E3714" s="591"/>
      <c r="G3714" s="593"/>
    </row>
    <row r="3715" spans="1:7">
      <c r="A3715" s="584"/>
      <c r="B3715" s="585"/>
      <c r="C3715" s="586"/>
      <c r="D3715" s="587"/>
      <c r="E3715" s="591"/>
      <c r="G3715" s="593"/>
    </row>
    <row r="3716" spans="1:7">
      <c r="A3716" s="584"/>
      <c r="B3716" s="585"/>
      <c r="C3716" s="586"/>
      <c r="D3716" s="587"/>
      <c r="E3716" s="591"/>
      <c r="G3716" s="593"/>
    </row>
    <row r="3717" spans="1:7">
      <c r="A3717" s="584"/>
      <c r="B3717" s="585"/>
      <c r="C3717" s="586"/>
      <c r="D3717" s="587"/>
      <c r="E3717" s="591"/>
      <c r="G3717" s="593"/>
    </row>
    <row r="3718" spans="1:7">
      <c r="A3718" s="584"/>
      <c r="B3718" s="585"/>
      <c r="C3718" s="586"/>
      <c r="D3718" s="587"/>
      <c r="E3718" s="591"/>
      <c r="G3718" s="593"/>
    </row>
    <row r="3719" spans="1:7">
      <c r="A3719" s="584"/>
      <c r="B3719" s="585"/>
      <c r="C3719" s="586"/>
      <c r="D3719" s="587"/>
      <c r="E3719" s="591"/>
      <c r="G3719" s="593"/>
    </row>
    <row r="3720" spans="1:7">
      <c r="A3720" s="584"/>
      <c r="B3720" s="585"/>
      <c r="C3720" s="586"/>
      <c r="D3720" s="587"/>
      <c r="E3720" s="591"/>
      <c r="G3720" s="593"/>
    </row>
    <row r="3721" spans="1:7">
      <c r="A3721" s="584"/>
      <c r="B3721" s="585"/>
      <c r="C3721" s="586"/>
      <c r="D3721" s="587"/>
      <c r="E3721" s="591"/>
      <c r="G3721" s="593"/>
    </row>
    <row r="3722" spans="1:7">
      <c r="A3722" s="584"/>
      <c r="B3722" s="585"/>
      <c r="C3722" s="586"/>
      <c r="D3722" s="587"/>
      <c r="E3722" s="591"/>
      <c r="G3722" s="593"/>
    </row>
    <row r="3723" spans="1:7">
      <c r="A3723" s="584"/>
      <c r="B3723" s="585"/>
      <c r="C3723" s="586"/>
      <c r="D3723" s="587"/>
      <c r="E3723" s="591"/>
      <c r="G3723" s="593"/>
    </row>
    <row r="3724" spans="1:7">
      <c r="A3724" s="584"/>
      <c r="B3724" s="585"/>
      <c r="C3724" s="586"/>
      <c r="D3724" s="587"/>
      <c r="E3724" s="591"/>
      <c r="G3724" s="593"/>
    </row>
    <row r="3725" spans="1:7">
      <c r="A3725" s="584"/>
      <c r="B3725" s="585"/>
      <c r="C3725" s="586"/>
      <c r="D3725" s="587"/>
      <c r="E3725" s="591"/>
      <c r="G3725" s="593"/>
    </row>
    <row r="3726" spans="1:7">
      <c r="A3726" s="584"/>
      <c r="B3726" s="585"/>
      <c r="C3726" s="586"/>
      <c r="D3726" s="587"/>
      <c r="E3726" s="591"/>
      <c r="G3726" s="593"/>
    </row>
    <row r="3727" spans="1:7">
      <c r="A3727" s="584"/>
      <c r="B3727" s="585"/>
      <c r="C3727" s="586"/>
      <c r="D3727" s="587"/>
      <c r="E3727" s="591"/>
      <c r="G3727" s="593"/>
    </row>
    <row r="3728" spans="1:7">
      <c r="A3728" s="584"/>
      <c r="B3728" s="585"/>
      <c r="C3728" s="586"/>
      <c r="D3728" s="587"/>
      <c r="E3728" s="591"/>
      <c r="G3728" s="593"/>
    </row>
    <row r="3729" spans="1:7">
      <c r="A3729" s="584"/>
      <c r="B3729" s="585"/>
      <c r="C3729" s="586"/>
      <c r="D3729" s="587"/>
      <c r="E3729" s="591"/>
      <c r="G3729" s="593"/>
    </row>
    <row r="3730" spans="1:7">
      <c r="A3730" s="584"/>
      <c r="B3730" s="585"/>
      <c r="C3730" s="586"/>
      <c r="D3730" s="587"/>
      <c r="E3730" s="591"/>
      <c r="G3730" s="593"/>
    </row>
    <row r="3731" spans="1:7">
      <c r="A3731" s="584"/>
      <c r="B3731" s="585"/>
      <c r="C3731" s="586"/>
      <c r="D3731" s="587"/>
      <c r="E3731" s="591"/>
      <c r="G3731" s="593"/>
    </row>
    <row r="3732" spans="1:7">
      <c r="A3732" s="584"/>
      <c r="B3732" s="585"/>
      <c r="C3732" s="586"/>
      <c r="D3732" s="587"/>
      <c r="E3732" s="591"/>
      <c r="G3732" s="593"/>
    </row>
    <row r="3733" spans="1:7">
      <c r="A3733" s="584"/>
      <c r="B3733" s="585"/>
      <c r="C3733" s="586"/>
      <c r="D3733" s="587"/>
      <c r="E3733" s="591"/>
      <c r="G3733" s="593"/>
    </row>
    <row r="3734" spans="1:7">
      <c r="A3734" s="584"/>
      <c r="B3734" s="585"/>
      <c r="C3734" s="586"/>
      <c r="D3734" s="587"/>
      <c r="E3734" s="591"/>
      <c r="G3734" s="593"/>
    </row>
    <row r="3735" spans="1:7">
      <c r="A3735" s="584"/>
      <c r="B3735" s="585"/>
      <c r="C3735" s="586"/>
      <c r="D3735" s="587"/>
      <c r="E3735" s="591"/>
      <c r="G3735" s="593"/>
    </row>
    <row r="3736" spans="1:7">
      <c r="A3736" s="584"/>
      <c r="B3736" s="585"/>
      <c r="C3736" s="586"/>
      <c r="D3736" s="587"/>
      <c r="E3736" s="591"/>
      <c r="G3736" s="593"/>
    </row>
    <row r="3737" spans="1:7">
      <c r="A3737" s="584"/>
      <c r="B3737" s="585"/>
      <c r="C3737" s="586"/>
      <c r="D3737" s="587"/>
      <c r="E3737" s="591"/>
      <c r="G3737" s="593"/>
    </row>
    <row r="3738" spans="1:7">
      <c r="A3738" s="584"/>
      <c r="B3738" s="585"/>
      <c r="C3738" s="586"/>
      <c r="D3738" s="587"/>
      <c r="E3738" s="591"/>
      <c r="G3738" s="593"/>
    </row>
    <row r="3739" spans="1:7">
      <c r="A3739" s="584"/>
      <c r="B3739" s="585"/>
      <c r="C3739" s="586"/>
      <c r="D3739" s="587"/>
      <c r="E3739" s="591"/>
      <c r="G3739" s="593"/>
    </row>
    <row r="3740" spans="1:7">
      <c r="A3740" s="584"/>
      <c r="B3740" s="585"/>
      <c r="C3740" s="586"/>
      <c r="D3740" s="587"/>
      <c r="E3740" s="591"/>
      <c r="G3740" s="593"/>
    </row>
    <row r="3741" spans="1:7">
      <c r="A3741" s="584"/>
      <c r="B3741" s="585"/>
      <c r="C3741" s="586"/>
      <c r="D3741" s="587"/>
      <c r="E3741" s="591"/>
      <c r="G3741" s="593"/>
    </row>
    <row r="3742" spans="1:7">
      <c r="A3742" s="584"/>
      <c r="B3742" s="585"/>
      <c r="C3742" s="586"/>
      <c r="D3742" s="587"/>
      <c r="E3742" s="591"/>
      <c r="G3742" s="593"/>
    </row>
    <row r="3743" spans="1:7">
      <c r="A3743" s="584"/>
      <c r="B3743" s="585"/>
      <c r="C3743" s="586"/>
      <c r="D3743" s="587"/>
      <c r="E3743" s="591"/>
      <c r="G3743" s="593"/>
    </row>
    <row r="3744" spans="1:7">
      <c r="A3744" s="584"/>
      <c r="B3744" s="585"/>
      <c r="C3744" s="586"/>
      <c r="D3744" s="587"/>
      <c r="E3744" s="591"/>
      <c r="G3744" s="593"/>
    </row>
    <row r="3745" spans="1:7">
      <c r="A3745" s="584"/>
      <c r="B3745" s="585"/>
      <c r="C3745" s="586"/>
      <c r="D3745" s="587"/>
      <c r="E3745" s="591"/>
      <c r="G3745" s="593"/>
    </row>
    <row r="3746" spans="1:7">
      <c r="A3746" s="584"/>
      <c r="B3746" s="585"/>
      <c r="C3746" s="586"/>
      <c r="D3746" s="587"/>
      <c r="E3746" s="591"/>
      <c r="G3746" s="593"/>
    </row>
    <row r="3747" spans="1:7">
      <c r="A3747" s="584"/>
      <c r="B3747" s="585"/>
      <c r="C3747" s="586"/>
      <c r="D3747" s="587"/>
      <c r="E3747" s="591"/>
      <c r="G3747" s="593"/>
    </row>
    <row r="3748" spans="1:7">
      <c r="A3748" s="584"/>
      <c r="B3748" s="585"/>
      <c r="C3748" s="586"/>
      <c r="D3748" s="587"/>
      <c r="E3748" s="591"/>
      <c r="G3748" s="593"/>
    </row>
    <row r="3749" spans="1:7">
      <c r="A3749" s="584"/>
      <c r="B3749" s="585"/>
      <c r="C3749" s="586"/>
      <c r="D3749" s="587"/>
      <c r="E3749" s="591"/>
      <c r="G3749" s="593"/>
    </row>
    <row r="3750" spans="1:7">
      <c r="A3750" s="584"/>
      <c r="B3750" s="585"/>
      <c r="C3750" s="586"/>
      <c r="D3750" s="587"/>
      <c r="E3750" s="591"/>
      <c r="G3750" s="593"/>
    </row>
    <row r="3751" spans="1:7">
      <c r="A3751" s="584"/>
      <c r="B3751" s="585"/>
      <c r="C3751" s="586"/>
      <c r="D3751" s="587"/>
      <c r="E3751" s="591"/>
      <c r="G3751" s="593"/>
    </row>
    <row r="3752" spans="1:7">
      <c r="A3752" s="584"/>
      <c r="B3752" s="585"/>
      <c r="C3752" s="586"/>
      <c r="D3752" s="587"/>
      <c r="E3752" s="591"/>
      <c r="G3752" s="593"/>
    </row>
    <row r="3753" spans="1:7">
      <c r="A3753" s="584"/>
      <c r="B3753" s="585"/>
      <c r="C3753" s="586"/>
      <c r="D3753" s="587"/>
      <c r="E3753" s="591"/>
      <c r="G3753" s="593"/>
    </row>
    <row r="3754" spans="1:7">
      <c r="A3754" s="584"/>
      <c r="B3754" s="585"/>
      <c r="C3754" s="586"/>
      <c r="D3754" s="587"/>
      <c r="E3754" s="591"/>
      <c r="G3754" s="593"/>
    </row>
    <row r="3755" spans="1:7">
      <c r="A3755" s="584"/>
      <c r="B3755" s="585"/>
      <c r="C3755" s="586"/>
      <c r="D3755" s="587"/>
      <c r="E3755" s="591"/>
      <c r="G3755" s="593"/>
    </row>
    <row r="3756" spans="1:7">
      <c r="A3756" s="584"/>
      <c r="B3756" s="585"/>
      <c r="C3756" s="586"/>
      <c r="D3756" s="587"/>
      <c r="E3756" s="591"/>
      <c r="G3756" s="593"/>
    </row>
    <row r="3757" spans="1:7">
      <c r="A3757" s="584"/>
      <c r="B3757" s="585"/>
      <c r="C3757" s="586"/>
      <c r="D3757" s="587"/>
      <c r="E3757" s="591"/>
      <c r="G3757" s="593"/>
    </row>
    <row r="3758" spans="1:7">
      <c r="A3758" s="584"/>
      <c r="B3758" s="585"/>
      <c r="C3758" s="586"/>
      <c r="D3758" s="587"/>
      <c r="E3758" s="591"/>
      <c r="G3758" s="593"/>
    </row>
    <row r="3759" spans="1:7">
      <c r="A3759" s="584"/>
      <c r="B3759" s="585"/>
      <c r="C3759" s="586"/>
      <c r="D3759" s="587"/>
      <c r="E3759" s="591"/>
      <c r="G3759" s="593"/>
    </row>
    <row r="3760" spans="1:7">
      <c r="A3760" s="584"/>
      <c r="B3760" s="585"/>
      <c r="C3760" s="586"/>
      <c r="D3760" s="587"/>
      <c r="E3760" s="591"/>
      <c r="G3760" s="593"/>
    </row>
    <row r="3761" spans="1:7">
      <c r="A3761" s="584"/>
      <c r="B3761" s="585"/>
      <c r="C3761" s="586"/>
      <c r="D3761" s="587"/>
      <c r="E3761" s="591"/>
      <c r="G3761" s="593"/>
    </row>
    <row r="3762" spans="1:7">
      <c r="A3762" s="584"/>
      <c r="B3762" s="585"/>
      <c r="C3762" s="586"/>
      <c r="D3762" s="587"/>
      <c r="E3762" s="591"/>
      <c r="G3762" s="593"/>
    </row>
    <row r="3763" spans="1:7">
      <c r="A3763" s="584"/>
      <c r="B3763" s="585"/>
      <c r="C3763" s="586"/>
      <c r="D3763" s="587"/>
      <c r="E3763" s="591"/>
      <c r="G3763" s="593"/>
    </row>
    <row r="3764" spans="1:7">
      <c r="A3764" s="584"/>
      <c r="B3764" s="585"/>
      <c r="C3764" s="586"/>
      <c r="D3764" s="587"/>
      <c r="E3764" s="591"/>
      <c r="G3764" s="593"/>
    </row>
    <row r="3765" spans="1:7">
      <c r="A3765" s="584"/>
      <c r="B3765" s="585"/>
      <c r="C3765" s="586"/>
      <c r="D3765" s="587"/>
      <c r="E3765" s="591"/>
      <c r="G3765" s="593"/>
    </row>
    <row r="3766" spans="1:7">
      <c r="A3766" s="584"/>
      <c r="B3766" s="585"/>
      <c r="C3766" s="586"/>
      <c r="D3766" s="587"/>
      <c r="E3766" s="591"/>
      <c r="G3766" s="593"/>
    </row>
    <row r="3767" spans="1:7">
      <c r="A3767" s="584"/>
      <c r="B3767" s="585"/>
      <c r="C3767" s="586"/>
      <c r="D3767" s="587"/>
      <c r="E3767" s="591"/>
      <c r="G3767" s="593"/>
    </row>
    <row r="3768" spans="1:7">
      <c r="A3768" s="584"/>
      <c r="B3768" s="585"/>
      <c r="C3768" s="586"/>
      <c r="D3768" s="587"/>
      <c r="E3768" s="591"/>
      <c r="G3768" s="593"/>
    </row>
    <row r="3769" spans="1:7">
      <c r="A3769" s="584"/>
      <c r="B3769" s="585"/>
      <c r="C3769" s="586"/>
      <c r="D3769" s="587"/>
      <c r="E3769" s="591"/>
      <c r="G3769" s="593"/>
    </row>
    <row r="3770" spans="1:7">
      <c r="A3770" s="584"/>
      <c r="B3770" s="585"/>
      <c r="C3770" s="586"/>
      <c r="D3770" s="587"/>
      <c r="E3770" s="591"/>
      <c r="G3770" s="593"/>
    </row>
    <row r="3771" spans="1:7">
      <c r="A3771" s="584"/>
      <c r="B3771" s="585"/>
      <c r="C3771" s="586"/>
      <c r="D3771" s="587"/>
      <c r="E3771" s="591"/>
      <c r="G3771" s="593"/>
    </row>
    <row r="3772" spans="1:7">
      <c r="A3772" s="584"/>
      <c r="B3772" s="585"/>
      <c r="C3772" s="586"/>
      <c r="D3772" s="587"/>
      <c r="E3772" s="591"/>
      <c r="G3772" s="593"/>
    </row>
    <row r="3773" spans="1:7">
      <c r="A3773" s="584"/>
      <c r="B3773" s="585"/>
      <c r="C3773" s="586"/>
      <c r="D3773" s="587"/>
      <c r="E3773" s="591"/>
      <c r="G3773" s="593"/>
    </row>
    <row r="3774" spans="1:7">
      <c r="A3774" s="584"/>
      <c r="B3774" s="585"/>
      <c r="C3774" s="586"/>
      <c r="D3774" s="587"/>
      <c r="E3774" s="591"/>
      <c r="G3774" s="593"/>
    </row>
    <row r="3775" spans="1:7">
      <c r="A3775" s="584"/>
      <c r="B3775" s="585"/>
      <c r="C3775" s="586"/>
      <c r="D3775" s="587"/>
      <c r="E3775" s="591"/>
      <c r="G3775" s="593"/>
    </row>
    <row r="3776" spans="1:7">
      <c r="A3776" s="584"/>
      <c r="B3776" s="585"/>
      <c r="C3776" s="586"/>
      <c r="D3776" s="587"/>
      <c r="E3776" s="591"/>
      <c r="G3776" s="593"/>
    </row>
    <row r="3777" spans="1:7">
      <c r="A3777" s="584"/>
      <c r="B3777" s="585"/>
      <c r="C3777" s="586"/>
      <c r="D3777" s="587"/>
      <c r="E3777" s="591"/>
      <c r="G3777" s="593"/>
    </row>
    <row r="3778" spans="1:7">
      <c r="A3778" s="584"/>
      <c r="B3778" s="585"/>
      <c r="C3778" s="586"/>
      <c r="D3778" s="587"/>
      <c r="E3778" s="591"/>
      <c r="G3778" s="593"/>
    </row>
    <row r="3779" spans="1:7">
      <c r="A3779" s="584"/>
      <c r="B3779" s="585"/>
      <c r="C3779" s="586"/>
      <c r="D3779" s="587"/>
      <c r="E3779" s="591"/>
      <c r="G3779" s="593"/>
    </row>
    <row r="3780" spans="1:7">
      <c r="A3780" s="584"/>
      <c r="B3780" s="585"/>
      <c r="C3780" s="586"/>
      <c r="D3780" s="587"/>
      <c r="E3780" s="591"/>
      <c r="G3780" s="593"/>
    </row>
    <row r="3781" spans="1:7">
      <c r="A3781" s="584"/>
      <c r="B3781" s="585"/>
      <c r="C3781" s="586"/>
      <c r="D3781" s="587"/>
      <c r="E3781" s="591"/>
      <c r="G3781" s="593"/>
    </row>
    <row r="3782" spans="1:7">
      <c r="A3782" s="584"/>
      <c r="B3782" s="585"/>
      <c r="C3782" s="586"/>
      <c r="D3782" s="587"/>
      <c r="E3782" s="591"/>
      <c r="G3782" s="593"/>
    </row>
    <row r="3783" spans="1:7">
      <c r="A3783" s="584"/>
      <c r="B3783" s="585"/>
      <c r="C3783" s="586"/>
      <c r="D3783" s="587"/>
      <c r="E3783" s="591"/>
      <c r="G3783" s="593"/>
    </row>
    <row r="3784" spans="1:7">
      <c r="A3784" s="584"/>
      <c r="B3784" s="585"/>
      <c r="C3784" s="586"/>
      <c r="D3784" s="587"/>
      <c r="E3784" s="591"/>
      <c r="G3784" s="593"/>
    </row>
    <row r="3785" spans="1:7">
      <c r="A3785" s="584"/>
      <c r="B3785" s="585"/>
      <c r="C3785" s="586"/>
      <c r="D3785" s="587"/>
      <c r="E3785" s="591"/>
      <c r="G3785" s="593"/>
    </row>
    <row r="3786" spans="1:7">
      <c r="A3786" s="584"/>
      <c r="B3786" s="585"/>
      <c r="C3786" s="586"/>
      <c r="D3786" s="587"/>
      <c r="E3786" s="591"/>
      <c r="G3786" s="593"/>
    </row>
    <row r="3787" spans="1:7">
      <c r="A3787" s="584"/>
      <c r="B3787" s="585"/>
      <c r="C3787" s="586"/>
      <c r="D3787" s="587"/>
      <c r="E3787" s="591"/>
      <c r="G3787" s="593"/>
    </row>
    <row r="3788" spans="1:7">
      <c r="A3788" s="584"/>
      <c r="B3788" s="585"/>
      <c r="C3788" s="586"/>
      <c r="D3788" s="587"/>
      <c r="E3788" s="591"/>
      <c r="G3788" s="593"/>
    </row>
    <row r="3789" spans="1:7">
      <c r="A3789" s="584"/>
      <c r="B3789" s="585"/>
      <c r="C3789" s="586"/>
      <c r="D3789" s="587"/>
      <c r="E3789" s="591"/>
      <c r="G3789" s="593"/>
    </row>
    <row r="3790" spans="1:7">
      <c r="A3790" s="584"/>
      <c r="B3790" s="585"/>
      <c r="C3790" s="586"/>
      <c r="D3790" s="587"/>
      <c r="E3790" s="591"/>
      <c r="G3790" s="593"/>
    </row>
    <row r="3791" spans="1:7">
      <c r="A3791" s="584"/>
      <c r="B3791" s="585"/>
      <c r="C3791" s="586"/>
      <c r="D3791" s="587"/>
      <c r="E3791" s="591"/>
      <c r="G3791" s="593"/>
    </row>
    <row r="3792" spans="1:7">
      <c r="A3792" s="584"/>
      <c r="B3792" s="585"/>
      <c r="C3792" s="586"/>
      <c r="D3792" s="587"/>
      <c r="E3792" s="591"/>
      <c r="G3792" s="593"/>
    </row>
    <row r="3793" spans="1:7">
      <c r="A3793" s="584"/>
      <c r="B3793" s="585"/>
      <c r="C3793" s="586"/>
      <c r="D3793" s="587"/>
      <c r="E3793" s="591"/>
      <c r="G3793" s="593"/>
    </row>
    <row r="3794" spans="1:7">
      <c r="A3794" s="584"/>
      <c r="B3794" s="585"/>
      <c r="C3794" s="586"/>
      <c r="D3794" s="587"/>
      <c r="E3794" s="591"/>
      <c r="G3794" s="593"/>
    </row>
    <row r="3795" spans="1:7">
      <c r="A3795" s="584"/>
      <c r="B3795" s="585"/>
      <c r="C3795" s="586"/>
      <c r="D3795" s="587"/>
      <c r="E3795" s="591"/>
      <c r="G3795" s="593"/>
    </row>
    <row r="3796" spans="1:7">
      <c r="A3796" s="584"/>
      <c r="B3796" s="585"/>
      <c r="C3796" s="586"/>
      <c r="D3796" s="587"/>
      <c r="E3796" s="591"/>
      <c r="G3796" s="593"/>
    </row>
    <row r="3797" spans="1:7">
      <c r="A3797" s="584"/>
      <c r="B3797" s="585"/>
      <c r="C3797" s="586"/>
      <c r="D3797" s="587"/>
      <c r="E3797" s="591"/>
      <c r="G3797" s="593"/>
    </row>
    <row r="3798" spans="1:7">
      <c r="A3798" s="584"/>
      <c r="B3798" s="585"/>
      <c r="C3798" s="586"/>
      <c r="D3798" s="587"/>
      <c r="E3798" s="591"/>
      <c r="G3798" s="593"/>
    </row>
    <row r="3799" spans="1:7">
      <c r="A3799" s="584"/>
      <c r="B3799" s="585"/>
      <c r="C3799" s="586"/>
      <c r="D3799" s="587"/>
      <c r="E3799" s="591"/>
      <c r="G3799" s="593"/>
    </row>
    <row r="3800" spans="1:7">
      <c r="A3800" s="584"/>
      <c r="B3800" s="585"/>
      <c r="C3800" s="586"/>
      <c r="D3800" s="587"/>
      <c r="E3800" s="591"/>
      <c r="G3800" s="593"/>
    </row>
    <row r="3801" spans="1:7">
      <c r="A3801" s="584"/>
      <c r="B3801" s="585"/>
      <c r="C3801" s="586"/>
      <c r="D3801" s="587"/>
      <c r="E3801" s="591"/>
      <c r="G3801" s="593"/>
    </row>
    <row r="3802" spans="1:7">
      <c r="A3802" s="584"/>
      <c r="B3802" s="585"/>
      <c r="C3802" s="586"/>
      <c r="D3802" s="587"/>
      <c r="E3802" s="591"/>
      <c r="G3802" s="593"/>
    </row>
    <row r="3803" spans="1:7">
      <c r="A3803" s="584"/>
      <c r="B3803" s="585"/>
      <c r="C3803" s="586"/>
      <c r="D3803" s="587"/>
      <c r="E3803" s="591"/>
      <c r="G3803" s="593"/>
    </row>
    <row r="3804" spans="1:7">
      <c r="A3804" s="584"/>
      <c r="B3804" s="585"/>
      <c r="C3804" s="586"/>
      <c r="D3804" s="587"/>
      <c r="E3804" s="591"/>
      <c r="G3804" s="593"/>
    </row>
    <row r="3805" spans="1:7">
      <c r="A3805" s="584"/>
      <c r="B3805" s="585"/>
      <c r="C3805" s="586"/>
      <c r="D3805" s="587"/>
      <c r="E3805" s="591"/>
      <c r="G3805" s="593"/>
    </row>
    <row r="3806" spans="1:7">
      <c r="A3806" s="584"/>
      <c r="B3806" s="585"/>
      <c r="C3806" s="586"/>
      <c r="D3806" s="587"/>
      <c r="E3806" s="591"/>
      <c r="G3806" s="593"/>
    </row>
    <row r="3807" spans="1:7">
      <c r="A3807" s="584"/>
      <c r="B3807" s="585"/>
      <c r="C3807" s="586"/>
      <c r="D3807" s="587"/>
      <c r="E3807" s="591"/>
      <c r="G3807" s="593"/>
    </row>
    <row r="3808" spans="1:7">
      <c r="A3808" s="584"/>
      <c r="B3808" s="585"/>
      <c r="C3808" s="586"/>
      <c r="D3808" s="587"/>
      <c r="E3808" s="591"/>
      <c r="G3808" s="593"/>
    </row>
    <row r="3809" spans="1:7">
      <c r="A3809" s="584"/>
      <c r="B3809" s="585"/>
      <c r="C3809" s="586"/>
      <c r="D3809" s="587"/>
      <c r="E3809" s="591"/>
      <c r="G3809" s="593"/>
    </row>
    <row r="3810" spans="1:7">
      <c r="A3810" s="584"/>
      <c r="B3810" s="585"/>
      <c r="C3810" s="586"/>
      <c r="D3810" s="587"/>
      <c r="E3810" s="591"/>
      <c r="G3810" s="593"/>
    </row>
    <row r="3811" spans="1:7">
      <c r="A3811" s="584"/>
      <c r="B3811" s="585"/>
      <c r="C3811" s="586"/>
      <c r="D3811" s="587"/>
      <c r="E3811" s="591"/>
      <c r="G3811" s="593"/>
    </row>
    <row r="3812" spans="1:7">
      <c r="A3812" s="584"/>
      <c r="B3812" s="585"/>
      <c r="C3812" s="586"/>
      <c r="D3812" s="587"/>
      <c r="E3812" s="591"/>
      <c r="G3812" s="593"/>
    </row>
    <row r="3813" spans="1:7">
      <c r="A3813" s="584"/>
      <c r="B3813" s="585"/>
      <c r="C3813" s="586"/>
      <c r="D3813" s="587"/>
      <c r="E3813" s="591"/>
      <c r="G3813" s="593"/>
    </row>
    <row r="3814" spans="1:7">
      <c r="A3814" s="584"/>
      <c r="B3814" s="585"/>
      <c r="C3814" s="586"/>
      <c r="D3814" s="587"/>
      <c r="E3814" s="591"/>
      <c r="G3814" s="593"/>
    </row>
    <row r="3815" spans="1:7">
      <c r="A3815" s="584"/>
      <c r="B3815" s="585"/>
      <c r="C3815" s="586"/>
      <c r="D3815" s="587"/>
      <c r="E3815" s="591"/>
      <c r="G3815" s="593"/>
    </row>
    <row r="3816" spans="1:7">
      <c r="A3816" s="584"/>
      <c r="B3816" s="585"/>
      <c r="C3816" s="586"/>
      <c r="D3816" s="587"/>
      <c r="E3816" s="591"/>
      <c r="G3816" s="593"/>
    </row>
    <row r="3817" spans="1:7">
      <c r="A3817" s="584"/>
      <c r="B3817" s="585"/>
      <c r="C3817" s="586"/>
      <c r="D3817" s="587"/>
      <c r="E3817" s="591"/>
      <c r="G3817" s="593"/>
    </row>
    <row r="3818" spans="1:7">
      <c r="A3818" s="584"/>
      <c r="B3818" s="585"/>
      <c r="C3818" s="586"/>
      <c r="D3818" s="587"/>
      <c r="E3818" s="591"/>
      <c r="G3818" s="593"/>
    </row>
    <row r="3819" spans="1:7">
      <c r="A3819" s="584"/>
      <c r="B3819" s="585"/>
      <c r="C3819" s="586"/>
      <c r="D3819" s="587"/>
      <c r="E3819" s="591"/>
      <c r="G3819" s="593"/>
    </row>
    <row r="3820" spans="1:7">
      <c r="A3820" s="584"/>
      <c r="B3820" s="585"/>
      <c r="C3820" s="586"/>
      <c r="D3820" s="587"/>
      <c r="E3820" s="591"/>
      <c r="G3820" s="593"/>
    </row>
    <row r="3821" spans="1:7">
      <c r="A3821" s="584"/>
      <c r="B3821" s="585"/>
      <c r="C3821" s="586"/>
      <c r="D3821" s="587"/>
      <c r="E3821" s="591"/>
      <c r="G3821" s="593"/>
    </row>
    <row r="3822" spans="1:7">
      <c r="A3822" s="584"/>
      <c r="B3822" s="585"/>
      <c r="C3822" s="586"/>
      <c r="D3822" s="587"/>
      <c r="E3822" s="591"/>
      <c r="G3822" s="593"/>
    </row>
    <row r="3823" spans="1:7">
      <c r="A3823" s="584"/>
      <c r="B3823" s="585"/>
      <c r="C3823" s="586"/>
      <c r="D3823" s="587"/>
      <c r="E3823" s="591"/>
      <c r="G3823" s="593"/>
    </row>
    <row r="3824" spans="1:7">
      <c r="A3824" s="584"/>
      <c r="B3824" s="585"/>
      <c r="C3824" s="586"/>
      <c r="D3824" s="587"/>
      <c r="E3824" s="591"/>
      <c r="G3824" s="593"/>
    </row>
    <row r="3825" spans="1:7">
      <c r="A3825" s="584"/>
      <c r="B3825" s="585"/>
      <c r="C3825" s="586"/>
      <c r="D3825" s="587"/>
      <c r="E3825" s="591"/>
      <c r="G3825" s="593"/>
    </row>
    <row r="3826" spans="1:7">
      <c r="A3826" s="584"/>
      <c r="B3826" s="585"/>
      <c r="C3826" s="586"/>
      <c r="D3826" s="587"/>
      <c r="E3826" s="591"/>
      <c r="G3826" s="593"/>
    </row>
    <row r="3827" spans="1:7">
      <c r="A3827" s="584"/>
      <c r="B3827" s="585"/>
      <c r="C3827" s="586"/>
      <c r="D3827" s="587"/>
      <c r="E3827" s="591"/>
      <c r="G3827" s="593"/>
    </row>
    <row r="3828" spans="1:7">
      <c r="A3828" s="584"/>
      <c r="B3828" s="585"/>
      <c r="C3828" s="586"/>
      <c r="D3828" s="587"/>
      <c r="E3828" s="591"/>
      <c r="G3828" s="593"/>
    </row>
    <row r="3829" spans="1:7">
      <c r="A3829" s="584"/>
      <c r="B3829" s="585"/>
      <c r="C3829" s="586"/>
      <c r="D3829" s="587"/>
      <c r="E3829" s="591"/>
      <c r="G3829" s="593"/>
    </row>
    <row r="3830" spans="1:7">
      <c r="A3830" s="584"/>
      <c r="B3830" s="585"/>
      <c r="C3830" s="586"/>
      <c r="D3830" s="587"/>
      <c r="E3830" s="591"/>
      <c r="G3830" s="593"/>
    </row>
    <row r="3831" spans="1:7">
      <c r="A3831" s="584"/>
      <c r="B3831" s="585"/>
      <c r="C3831" s="586"/>
      <c r="D3831" s="587"/>
      <c r="E3831" s="591"/>
      <c r="G3831" s="593"/>
    </row>
    <row r="3832" spans="1:7">
      <c r="A3832" s="584"/>
      <c r="B3832" s="585"/>
      <c r="C3832" s="586"/>
      <c r="D3832" s="587"/>
      <c r="E3832" s="591"/>
      <c r="G3832" s="593"/>
    </row>
    <row r="3833" spans="1:7">
      <c r="A3833" s="584"/>
      <c r="B3833" s="585"/>
      <c r="C3833" s="586"/>
      <c r="D3833" s="587"/>
      <c r="E3833" s="591"/>
      <c r="G3833" s="593"/>
    </row>
    <row r="3834" spans="1:7">
      <c r="A3834" s="584"/>
      <c r="B3834" s="585"/>
      <c r="C3834" s="586"/>
      <c r="D3834" s="587"/>
      <c r="E3834" s="591"/>
      <c r="G3834" s="593"/>
    </row>
    <row r="3835" spans="1:7">
      <c r="A3835" s="584"/>
      <c r="B3835" s="585"/>
      <c r="C3835" s="586"/>
      <c r="D3835" s="587"/>
      <c r="E3835" s="591"/>
      <c r="G3835" s="593"/>
    </row>
    <row r="3836" spans="1:7">
      <c r="A3836" s="584"/>
      <c r="B3836" s="585"/>
      <c r="C3836" s="586"/>
      <c r="D3836" s="587"/>
      <c r="E3836" s="591"/>
      <c r="G3836" s="593"/>
    </row>
    <row r="3837" spans="1:7">
      <c r="A3837" s="584"/>
      <c r="B3837" s="585"/>
      <c r="C3837" s="586"/>
      <c r="D3837" s="587"/>
      <c r="E3837" s="591"/>
      <c r="G3837" s="593"/>
    </row>
    <row r="3838" spans="1:7">
      <c r="A3838" s="584"/>
      <c r="B3838" s="585"/>
      <c r="C3838" s="586"/>
      <c r="D3838" s="587"/>
      <c r="E3838" s="591"/>
      <c r="G3838" s="593"/>
    </row>
    <row r="3839" spans="1:7">
      <c r="A3839" s="584"/>
      <c r="B3839" s="585"/>
      <c r="C3839" s="586"/>
      <c r="D3839" s="587"/>
      <c r="E3839" s="591"/>
      <c r="G3839" s="593"/>
    </row>
    <row r="3840" spans="1:7">
      <c r="A3840" s="584"/>
      <c r="B3840" s="585"/>
      <c r="C3840" s="586"/>
      <c r="D3840" s="587"/>
      <c r="E3840" s="591"/>
      <c r="G3840" s="593"/>
    </row>
    <row r="3841" spans="1:7">
      <c r="A3841" s="584"/>
      <c r="B3841" s="585"/>
      <c r="C3841" s="586"/>
      <c r="D3841" s="587"/>
      <c r="E3841" s="591"/>
      <c r="G3841" s="593"/>
    </row>
    <row r="3842" spans="1:7">
      <c r="A3842" s="584"/>
      <c r="B3842" s="585"/>
      <c r="C3842" s="586"/>
      <c r="D3842" s="587"/>
      <c r="E3842" s="591"/>
      <c r="G3842" s="593"/>
    </row>
    <row r="3843" spans="1:7">
      <c r="A3843" s="584"/>
      <c r="B3843" s="585"/>
      <c r="C3843" s="586"/>
      <c r="D3843" s="587"/>
      <c r="E3843" s="591"/>
      <c r="G3843" s="593"/>
    </row>
    <row r="3844" spans="1:7">
      <c r="A3844" s="584"/>
      <c r="B3844" s="585"/>
      <c r="C3844" s="586"/>
      <c r="D3844" s="587"/>
      <c r="E3844" s="591"/>
      <c r="G3844" s="593"/>
    </row>
    <row r="3845" spans="1:7">
      <c r="A3845" s="584"/>
      <c r="B3845" s="585"/>
      <c r="C3845" s="586"/>
      <c r="D3845" s="587"/>
      <c r="E3845" s="591"/>
      <c r="G3845" s="593"/>
    </row>
    <row r="3846" spans="1:7">
      <c r="A3846" s="584"/>
      <c r="B3846" s="585"/>
      <c r="C3846" s="586"/>
      <c r="D3846" s="587"/>
      <c r="E3846" s="591"/>
      <c r="G3846" s="593"/>
    </row>
    <row r="3847" spans="1:7">
      <c r="A3847" s="584"/>
      <c r="B3847" s="585"/>
      <c r="C3847" s="586"/>
      <c r="D3847" s="587"/>
      <c r="E3847" s="591"/>
      <c r="G3847" s="593"/>
    </row>
    <row r="3848" spans="1:7">
      <c r="A3848" s="584"/>
      <c r="B3848" s="585"/>
      <c r="C3848" s="586"/>
      <c r="D3848" s="587"/>
      <c r="E3848" s="591"/>
      <c r="G3848" s="593"/>
    </row>
    <row r="3849" spans="1:7">
      <c r="A3849" s="584"/>
      <c r="B3849" s="585"/>
      <c r="C3849" s="586"/>
      <c r="D3849" s="587"/>
      <c r="E3849" s="591"/>
      <c r="G3849" s="593"/>
    </row>
    <row r="3850" spans="1:7">
      <c r="A3850" s="584"/>
      <c r="B3850" s="585"/>
      <c r="C3850" s="586"/>
      <c r="D3850" s="587"/>
      <c r="E3850" s="591"/>
      <c r="G3850" s="593"/>
    </row>
    <row r="3851" spans="1:7">
      <c r="A3851" s="584"/>
      <c r="B3851" s="585"/>
      <c r="C3851" s="586"/>
      <c r="D3851" s="587"/>
      <c r="E3851" s="591"/>
      <c r="G3851" s="593"/>
    </row>
    <row r="3852" spans="1:7">
      <c r="A3852" s="584"/>
      <c r="B3852" s="585"/>
      <c r="C3852" s="586"/>
      <c r="D3852" s="587"/>
      <c r="E3852" s="591"/>
      <c r="G3852" s="593"/>
    </row>
    <row r="3853" spans="1:7">
      <c r="A3853" s="584"/>
      <c r="B3853" s="585"/>
      <c r="C3853" s="586"/>
      <c r="D3853" s="587"/>
      <c r="E3853" s="591"/>
      <c r="G3853" s="593"/>
    </row>
    <row r="3854" spans="1:7">
      <c r="A3854" s="584"/>
      <c r="B3854" s="585"/>
      <c r="C3854" s="586"/>
      <c r="D3854" s="587"/>
      <c r="E3854" s="591"/>
      <c r="G3854" s="593"/>
    </row>
    <row r="3855" spans="1:7">
      <c r="A3855" s="584"/>
      <c r="B3855" s="585"/>
      <c r="C3855" s="586"/>
      <c r="D3855" s="587"/>
      <c r="E3855" s="591"/>
      <c r="G3855" s="593"/>
    </row>
    <row r="3856" spans="1:7">
      <c r="A3856" s="584"/>
      <c r="B3856" s="585"/>
      <c r="C3856" s="586"/>
      <c r="D3856" s="587"/>
      <c r="E3856" s="591"/>
      <c r="G3856" s="593"/>
    </row>
    <row r="3857" spans="1:7">
      <c r="A3857" s="584"/>
      <c r="B3857" s="585"/>
      <c r="C3857" s="586"/>
      <c r="D3857" s="587"/>
      <c r="E3857" s="591"/>
      <c r="G3857" s="593"/>
    </row>
    <row r="3858" spans="1:7">
      <c r="A3858" s="584"/>
      <c r="B3858" s="585"/>
      <c r="C3858" s="586"/>
      <c r="D3858" s="587"/>
      <c r="E3858" s="591"/>
      <c r="G3858" s="593"/>
    </row>
    <row r="3859" spans="1:7">
      <c r="A3859" s="584"/>
      <c r="B3859" s="585"/>
      <c r="C3859" s="586"/>
      <c r="D3859" s="587"/>
      <c r="E3859" s="591"/>
      <c r="G3859" s="593"/>
    </row>
    <row r="3860" spans="1:7">
      <c r="A3860" s="584"/>
      <c r="B3860" s="585"/>
      <c r="C3860" s="586"/>
      <c r="D3860" s="587"/>
      <c r="E3860" s="591"/>
      <c r="G3860" s="593"/>
    </row>
    <row r="3861" spans="1:7">
      <c r="A3861" s="584"/>
      <c r="B3861" s="585"/>
      <c r="C3861" s="586"/>
      <c r="D3861" s="587"/>
      <c r="E3861" s="591"/>
      <c r="G3861" s="593"/>
    </row>
    <row r="3862" spans="1:7">
      <c r="A3862" s="584"/>
      <c r="B3862" s="585"/>
      <c r="C3862" s="586"/>
      <c r="D3862" s="587"/>
      <c r="E3862" s="591"/>
      <c r="G3862" s="593"/>
    </row>
    <row r="3863" spans="1:7">
      <c r="A3863" s="584"/>
      <c r="B3863" s="585"/>
      <c r="C3863" s="586"/>
      <c r="D3863" s="587"/>
      <c r="E3863" s="591"/>
      <c r="G3863" s="593"/>
    </row>
    <row r="3864" spans="1:7">
      <c r="A3864" s="584"/>
      <c r="B3864" s="585"/>
      <c r="C3864" s="586"/>
      <c r="D3864" s="587"/>
      <c r="E3864" s="591"/>
      <c r="G3864" s="593"/>
    </row>
    <row r="3865" spans="1:7">
      <c r="A3865" s="584"/>
      <c r="B3865" s="585"/>
      <c r="C3865" s="586"/>
      <c r="D3865" s="587"/>
      <c r="E3865" s="591"/>
      <c r="G3865" s="593"/>
    </row>
    <row r="3866" spans="1:7">
      <c r="A3866" s="584"/>
      <c r="B3866" s="585"/>
      <c r="C3866" s="586"/>
      <c r="D3866" s="587"/>
      <c r="E3866" s="591"/>
      <c r="G3866" s="593"/>
    </row>
    <row r="3867" spans="1:7">
      <c r="A3867" s="584"/>
      <c r="B3867" s="585"/>
      <c r="C3867" s="586"/>
      <c r="D3867" s="587"/>
      <c r="E3867" s="591"/>
      <c r="G3867" s="593"/>
    </row>
    <row r="3868" spans="1:7">
      <c r="A3868" s="584"/>
      <c r="B3868" s="585"/>
      <c r="C3868" s="586"/>
      <c r="D3868" s="587"/>
      <c r="E3868" s="591"/>
      <c r="G3868" s="593"/>
    </row>
    <row r="3869" spans="1:7">
      <c r="A3869" s="584"/>
      <c r="B3869" s="585"/>
      <c r="C3869" s="586"/>
      <c r="D3869" s="587"/>
      <c r="E3869" s="591"/>
      <c r="G3869" s="593"/>
    </row>
    <row r="3870" spans="1:7">
      <c r="A3870" s="584"/>
      <c r="B3870" s="585"/>
      <c r="C3870" s="586"/>
      <c r="D3870" s="587"/>
      <c r="E3870" s="591"/>
      <c r="G3870" s="593"/>
    </row>
    <row r="3871" spans="1:7">
      <c r="A3871" s="584"/>
      <c r="B3871" s="585"/>
      <c r="C3871" s="586"/>
      <c r="D3871" s="587"/>
      <c r="E3871" s="591"/>
      <c r="G3871" s="593"/>
    </row>
    <row r="3872" spans="1:7">
      <c r="A3872" s="584"/>
      <c r="B3872" s="585"/>
      <c r="C3872" s="586"/>
      <c r="D3872" s="587"/>
      <c r="E3872" s="591"/>
      <c r="G3872" s="593"/>
    </row>
    <row r="3873" spans="1:7">
      <c r="A3873" s="584"/>
      <c r="B3873" s="585"/>
      <c r="C3873" s="586"/>
      <c r="D3873" s="587"/>
      <c r="E3873" s="591"/>
      <c r="G3873" s="593"/>
    </row>
    <row r="3874" spans="1:7">
      <c r="A3874" s="584"/>
      <c r="B3874" s="585"/>
      <c r="C3874" s="586"/>
      <c r="D3874" s="587"/>
      <c r="E3874" s="591"/>
      <c r="G3874" s="593"/>
    </row>
    <row r="3875" spans="1:7">
      <c r="A3875" s="584"/>
      <c r="B3875" s="585"/>
      <c r="C3875" s="586"/>
      <c r="D3875" s="587"/>
      <c r="E3875" s="591"/>
      <c r="G3875" s="593"/>
    </row>
    <row r="3876" spans="1:7">
      <c r="A3876" s="584"/>
      <c r="B3876" s="585"/>
      <c r="C3876" s="586"/>
      <c r="D3876" s="587"/>
      <c r="E3876" s="591"/>
      <c r="G3876" s="593"/>
    </row>
    <row r="3877" spans="1:7">
      <c r="A3877" s="584"/>
      <c r="B3877" s="585"/>
      <c r="C3877" s="586"/>
      <c r="D3877" s="587"/>
      <c r="E3877" s="591"/>
      <c r="G3877" s="593"/>
    </row>
    <row r="3878" spans="1:7">
      <c r="A3878" s="584"/>
      <c r="B3878" s="585"/>
      <c r="C3878" s="586"/>
      <c r="D3878" s="587"/>
      <c r="E3878" s="591"/>
      <c r="G3878" s="593"/>
    </row>
    <row r="3879" spans="1:7">
      <c r="A3879" s="584"/>
      <c r="B3879" s="585"/>
      <c r="C3879" s="586"/>
      <c r="D3879" s="587"/>
      <c r="E3879" s="591"/>
      <c r="G3879" s="593"/>
    </row>
    <row r="3880" spans="1:7">
      <c r="A3880" s="584"/>
      <c r="B3880" s="585"/>
      <c r="C3880" s="586"/>
      <c r="D3880" s="587"/>
      <c r="E3880" s="591"/>
      <c r="G3880" s="593"/>
    </row>
    <row r="3881" spans="1:7">
      <c r="A3881" s="584"/>
      <c r="B3881" s="585"/>
      <c r="C3881" s="586"/>
      <c r="D3881" s="587"/>
      <c r="E3881" s="591"/>
      <c r="G3881" s="593"/>
    </row>
    <row r="3882" spans="1:7">
      <c r="A3882" s="584"/>
      <c r="B3882" s="585"/>
      <c r="C3882" s="586"/>
      <c r="D3882" s="587"/>
      <c r="E3882" s="591"/>
      <c r="G3882" s="593"/>
    </row>
    <row r="3883" spans="1:7">
      <c r="A3883" s="584"/>
      <c r="B3883" s="585"/>
      <c r="C3883" s="586"/>
      <c r="D3883" s="587"/>
      <c r="E3883" s="591"/>
      <c r="G3883" s="593"/>
    </row>
    <row r="3884" spans="1:7">
      <c r="A3884" s="584"/>
      <c r="B3884" s="585"/>
      <c r="C3884" s="586"/>
      <c r="D3884" s="587"/>
      <c r="E3884" s="591"/>
      <c r="G3884" s="593"/>
    </row>
    <row r="3885" spans="1:7">
      <c r="A3885" s="584"/>
      <c r="B3885" s="585"/>
      <c r="C3885" s="586"/>
      <c r="D3885" s="587"/>
      <c r="E3885" s="591"/>
      <c r="G3885" s="593"/>
    </row>
    <row r="3886" spans="1:7">
      <c r="A3886" s="584"/>
      <c r="B3886" s="585"/>
      <c r="C3886" s="586"/>
      <c r="D3886" s="587"/>
      <c r="E3886" s="591"/>
      <c r="G3886" s="593"/>
    </row>
    <row r="3887" spans="1:7">
      <c r="A3887" s="584"/>
      <c r="B3887" s="585"/>
      <c r="C3887" s="586"/>
      <c r="D3887" s="587"/>
      <c r="E3887" s="591"/>
      <c r="G3887" s="593"/>
    </row>
    <row r="3888" spans="1:7">
      <c r="A3888" s="584"/>
      <c r="B3888" s="585"/>
      <c r="C3888" s="586"/>
      <c r="D3888" s="587"/>
      <c r="E3888" s="591"/>
      <c r="G3888" s="593"/>
    </row>
    <row r="3889" spans="1:7">
      <c r="A3889" s="584"/>
      <c r="B3889" s="585"/>
      <c r="C3889" s="586"/>
      <c r="D3889" s="587"/>
      <c r="E3889" s="591"/>
      <c r="G3889" s="593"/>
    </row>
    <row r="3890" spans="1:7">
      <c r="A3890" s="584"/>
      <c r="B3890" s="585"/>
      <c r="C3890" s="586"/>
      <c r="D3890" s="587"/>
      <c r="E3890" s="591"/>
      <c r="G3890" s="593"/>
    </row>
    <row r="3891" spans="1:7">
      <c r="A3891" s="584"/>
      <c r="B3891" s="585"/>
      <c r="C3891" s="586"/>
      <c r="D3891" s="587"/>
      <c r="E3891" s="591"/>
      <c r="G3891" s="593"/>
    </row>
    <row r="3892" spans="1:7">
      <c r="A3892" s="584"/>
      <c r="B3892" s="585"/>
      <c r="C3892" s="586"/>
      <c r="D3892" s="587"/>
      <c r="E3892" s="591"/>
      <c r="G3892" s="593"/>
    </row>
    <row r="3893" spans="1:7">
      <c r="A3893" s="584"/>
      <c r="B3893" s="585"/>
      <c r="C3893" s="586"/>
      <c r="D3893" s="587"/>
      <c r="E3893" s="591"/>
      <c r="G3893" s="593"/>
    </row>
    <row r="3894" spans="1:7">
      <c r="A3894" s="584"/>
      <c r="B3894" s="585"/>
      <c r="C3894" s="586"/>
      <c r="D3894" s="587"/>
      <c r="E3894" s="591"/>
      <c r="G3894" s="593"/>
    </row>
    <row r="3895" spans="1:7">
      <c r="A3895" s="584"/>
      <c r="B3895" s="585"/>
      <c r="C3895" s="586"/>
      <c r="D3895" s="587"/>
      <c r="E3895" s="591"/>
      <c r="G3895" s="593"/>
    </row>
    <row r="3896" spans="1:7">
      <c r="A3896" s="584"/>
      <c r="B3896" s="585"/>
      <c r="C3896" s="586"/>
      <c r="D3896" s="587"/>
      <c r="E3896" s="591"/>
      <c r="G3896" s="593"/>
    </row>
    <row r="3897" spans="1:7">
      <c r="A3897" s="584"/>
      <c r="B3897" s="585"/>
      <c r="C3897" s="586"/>
      <c r="D3897" s="587"/>
      <c r="E3897" s="591"/>
      <c r="G3897" s="593"/>
    </row>
    <row r="3898" spans="1:7">
      <c r="A3898" s="584"/>
      <c r="B3898" s="585"/>
      <c r="C3898" s="586"/>
      <c r="D3898" s="587"/>
      <c r="E3898" s="591"/>
      <c r="G3898" s="593"/>
    </row>
    <row r="3899" spans="1:7">
      <c r="A3899" s="584"/>
      <c r="B3899" s="585"/>
      <c r="C3899" s="586"/>
      <c r="D3899" s="587"/>
      <c r="E3899" s="591"/>
      <c r="G3899" s="593"/>
    </row>
    <row r="3900" spans="1:7">
      <c r="A3900" s="584"/>
      <c r="B3900" s="585"/>
      <c r="C3900" s="586"/>
      <c r="D3900" s="587"/>
      <c r="E3900" s="591"/>
      <c r="G3900" s="593"/>
    </row>
    <row r="3901" spans="1:7">
      <c r="A3901" s="584"/>
      <c r="B3901" s="585"/>
      <c r="C3901" s="586"/>
      <c r="D3901" s="587"/>
      <c r="E3901" s="591"/>
      <c r="G3901" s="593"/>
    </row>
    <row r="3902" spans="1:7">
      <c r="A3902" s="584"/>
      <c r="B3902" s="585"/>
      <c r="C3902" s="586"/>
      <c r="D3902" s="587"/>
      <c r="E3902" s="591"/>
      <c r="G3902" s="593"/>
    </row>
    <row r="3903" spans="1:7">
      <c r="A3903" s="584"/>
      <c r="B3903" s="585"/>
      <c r="C3903" s="586"/>
      <c r="D3903" s="587"/>
      <c r="E3903" s="591"/>
      <c r="G3903" s="593"/>
    </row>
    <row r="3904" spans="1:7">
      <c r="A3904" s="584"/>
      <c r="B3904" s="585"/>
      <c r="C3904" s="586"/>
      <c r="D3904" s="587"/>
      <c r="E3904" s="591"/>
      <c r="G3904" s="593"/>
    </row>
    <row r="3905" spans="1:7">
      <c r="A3905" s="584"/>
      <c r="B3905" s="585"/>
      <c r="C3905" s="586"/>
      <c r="D3905" s="587"/>
      <c r="E3905" s="591"/>
      <c r="G3905" s="593"/>
    </row>
    <row r="3906" spans="1:7">
      <c r="A3906" s="584"/>
      <c r="B3906" s="585"/>
      <c r="C3906" s="586"/>
      <c r="D3906" s="587"/>
      <c r="E3906" s="591"/>
      <c r="G3906" s="593"/>
    </row>
    <row r="3907" spans="1:7">
      <c r="A3907" s="584"/>
      <c r="B3907" s="585"/>
      <c r="C3907" s="586"/>
      <c r="D3907" s="587"/>
      <c r="E3907" s="591"/>
      <c r="G3907" s="593"/>
    </row>
    <row r="3908" spans="1:7">
      <c r="A3908" s="584"/>
      <c r="B3908" s="585"/>
      <c r="C3908" s="586"/>
      <c r="D3908" s="587"/>
      <c r="E3908" s="591"/>
      <c r="G3908" s="593"/>
    </row>
    <row r="3909" spans="1:7">
      <c r="A3909" s="584"/>
      <c r="B3909" s="585"/>
      <c r="C3909" s="586"/>
      <c r="D3909" s="587"/>
      <c r="E3909" s="591"/>
      <c r="G3909" s="593"/>
    </row>
    <row r="3910" spans="1:7">
      <c r="A3910" s="584"/>
      <c r="B3910" s="585"/>
      <c r="C3910" s="586"/>
      <c r="D3910" s="587"/>
      <c r="E3910" s="591"/>
      <c r="G3910" s="593"/>
    </row>
    <row r="3911" spans="1:7">
      <c r="A3911" s="584"/>
      <c r="B3911" s="585"/>
      <c r="C3911" s="586"/>
      <c r="D3911" s="587"/>
      <c r="E3911" s="591"/>
      <c r="G3911" s="593"/>
    </row>
    <row r="3912" spans="1:7">
      <c r="A3912" s="584"/>
      <c r="B3912" s="585"/>
      <c r="C3912" s="586"/>
      <c r="D3912" s="587"/>
      <c r="E3912" s="591"/>
      <c r="G3912" s="593"/>
    </row>
    <row r="3913" spans="1:7">
      <c r="A3913" s="584"/>
      <c r="B3913" s="585"/>
      <c r="C3913" s="586"/>
      <c r="D3913" s="587"/>
      <c r="E3913" s="591"/>
      <c r="G3913" s="593"/>
    </row>
    <row r="3914" spans="1:7">
      <c r="A3914" s="584"/>
      <c r="B3914" s="585"/>
      <c r="C3914" s="586"/>
      <c r="D3914" s="587"/>
      <c r="E3914" s="591"/>
      <c r="G3914" s="593"/>
    </row>
    <row r="3915" spans="1:7">
      <c r="A3915" s="584"/>
      <c r="B3915" s="585"/>
      <c r="C3915" s="586"/>
      <c r="D3915" s="587"/>
      <c r="E3915" s="591"/>
      <c r="G3915" s="593"/>
    </row>
    <row r="3916" spans="1:7">
      <c r="A3916" s="584"/>
      <c r="B3916" s="585"/>
      <c r="C3916" s="586"/>
      <c r="D3916" s="587"/>
      <c r="E3916" s="591"/>
      <c r="G3916" s="593"/>
    </row>
    <row r="3917" spans="1:7">
      <c r="A3917" s="584"/>
      <c r="B3917" s="585"/>
      <c r="C3917" s="586"/>
      <c r="D3917" s="587"/>
      <c r="E3917" s="591"/>
      <c r="G3917" s="593"/>
    </row>
    <row r="3918" spans="1:7">
      <c r="A3918" s="584"/>
      <c r="B3918" s="585"/>
      <c r="C3918" s="586"/>
      <c r="D3918" s="587"/>
      <c r="E3918" s="591"/>
      <c r="G3918" s="593"/>
    </row>
    <row r="3919" spans="1:7">
      <c r="A3919" s="584"/>
      <c r="B3919" s="585"/>
      <c r="C3919" s="586"/>
      <c r="D3919" s="587"/>
      <c r="E3919" s="591"/>
      <c r="G3919" s="593"/>
    </row>
    <row r="3920" spans="1:7">
      <c r="A3920" s="584"/>
      <c r="B3920" s="585"/>
      <c r="C3920" s="586"/>
      <c r="D3920" s="587"/>
      <c r="E3920" s="591"/>
      <c r="G3920" s="593"/>
    </row>
    <row r="3921" spans="1:7">
      <c r="A3921" s="584"/>
      <c r="B3921" s="585"/>
      <c r="C3921" s="586"/>
      <c r="D3921" s="587"/>
      <c r="E3921" s="591"/>
      <c r="G3921" s="593"/>
    </row>
    <row r="3922" spans="1:7">
      <c r="A3922" s="584"/>
      <c r="B3922" s="585"/>
      <c r="C3922" s="586"/>
      <c r="D3922" s="587"/>
      <c r="E3922" s="591"/>
      <c r="G3922" s="593"/>
    </row>
    <row r="3923" spans="1:7">
      <c r="A3923" s="584"/>
      <c r="B3923" s="585"/>
      <c r="C3923" s="586"/>
      <c r="D3923" s="587"/>
      <c r="E3923" s="591"/>
      <c r="G3923" s="593"/>
    </row>
    <row r="3924" spans="1:7">
      <c r="A3924" s="584"/>
      <c r="B3924" s="585"/>
      <c r="C3924" s="586"/>
      <c r="D3924" s="587"/>
      <c r="E3924" s="591"/>
      <c r="G3924" s="593"/>
    </row>
    <row r="3925" spans="1:7">
      <c r="A3925" s="584"/>
      <c r="B3925" s="585"/>
      <c r="C3925" s="586"/>
      <c r="D3925" s="587"/>
      <c r="E3925" s="591"/>
      <c r="G3925" s="593"/>
    </row>
    <row r="3926" spans="1:7">
      <c r="A3926" s="584"/>
      <c r="B3926" s="585"/>
      <c r="C3926" s="586"/>
      <c r="D3926" s="587"/>
      <c r="E3926" s="591"/>
      <c r="G3926" s="593"/>
    </row>
    <row r="3927" spans="1:7">
      <c r="A3927" s="584"/>
      <c r="B3927" s="585"/>
      <c r="C3927" s="586"/>
      <c r="D3927" s="587"/>
      <c r="E3927" s="591"/>
      <c r="G3927" s="593"/>
    </row>
    <row r="3928" spans="1:7">
      <c r="A3928" s="584"/>
      <c r="B3928" s="585"/>
      <c r="C3928" s="586"/>
      <c r="D3928" s="587"/>
      <c r="E3928" s="591"/>
      <c r="G3928" s="593"/>
    </row>
    <row r="3929" spans="1:7">
      <c r="A3929" s="584"/>
      <c r="B3929" s="585"/>
      <c r="C3929" s="586"/>
      <c r="D3929" s="587"/>
      <c r="E3929" s="591"/>
      <c r="G3929" s="593"/>
    </row>
    <row r="3930" spans="1:7">
      <c r="A3930" s="584"/>
      <c r="B3930" s="585"/>
      <c r="C3930" s="586"/>
      <c r="D3930" s="587"/>
      <c r="E3930" s="591"/>
      <c r="G3930" s="593"/>
    </row>
    <row r="3931" spans="1:7">
      <c r="A3931" s="584"/>
      <c r="B3931" s="585"/>
      <c r="C3931" s="586"/>
      <c r="D3931" s="587"/>
      <c r="E3931" s="591"/>
      <c r="G3931" s="593"/>
    </row>
    <row r="3932" spans="1:7">
      <c r="A3932" s="584"/>
      <c r="B3932" s="585"/>
      <c r="C3932" s="586"/>
      <c r="D3932" s="587"/>
      <c r="E3932" s="591"/>
      <c r="G3932" s="593"/>
    </row>
    <row r="3933" spans="1:7">
      <c r="A3933" s="584"/>
      <c r="B3933" s="585"/>
      <c r="C3933" s="586"/>
      <c r="D3933" s="587"/>
      <c r="E3933" s="591"/>
      <c r="G3933" s="593"/>
    </row>
    <row r="3934" spans="1:7">
      <c r="A3934" s="584"/>
      <c r="B3934" s="585"/>
      <c r="C3934" s="586"/>
      <c r="D3934" s="587"/>
      <c r="E3934" s="591"/>
      <c r="G3934" s="593"/>
    </row>
    <row r="3935" spans="1:7">
      <c r="A3935" s="584"/>
      <c r="B3935" s="585"/>
      <c r="C3935" s="586"/>
      <c r="D3935" s="587"/>
      <c r="E3935" s="591"/>
      <c r="G3935" s="593"/>
    </row>
    <row r="3936" spans="1:7">
      <c r="A3936" s="584"/>
      <c r="B3936" s="585"/>
      <c r="C3936" s="586"/>
      <c r="D3936" s="587"/>
      <c r="E3936" s="591"/>
      <c r="G3936" s="593"/>
    </row>
    <row r="3937" spans="1:7">
      <c r="A3937" s="584"/>
      <c r="B3937" s="585"/>
      <c r="C3937" s="586"/>
      <c r="D3937" s="587"/>
      <c r="E3937" s="591"/>
      <c r="G3937" s="593"/>
    </row>
    <row r="3938" spans="1:7">
      <c r="A3938" s="584"/>
      <c r="B3938" s="585"/>
      <c r="C3938" s="586"/>
      <c r="D3938" s="587"/>
      <c r="E3938" s="591"/>
      <c r="G3938" s="593"/>
    </row>
    <row r="3939" spans="1:7">
      <c r="A3939" s="584"/>
      <c r="B3939" s="585"/>
      <c r="C3939" s="586"/>
      <c r="D3939" s="587"/>
      <c r="E3939" s="591"/>
      <c r="G3939" s="593"/>
    </row>
    <row r="3940" spans="1:7">
      <c r="A3940" s="584"/>
      <c r="B3940" s="585"/>
      <c r="C3940" s="586"/>
      <c r="D3940" s="587"/>
      <c r="E3940" s="591"/>
      <c r="G3940" s="593"/>
    </row>
    <row r="3941" spans="1:7">
      <c r="A3941" s="584"/>
      <c r="B3941" s="585"/>
      <c r="C3941" s="586"/>
      <c r="D3941" s="587"/>
      <c r="E3941" s="591"/>
      <c r="G3941" s="593"/>
    </row>
    <row r="3942" spans="1:7">
      <c r="A3942" s="584"/>
      <c r="B3942" s="585"/>
      <c r="C3942" s="586"/>
      <c r="D3942" s="587"/>
      <c r="E3942" s="591"/>
      <c r="G3942" s="593"/>
    </row>
    <row r="3943" spans="1:7">
      <c r="A3943" s="584"/>
      <c r="B3943" s="585"/>
      <c r="C3943" s="586"/>
      <c r="D3943" s="587"/>
      <c r="E3943" s="591"/>
      <c r="G3943" s="593"/>
    </row>
    <row r="3944" spans="1:7">
      <c r="A3944" s="584"/>
      <c r="B3944" s="585"/>
      <c r="C3944" s="586"/>
      <c r="D3944" s="587"/>
      <c r="E3944" s="591"/>
      <c r="G3944" s="593"/>
    </row>
    <row r="3945" spans="1:7">
      <c r="A3945" s="584"/>
      <c r="B3945" s="585"/>
      <c r="C3945" s="586"/>
      <c r="D3945" s="587"/>
      <c r="E3945" s="591"/>
      <c r="G3945" s="593"/>
    </row>
    <row r="3946" spans="1:7">
      <c r="A3946" s="584"/>
      <c r="B3946" s="585"/>
      <c r="C3946" s="586"/>
      <c r="D3946" s="587"/>
      <c r="E3946" s="591"/>
      <c r="G3946" s="593"/>
    </row>
    <row r="3947" spans="1:7">
      <c r="A3947" s="584"/>
      <c r="B3947" s="585"/>
      <c r="C3947" s="586"/>
      <c r="D3947" s="587"/>
      <c r="E3947" s="591"/>
      <c r="G3947" s="593"/>
    </row>
    <row r="3948" spans="1:7">
      <c r="A3948" s="584"/>
      <c r="B3948" s="585"/>
      <c r="C3948" s="586"/>
      <c r="D3948" s="587"/>
      <c r="E3948" s="591"/>
      <c r="G3948" s="593"/>
    </row>
    <row r="3949" spans="1:7">
      <c r="A3949" s="584"/>
      <c r="B3949" s="585"/>
      <c r="C3949" s="586"/>
      <c r="D3949" s="587"/>
      <c r="E3949" s="591"/>
      <c r="G3949" s="593"/>
    </row>
    <row r="3950" spans="1:7">
      <c r="A3950" s="584"/>
      <c r="B3950" s="585"/>
      <c r="C3950" s="586"/>
      <c r="D3950" s="587"/>
      <c r="E3950" s="591"/>
      <c r="G3950" s="593"/>
    </row>
    <row r="3951" spans="1:7">
      <c r="A3951" s="584"/>
      <c r="B3951" s="585"/>
      <c r="C3951" s="586"/>
      <c r="D3951" s="587"/>
      <c r="E3951" s="591"/>
      <c r="G3951" s="593"/>
    </row>
    <row r="3952" spans="1:7">
      <c r="A3952" s="584"/>
      <c r="B3952" s="585"/>
      <c r="C3952" s="586"/>
      <c r="D3952" s="587"/>
      <c r="E3952" s="591"/>
      <c r="G3952" s="593"/>
    </row>
    <row r="3953" spans="1:7">
      <c r="A3953" s="584"/>
      <c r="B3953" s="585"/>
      <c r="C3953" s="586"/>
      <c r="D3953" s="587"/>
      <c r="E3953" s="591"/>
      <c r="G3953" s="593"/>
    </row>
    <row r="3954" spans="1:7">
      <c r="A3954" s="584"/>
      <c r="B3954" s="585"/>
      <c r="C3954" s="586"/>
      <c r="D3954" s="587"/>
      <c r="E3954" s="591"/>
      <c r="G3954" s="593"/>
    </row>
    <row r="3955" spans="1:7">
      <c r="A3955" s="584"/>
      <c r="B3955" s="585"/>
      <c r="C3955" s="586"/>
      <c r="D3955" s="587"/>
      <c r="E3955" s="591"/>
      <c r="G3955" s="593"/>
    </row>
    <row r="3956" spans="1:7">
      <c r="A3956" s="584"/>
      <c r="B3956" s="585"/>
      <c r="C3956" s="586"/>
      <c r="D3956" s="587"/>
      <c r="E3956" s="591"/>
      <c r="G3956" s="593"/>
    </row>
    <row r="3957" spans="1:7">
      <c r="A3957" s="584"/>
      <c r="B3957" s="585"/>
      <c r="C3957" s="586"/>
      <c r="D3957" s="587"/>
      <c r="E3957" s="591"/>
      <c r="G3957" s="593"/>
    </row>
    <row r="3958" spans="1:7">
      <c r="A3958" s="584"/>
      <c r="B3958" s="585"/>
      <c r="C3958" s="586"/>
      <c r="D3958" s="587"/>
      <c r="E3958" s="591"/>
      <c r="G3958" s="593"/>
    </row>
    <row r="3959" spans="1:7">
      <c r="A3959" s="584"/>
      <c r="B3959" s="585"/>
      <c r="C3959" s="586"/>
      <c r="D3959" s="587"/>
      <c r="E3959" s="591"/>
      <c r="G3959" s="593"/>
    </row>
    <row r="3960" spans="1:7">
      <c r="A3960" s="584"/>
      <c r="B3960" s="585"/>
      <c r="C3960" s="586"/>
      <c r="D3960" s="587"/>
      <c r="E3960" s="591"/>
      <c r="G3960" s="593"/>
    </row>
    <row r="3961" spans="1:7">
      <c r="A3961" s="584"/>
      <c r="B3961" s="585"/>
      <c r="C3961" s="586"/>
      <c r="D3961" s="587"/>
      <c r="E3961" s="591"/>
      <c r="G3961" s="593"/>
    </row>
    <row r="3962" spans="1:7">
      <c r="A3962" s="584"/>
      <c r="B3962" s="585"/>
      <c r="C3962" s="586"/>
      <c r="D3962" s="587"/>
      <c r="E3962" s="591"/>
      <c r="G3962" s="593"/>
    </row>
    <row r="3963" spans="1:7">
      <c r="A3963" s="584"/>
      <c r="B3963" s="585"/>
      <c r="C3963" s="586"/>
      <c r="D3963" s="587"/>
      <c r="E3963" s="591"/>
      <c r="G3963" s="593"/>
    </row>
    <row r="3964" spans="1:7">
      <c r="A3964" s="584"/>
      <c r="B3964" s="585"/>
      <c r="C3964" s="586"/>
      <c r="D3964" s="587"/>
      <c r="E3964" s="591"/>
      <c r="G3964" s="593"/>
    </row>
    <row r="3965" spans="1:7">
      <c r="A3965" s="584"/>
      <c r="B3965" s="585"/>
      <c r="C3965" s="586"/>
      <c r="D3965" s="587"/>
      <c r="E3965" s="591"/>
      <c r="G3965" s="593"/>
    </row>
    <row r="3966" spans="1:7">
      <c r="A3966" s="584"/>
      <c r="B3966" s="585"/>
      <c r="C3966" s="586"/>
      <c r="D3966" s="587"/>
      <c r="E3966" s="591"/>
      <c r="G3966" s="593"/>
    </row>
    <row r="3967" spans="1:7">
      <c r="A3967" s="584"/>
      <c r="B3967" s="585"/>
      <c r="C3967" s="586"/>
      <c r="D3967" s="587"/>
      <c r="E3967" s="591"/>
      <c r="G3967" s="593"/>
    </row>
    <row r="3968" spans="1:7">
      <c r="A3968" s="584"/>
      <c r="B3968" s="585"/>
      <c r="C3968" s="586"/>
      <c r="D3968" s="587"/>
      <c r="E3968" s="591"/>
      <c r="G3968" s="593"/>
    </row>
    <row r="3969" spans="1:7">
      <c r="A3969" s="584"/>
      <c r="B3969" s="585"/>
      <c r="C3969" s="586"/>
      <c r="D3969" s="587"/>
      <c r="E3969" s="591"/>
      <c r="G3969" s="593"/>
    </row>
    <row r="3970" spans="1:7">
      <c r="A3970" s="584"/>
      <c r="B3970" s="585"/>
      <c r="C3970" s="586"/>
      <c r="D3970" s="587"/>
      <c r="E3970" s="591"/>
      <c r="G3970" s="593"/>
    </row>
    <row r="3971" spans="1:7">
      <c r="A3971" s="584"/>
      <c r="B3971" s="585"/>
      <c r="C3971" s="586"/>
      <c r="D3971" s="587"/>
      <c r="E3971" s="591"/>
      <c r="G3971" s="593"/>
    </row>
    <row r="3972" spans="1:7">
      <c r="A3972" s="584"/>
      <c r="B3972" s="585"/>
      <c r="C3972" s="586"/>
      <c r="D3972" s="587"/>
      <c r="E3972" s="591"/>
      <c r="G3972" s="593"/>
    </row>
    <row r="3973" spans="1:7">
      <c r="A3973" s="584"/>
      <c r="B3973" s="585"/>
      <c r="C3973" s="586"/>
      <c r="D3973" s="587"/>
      <c r="E3973" s="591"/>
      <c r="G3973" s="593"/>
    </row>
    <row r="3974" spans="1:7">
      <c r="A3974" s="584"/>
      <c r="B3974" s="585"/>
      <c r="C3974" s="586"/>
      <c r="D3974" s="587"/>
      <c r="E3974" s="591"/>
      <c r="G3974" s="593"/>
    </row>
    <row r="3975" spans="1:7">
      <c r="A3975" s="584"/>
      <c r="B3975" s="585"/>
      <c r="C3975" s="586"/>
      <c r="D3975" s="587"/>
      <c r="E3975" s="591"/>
      <c r="G3975" s="593"/>
    </row>
    <row r="3976" spans="1:7">
      <c r="A3976" s="584"/>
      <c r="B3976" s="585"/>
      <c r="C3976" s="586"/>
      <c r="D3976" s="587"/>
      <c r="E3976" s="591"/>
      <c r="G3976" s="593"/>
    </row>
    <row r="3977" spans="1:7">
      <c r="A3977" s="584"/>
      <c r="B3977" s="585"/>
      <c r="C3977" s="586"/>
      <c r="D3977" s="587"/>
      <c r="E3977" s="591"/>
      <c r="G3977" s="593"/>
    </row>
    <row r="3978" spans="1:7">
      <c r="A3978" s="584"/>
      <c r="B3978" s="585"/>
      <c r="C3978" s="586"/>
      <c r="D3978" s="587"/>
      <c r="E3978" s="591"/>
      <c r="G3978" s="593"/>
    </row>
    <row r="3979" spans="1:7">
      <c r="A3979" s="584"/>
      <c r="B3979" s="585"/>
      <c r="C3979" s="586"/>
      <c r="D3979" s="587"/>
      <c r="E3979" s="591"/>
      <c r="G3979" s="593"/>
    </row>
    <row r="3980" spans="1:7">
      <c r="A3980" s="584"/>
      <c r="B3980" s="585"/>
      <c r="C3980" s="586"/>
      <c r="D3980" s="587"/>
      <c r="E3980" s="591"/>
      <c r="G3980" s="593"/>
    </row>
    <row r="3981" spans="1:7">
      <c r="A3981" s="584"/>
      <c r="B3981" s="585"/>
      <c r="C3981" s="586"/>
      <c r="D3981" s="587"/>
      <c r="E3981" s="591"/>
      <c r="G3981" s="593"/>
    </row>
    <row r="3982" spans="1:7">
      <c r="A3982" s="584"/>
      <c r="B3982" s="585"/>
      <c r="C3982" s="586"/>
      <c r="D3982" s="587"/>
      <c r="E3982" s="591"/>
      <c r="G3982" s="593"/>
    </row>
    <row r="3983" spans="1:7">
      <c r="A3983" s="584"/>
      <c r="B3983" s="585"/>
      <c r="C3983" s="586"/>
      <c r="D3983" s="587"/>
      <c r="E3983" s="591"/>
      <c r="G3983" s="593"/>
    </row>
    <row r="3984" spans="1:7">
      <c r="A3984" s="584"/>
      <c r="B3984" s="585"/>
      <c r="C3984" s="586"/>
      <c r="D3984" s="587"/>
      <c r="E3984" s="591"/>
      <c r="G3984" s="593"/>
    </row>
    <row r="3985" spans="1:7">
      <c r="A3985" s="584"/>
      <c r="B3985" s="585"/>
      <c r="C3985" s="586"/>
      <c r="D3985" s="587"/>
      <c r="E3985" s="591"/>
      <c r="G3985" s="593"/>
    </row>
    <row r="3986" spans="1:7">
      <c r="A3986" s="584"/>
      <c r="B3986" s="585"/>
      <c r="C3986" s="586"/>
      <c r="D3986" s="587"/>
      <c r="E3986" s="591"/>
      <c r="G3986" s="593"/>
    </row>
    <row r="3987" spans="1:7">
      <c r="A3987" s="584"/>
      <c r="B3987" s="585"/>
      <c r="C3987" s="586"/>
      <c r="D3987" s="587"/>
      <c r="E3987" s="591"/>
      <c r="G3987" s="593"/>
    </row>
    <row r="3988" spans="1:7">
      <c r="A3988" s="584"/>
      <c r="B3988" s="585"/>
      <c r="C3988" s="586"/>
      <c r="D3988" s="587"/>
      <c r="E3988" s="591"/>
      <c r="G3988" s="593"/>
    </row>
    <row r="3989" spans="1:7">
      <c r="A3989" s="584"/>
      <c r="B3989" s="585"/>
      <c r="C3989" s="586"/>
      <c r="D3989" s="587"/>
      <c r="E3989" s="591"/>
      <c r="G3989" s="593"/>
    </row>
    <row r="3990" spans="1:7">
      <c r="A3990" s="584"/>
      <c r="B3990" s="585"/>
      <c r="C3990" s="586"/>
      <c r="D3990" s="587"/>
      <c r="E3990" s="591"/>
      <c r="G3990" s="593"/>
    </row>
    <row r="3991" spans="1:7">
      <c r="A3991" s="584"/>
      <c r="B3991" s="585"/>
      <c r="C3991" s="586"/>
      <c r="D3991" s="587"/>
      <c r="E3991" s="591"/>
      <c r="G3991" s="593"/>
    </row>
    <row r="3992" spans="1:7">
      <c r="A3992" s="584"/>
      <c r="B3992" s="585"/>
      <c r="C3992" s="586"/>
      <c r="D3992" s="587"/>
      <c r="E3992" s="591"/>
      <c r="G3992" s="593"/>
    </row>
    <row r="3993" spans="1:7">
      <c r="A3993" s="584"/>
      <c r="B3993" s="585"/>
      <c r="C3993" s="586"/>
      <c r="D3993" s="587"/>
      <c r="E3993" s="591"/>
      <c r="G3993" s="593"/>
    </row>
    <row r="3994" spans="1:7">
      <c r="A3994" s="584"/>
      <c r="B3994" s="585"/>
      <c r="C3994" s="586"/>
      <c r="D3994" s="587"/>
      <c r="E3994" s="591"/>
      <c r="G3994" s="593"/>
    </row>
    <row r="3995" spans="1:7">
      <c r="A3995" s="584"/>
      <c r="B3995" s="585"/>
      <c r="C3995" s="586"/>
      <c r="D3995" s="587"/>
      <c r="E3995" s="591"/>
      <c r="G3995" s="593"/>
    </row>
    <row r="3996" spans="1:7">
      <c r="A3996" s="584"/>
      <c r="B3996" s="585"/>
      <c r="C3996" s="586"/>
      <c r="D3996" s="587"/>
      <c r="E3996" s="591"/>
      <c r="G3996" s="593"/>
    </row>
    <row r="3997" spans="1:7">
      <c r="A3997" s="584"/>
      <c r="B3997" s="585"/>
      <c r="C3997" s="586"/>
      <c r="D3997" s="587"/>
      <c r="E3997" s="591"/>
      <c r="G3997" s="593"/>
    </row>
    <row r="3998" spans="1:7">
      <c r="A3998" s="584"/>
      <c r="B3998" s="585"/>
      <c r="C3998" s="586"/>
      <c r="D3998" s="587"/>
      <c r="E3998" s="591"/>
      <c r="G3998" s="593"/>
    </row>
    <row r="3999" spans="1:7">
      <c r="A3999" s="584"/>
      <c r="B3999" s="585"/>
      <c r="C3999" s="586"/>
      <c r="D3999" s="587"/>
      <c r="E3999" s="591"/>
      <c r="G3999" s="593"/>
    </row>
    <row r="4000" spans="1:7">
      <c r="A4000" s="584"/>
      <c r="B4000" s="585"/>
      <c r="C4000" s="586"/>
      <c r="D4000" s="587"/>
      <c r="E4000" s="591"/>
      <c r="G4000" s="593"/>
    </row>
    <row r="4001" spans="1:7">
      <c r="A4001" s="584"/>
      <c r="B4001" s="585"/>
      <c r="C4001" s="586"/>
      <c r="D4001" s="587"/>
      <c r="E4001" s="591"/>
      <c r="G4001" s="593"/>
    </row>
    <row r="4002" spans="1:7">
      <c r="A4002" s="584"/>
      <c r="B4002" s="585"/>
      <c r="C4002" s="586"/>
      <c r="D4002" s="587"/>
      <c r="E4002" s="591"/>
      <c r="G4002" s="593"/>
    </row>
    <row r="4003" spans="1:7">
      <c r="A4003" s="584"/>
      <c r="B4003" s="585"/>
      <c r="C4003" s="586"/>
      <c r="D4003" s="587"/>
      <c r="E4003" s="591"/>
      <c r="G4003" s="593"/>
    </row>
    <row r="4004" spans="1:7">
      <c r="A4004" s="584"/>
      <c r="B4004" s="585"/>
      <c r="C4004" s="586"/>
      <c r="D4004" s="587"/>
      <c r="E4004" s="591"/>
      <c r="G4004" s="593"/>
    </row>
    <row r="4005" spans="1:7">
      <c r="A4005" s="584"/>
      <c r="B4005" s="585"/>
      <c r="C4005" s="586"/>
      <c r="D4005" s="587"/>
      <c r="E4005" s="591"/>
      <c r="G4005" s="593"/>
    </row>
    <row r="4006" spans="1:7">
      <c r="A4006" s="584"/>
      <c r="B4006" s="585"/>
      <c r="C4006" s="586"/>
      <c r="D4006" s="587"/>
      <c r="E4006" s="591"/>
      <c r="G4006" s="593"/>
    </row>
    <row r="4007" spans="1:7">
      <c r="A4007" s="584"/>
      <c r="B4007" s="585"/>
      <c r="C4007" s="586"/>
      <c r="D4007" s="587"/>
      <c r="E4007" s="591"/>
      <c r="G4007" s="593"/>
    </row>
    <row r="4008" spans="1:7">
      <c r="A4008" s="584"/>
      <c r="B4008" s="585"/>
      <c r="C4008" s="586"/>
      <c r="D4008" s="587"/>
      <c r="E4008" s="591"/>
      <c r="G4008" s="593"/>
    </row>
    <row r="4009" spans="1:7">
      <c r="A4009" s="584"/>
      <c r="B4009" s="585"/>
      <c r="C4009" s="586"/>
      <c r="D4009" s="587"/>
      <c r="E4009" s="591"/>
      <c r="G4009" s="593"/>
    </row>
    <row r="4010" spans="1:7">
      <c r="A4010" s="584"/>
      <c r="B4010" s="585"/>
      <c r="C4010" s="586"/>
      <c r="D4010" s="587"/>
      <c r="E4010" s="591"/>
      <c r="G4010" s="593"/>
    </row>
    <row r="4011" spans="1:7">
      <c r="A4011" s="584"/>
      <c r="B4011" s="585"/>
      <c r="C4011" s="586"/>
      <c r="D4011" s="587"/>
      <c r="E4011" s="591"/>
      <c r="G4011" s="593"/>
    </row>
    <row r="4012" spans="1:7">
      <c r="A4012" s="584"/>
      <c r="B4012" s="585"/>
      <c r="C4012" s="586"/>
      <c r="D4012" s="587"/>
      <c r="E4012" s="591"/>
      <c r="G4012" s="593"/>
    </row>
    <row r="4013" spans="1:7">
      <c r="A4013" s="584"/>
      <c r="B4013" s="585"/>
      <c r="C4013" s="586"/>
      <c r="D4013" s="587"/>
      <c r="E4013" s="591"/>
      <c r="G4013" s="593"/>
    </row>
    <row r="4014" spans="1:7">
      <c r="A4014" s="584"/>
      <c r="B4014" s="585"/>
      <c r="C4014" s="586"/>
      <c r="D4014" s="587"/>
      <c r="E4014" s="591"/>
      <c r="G4014" s="593"/>
    </row>
    <row r="4015" spans="1:7">
      <c r="A4015" s="584"/>
      <c r="B4015" s="585"/>
      <c r="C4015" s="586"/>
      <c r="D4015" s="587"/>
      <c r="E4015" s="591"/>
      <c r="G4015" s="593"/>
    </row>
    <row r="4016" spans="1:7">
      <c r="A4016" s="584"/>
      <c r="B4016" s="585"/>
      <c r="C4016" s="586"/>
      <c r="D4016" s="587"/>
      <c r="E4016" s="591"/>
      <c r="G4016" s="593"/>
    </row>
    <row r="4017" spans="1:7">
      <c r="A4017" s="584"/>
      <c r="B4017" s="585"/>
      <c r="C4017" s="586"/>
      <c r="D4017" s="587"/>
      <c r="E4017" s="591"/>
      <c r="G4017" s="593"/>
    </row>
    <row r="4018" spans="1:7">
      <c r="A4018" s="584"/>
      <c r="B4018" s="585"/>
      <c r="C4018" s="586"/>
      <c r="D4018" s="587"/>
      <c r="E4018" s="591"/>
      <c r="G4018" s="593"/>
    </row>
    <row r="4019" spans="1:7">
      <c r="A4019" s="584"/>
      <c r="B4019" s="585"/>
      <c r="C4019" s="586"/>
      <c r="D4019" s="587"/>
      <c r="E4019" s="591"/>
      <c r="G4019" s="593"/>
    </row>
    <row r="4020" spans="1:7">
      <c r="A4020" s="584"/>
      <c r="B4020" s="585"/>
      <c r="C4020" s="586"/>
      <c r="D4020" s="587"/>
      <c r="E4020" s="591"/>
      <c r="G4020" s="593"/>
    </row>
    <row r="4021" spans="1:7">
      <c r="A4021" s="584"/>
      <c r="B4021" s="585"/>
      <c r="C4021" s="586"/>
      <c r="D4021" s="587"/>
      <c r="E4021" s="591"/>
      <c r="G4021" s="593"/>
    </row>
    <row r="4022" spans="1:7">
      <c r="A4022" s="584"/>
      <c r="B4022" s="585"/>
      <c r="C4022" s="586"/>
      <c r="D4022" s="587"/>
      <c r="E4022" s="591"/>
      <c r="G4022" s="593"/>
    </row>
    <row r="4023" spans="1:7">
      <c r="A4023" s="584"/>
      <c r="B4023" s="585"/>
      <c r="C4023" s="586"/>
      <c r="D4023" s="587"/>
      <c r="E4023" s="591"/>
      <c r="G4023" s="593"/>
    </row>
    <row r="4024" spans="1:7">
      <c r="A4024" s="584"/>
      <c r="B4024" s="585"/>
      <c r="C4024" s="586"/>
      <c r="D4024" s="587"/>
      <c r="E4024" s="591"/>
      <c r="G4024" s="593"/>
    </row>
    <row r="4025" spans="1:7">
      <c r="A4025" s="584"/>
      <c r="B4025" s="585"/>
      <c r="C4025" s="586"/>
      <c r="D4025" s="587"/>
      <c r="E4025" s="591"/>
      <c r="G4025" s="593"/>
    </row>
    <row r="4026" spans="1:7">
      <c r="A4026" s="584"/>
      <c r="B4026" s="585"/>
      <c r="C4026" s="586"/>
      <c r="D4026" s="587"/>
      <c r="E4026" s="591"/>
      <c r="G4026" s="593"/>
    </row>
    <row r="4027" spans="1:7">
      <c r="A4027" s="584"/>
      <c r="B4027" s="585"/>
      <c r="C4027" s="586"/>
      <c r="D4027" s="587"/>
      <c r="E4027" s="591"/>
      <c r="G4027" s="593"/>
    </row>
    <row r="4028" spans="1:7">
      <c r="A4028" s="584"/>
      <c r="B4028" s="585"/>
      <c r="C4028" s="586"/>
      <c r="D4028" s="587"/>
      <c r="E4028" s="591"/>
      <c r="G4028" s="593"/>
    </row>
    <row r="4029" spans="1:7">
      <c r="A4029" s="584"/>
      <c r="B4029" s="585"/>
      <c r="C4029" s="586"/>
      <c r="D4029" s="587"/>
      <c r="E4029" s="591"/>
      <c r="G4029" s="593"/>
    </row>
    <row r="4030" spans="1:7">
      <c r="A4030" s="584"/>
      <c r="B4030" s="585"/>
      <c r="C4030" s="586"/>
      <c r="D4030" s="587"/>
      <c r="E4030" s="591"/>
      <c r="G4030" s="593"/>
    </row>
    <row r="4031" spans="1:7">
      <c r="A4031" s="584"/>
      <c r="B4031" s="585"/>
      <c r="C4031" s="586"/>
      <c r="D4031" s="587"/>
      <c r="E4031" s="591"/>
      <c r="G4031" s="593"/>
    </row>
    <row r="4032" spans="1:7">
      <c r="A4032" s="584"/>
      <c r="B4032" s="585"/>
      <c r="C4032" s="586"/>
      <c r="D4032" s="587"/>
      <c r="E4032" s="591"/>
      <c r="G4032" s="593"/>
    </row>
    <row r="4033" spans="1:7">
      <c r="A4033" s="584"/>
      <c r="B4033" s="585"/>
      <c r="C4033" s="586"/>
      <c r="D4033" s="587"/>
      <c r="E4033" s="591"/>
      <c r="G4033" s="593"/>
    </row>
    <row r="4034" spans="1:7">
      <c r="A4034" s="584"/>
      <c r="B4034" s="585"/>
      <c r="C4034" s="586"/>
      <c r="D4034" s="587"/>
      <c r="E4034" s="591"/>
      <c r="G4034" s="593"/>
    </row>
    <row r="4035" spans="1:7">
      <c r="A4035" s="584"/>
      <c r="B4035" s="585"/>
      <c r="C4035" s="586"/>
      <c r="D4035" s="587"/>
      <c r="E4035" s="591"/>
      <c r="G4035" s="593"/>
    </row>
    <row r="4036" spans="1:7">
      <c r="A4036" s="584"/>
      <c r="B4036" s="585"/>
      <c r="C4036" s="586"/>
      <c r="D4036" s="587"/>
      <c r="E4036" s="591"/>
      <c r="G4036" s="593"/>
    </row>
    <row r="4037" spans="1:7">
      <c r="A4037" s="584"/>
      <c r="B4037" s="585"/>
      <c r="C4037" s="586"/>
      <c r="D4037" s="587"/>
      <c r="E4037" s="591"/>
      <c r="G4037" s="593"/>
    </row>
    <row r="4038" spans="1:7">
      <c r="A4038" s="584"/>
      <c r="B4038" s="585"/>
      <c r="C4038" s="586"/>
      <c r="D4038" s="587"/>
      <c r="E4038" s="591"/>
      <c r="G4038" s="593"/>
    </row>
    <row r="4039" spans="1:7">
      <c r="A4039" s="584"/>
      <c r="B4039" s="585"/>
      <c r="C4039" s="586"/>
      <c r="D4039" s="587"/>
      <c r="E4039" s="591"/>
      <c r="G4039" s="593"/>
    </row>
    <row r="4040" spans="1:7">
      <c r="A4040" s="584"/>
      <c r="B4040" s="585"/>
      <c r="C4040" s="586"/>
      <c r="D4040" s="587"/>
      <c r="E4040" s="591"/>
      <c r="G4040" s="593"/>
    </row>
    <row r="4041" spans="1:7">
      <c r="A4041" s="584"/>
      <c r="B4041" s="585"/>
      <c r="C4041" s="586"/>
      <c r="D4041" s="587"/>
      <c r="E4041" s="591"/>
      <c r="G4041" s="593"/>
    </row>
    <row r="4042" spans="1:7">
      <c r="A4042" s="584"/>
      <c r="B4042" s="585"/>
      <c r="C4042" s="586"/>
      <c r="D4042" s="587"/>
      <c r="E4042" s="591"/>
      <c r="G4042" s="593"/>
    </row>
    <row r="4043" spans="1:7">
      <c r="A4043" s="584"/>
      <c r="B4043" s="585"/>
      <c r="C4043" s="586"/>
      <c r="D4043" s="587"/>
      <c r="E4043" s="591"/>
      <c r="G4043" s="593"/>
    </row>
    <row r="4044" spans="1:7">
      <c r="A4044" s="584"/>
      <c r="B4044" s="585"/>
      <c r="C4044" s="586"/>
      <c r="D4044" s="587"/>
      <c r="E4044" s="591"/>
      <c r="G4044" s="593"/>
    </row>
    <row r="4045" spans="1:7">
      <c r="A4045" s="584"/>
      <c r="B4045" s="585"/>
      <c r="C4045" s="586"/>
      <c r="D4045" s="587"/>
      <c r="E4045" s="591"/>
      <c r="G4045" s="593"/>
    </row>
    <row r="4046" spans="1:7">
      <c r="A4046" s="584"/>
      <c r="B4046" s="585"/>
      <c r="C4046" s="586"/>
      <c r="D4046" s="587"/>
      <c r="E4046" s="591"/>
      <c r="G4046" s="593"/>
    </row>
    <row r="4047" spans="1:7">
      <c r="A4047" s="584"/>
      <c r="B4047" s="585"/>
      <c r="C4047" s="586"/>
      <c r="D4047" s="587"/>
      <c r="E4047" s="591"/>
      <c r="G4047" s="593"/>
    </row>
    <row r="4048" spans="1:7">
      <c r="A4048" s="584"/>
      <c r="B4048" s="585"/>
      <c r="C4048" s="586"/>
      <c r="D4048" s="587"/>
      <c r="E4048" s="591"/>
      <c r="G4048" s="593"/>
    </row>
    <row r="4049" spans="1:7">
      <c r="A4049" s="584"/>
      <c r="B4049" s="585"/>
      <c r="C4049" s="586"/>
      <c r="D4049" s="587"/>
      <c r="E4049" s="591"/>
      <c r="G4049" s="593"/>
    </row>
    <row r="4050" spans="1:7">
      <c r="A4050" s="584"/>
      <c r="B4050" s="585"/>
      <c r="C4050" s="586"/>
      <c r="D4050" s="587"/>
      <c r="E4050" s="591"/>
      <c r="G4050" s="593"/>
    </row>
    <row r="4051" spans="1:7">
      <c r="A4051" s="584"/>
      <c r="B4051" s="585"/>
      <c r="C4051" s="586"/>
      <c r="D4051" s="587"/>
      <c r="E4051" s="591"/>
      <c r="G4051" s="593"/>
    </row>
    <row r="4052" spans="1:7">
      <c r="A4052" s="584"/>
      <c r="B4052" s="585"/>
      <c r="C4052" s="586"/>
      <c r="D4052" s="587"/>
      <c r="E4052" s="591"/>
      <c r="G4052" s="593"/>
    </row>
    <row r="4053" spans="1:7">
      <c r="A4053" s="584"/>
      <c r="B4053" s="585"/>
      <c r="C4053" s="586"/>
      <c r="D4053" s="587"/>
      <c r="E4053" s="591"/>
      <c r="G4053" s="593"/>
    </row>
    <row r="4054" spans="1:7">
      <c r="A4054" s="584"/>
      <c r="B4054" s="585"/>
      <c r="C4054" s="586"/>
      <c r="D4054" s="587"/>
      <c r="E4054" s="591"/>
      <c r="G4054" s="593"/>
    </row>
    <row r="4055" spans="1:7">
      <c r="A4055" s="584"/>
      <c r="B4055" s="585"/>
      <c r="C4055" s="586"/>
      <c r="D4055" s="587"/>
      <c r="E4055" s="591"/>
      <c r="G4055" s="593"/>
    </row>
    <row r="4056" spans="1:7">
      <c r="A4056" s="584"/>
      <c r="B4056" s="585"/>
      <c r="C4056" s="586"/>
      <c r="D4056" s="587"/>
      <c r="E4056" s="591"/>
      <c r="G4056" s="593"/>
    </row>
    <row r="4057" spans="1:7">
      <c r="A4057" s="584"/>
      <c r="B4057" s="585"/>
      <c r="C4057" s="586"/>
      <c r="D4057" s="587"/>
      <c r="E4057" s="591"/>
      <c r="G4057" s="593"/>
    </row>
    <row r="4058" spans="1:7">
      <c r="A4058" s="584"/>
      <c r="B4058" s="585"/>
      <c r="C4058" s="586"/>
      <c r="D4058" s="587"/>
      <c r="E4058" s="591"/>
      <c r="G4058" s="593"/>
    </row>
    <row r="4059" spans="1:7">
      <c r="A4059" s="584"/>
      <c r="B4059" s="585"/>
      <c r="C4059" s="586"/>
      <c r="D4059" s="587"/>
      <c r="E4059" s="591"/>
      <c r="G4059" s="593"/>
    </row>
    <row r="4060" spans="1:7">
      <c r="A4060" s="584"/>
      <c r="B4060" s="585"/>
      <c r="C4060" s="586"/>
      <c r="D4060" s="587"/>
      <c r="E4060" s="591"/>
      <c r="G4060" s="593"/>
    </row>
    <row r="4061" spans="1:7">
      <c r="A4061" s="584"/>
      <c r="B4061" s="585"/>
      <c r="C4061" s="586"/>
      <c r="D4061" s="587"/>
      <c r="E4061" s="591"/>
      <c r="G4061" s="593"/>
    </row>
    <row r="4062" spans="1:7">
      <c r="A4062" s="584"/>
      <c r="B4062" s="585"/>
      <c r="C4062" s="586"/>
      <c r="D4062" s="587"/>
      <c r="E4062" s="591"/>
      <c r="G4062" s="593"/>
    </row>
    <row r="4063" spans="1:7">
      <c r="A4063" s="584"/>
      <c r="B4063" s="585"/>
      <c r="C4063" s="586"/>
      <c r="D4063" s="587"/>
      <c r="E4063" s="591"/>
      <c r="G4063" s="593"/>
    </row>
    <row r="4064" spans="1:7">
      <c r="A4064" s="584"/>
      <c r="B4064" s="585"/>
      <c r="C4064" s="586"/>
      <c r="D4064" s="587"/>
      <c r="E4064" s="591"/>
      <c r="G4064" s="593"/>
    </row>
    <row r="4065" spans="1:7">
      <c r="A4065" s="584"/>
      <c r="B4065" s="585"/>
      <c r="C4065" s="586"/>
      <c r="D4065" s="587"/>
      <c r="E4065" s="591"/>
      <c r="G4065" s="593"/>
    </row>
    <row r="4066" spans="1:7">
      <c r="A4066" s="584"/>
      <c r="B4066" s="585"/>
      <c r="C4066" s="586"/>
      <c r="D4066" s="587"/>
      <c r="E4066" s="591"/>
      <c r="G4066" s="593"/>
    </row>
    <row r="4067" spans="1:7">
      <c r="A4067" s="584"/>
      <c r="B4067" s="585"/>
      <c r="C4067" s="586"/>
      <c r="D4067" s="587"/>
      <c r="E4067" s="591"/>
      <c r="G4067" s="593"/>
    </row>
    <row r="4068" spans="1:7">
      <c r="A4068" s="584"/>
      <c r="B4068" s="585"/>
      <c r="C4068" s="586"/>
      <c r="D4068" s="587"/>
      <c r="E4068" s="591"/>
      <c r="G4068" s="593"/>
    </row>
    <row r="4069" spans="1:7">
      <c r="A4069" s="584"/>
      <c r="B4069" s="585"/>
      <c r="C4069" s="586"/>
      <c r="D4069" s="587"/>
      <c r="E4069" s="591"/>
      <c r="G4069" s="593"/>
    </row>
    <row r="4070" spans="1:7">
      <c r="A4070" s="584"/>
      <c r="B4070" s="585"/>
      <c r="C4070" s="586"/>
      <c r="D4070" s="587"/>
      <c r="E4070" s="591"/>
      <c r="G4070" s="593"/>
    </row>
    <row r="4071" spans="1:7">
      <c r="A4071" s="584"/>
      <c r="B4071" s="585"/>
      <c r="C4071" s="586"/>
      <c r="D4071" s="587"/>
      <c r="E4071" s="591"/>
      <c r="G4071" s="593"/>
    </row>
    <row r="4072" spans="1:7">
      <c r="A4072" s="584"/>
      <c r="B4072" s="585"/>
      <c r="C4072" s="586"/>
      <c r="D4072" s="587"/>
      <c r="E4072" s="591"/>
      <c r="G4072" s="593"/>
    </row>
    <row r="4073" spans="1:7">
      <c r="A4073" s="584"/>
      <c r="B4073" s="585"/>
      <c r="C4073" s="586"/>
      <c r="D4073" s="587"/>
      <c r="E4073" s="591"/>
      <c r="G4073" s="593"/>
    </row>
    <row r="4074" spans="1:7">
      <c r="A4074" s="584"/>
      <c r="B4074" s="585"/>
      <c r="C4074" s="586"/>
      <c r="D4074" s="587"/>
      <c r="E4074" s="591"/>
      <c r="G4074" s="593"/>
    </row>
    <row r="4075" spans="1:7">
      <c r="A4075" s="584"/>
      <c r="B4075" s="585"/>
      <c r="C4075" s="586"/>
      <c r="D4075" s="587"/>
      <c r="E4075" s="591"/>
      <c r="G4075" s="593"/>
    </row>
    <row r="4076" spans="1:7">
      <c r="A4076" s="584"/>
      <c r="B4076" s="585"/>
      <c r="C4076" s="586"/>
      <c r="D4076" s="587"/>
      <c r="E4076" s="591"/>
      <c r="G4076" s="593"/>
    </row>
    <row r="4077" spans="1:7">
      <c r="A4077" s="584"/>
      <c r="B4077" s="585"/>
      <c r="C4077" s="586"/>
      <c r="D4077" s="587"/>
      <c r="E4077" s="591"/>
      <c r="G4077" s="593"/>
    </row>
    <row r="4078" spans="1:7">
      <c r="A4078" s="584"/>
      <c r="B4078" s="585"/>
      <c r="C4078" s="586"/>
      <c r="D4078" s="587"/>
      <c r="E4078" s="591"/>
      <c r="G4078" s="593"/>
    </row>
    <row r="4079" spans="1:7">
      <c r="A4079" s="584"/>
      <c r="B4079" s="585"/>
      <c r="C4079" s="586"/>
      <c r="D4079" s="587"/>
      <c r="E4079" s="591"/>
      <c r="G4079" s="593"/>
    </row>
    <row r="4080" spans="1:7">
      <c r="A4080" s="584"/>
      <c r="B4080" s="585"/>
      <c r="C4080" s="586"/>
      <c r="D4080" s="587"/>
      <c r="E4080" s="591"/>
      <c r="G4080" s="593"/>
    </row>
    <row r="4081" spans="1:7">
      <c r="A4081" s="584"/>
      <c r="B4081" s="585"/>
      <c r="C4081" s="586"/>
      <c r="D4081" s="587"/>
      <c r="E4081" s="591"/>
      <c r="G4081" s="593"/>
    </row>
    <row r="4082" spans="1:7">
      <c r="A4082" s="584"/>
      <c r="B4082" s="585"/>
      <c r="C4082" s="586"/>
      <c r="D4082" s="587"/>
      <c r="E4082" s="591"/>
      <c r="G4082" s="593"/>
    </row>
    <row r="4083" spans="1:7">
      <c r="A4083" s="584"/>
      <c r="B4083" s="585"/>
      <c r="C4083" s="586"/>
      <c r="D4083" s="587"/>
      <c r="E4083" s="591"/>
      <c r="G4083" s="593"/>
    </row>
    <row r="4084" spans="1:7">
      <c r="A4084" s="584"/>
      <c r="B4084" s="585"/>
      <c r="C4084" s="586"/>
      <c r="D4084" s="587"/>
      <c r="E4084" s="591"/>
      <c r="G4084" s="593"/>
    </row>
    <row r="4085" spans="1:7">
      <c r="A4085" s="584"/>
      <c r="B4085" s="585"/>
      <c r="C4085" s="586"/>
      <c r="D4085" s="587"/>
      <c r="E4085" s="591"/>
      <c r="G4085" s="593"/>
    </row>
    <row r="4086" spans="1:7">
      <c r="A4086" s="584"/>
      <c r="B4086" s="585"/>
      <c r="C4086" s="586"/>
      <c r="D4086" s="587"/>
      <c r="E4086" s="591"/>
      <c r="G4086" s="593"/>
    </row>
    <row r="4087" spans="1:7">
      <c r="A4087" s="584"/>
      <c r="B4087" s="585"/>
      <c r="C4087" s="586"/>
      <c r="D4087" s="587"/>
      <c r="E4087" s="591"/>
      <c r="G4087" s="593"/>
    </row>
    <row r="4088" spans="1:7">
      <c r="A4088" s="584"/>
      <c r="B4088" s="585"/>
      <c r="C4088" s="586"/>
      <c r="D4088" s="587"/>
      <c r="E4088" s="591"/>
      <c r="G4088" s="593"/>
    </row>
    <row r="4089" spans="1:7">
      <c r="A4089" s="584"/>
      <c r="B4089" s="585"/>
      <c r="C4089" s="586"/>
      <c r="D4089" s="587"/>
      <c r="E4089" s="591"/>
      <c r="G4089" s="593"/>
    </row>
    <row r="4090" spans="1:7">
      <c r="A4090" s="584"/>
      <c r="B4090" s="585"/>
      <c r="C4090" s="586"/>
      <c r="D4090" s="587"/>
      <c r="E4090" s="591"/>
      <c r="G4090" s="593"/>
    </row>
    <row r="4091" spans="1:7">
      <c r="A4091" s="584"/>
      <c r="B4091" s="585"/>
      <c r="C4091" s="586"/>
      <c r="D4091" s="587"/>
      <c r="E4091" s="591"/>
      <c r="G4091" s="593"/>
    </row>
    <row r="4092" spans="1:7">
      <c r="A4092" s="584"/>
      <c r="B4092" s="585"/>
      <c r="C4092" s="586"/>
      <c r="D4092" s="587"/>
      <c r="E4092" s="591"/>
      <c r="G4092" s="593"/>
    </row>
    <row r="4093" spans="1:7">
      <c r="A4093" s="584"/>
      <c r="B4093" s="585"/>
      <c r="C4093" s="586"/>
      <c r="D4093" s="587"/>
      <c r="E4093" s="591"/>
      <c r="G4093" s="593"/>
    </row>
    <row r="4094" spans="1:7">
      <c r="A4094" s="584"/>
      <c r="B4094" s="585"/>
      <c r="C4094" s="586"/>
      <c r="D4094" s="587"/>
      <c r="E4094" s="591"/>
      <c r="G4094" s="593"/>
    </row>
    <row r="4095" spans="1:7">
      <c r="A4095" s="584"/>
      <c r="B4095" s="585"/>
      <c r="C4095" s="586"/>
      <c r="D4095" s="587"/>
      <c r="E4095" s="591"/>
      <c r="G4095" s="593"/>
    </row>
    <row r="4096" spans="1:7">
      <c r="A4096" s="584"/>
      <c r="B4096" s="585"/>
      <c r="C4096" s="586"/>
      <c r="D4096" s="587"/>
      <c r="E4096" s="591"/>
      <c r="G4096" s="593"/>
    </row>
    <row r="4097" spans="1:7">
      <c r="A4097" s="584"/>
      <c r="B4097" s="585"/>
      <c r="C4097" s="586"/>
      <c r="D4097" s="587"/>
      <c r="E4097" s="591"/>
      <c r="G4097" s="593"/>
    </row>
    <row r="4098" spans="1:7">
      <c r="A4098" s="584"/>
      <c r="B4098" s="585"/>
      <c r="C4098" s="586"/>
      <c r="D4098" s="587"/>
      <c r="E4098" s="591"/>
      <c r="G4098" s="593"/>
    </row>
    <row r="4099" spans="1:7">
      <c r="A4099" s="584"/>
      <c r="B4099" s="585"/>
      <c r="C4099" s="586"/>
      <c r="D4099" s="587"/>
      <c r="E4099" s="591"/>
      <c r="G4099" s="593"/>
    </row>
    <row r="4100" spans="1:7">
      <c r="A4100" s="584"/>
      <c r="B4100" s="585"/>
      <c r="C4100" s="586"/>
      <c r="D4100" s="587"/>
      <c r="E4100" s="591"/>
      <c r="G4100" s="593"/>
    </row>
    <row r="4101" spans="1:7">
      <c r="A4101" s="584"/>
      <c r="B4101" s="585"/>
      <c r="C4101" s="586"/>
      <c r="D4101" s="587"/>
      <c r="E4101" s="591"/>
      <c r="G4101" s="593"/>
    </row>
    <row r="4102" spans="1:7">
      <c r="A4102" s="584"/>
      <c r="B4102" s="585"/>
      <c r="C4102" s="586"/>
      <c r="D4102" s="587"/>
      <c r="E4102" s="591"/>
      <c r="G4102" s="593"/>
    </row>
    <row r="4103" spans="1:7">
      <c r="A4103" s="584"/>
      <c r="B4103" s="585"/>
      <c r="C4103" s="586"/>
      <c r="D4103" s="587"/>
      <c r="E4103" s="591"/>
      <c r="G4103" s="593"/>
    </row>
    <row r="4104" spans="1:7">
      <c r="A4104" s="584"/>
      <c r="B4104" s="585"/>
      <c r="C4104" s="586"/>
      <c r="D4104" s="587"/>
      <c r="E4104" s="591"/>
      <c r="G4104" s="593"/>
    </row>
    <row r="4105" spans="1:7">
      <c r="A4105" s="584"/>
      <c r="B4105" s="585"/>
      <c r="C4105" s="586"/>
      <c r="D4105" s="587"/>
      <c r="E4105" s="591"/>
      <c r="G4105" s="593"/>
    </row>
    <row r="4106" spans="1:7">
      <c r="A4106" s="584"/>
      <c r="B4106" s="585"/>
      <c r="C4106" s="586"/>
      <c r="D4106" s="587"/>
      <c r="E4106" s="591"/>
      <c r="G4106" s="593"/>
    </row>
    <row r="4107" spans="1:7">
      <c r="A4107" s="584"/>
      <c r="B4107" s="585"/>
      <c r="C4107" s="586"/>
      <c r="D4107" s="587"/>
      <c r="E4107" s="591"/>
      <c r="G4107" s="593"/>
    </row>
    <row r="4108" spans="1:7">
      <c r="A4108" s="584"/>
      <c r="B4108" s="585"/>
      <c r="C4108" s="586"/>
      <c r="D4108" s="587"/>
      <c r="E4108" s="591"/>
      <c r="G4108" s="593"/>
    </row>
    <row r="4109" spans="1:7">
      <c r="A4109" s="584"/>
      <c r="B4109" s="585"/>
      <c r="C4109" s="586"/>
      <c r="D4109" s="587"/>
      <c r="E4109" s="591"/>
      <c r="G4109" s="593"/>
    </row>
    <row r="4110" spans="1:7">
      <c r="A4110" s="584"/>
      <c r="B4110" s="585"/>
      <c r="C4110" s="586"/>
      <c r="D4110" s="587"/>
      <c r="E4110" s="591"/>
      <c r="G4110" s="593"/>
    </row>
    <row r="4111" spans="1:7">
      <c r="A4111" s="584"/>
      <c r="B4111" s="585"/>
      <c r="C4111" s="586"/>
      <c r="D4111" s="587"/>
      <c r="E4111" s="591"/>
      <c r="G4111" s="593"/>
    </row>
    <row r="4112" spans="1:7">
      <c r="A4112" s="584"/>
      <c r="B4112" s="585"/>
      <c r="C4112" s="586"/>
      <c r="D4112" s="587"/>
      <c r="E4112" s="591"/>
      <c r="G4112" s="593"/>
    </row>
    <row r="4113" spans="1:7">
      <c r="A4113" s="584"/>
      <c r="B4113" s="585"/>
      <c r="C4113" s="586"/>
      <c r="D4113" s="587"/>
      <c r="E4113" s="591"/>
      <c r="G4113" s="593"/>
    </row>
    <row r="4114" spans="1:7">
      <c r="A4114" s="584"/>
      <c r="B4114" s="585"/>
      <c r="C4114" s="586"/>
      <c r="D4114" s="587"/>
      <c r="E4114" s="591"/>
      <c r="G4114" s="593"/>
    </row>
    <row r="4115" spans="1:7">
      <c r="A4115" s="584"/>
      <c r="B4115" s="585"/>
      <c r="C4115" s="586"/>
      <c r="D4115" s="587"/>
      <c r="E4115" s="591"/>
      <c r="G4115" s="593"/>
    </row>
    <row r="4116" spans="1:7">
      <c r="A4116" s="584"/>
      <c r="B4116" s="585"/>
      <c r="C4116" s="586"/>
      <c r="D4116" s="587"/>
      <c r="E4116" s="591"/>
      <c r="G4116" s="593"/>
    </row>
    <row r="4117" spans="1:7">
      <c r="A4117" s="584"/>
      <c r="B4117" s="585"/>
      <c r="C4117" s="586"/>
      <c r="D4117" s="587"/>
      <c r="E4117" s="591"/>
      <c r="G4117" s="593"/>
    </row>
    <row r="4118" spans="1:7">
      <c r="A4118" s="584"/>
      <c r="B4118" s="585"/>
      <c r="C4118" s="586"/>
      <c r="D4118" s="587"/>
      <c r="E4118" s="591"/>
      <c r="G4118" s="593"/>
    </row>
    <row r="4119" spans="1:7">
      <c r="A4119" s="584"/>
      <c r="B4119" s="585"/>
      <c r="C4119" s="586"/>
      <c r="D4119" s="587"/>
      <c r="E4119" s="591"/>
      <c r="G4119" s="593"/>
    </row>
    <row r="4120" spans="1:7">
      <c r="A4120" s="584"/>
      <c r="B4120" s="585"/>
      <c r="C4120" s="586"/>
      <c r="D4120" s="587"/>
      <c r="E4120" s="591"/>
      <c r="G4120" s="593"/>
    </row>
    <row r="4121" spans="1:7">
      <c r="A4121" s="584"/>
      <c r="B4121" s="585"/>
      <c r="C4121" s="586"/>
      <c r="D4121" s="587"/>
      <c r="E4121" s="591"/>
      <c r="G4121" s="593"/>
    </row>
    <row r="4122" spans="1:7">
      <c r="A4122" s="584"/>
      <c r="B4122" s="585"/>
      <c r="C4122" s="586"/>
      <c r="D4122" s="587"/>
      <c r="E4122" s="591"/>
      <c r="G4122" s="593"/>
    </row>
    <row r="4123" spans="1:7">
      <c r="A4123" s="584"/>
      <c r="B4123" s="585"/>
      <c r="C4123" s="586"/>
      <c r="D4123" s="587"/>
      <c r="E4123" s="591"/>
      <c r="G4123" s="593"/>
    </row>
    <row r="4124" spans="1:7">
      <c r="A4124" s="584"/>
      <c r="B4124" s="585"/>
      <c r="C4124" s="586"/>
      <c r="D4124" s="587"/>
      <c r="E4124" s="591"/>
      <c r="G4124" s="593"/>
    </row>
    <row r="4125" spans="1:7">
      <c r="A4125" s="584"/>
      <c r="B4125" s="585"/>
      <c r="C4125" s="586"/>
      <c r="D4125" s="587"/>
      <c r="E4125" s="591"/>
      <c r="G4125" s="593"/>
    </row>
    <row r="4126" spans="1:7">
      <c r="A4126" s="584"/>
      <c r="B4126" s="585"/>
      <c r="C4126" s="586"/>
      <c r="D4126" s="587"/>
      <c r="E4126" s="591"/>
      <c r="G4126" s="593"/>
    </row>
    <row r="4127" spans="1:7">
      <c r="A4127" s="584"/>
      <c r="B4127" s="585"/>
      <c r="C4127" s="586"/>
      <c r="D4127" s="587"/>
      <c r="E4127" s="591"/>
      <c r="G4127" s="593"/>
    </row>
    <row r="4128" spans="1:7">
      <c r="A4128" s="584"/>
      <c r="B4128" s="585"/>
      <c r="C4128" s="586"/>
      <c r="D4128" s="587"/>
      <c r="E4128" s="591"/>
      <c r="G4128" s="593"/>
    </row>
    <row r="4129" spans="1:7">
      <c r="A4129" s="584"/>
      <c r="B4129" s="585"/>
      <c r="C4129" s="586"/>
      <c r="D4129" s="587"/>
      <c r="E4129" s="591"/>
      <c r="G4129" s="593"/>
    </row>
    <row r="4130" spans="1:7">
      <c r="A4130" s="584"/>
      <c r="B4130" s="585"/>
      <c r="C4130" s="586"/>
      <c r="D4130" s="587"/>
      <c r="E4130" s="591"/>
      <c r="G4130" s="593"/>
    </row>
    <row r="4131" spans="1:7">
      <c r="A4131" s="584"/>
      <c r="B4131" s="585"/>
      <c r="C4131" s="586"/>
      <c r="D4131" s="587"/>
      <c r="E4131" s="591"/>
      <c r="G4131" s="593"/>
    </row>
    <row r="4132" spans="1:7">
      <c r="A4132" s="584"/>
      <c r="B4132" s="585"/>
      <c r="C4132" s="586"/>
      <c r="D4132" s="587"/>
      <c r="E4132" s="591"/>
      <c r="G4132" s="593"/>
    </row>
    <row r="4133" spans="1:7">
      <c r="A4133" s="584"/>
      <c r="B4133" s="585"/>
      <c r="C4133" s="586"/>
      <c r="D4133" s="587"/>
      <c r="E4133" s="591"/>
      <c r="G4133" s="593"/>
    </row>
    <row r="4134" spans="1:7">
      <c r="A4134" s="584"/>
      <c r="B4134" s="585"/>
      <c r="C4134" s="586"/>
      <c r="D4134" s="587"/>
      <c r="E4134" s="591"/>
      <c r="G4134" s="593"/>
    </row>
    <row r="4135" spans="1:7">
      <c r="A4135" s="584"/>
      <c r="B4135" s="585"/>
      <c r="C4135" s="586"/>
      <c r="D4135" s="587"/>
      <c r="E4135" s="591"/>
      <c r="G4135" s="593"/>
    </row>
    <row r="4136" spans="1:7">
      <c r="A4136" s="584"/>
      <c r="B4136" s="585"/>
      <c r="C4136" s="586"/>
      <c r="D4136" s="587"/>
      <c r="E4136" s="591"/>
      <c r="G4136" s="593"/>
    </row>
    <row r="4137" spans="1:7">
      <c r="A4137" s="584"/>
      <c r="B4137" s="585"/>
      <c r="C4137" s="586"/>
      <c r="D4137" s="587"/>
      <c r="E4137" s="591"/>
      <c r="G4137" s="593"/>
    </row>
    <row r="4138" spans="1:7">
      <c r="A4138" s="584"/>
      <c r="B4138" s="585"/>
      <c r="C4138" s="586"/>
      <c r="D4138" s="587"/>
      <c r="E4138" s="591"/>
      <c r="G4138" s="593"/>
    </row>
    <row r="4139" spans="1:7">
      <c r="A4139" s="584"/>
      <c r="B4139" s="585"/>
      <c r="C4139" s="586"/>
      <c r="D4139" s="587"/>
      <c r="E4139" s="591"/>
      <c r="G4139" s="593"/>
    </row>
    <row r="4140" spans="1:7">
      <c r="A4140" s="584"/>
      <c r="B4140" s="585"/>
      <c r="C4140" s="586"/>
      <c r="D4140" s="587"/>
      <c r="E4140" s="591"/>
      <c r="G4140" s="593"/>
    </row>
    <row r="4141" spans="1:7">
      <c r="A4141" s="584"/>
      <c r="B4141" s="585"/>
      <c r="C4141" s="586"/>
      <c r="D4141" s="587"/>
      <c r="E4141" s="591"/>
      <c r="G4141" s="593"/>
    </row>
    <row r="4142" spans="1:7">
      <c r="A4142" s="584"/>
      <c r="B4142" s="585"/>
      <c r="C4142" s="586"/>
      <c r="D4142" s="587"/>
      <c r="E4142" s="591"/>
      <c r="G4142" s="593"/>
    </row>
    <row r="4143" spans="1:7">
      <c r="A4143" s="584"/>
      <c r="B4143" s="585"/>
      <c r="C4143" s="586"/>
      <c r="D4143" s="587"/>
      <c r="E4143" s="591"/>
      <c r="G4143" s="593"/>
    </row>
    <row r="4144" spans="1:7">
      <c r="A4144" s="584"/>
      <c r="B4144" s="585"/>
      <c r="C4144" s="586"/>
      <c r="D4144" s="587"/>
      <c r="E4144" s="591"/>
      <c r="G4144" s="593"/>
    </row>
    <row r="4145" spans="1:7">
      <c r="A4145" s="584"/>
      <c r="B4145" s="585"/>
      <c r="C4145" s="586"/>
      <c r="D4145" s="587"/>
      <c r="E4145" s="591"/>
      <c r="G4145" s="593"/>
    </row>
    <row r="4146" spans="1:7">
      <c r="A4146" s="584"/>
      <c r="B4146" s="585"/>
      <c r="C4146" s="586"/>
      <c r="D4146" s="587"/>
      <c r="E4146" s="591"/>
      <c r="G4146" s="593"/>
    </row>
    <row r="4147" spans="1:7">
      <c r="A4147" s="584"/>
      <c r="B4147" s="585"/>
      <c r="C4147" s="586"/>
      <c r="D4147" s="587"/>
      <c r="E4147" s="591"/>
      <c r="G4147" s="593"/>
    </row>
    <row r="4148" spans="1:7">
      <c r="A4148" s="584"/>
      <c r="B4148" s="585"/>
      <c r="C4148" s="586"/>
      <c r="D4148" s="587"/>
      <c r="E4148" s="591"/>
      <c r="G4148" s="593"/>
    </row>
    <row r="4149" spans="1:7">
      <c r="A4149" s="584"/>
      <c r="B4149" s="585"/>
      <c r="C4149" s="586"/>
      <c r="D4149" s="587"/>
      <c r="E4149" s="591"/>
      <c r="G4149" s="593"/>
    </row>
    <row r="4150" spans="1:7">
      <c r="A4150" s="584"/>
      <c r="B4150" s="585"/>
      <c r="C4150" s="586"/>
      <c r="D4150" s="587"/>
      <c r="E4150" s="591"/>
      <c r="G4150" s="593"/>
    </row>
    <row r="4151" spans="1:7">
      <c r="A4151" s="584"/>
      <c r="B4151" s="585"/>
      <c r="C4151" s="586"/>
      <c r="D4151" s="587"/>
      <c r="E4151" s="591"/>
      <c r="G4151" s="593"/>
    </row>
    <row r="4152" spans="1:7">
      <c r="A4152" s="584"/>
      <c r="B4152" s="585"/>
      <c r="C4152" s="586"/>
      <c r="D4152" s="587"/>
      <c r="E4152" s="591"/>
      <c r="G4152" s="593"/>
    </row>
    <row r="4153" spans="1:7">
      <c r="A4153" s="584"/>
      <c r="B4153" s="585"/>
      <c r="C4153" s="586"/>
      <c r="D4153" s="587"/>
      <c r="E4153" s="591"/>
      <c r="G4153" s="593"/>
    </row>
    <row r="4154" spans="1:7">
      <c r="A4154" s="584"/>
      <c r="B4154" s="585"/>
      <c r="C4154" s="586"/>
      <c r="D4154" s="587"/>
      <c r="E4154" s="591"/>
      <c r="G4154" s="593"/>
    </row>
    <row r="4155" spans="1:7">
      <c r="A4155" s="584"/>
      <c r="B4155" s="585"/>
      <c r="C4155" s="586"/>
      <c r="D4155" s="587"/>
      <c r="E4155" s="591"/>
      <c r="G4155" s="593"/>
    </row>
    <row r="4156" spans="1:7">
      <c r="A4156" s="584"/>
      <c r="B4156" s="585"/>
      <c r="C4156" s="586"/>
      <c r="D4156" s="587"/>
      <c r="E4156" s="591"/>
      <c r="G4156" s="593"/>
    </row>
    <row r="4157" spans="1:7">
      <c r="A4157" s="584"/>
      <c r="B4157" s="585"/>
      <c r="C4157" s="586"/>
      <c r="D4157" s="587"/>
      <c r="E4157" s="591"/>
      <c r="G4157" s="593"/>
    </row>
    <row r="4158" spans="1:7">
      <c r="A4158" s="584"/>
      <c r="B4158" s="585"/>
      <c r="C4158" s="586"/>
      <c r="D4158" s="587"/>
      <c r="E4158" s="591"/>
      <c r="G4158" s="593"/>
    </row>
    <row r="4159" spans="1:7">
      <c r="A4159" s="584"/>
      <c r="B4159" s="585"/>
      <c r="C4159" s="586"/>
      <c r="D4159" s="587"/>
      <c r="E4159" s="591"/>
      <c r="G4159" s="593"/>
    </row>
    <row r="4160" spans="1:7">
      <c r="A4160" s="584"/>
      <c r="B4160" s="585"/>
      <c r="C4160" s="586"/>
      <c r="D4160" s="587"/>
      <c r="E4160" s="591"/>
      <c r="G4160" s="593"/>
    </row>
    <row r="4161" spans="1:7">
      <c r="A4161" s="584"/>
      <c r="B4161" s="585"/>
      <c r="C4161" s="586"/>
      <c r="D4161" s="587"/>
      <c r="E4161" s="591"/>
      <c r="G4161" s="593"/>
    </row>
    <row r="4162" spans="1:7">
      <c r="A4162" s="584"/>
      <c r="B4162" s="585"/>
      <c r="C4162" s="586"/>
      <c r="D4162" s="587"/>
      <c r="E4162" s="591"/>
      <c r="G4162" s="593"/>
    </row>
    <row r="4163" spans="1:7">
      <c r="A4163" s="584"/>
      <c r="B4163" s="585"/>
      <c r="C4163" s="586"/>
      <c r="D4163" s="587"/>
      <c r="E4163" s="591"/>
      <c r="G4163" s="593"/>
    </row>
    <row r="4164" spans="1:7">
      <c r="A4164" s="584"/>
      <c r="B4164" s="585"/>
      <c r="C4164" s="586"/>
      <c r="D4164" s="587"/>
      <c r="E4164" s="591"/>
      <c r="G4164" s="593"/>
    </row>
    <row r="4165" spans="1:7">
      <c r="A4165" s="584"/>
      <c r="B4165" s="585"/>
      <c r="C4165" s="586"/>
      <c r="D4165" s="587"/>
      <c r="E4165" s="591"/>
      <c r="G4165" s="593"/>
    </row>
    <row r="4166" spans="1:7">
      <c r="A4166" s="584"/>
      <c r="B4166" s="585"/>
      <c r="C4166" s="586"/>
      <c r="D4166" s="587"/>
      <c r="E4166" s="591"/>
      <c r="G4166" s="593"/>
    </row>
    <row r="4167" spans="1:7">
      <c r="A4167" s="584"/>
      <c r="B4167" s="585"/>
      <c r="C4167" s="586"/>
      <c r="D4167" s="587"/>
      <c r="E4167" s="591"/>
      <c r="G4167" s="593"/>
    </row>
    <row r="4168" spans="1:7">
      <c r="A4168" s="584"/>
      <c r="B4168" s="585"/>
      <c r="C4168" s="586"/>
      <c r="D4168" s="587"/>
      <c r="E4168" s="591"/>
      <c r="G4168" s="593"/>
    </row>
    <row r="4169" spans="1:7">
      <c r="A4169" s="584"/>
      <c r="B4169" s="585"/>
      <c r="C4169" s="586"/>
      <c r="D4169" s="587"/>
      <c r="E4169" s="591"/>
      <c r="G4169" s="593"/>
    </row>
    <row r="4170" spans="1:7">
      <c r="A4170" s="584"/>
      <c r="B4170" s="585"/>
      <c r="C4170" s="586"/>
      <c r="D4170" s="587"/>
      <c r="E4170" s="591"/>
      <c r="G4170" s="593"/>
    </row>
    <row r="4171" spans="1:7">
      <c r="A4171" s="584"/>
      <c r="B4171" s="585"/>
      <c r="C4171" s="586"/>
      <c r="D4171" s="587"/>
      <c r="E4171" s="591"/>
      <c r="G4171" s="593"/>
    </row>
    <row r="4172" spans="1:7">
      <c r="A4172" s="584"/>
      <c r="B4172" s="585"/>
      <c r="C4172" s="586"/>
      <c r="D4172" s="587"/>
      <c r="E4172" s="591"/>
      <c r="G4172" s="593"/>
    </row>
    <row r="4173" spans="1:7">
      <c r="A4173" s="584"/>
      <c r="B4173" s="585"/>
      <c r="C4173" s="586"/>
      <c r="D4173" s="587"/>
      <c r="E4173" s="591"/>
      <c r="G4173" s="593"/>
    </row>
    <row r="4174" spans="1:7">
      <c r="A4174" s="584"/>
      <c r="B4174" s="585"/>
      <c r="C4174" s="586"/>
      <c r="D4174" s="587"/>
      <c r="E4174" s="591"/>
      <c r="G4174" s="593"/>
    </row>
    <row r="4175" spans="1:7">
      <c r="A4175" s="584"/>
      <c r="B4175" s="585"/>
      <c r="C4175" s="586"/>
      <c r="D4175" s="587"/>
      <c r="E4175" s="591"/>
      <c r="G4175" s="593"/>
    </row>
    <row r="4176" spans="1:7">
      <c r="A4176" s="584"/>
      <c r="B4176" s="585"/>
      <c r="C4176" s="586"/>
      <c r="D4176" s="587"/>
      <c r="E4176" s="591"/>
      <c r="G4176" s="593"/>
    </row>
    <row r="4177" spans="1:7">
      <c r="A4177" s="584"/>
      <c r="B4177" s="585"/>
      <c r="C4177" s="586"/>
      <c r="D4177" s="587"/>
      <c r="E4177" s="591"/>
      <c r="G4177" s="593"/>
    </row>
    <row r="4178" spans="1:7">
      <c r="A4178" s="584"/>
      <c r="B4178" s="585"/>
      <c r="C4178" s="586"/>
      <c r="D4178" s="587"/>
      <c r="E4178" s="591"/>
      <c r="G4178" s="593"/>
    </row>
    <row r="4179" spans="1:7">
      <c r="A4179" s="584"/>
      <c r="B4179" s="585"/>
      <c r="C4179" s="586"/>
      <c r="D4179" s="587"/>
      <c r="E4179" s="591"/>
      <c r="G4179" s="593"/>
    </row>
    <row r="4180" spans="1:7">
      <c r="A4180" s="584"/>
      <c r="B4180" s="585"/>
      <c r="C4180" s="586"/>
      <c r="D4180" s="587"/>
      <c r="E4180" s="591"/>
      <c r="G4180" s="593"/>
    </row>
    <row r="4181" spans="1:7">
      <c r="A4181" s="584"/>
      <c r="B4181" s="585"/>
      <c r="C4181" s="586"/>
      <c r="D4181" s="587"/>
      <c r="E4181" s="591"/>
      <c r="G4181" s="593"/>
    </row>
    <row r="4182" spans="1:7">
      <c r="A4182" s="584"/>
      <c r="B4182" s="585"/>
      <c r="C4182" s="586"/>
      <c r="D4182" s="587"/>
      <c r="E4182" s="591"/>
      <c r="G4182" s="593"/>
    </row>
    <row r="4183" spans="1:7">
      <c r="A4183" s="584"/>
      <c r="B4183" s="585"/>
      <c r="C4183" s="586"/>
      <c r="D4183" s="587"/>
      <c r="E4183" s="591"/>
      <c r="G4183" s="593"/>
    </row>
    <row r="4184" spans="1:7">
      <c r="A4184" s="584"/>
      <c r="B4184" s="585"/>
      <c r="C4184" s="586"/>
      <c r="D4184" s="587"/>
      <c r="E4184" s="591"/>
      <c r="G4184" s="593"/>
    </row>
    <row r="4185" spans="1:7">
      <c r="A4185" s="584"/>
      <c r="B4185" s="585"/>
      <c r="C4185" s="586"/>
      <c r="D4185" s="587"/>
      <c r="E4185" s="591"/>
      <c r="G4185" s="593"/>
    </row>
    <row r="4186" spans="1:7">
      <c r="A4186" s="584"/>
      <c r="B4186" s="585"/>
      <c r="C4186" s="586"/>
      <c r="D4186" s="587"/>
      <c r="E4186" s="591"/>
      <c r="G4186" s="593"/>
    </row>
    <row r="4187" spans="1:7">
      <c r="A4187" s="584"/>
      <c r="B4187" s="585"/>
      <c r="C4187" s="586"/>
      <c r="D4187" s="587"/>
      <c r="E4187" s="591"/>
      <c r="G4187" s="593"/>
    </row>
    <row r="4188" spans="1:7">
      <c r="A4188" s="584"/>
      <c r="B4188" s="585"/>
      <c r="C4188" s="586"/>
      <c r="D4188" s="587"/>
      <c r="E4188" s="591"/>
      <c r="G4188" s="593"/>
    </row>
    <row r="4189" spans="1:7">
      <c r="A4189" s="584"/>
      <c r="B4189" s="585"/>
      <c r="C4189" s="586"/>
      <c r="D4189" s="587"/>
      <c r="E4189" s="591"/>
      <c r="G4189" s="593"/>
    </row>
    <row r="4190" spans="1:7">
      <c r="A4190" s="584"/>
      <c r="B4190" s="585"/>
      <c r="C4190" s="586"/>
      <c r="D4190" s="587"/>
      <c r="E4190" s="591"/>
      <c r="G4190" s="593"/>
    </row>
    <row r="4191" spans="1:7">
      <c r="A4191" s="584"/>
      <c r="B4191" s="585"/>
      <c r="C4191" s="586"/>
      <c r="D4191" s="587"/>
      <c r="E4191" s="591"/>
      <c r="G4191" s="593"/>
    </row>
    <row r="4192" spans="1:7">
      <c r="A4192" s="584"/>
      <c r="B4192" s="585"/>
      <c r="C4192" s="586"/>
      <c r="D4192" s="587"/>
      <c r="E4192" s="591"/>
      <c r="G4192" s="593"/>
    </row>
    <row r="4193" spans="1:7">
      <c r="A4193" s="584"/>
      <c r="B4193" s="585"/>
      <c r="C4193" s="586"/>
      <c r="D4193" s="587"/>
      <c r="E4193" s="591"/>
      <c r="G4193" s="593"/>
    </row>
    <row r="4194" spans="1:7">
      <c r="A4194" s="584"/>
      <c r="B4194" s="585"/>
      <c r="C4194" s="586"/>
      <c r="D4194" s="587"/>
      <c r="E4194" s="591"/>
      <c r="G4194" s="593"/>
    </row>
    <row r="4195" spans="1:7">
      <c r="A4195" s="584"/>
      <c r="B4195" s="585"/>
      <c r="C4195" s="586"/>
      <c r="D4195" s="587"/>
      <c r="E4195" s="591"/>
      <c r="G4195" s="593"/>
    </row>
    <row r="4196" spans="1:7">
      <c r="A4196" s="584"/>
      <c r="B4196" s="585"/>
      <c r="C4196" s="586"/>
      <c r="D4196" s="587"/>
      <c r="E4196" s="591"/>
      <c r="G4196" s="593"/>
    </row>
    <row r="4197" spans="1:7">
      <c r="A4197" s="584"/>
      <c r="B4197" s="585"/>
      <c r="C4197" s="586"/>
      <c r="D4197" s="587"/>
      <c r="E4197" s="591"/>
      <c r="G4197" s="593"/>
    </row>
    <row r="4198" spans="1:7">
      <c r="A4198" s="584"/>
      <c r="B4198" s="585"/>
      <c r="C4198" s="586"/>
      <c r="D4198" s="587"/>
      <c r="E4198" s="591"/>
      <c r="G4198" s="593"/>
    </row>
    <row r="4199" spans="1:7">
      <c r="A4199" s="584"/>
      <c r="B4199" s="585"/>
      <c r="C4199" s="586"/>
      <c r="D4199" s="587"/>
      <c r="E4199" s="591"/>
      <c r="G4199" s="593"/>
    </row>
    <row r="4200" spans="1:7">
      <c r="A4200" s="584"/>
      <c r="B4200" s="585"/>
      <c r="C4200" s="586"/>
      <c r="D4200" s="587"/>
      <c r="E4200" s="591"/>
      <c r="G4200" s="593"/>
    </row>
    <row r="4201" spans="1:7">
      <c r="A4201" s="584"/>
      <c r="B4201" s="585"/>
      <c r="C4201" s="586"/>
      <c r="D4201" s="587"/>
      <c r="E4201" s="591"/>
      <c r="G4201" s="593"/>
    </row>
    <row r="4202" spans="1:7">
      <c r="A4202" s="584"/>
      <c r="B4202" s="585"/>
      <c r="C4202" s="586"/>
      <c r="D4202" s="587"/>
      <c r="E4202" s="591"/>
      <c r="G4202" s="593"/>
    </row>
    <row r="4203" spans="1:7">
      <c r="A4203" s="584"/>
      <c r="B4203" s="585"/>
      <c r="C4203" s="586"/>
      <c r="D4203" s="587"/>
      <c r="E4203" s="591"/>
      <c r="G4203" s="593"/>
    </row>
    <row r="4204" spans="1:7">
      <c r="A4204" s="584"/>
      <c r="B4204" s="585"/>
      <c r="C4204" s="586"/>
      <c r="D4204" s="587"/>
      <c r="E4204" s="591"/>
      <c r="G4204" s="593"/>
    </row>
    <row r="4205" spans="1:7">
      <c r="A4205" s="584"/>
      <c r="B4205" s="585"/>
      <c r="C4205" s="586"/>
      <c r="D4205" s="587"/>
      <c r="E4205" s="591"/>
      <c r="G4205" s="593"/>
    </row>
    <row r="4206" spans="1:7">
      <c r="A4206" s="584"/>
      <c r="B4206" s="585"/>
      <c r="C4206" s="586"/>
      <c r="D4206" s="587"/>
      <c r="E4206" s="591"/>
      <c r="G4206" s="593"/>
    </row>
    <row r="4207" spans="1:7">
      <c r="A4207" s="584"/>
      <c r="B4207" s="585"/>
      <c r="C4207" s="586"/>
      <c r="D4207" s="587"/>
      <c r="E4207" s="591"/>
      <c r="G4207" s="593"/>
    </row>
    <row r="4208" spans="1:7">
      <c r="A4208" s="584"/>
      <c r="B4208" s="585"/>
      <c r="C4208" s="586"/>
      <c r="D4208" s="587"/>
      <c r="E4208" s="591"/>
      <c r="G4208" s="593"/>
    </row>
    <row r="4209" spans="1:7">
      <c r="A4209" s="584"/>
      <c r="B4209" s="585"/>
      <c r="C4209" s="586"/>
      <c r="D4209" s="587"/>
      <c r="E4209" s="591"/>
      <c r="G4209" s="593"/>
    </row>
    <row r="4210" spans="1:7">
      <c r="A4210" s="584"/>
      <c r="B4210" s="585"/>
      <c r="C4210" s="586"/>
      <c r="D4210" s="587"/>
      <c r="E4210" s="591"/>
      <c r="G4210" s="593"/>
    </row>
    <row r="4211" spans="1:7">
      <c r="A4211" s="584"/>
      <c r="B4211" s="585"/>
      <c r="C4211" s="586"/>
      <c r="D4211" s="587"/>
      <c r="E4211" s="591"/>
      <c r="G4211" s="593"/>
    </row>
    <row r="4212" spans="1:7">
      <c r="A4212" s="584"/>
      <c r="B4212" s="585"/>
      <c r="C4212" s="586"/>
      <c r="D4212" s="587"/>
      <c r="E4212" s="591"/>
      <c r="G4212" s="593"/>
    </row>
    <row r="4213" spans="1:7">
      <c r="A4213" s="584"/>
      <c r="B4213" s="585"/>
      <c r="C4213" s="586"/>
      <c r="D4213" s="587"/>
      <c r="E4213" s="591"/>
      <c r="G4213" s="593"/>
    </row>
    <row r="4214" spans="1:7">
      <c r="A4214" s="584"/>
      <c r="B4214" s="585"/>
      <c r="C4214" s="586"/>
      <c r="D4214" s="587"/>
      <c r="E4214" s="591"/>
      <c r="G4214" s="593"/>
    </row>
    <row r="4215" spans="1:7">
      <c r="A4215" s="584"/>
      <c r="B4215" s="585"/>
      <c r="C4215" s="586"/>
      <c r="D4215" s="587"/>
      <c r="E4215" s="591"/>
      <c r="G4215" s="593"/>
    </row>
    <row r="4216" spans="1:7">
      <c r="A4216" s="584"/>
      <c r="B4216" s="585"/>
      <c r="C4216" s="586"/>
      <c r="D4216" s="587"/>
      <c r="E4216" s="591"/>
      <c r="G4216" s="593"/>
    </row>
    <row r="4217" spans="1:7">
      <c r="A4217" s="584"/>
      <c r="B4217" s="585"/>
      <c r="C4217" s="586"/>
      <c r="D4217" s="587"/>
      <c r="E4217" s="591"/>
      <c r="G4217" s="593"/>
    </row>
    <row r="4218" spans="1:7">
      <c r="A4218" s="584"/>
      <c r="B4218" s="585"/>
      <c r="C4218" s="586"/>
      <c r="D4218" s="587"/>
      <c r="E4218" s="591"/>
      <c r="G4218" s="593"/>
    </row>
    <row r="4219" spans="1:7">
      <c r="A4219" s="584"/>
      <c r="B4219" s="585"/>
      <c r="C4219" s="586"/>
      <c r="D4219" s="587"/>
      <c r="E4219" s="591"/>
      <c r="G4219" s="593"/>
    </row>
    <row r="4220" spans="1:7">
      <c r="A4220" s="584"/>
      <c r="B4220" s="585"/>
      <c r="C4220" s="586"/>
      <c r="D4220" s="587"/>
      <c r="E4220" s="591"/>
      <c r="G4220" s="593"/>
    </row>
    <row r="4221" spans="1:7">
      <c r="A4221" s="584"/>
      <c r="B4221" s="585"/>
      <c r="C4221" s="586"/>
      <c r="D4221" s="587"/>
      <c r="E4221" s="591"/>
      <c r="G4221" s="593"/>
    </row>
    <row r="4222" spans="1:7">
      <c r="A4222" s="584"/>
      <c r="B4222" s="585"/>
      <c r="C4222" s="586"/>
      <c r="D4222" s="587"/>
      <c r="E4222" s="591"/>
      <c r="G4222" s="593"/>
    </row>
    <row r="4223" spans="1:7">
      <c r="A4223" s="584"/>
      <c r="B4223" s="585"/>
      <c r="C4223" s="586"/>
      <c r="D4223" s="587"/>
      <c r="E4223" s="591"/>
      <c r="G4223" s="593"/>
    </row>
    <row r="4224" spans="1:7">
      <c r="A4224" s="584"/>
      <c r="B4224" s="585"/>
      <c r="C4224" s="586"/>
      <c r="D4224" s="587"/>
      <c r="E4224" s="591"/>
      <c r="G4224" s="593"/>
    </row>
    <row r="4225" spans="1:7">
      <c r="A4225" s="584"/>
      <c r="B4225" s="585"/>
      <c r="C4225" s="586"/>
      <c r="D4225" s="587"/>
      <c r="E4225" s="591"/>
      <c r="G4225" s="593"/>
    </row>
    <row r="4226" spans="1:7">
      <c r="A4226" s="584"/>
      <c r="B4226" s="585"/>
      <c r="C4226" s="586"/>
      <c r="D4226" s="587"/>
      <c r="E4226" s="591"/>
      <c r="G4226" s="593"/>
    </row>
    <row r="4227" spans="1:7">
      <c r="A4227" s="584"/>
      <c r="B4227" s="585"/>
      <c r="C4227" s="586"/>
      <c r="D4227" s="587"/>
      <c r="E4227" s="591"/>
      <c r="G4227" s="593"/>
    </row>
    <row r="4228" spans="1:7">
      <c r="A4228" s="584"/>
      <c r="B4228" s="585"/>
      <c r="C4228" s="586"/>
      <c r="D4228" s="587"/>
      <c r="E4228" s="591"/>
      <c r="G4228" s="593"/>
    </row>
    <row r="4229" spans="1:7">
      <c r="A4229" s="584"/>
      <c r="B4229" s="585"/>
      <c r="C4229" s="586"/>
      <c r="D4229" s="587"/>
      <c r="E4229" s="591"/>
      <c r="G4229" s="593"/>
    </row>
    <row r="4230" spans="1:7">
      <c r="A4230" s="584"/>
      <c r="B4230" s="585"/>
      <c r="C4230" s="586"/>
      <c r="D4230" s="587"/>
      <c r="E4230" s="591"/>
      <c r="G4230" s="593"/>
    </row>
    <row r="4231" spans="1:7">
      <c r="A4231" s="584"/>
      <c r="B4231" s="585"/>
      <c r="C4231" s="586"/>
      <c r="D4231" s="587"/>
      <c r="E4231" s="591"/>
      <c r="G4231" s="593"/>
    </row>
    <row r="4232" spans="1:7">
      <c r="A4232" s="584"/>
      <c r="B4232" s="585"/>
      <c r="C4232" s="586"/>
      <c r="D4232" s="587"/>
      <c r="E4232" s="591"/>
      <c r="G4232" s="593"/>
    </row>
    <row r="4233" spans="1:7">
      <c r="A4233" s="584"/>
      <c r="B4233" s="585"/>
      <c r="C4233" s="586"/>
      <c r="D4233" s="587"/>
      <c r="E4233" s="591"/>
      <c r="G4233" s="593"/>
    </row>
    <row r="4234" spans="1:7">
      <c r="A4234" s="584"/>
      <c r="B4234" s="585"/>
      <c r="C4234" s="586"/>
      <c r="D4234" s="587"/>
      <c r="E4234" s="591"/>
      <c r="G4234" s="593"/>
    </row>
    <row r="4235" spans="1:7">
      <c r="A4235" s="584"/>
      <c r="B4235" s="585"/>
      <c r="C4235" s="586"/>
      <c r="D4235" s="587"/>
      <c r="E4235" s="591"/>
      <c r="G4235" s="593"/>
    </row>
    <row r="4236" spans="1:7">
      <c r="A4236" s="584"/>
      <c r="B4236" s="585"/>
      <c r="C4236" s="586"/>
      <c r="D4236" s="587"/>
      <c r="E4236" s="591"/>
      <c r="G4236" s="593"/>
    </row>
    <row r="4237" spans="1:7">
      <c r="A4237" s="584"/>
      <c r="B4237" s="585"/>
      <c r="C4237" s="586"/>
      <c r="D4237" s="587"/>
      <c r="E4237" s="591"/>
      <c r="G4237" s="593"/>
    </row>
    <row r="4238" spans="1:7">
      <c r="A4238" s="584"/>
      <c r="B4238" s="585"/>
      <c r="C4238" s="586"/>
      <c r="D4238" s="587"/>
      <c r="E4238" s="591"/>
      <c r="G4238" s="593"/>
    </row>
    <row r="4239" spans="1:7">
      <c r="A4239" s="584"/>
      <c r="B4239" s="585"/>
      <c r="C4239" s="586"/>
      <c r="D4239" s="587"/>
      <c r="E4239" s="591"/>
      <c r="G4239" s="593"/>
    </row>
    <row r="4240" spans="1:7">
      <c r="A4240" s="584"/>
      <c r="B4240" s="585"/>
      <c r="C4240" s="586"/>
      <c r="D4240" s="587"/>
      <c r="E4240" s="591"/>
      <c r="G4240" s="593"/>
    </row>
    <row r="4241" spans="1:7">
      <c r="A4241" s="584"/>
      <c r="B4241" s="585"/>
      <c r="C4241" s="586"/>
      <c r="D4241" s="587"/>
      <c r="E4241" s="591"/>
      <c r="G4241" s="593"/>
    </row>
    <row r="4242" spans="1:7">
      <c r="A4242" s="584"/>
      <c r="B4242" s="585"/>
      <c r="C4242" s="586"/>
      <c r="D4242" s="587"/>
      <c r="E4242" s="591"/>
      <c r="G4242" s="593"/>
    </row>
    <row r="4243" spans="1:7">
      <c r="A4243" s="584"/>
      <c r="B4243" s="585"/>
      <c r="C4243" s="586"/>
      <c r="D4243" s="587"/>
      <c r="E4243" s="591"/>
      <c r="G4243" s="593"/>
    </row>
    <row r="4244" spans="1:7">
      <c r="A4244" s="584"/>
      <c r="B4244" s="585"/>
      <c r="C4244" s="586"/>
      <c r="D4244" s="587"/>
      <c r="E4244" s="591"/>
      <c r="G4244" s="593"/>
    </row>
    <row r="4245" spans="1:7">
      <c r="A4245" s="584"/>
      <c r="B4245" s="585"/>
      <c r="C4245" s="586"/>
      <c r="D4245" s="587"/>
      <c r="E4245" s="591"/>
      <c r="G4245" s="593"/>
    </row>
    <row r="4246" spans="1:7">
      <c r="A4246" s="584"/>
      <c r="B4246" s="585"/>
      <c r="C4246" s="586"/>
      <c r="D4246" s="587"/>
      <c r="E4246" s="591"/>
      <c r="G4246" s="593"/>
    </row>
    <row r="4247" spans="1:7">
      <c r="A4247" s="584"/>
      <c r="B4247" s="585"/>
      <c r="C4247" s="586"/>
      <c r="D4247" s="587"/>
      <c r="E4247" s="591"/>
      <c r="G4247" s="593"/>
    </row>
    <row r="4248" spans="1:7">
      <c r="A4248" s="584"/>
      <c r="B4248" s="585"/>
      <c r="C4248" s="586"/>
      <c r="D4248" s="587"/>
      <c r="E4248" s="591"/>
      <c r="G4248" s="593"/>
    </row>
    <row r="4249" spans="1:7">
      <c r="A4249" s="584"/>
      <c r="B4249" s="585"/>
      <c r="C4249" s="586"/>
      <c r="D4249" s="587"/>
      <c r="E4249" s="591"/>
      <c r="G4249" s="593"/>
    </row>
    <row r="4250" spans="1:7">
      <c r="A4250" s="584"/>
      <c r="B4250" s="585"/>
      <c r="C4250" s="586"/>
      <c r="D4250" s="587"/>
      <c r="E4250" s="591"/>
      <c r="G4250" s="593"/>
    </row>
    <row r="4251" spans="1:7">
      <c r="A4251" s="584"/>
      <c r="B4251" s="585"/>
      <c r="C4251" s="586"/>
      <c r="D4251" s="587"/>
      <c r="E4251" s="591"/>
      <c r="G4251" s="593"/>
    </row>
    <row r="4252" spans="1:7">
      <c r="A4252" s="584"/>
      <c r="B4252" s="585"/>
      <c r="C4252" s="586"/>
      <c r="D4252" s="587"/>
      <c r="E4252" s="591"/>
      <c r="G4252" s="593"/>
    </row>
    <row r="4253" spans="1:7">
      <c r="A4253" s="584"/>
      <c r="B4253" s="585"/>
      <c r="C4253" s="586"/>
      <c r="D4253" s="587"/>
      <c r="E4253" s="591"/>
      <c r="G4253" s="593"/>
    </row>
    <row r="4254" spans="1:7">
      <c r="A4254" s="584"/>
      <c r="B4254" s="585"/>
      <c r="C4254" s="586"/>
      <c r="D4254" s="587"/>
      <c r="E4254" s="591"/>
      <c r="G4254" s="593"/>
    </row>
    <row r="4255" spans="1:7">
      <c r="A4255" s="584"/>
      <c r="B4255" s="585"/>
      <c r="C4255" s="586"/>
      <c r="D4255" s="587"/>
      <c r="E4255" s="591"/>
      <c r="G4255" s="593"/>
    </row>
    <row r="4256" spans="1:7">
      <c r="A4256" s="584"/>
      <c r="B4256" s="585"/>
      <c r="C4256" s="586"/>
      <c r="D4256" s="587"/>
      <c r="E4256" s="591"/>
      <c r="G4256" s="593"/>
    </row>
    <row r="4257" spans="1:7">
      <c r="A4257" s="584"/>
      <c r="B4257" s="585"/>
      <c r="C4257" s="586"/>
      <c r="D4257" s="587"/>
      <c r="E4257" s="591"/>
      <c r="G4257" s="593"/>
    </row>
    <row r="4258" spans="1:7">
      <c r="A4258" s="584"/>
      <c r="B4258" s="585"/>
      <c r="C4258" s="586"/>
      <c r="D4258" s="587"/>
      <c r="E4258" s="591"/>
      <c r="G4258" s="593"/>
    </row>
    <row r="4259" spans="1:7">
      <c r="A4259" s="584"/>
      <c r="B4259" s="585"/>
      <c r="C4259" s="586"/>
      <c r="D4259" s="587"/>
      <c r="E4259" s="591"/>
      <c r="G4259" s="593"/>
    </row>
    <row r="4260" spans="1:7">
      <c r="A4260" s="584"/>
      <c r="B4260" s="585"/>
      <c r="C4260" s="586"/>
      <c r="D4260" s="587"/>
      <c r="E4260" s="591"/>
      <c r="G4260" s="593"/>
    </row>
    <row r="4261" spans="1:7">
      <c r="A4261" s="584"/>
      <c r="B4261" s="585"/>
      <c r="C4261" s="586"/>
      <c r="D4261" s="587"/>
      <c r="E4261" s="591"/>
      <c r="G4261" s="593"/>
    </row>
    <row r="4262" spans="1:7">
      <c r="A4262" s="584"/>
      <c r="B4262" s="585"/>
      <c r="C4262" s="586"/>
      <c r="D4262" s="587"/>
      <c r="E4262" s="591"/>
      <c r="G4262" s="593"/>
    </row>
    <row r="4263" spans="1:7">
      <c r="A4263" s="584"/>
      <c r="B4263" s="585"/>
      <c r="C4263" s="586"/>
      <c r="D4263" s="587"/>
      <c r="E4263" s="591"/>
      <c r="G4263" s="593"/>
    </row>
    <row r="4264" spans="1:7">
      <c r="A4264" s="584"/>
      <c r="B4264" s="585"/>
      <c r="C4264" s="586"/>
      <c r="D4264" s="587"/>
      <c r="E4264" s="591"/>
      <c r="G4264" s="593"/>
    </row>
    <row r="4265" spans="1:7">
      <c r="A4265" s="584"/>
      <c r="B4265" s="585"/>
      <c r="C4265" s="586"/>
      <c r="D4265" s="587"/>
      <c r="E4265" s="591"/>
      <c r="G4265" s="593"/>
    </row>
    <row r="4266" spans="1:7">
      <c r="A4266" s="584"/>
      <c r="B4266" s="585"/>
      <c r="C4266" s="586"/>
      <c r="D4266" s="587"/>
      <c r="E4266" s="591"/>
      <c r="G4266" s="593"/>
    </row>
    <row r="4267" spans="1:7">
      <c r="A4267" s="584"/>
      <c r="B4267" s="585"/>
      <c r="C4267" s="586"/>
      <c r="D4267" s="587"/>
      <c r="E4267" s="591"/>
      <c r="G4267" s="593"/>
    </row>
    <row r="4268" spans="1:7">
      <c r="A4268" s="584"/>
      <c r="B4268" s="585"/>
      <c r="C4268" s="586"/>
      <c r="D4268" s="587"/>
      <c r="E4268" s="591"/>
      <c r="G4268" s="593"/>
    </row>
    <row r="4269" spans="1:7">
      <c r="A4269" s="584"/>
      <c r="B4269" s="585"/>
      <c r="C4269" s="586"/>
      <c r="D4269" s="587"/>
      <c r="E4269" s="591"/>
      <c r="G4269" s="593"/>
    </row>
    <row r="4270" spans="1:7">
      <c r="A4270" s="584"/>
      <c r="B4270" s="585"/>
      <c r="C4270" s="586"/>
      <c r="D4270" s="587"/>
      <c r="E4270" s="591"/>
      <c r="G4270" s="593"/>
    </row>
    <row r="4271" spans="1:7">
      <c r="A4271" s="584"/>
      <c r="B4271" s="585"/>
      <c r="C4271" s="586"/>
      <c r="D4271" s="587"/>
      <c r="E4271" s="591"/>
      <c r="G4271" s="593"/>
    </row>
    <row r="4272" spans="1:7">
      <c r="A4272" s="584"/>
      <c r="B4272" s="585"/>
      <c r="C4272" s="586"/>
      <c r="D4272" s="587"/>
      <c r="E4272" s="591"/>
      <c r="G4272" s="593"/>
    </row>
    <row r="4273" spans="1:7">
      <c r="A4273" s="584"/>
      <c r="B4273" s="585"/>
      <c r="C4273" s="586"/>
      <c r="D4273" s="587"/>
      <c r="E4273" s="591"/>
      <c r="G4273" s="593"/>
    </row>
    <row r="4274" spans="1:7">
      <c r="A4274" s="584"/>
      <c r="B4274" s="585"/>
      <c r="C4274" s="586"/>
      <c r="D4274" s="587"/>
      <c r="E4274" s="591"/>
      <c r="G4274" s="593"/>
    </row>
    <row r="4275" spans="1:7">
      <c r="A4275" s="584"/>
      <c r="B4275" s="585"/>
      <c r="C4275" s="586"/>
      <c r="D4275" s="587"/>
      <c r="E4275" s="591"/>
      <c r="G4275" s="593"/>
    </row>
    <row r="4276" spans="1:7">
      <c r="A4276" s="584"/>
      <c r="B4276" s="585"/>
      <c r="C4276" s="586"/>
      <c r="D4276" s="587"/>
      <c r="E4276" s="591"/>
      <c r="G4276" s="593"/>
    </row>
    <row r="4277" spans="1:7">
      <c r="A4277" s="584"/>
      <c r="B4277" s="585"/>
      <c r="C4277" s="586"/>
      <c r="D4277" s="587"/>
      <c r="E4277" s="591"/>
      <c r="G4277" s="593"/>
    </row>
    <row r="4278" spans="1:7">
      <c r="A4278" s="584"/>
      <c r="B4278" s="585"/>
      <c r="C4278" s="586"/>
      <c r="D4278" s="587"/>
      <c r="E4278" s="591"/>
      <c r="G4278" s="593"/>
    </row>
    <row r="4279" spans="1:7">
      <c r="A4279" s="584"/>
      <c r="B4279" s="585"/>
      <c r="C4279" s="586"/>
      <c r="D4279" s="587"/>
      <c r="E4279" s="591"/>
      <c r="G4279" s="593"/>
    </row>
    <row r="4280" spans="1:7">
      <c r="A4280" s="584"/>
      <c r="B4280" s="585"/>
      <c r="C4280" s="586"/>
      <c r="D4280" s="587"/>
      <c r="E4280" s="591"/>
      <c r="G4280" s="593"/>
    </row>
    <row r="4281" spans="1:7">
      <c r="A4281" s="584"/>
      <c r="B4281" s="585"/>
      <c r="C4281" s="586"/>
      <c r="D4281" s="587"/>
      <c r="E4281" s="591"/>
      <c r="G4281" s="593"/>
    </row>
    <row r="4282" spans="1:7">
      <c r="A4282" s="584"/>
      <c r="B4282" s="585"/>
      <c r="C4282" s="586"/>
      <c r="D4282" s="587"/>
      <c r="E4282" s="591"/>
      <c r="G4282" s="593"/>
    </row>
    <row r="4283" spans="1:7">
      <c r="A4283" s="584"/>
      <c r="B4283" s="585"/>
      <c r="C4283" s="586"/>
      <c r="D4283" s="587"/>
      <c r="E4283" s="591"/>
      <c r="G4283" s="593"/>
    </row>
    <row r="4284" spans="1:7">
      <c r="A4284" s="584"/>
      <c r="B4284" s="585"/>
      <c r="C4284" s="586"/>
      <c r="D4284" s="587"/>
      <c r="E4284" s="591"/>
      <c r="G4284" s="593"/>
    </row>
    <row r="4285" spans="1:7">
      <c r="A4285" s="584"/>
      <c r="B4285" s="585"/>
      <c r="C4285" s="586"/>
      <c r="D4285" s="587"/>
      <c r="E4285" s="591"/>
      <c r="G4285" s="593"/>
    </row>
    <row r="4286" spans="1:7">
      <c r="A4286" s="584"/>
      <c r="B4286" s="585"/>
      <c r="C4286" s="586"/>
      <c r="D4286" s="587"/>
      <c r="E4286" s="591"/>
      <c r="G4286" s="593"/>
    </row>
    <row r="4287" spans="1:7">
      <c r="A4287" s="584"/>
      <c r="B4287" s="585"/>
      <c r="C4287" s="586"/>
      <c r="D4287" s="587"/>
      <c r="E4287" s="591"/>
      <c r="G4287" s="593"/>
    </row>
    <row r="4288" spans="1:7">
      <c r="A4288" s="584"/>
      <c r="B4288" s="585"/>
      <c r="C4288" s="586"/>
      <c r="D4288" s="587"/>
      <c r="E4288" s="591"/>
      <c r="G4288" s="593"/>
    </row>
    <row r="4289" spans="1:7">
      <c r="A4289" s="584"/>
      <c r="B4289" s="585"/>
      <c r="C4289" s="586"/>
      <c r="D4289" s="587"/>
      <c r="E4289" s="591"/>
      <c r="G4289" s="593"/>
    </row>
    <row r="4290" spans="1:7">
      <c r="A4290" s="584"/>
      <c r="B4290" s="585"/>
      <c r="C4290" s="586"/>
      <c r="D4290" s="587"/>
      <c r="E4290" s="591"/>
      <c r="G4290" s="593"/>
    </row>
    <row r="4291" spans="1:7">
      <c r="A4291" s="584"/>
      <c r="B4291" s="585"/>
      <c r="C4291" s="586"/>
      <c r="D4291" s="587"/>
      <c r="E4291" s="591"/>
      <c r="G4291" s="593"/>
    </row>
    <row r="4292" spans="1:7">
      <c r="A4292" s="584"/>
      <c r="B4292" s="585"/>
      <c r="C4292" s="586"/>
      <c r="D4292" s="587"/>
      <c r="E4292" s="591"/>
      <c r="G4292" s="593"/>
    </row>
    <row r="4293" spans="1:7">
      <c r="A4293" s="584"/>
      <c r="B4293" s="585"/>
      <c r="C4293" s="586"/>
      <c r="D4293" s="587"/>
      <c r="E4293" s="591"/>
      <c r="G4293" s="593"/>
    </row>
    <row r="4294" spans="1:7">
      <c r="A4294" s="584"/>
      <c r="B4294" s="585"/>
      <c r="C4294" s="586"/>
      <c r="D4294" s="587"/>
      <c r="E4294" s="591"/>
      <c r="G4294" s="593"/>
    </row>
    <row r="4295" spans="1:7">
      <c r="A4295" s="584"/>
      <c r="B4295" s="585"/>
      <c r="C4295" s="586"/>
      <c r="D4295" s="587"/>
      <c r="E4295" s="591"/>
      <c r="G4295" s="593"/>
    </row>
    <row r="4296" spans="1:7">
      <c r="A4296" s="584"/>
      <c r="B4296" s="585"/>
      <c r="C4296" s="586"/>
      <c r="D4296" s="587"/>
      <c r="E4296" s="591"/>
      <c r="G4296" s="593"/>
    </row>
    <row r="4297" spans="1:7">
      <c r="A4297" s="584"/>
      <c r="B4297" s="585"/>
      <c r="C4297" s="586"/>
      <c r="D4297" s="587"/>
      <c r="E4297" s="591"/>
      <c r="G4297" s="593"/>
    </row>
    <row r="4298" spans="1:7">
      <c r="A4298" s="584"/>
      <c r="B4298" s="585"/>
      <c r="C4298" s="586"/>
      <c r="D4298" s="587"/>
      <c r="E4298" s="591"/>
      <c r="G4298" s="593"/>
    </row>
    <row r="4299" spans="1:7">
      <c r="A4299" s="584"/>
      <c r="B4299" s="585"/>
      <c r="C4299" s="586"/>
      <c r="D4299" s="587"/>
      <c r="E4299" s="591"/>
      <c r="G4299" s="593"/>
    </row>
    <row r="4300" spans="1:7">
      <c r="A4300" s="584"/>
      <c r="B4300" s="585"/>
      <c r="C4300" s="586"/>
      <c r="D4300" s="587"/>
      <c r="E4300" s="591"/>
      <c r="G4300" s="593"/>
    </row>
    <row r="4301" spans="1:7">
      <c r="A4301" s="584"/>
      <c r="B4301" s="585"/>
      <c r="C4301" s="586"/>
      <c r="D4301" s="587"/>
      <c r="E4301" s="591"/>
      <c r="G4301" s="593"/>
    </row>
    <row r="4302" spans="1:7">
      <c r="A4302" s="584"/>
      <c r="B4302" s="585"/>
      <c r="C4302" s="586"/>
      <c r="D4302" s="587"/>
      <c r="E4302" s="591"/>
      <c r="G4302" s="593"/>
    </row>
    <row r="4303" spans="1:7">
      <c r="A4303" s="584"/>
      <c r="B4303" s="585"/>
      <c r="C4303" s="586"/>
      <c r="D4303" s="587"/>
      <c r="E4303" s="591"/>
      <c r="G4303" s="593"/>
    </row>
    <row r="4304" spans="1:7">
      <c r="A4304" s="584"/>
      <c r="B4304" s="585"/>
      <c r="C4304" s="586"/>
      <c r="D4304" s="587"/>
      <c r="E4304" s="591"/>
      <c r="G4304" s="593"/>
    </row>
    <row r="4305" spans="1:7">
      <c r="A4305" s="584"/>
      <c r="B4305" s="585"/>
      <c r="C4305" s="586"/>
      <c r="D4305" s="587"/>
      <c r="E4305" s="591"/>
      <c r="G4305" s="593"/>
    </row>
    <row r="4306" spans="1:7">
      <c r="A4306" s="584"/>
      <c r="B4306" s="585"/>
      <c r="C4306" s="586"/>
      <c r="D4306" s="587"/>
      <c r="E4306" s="591"/>
      <c r="G4306" s="593"/>
    </row>
    <row r="4307" spans="1:7">
      <c r="A4307" s="584"/>
      <c r="B4307" s="585"/>
      <c r="C4307" s="586"/>
      <c r="D4307" s="587"/>
      <c r="E4307" s="591"/>
      <c r="G4307" s="593"/>
    </row>
    <row r="4308" spans="1:7">
      <c r="A4308" s="584"/>
      <c r="B4308" s="585"/>
      <c r="C4308" s="586"/>
      <c r="D4308" s="587"/>
      <c r="E4308" s="591"/>
      <c r="G4308" s="593"/>
    </row>
    <row r="4309" spans="1:7">
      <c r="A4309" s="584"/>
      <c r="B4309" s="585"/>
      <c r="C4309" s="586"/>
      <c r="D4309" s="587"/>
      <c r="E4309" s="591"/>
      <c r="G4309" s="593"/>
    </row>
    <row r="4310" spans="1:7">
      <c r="A4310" s="584"/>
      <c r="B4310" s="585"/>
      <c r="C4310" s="586"/>
      <c r="D4310" s="587"/>
      <c r="E4310" s="591"/>
      <c r="G4310" s="593"/>
    </row>
    <row r="4311" spans="1:7">
      <c r="A4311" s="584"/>
      <c r="B4311" s="585"/>
      <c r="C4311" s="586"/>
      <c r="D4311" s="587"/>
      <c r="E4311" s="591"/>
      <c r="G4311" s="593"/>
    </row>
    <row r="4312" spans="1:7">
      <c r="A4312" s="584"/>
      <c r="B4312" s="585"/>
      <c r="C4312" s="586"/>
      <c r="D4312" s="587"/>
      <c r="E4312" s="591"/>
      <c r="G4312" s="593"/>
    </row>
    <row r="4313" spans="1:7">
      <c r="A4313" s="584"/>
      <c r="B4313" s="585"/>
      <c r="C4313" s="586"/>
      <c r="D4313" s="587"/>
      <c r="E4313" s="591"/>
      <c r="G4313" s="593"/>
    </row>
    <row r="4314" spans="1:7">
      <c r="A4314" s="584"/>
      <c r="B4314" s="585"/>
      <c r="C4314" s="586"/>
      <c r="D4314" s="587"/>
      <c r="E4314" s="591"/>
      <c r="G4314" s="593"/>
    </row>
    <row r="4315" spans="1:7">
      <c r="A4315" s="584"/>
      <c r="B4315" s="585"/>
      <c r="C4315" s="586"/>
      <c r="D4315" s="587"/>
      <c r="E4315" s="591"/>
      <c r="G4315" s="593"/>
    </row>
    <row r="4316" spans="1:7">
      <c r="A4316" s="584"/>
      <c r="B4316" s="585"/>
      <c r="C4316" s="586"/>
      <c r="D4316" s="587"/>
      <c r="E4316" s="591"/>
      <c r="G4316" s="593"/>
    </row>
    <row r="4317" spans="1:7">
      <c r="A4317" s="584"/>
      <c r="B4317" s="585"/>
      <c r="C4317" s="586"/>
      <c r="D4317" s="587"/>
      <c r="E4317" s="591"/>
      <c r="G4317" s="593"/>
    </row>
    <row r="4318" spans="1:7">
      <c r="A4318" s="584"/>
      <c r="B4318" s="585"/>
      <c r="C4318" s="586"/>
      <c r="D4318" s="587"/>
      <c r="E4318" s="591"/>
      <c r="G4318" s="593"/>
    </row>
    <row r="4319" spans="1:7">
      <c r="A4319" s="584"/>
      <c r="B4319" s="585"/>
      <c r="C4319" s="586"/>
      <c r="D4319" s="587"/>
      <c r="E4319" s="591"/>
      <c r="G4319" s="593"/>
    </row>
    <row r="4320" spans="1:7">
      <c r="A4320" s="584"/>
      <c r="B4320" s="585"/>
      <c r="C4320" s="586"/>
      <c r="D4320" s="587"/>
      <c r="E4320" s="591"/>
      <c r="G4320" s="593"/>
    </row>
    <row r="4321" spans="1:7">
      <c r="A4321" s="584"/>
      <c r="B4321" s="585"/>
      <c r="C4321" s="586"/>
      <c r="D4321" s="587"/>
      <c r="E4321" s="591"/>
      <c r="G4321" s="593"/>
    </row>
    <row r="4322" spans="1:7">
      <c r="A4322" s="584"/>
      <c r="B4322" s="585"/>
      <c r="C4322" s="586"/>
      <c r="D4322" s="587"/>
      <c r="E4322" s="591"/>
      <c r="G4322" s="593"/>
    </row>
    <row r="4323" spans="1:7">
      <c r="A4323" s="584"/>
      <c r="B4323" s="585"/>
      <c r="C4323" s="586"/>
      <c r="D4323" s="587"/>
      <c r="E4323" s="591"/>
      <c r="G4323" s="593"/>
    </row>
    <row r="4324" spans="1:7">
      <c r="A4324" s="584"/>
      <c r="B4324" s="585"/>
      <c r="C4324" s="586"/>
      <c r="D4324" s="587"/>
      <c r="E4324" s="591"/>
      <c r="G4324" s="593"/>
    </row>
    <row r="4325" spans="1:7">
      <c r="A4325" s="584"/>
      <c r="B4325" s="585"/>
      <c r="C4325" s="586"/>
      <c r="D4325" s="587"/>
      <c r="E4325" s="591"/>
      <c r="G4325" s="593"/>
    </row>
    <row r="4326" spans="1:7">
      <c r="A4326" s="584"/>
      <c r="B4326" s="585"/>
      <c r="C4326" s="586"/>
      <c r="D4326" s="587"/>
      <c r="E4326" s="591"/>
      <c r="G4326" s="593"/>
    </row>
    <row r="4327" spans="1:7">
      <c r="A4327" s="584"/>
      <c r="B4327" s="585"/>
      <c r="C4327" s="586"/>
      <c r="D4327" s="587"/>
      <c r="E4327" s="591"/>
      <c r="G4327" s="593"/>
    </row>
    <row r="4328" spans="1:7">
      <c r="A4328" s="584"/>
      <c r="B4328" s="585"/>
      <c r="C4328" s="586"/>
      <c r="D4328" s="587"/>
      <c r="E4328" s="591"/>
      <c r="G4328" s="593"/>
    </row>
    <row r="4329" spans="1:7">
      <c r="A4329" s="584"/>
      <c r="B4329" s="585"/>
      <c r="C4329" s="586"/>
      <c r="D4329" s="587"/>
      <c r="E4329" s="591"/>
      <c r="G4329" s="593"/>
    </row>
    <row r="4330" spans="1:7">
      <c r="A4330" s="584"/>
      <c r="B4330" s="585"/>
      <c r="C4330" s="586"/>
      <c r="D4330" s="587"/>
      <c r="E4330" s="591"/>
      <c r="G4330" s="593"/>
    </row>
    <row r="4331" spans="1:7">
      <c r="A4331" s="584"/>
      <c r="B4331" s="585"/>
      <c r="C4331" s="586"/>
      <c r="D4331" s="587"/>
      <c r="E4331" s="591"/>
      <c r="G4331" s="593"/>
    </row>
    <row r="4332" spans="1:7">
      <c r="A4332" s="584"/>
      <c r="B4332" s="585"/>
      <c r="C4332" s="586"/>
      <c r="D4332" s="587"/>
      <c r="E4332" s="591"/>
      <c r="G4332" s="593"/>
    </row>
    <row r="4333" spans="1:7">
      <c r="A4333" s="584"/>
      <c r="B4333" s="585"/>
      <c r="C4333" s="586"/>
      <c r="D4333" s="587"/>
      <c r="E4333" s="591"/>
      <c r="G4333" s="593"/>
    </row>
    <row r="4334" spans="1:7">
      <c r="A4334" s="584"/>
      <c r="B4334" s="585"/>
      <c r="C4334" s="586"/>
      <c r="D4334" s="587"/>
      <c r="E4334" s="591"/>
      <c r="G4334" s="593"/>
    </row>
    <row r="4335" spans="1:7">
      <c r="A4335" s="584"/>
      <c r="B4335" s="585"/>
      <c r="C4335" s="586"/>
      <c r="D4335" s="587"/>
      <c r="E4335" s="591"/>
      <c r="G4335" s="593"/>
    </row>
    <row r="4336" spans="1:7">
      <c r="A4336" s="584"/>
      <c r="B4336" s="585"/>
      <c r="C4336" s="586"/>
      <c r="D4336" s="587"/>
      <c r="E4336" s="591"/>
      <c r="G4336" s="593"/>
    </row>
    <row r="4337" spans="1:7">
      <c r="A4337" s="584"/>
      <c r="B4337" s="585"/>
      <c r="C4337" s="586"/>
      <c r="D4337" s="587"/>
      <c r="E4337" s="591"/>
      <c r="G4337" s="593"/>
    </row>
    <row r="4338" spans="1:7">
      <c r="A4338" s="584"/>
      <c r="B4338" s="585"/>
      <c r="C4338" s="586"/>
      <c r="D4338" s="587"/>
      <c r="E4338" s="591"/>
      <c r="G4338" s="593"/>
    </row>
    <row r="4339" spans="1:7">
      <c r="A4339" s="584"/>
      <c r="B4339" s="585"/>
      <c r="C4339" s="586"/>
      <c r="D4339" s="587"/>
      <c r="E4339" s="591"/>
      <c r="G4339" s="593"/>
    </row>
    <row r="4340" spans="1:7">
      <c r="A4340" s="584"/>
      <c r="B4340" s="585"/>
      <c r="C4340" s="586"/>
      <c r="D4340" s="587"/>
      <c r="E4340" s="591"/>
      <c r="G4340" s="593"/>
    </row>
    <row r="4341" spans="1:7">
      <c r="A4341" s="584"/>
      <c r="B4341" s="585"/>
      <c r="C4341" s="586"/>
      <c r="D4341" s="587"/>
      <c r="E4341" s="591"/>
      <c r="G4341" s="593"/>
    </row>
    <row r="4342" spans="1:7">
      <c r="A4342" s="584"/>
      <c r="B4342" s="585"/>
      <c r="C4342" s="586"/>
      <c r="D4342" s="587"/>
      <c r="E4342" s="591"/>
      <c r="G4342" s="593"/>
    </row>
    <row r="4343" spans="1:7">
      <c r="A4343" s="584"/>
      <c r="B4343" s="585"/>
      <c r="C4343" s="586"/>
      <c r="D4343" s="587"/>
      <c r="E4343" s="591"/>
      <c r="G4343" s="593"/>
    </row>
    <row r="4344" spans="1:7">
      <c r="A4344" s="584"/>
      <c r="B4344" s="585"/>
      <c r="C4344" s="586"/>
      <c r="D4344" s="587"/>
      <c r="E4344" s="591"/>
      <c r="G4344" s="593"/>
    </row>
    <row r="4345" spans="1:7">
      <c r="A4345" s="584"/>
      <c r="B4345" s="585"/>
      <c r="C4345" s="586"/>
      <c r="D4345" s="587"/>
      <c r="E4345" s="591"/>
      <c r="G4345" s="593"/>
    </row>
    <row r="4346" spans="1:7">
      <c r="A4346" s="584"/>
      <c r="B4346" s="585"/>
      <c r="C4346" s="586"/>
      <c r="D4346" s="587"/>
      <c r="E4346" s="591"/>
      <c r="G4346" s="593"/>
    </row>
    <row r="4347" spans="1:7">
      <c r="A4347" s="584"/>
      <c r="B4347" s="585"/>
      <c r="C4347" s="586"/>
      <c r="D4347" s="587"/>
      <c r="E4347" s="591"/>
      <c r="G4347" s="593"/>
    </row>
    <row r="4348" spans="1:7">
      <c r="A4348" s="584"/>
      <c r="B4348" s="585"/>
      <c r="C4348" s="586"/>
      <c r="D4348" s="587"/>
      <c r="E4348" s="591"/>
      <c r="G4348" s="593"/>
    </row>
    <row r="4349" spans="1:7">
      <c r="A4349" s="584"/>
      <c r="B4349" s="585"/>
      <c r="C4349" s="586"/>
      <c r="D4349" s="587"/>
      <c r="E4349" s="591"/>
      <c r="G4349" s="593"/>
    </row>
    <row r="4350" spans="1:7">
      <c r="A4350" s="584"/>
      <c r="B4350" s="585"/>
      <c r="C4350" s="586"/>
      <c r="D4350" s="587"/>
      <c r="E4350" s="591"/>
      <c r="G4350" s="593"/>
    </row>
    <row r="4351" spans="1:7">
      <c r="A4351" s="584"/>
      <c r="B4351" s="585"/>
      <c r="C4351" s="586"/>
      <c r="D4351" s="587"/>
      <c r="E4351" s="591"/>
      <c r="G4351" s="593"/>
    </row>
    <row r="4352" spans="1:7">
      <c r="A4352" s="584"/>
      <c r="B4352" s="585"/>
      <c r="C4352" s="586"/>
      <c r="D4352" s="587"/>
      <c r="E4352" s="591"/>
      <c r="G4352" s="593"/>
    </row>
    <row r="4353" spans="1:7">
      <c r="A4353" s="584"/>
      <c r="B4353" s="585"/>
      <c r="C4353" s="586"/>
      <c r="D4353" s="587"/>
      <c r="E4353" s="591"/>
      <c r="G4353" s="593"/>
    </row>
    <row r="4354" spans="1:7">
      <c r="A4354" s="584"/>
      <c r="B4354" s="585"/>
      <c r="C4354" s="586"/>
      <c r="D4354" s="587"/>
      <c r="E4354" s="591"/>
      <c r="G4354" s="593"/>
    </row>
    <row r="4355" spans="1:7">
      <c r="A4355" s="584"/>
      <c r="B4355" s="585"/>
      <c r="C4355" s="586"/>
      <c r="D4355" s="587"/>
      <c r="E4355" s="591"/>
      <c r="G4355" s="593"/>
    </row>
    <row r="4356" spans="1:7">
      <c r="A4356" s="584"/>
      <c r="B4356" s="585"/>
      <c r="C4356" s="586"/>
      <c r="D4356" s="587"/>
      <c r="E4356" s="591"/>
      <c r="G4356" s="593"/>
    </row>
    <row r="4357" spans="1:7">
      <c r="A4357" s="584"/>
      <c r="B4357" s="585"/>
      <c r="C4357" s="586"/>
      <c r="D4357" s="587"/>
      <c r="E4357" s="591"/>
      <c r="G4357" s="593"/>
    </row>
    <row r="4358" spans="1:7">
      <c r="A4358" s="584"/>
      <c r="B4358" s="585"/>
      <c r="C4358" s="586"/>
      <c r="D4358" s="587"/>
      <c r="E4358" s="591"/>
      <c r="G4358" s="593"/>
    </row>
    <row r="4359" spans="1:7">
      <c r="A4359" s="584"/>
      <c r="B4359" s="585"/>
      <c r="C4359" s="586"/>
      <c r="D4359" s="587"/>
      <c r="E4359" s="591"/>
      <c r="G4359" s="593"/>
    </row>
    <row r="4360" spans="1:7">
      <c r="A4360" s="584"/>
      <c r="B4360" s="585"/>
      <c r="C4360" s="586"/>
      <c r="D4360" s="587"/>
      <c r="E4360" s="591"/>
      <c r="G4360" s="593"/>
    </row>
    <row r="4361" spans="1:7">
      <c r="A4361" s="584"/>
      <c r="B4361" s="585"/>
      <c r="C4361" s="586"/>
      <c r="D4361" s="587"/>
      <c r="E4361" s="591"/>
      <c r="G4361" s="593"/>
    </row>
    <row r="4362" spans="1:7">
      <c r="A4362" s="584"/>
      <c r="B4362" s="585"/>
      <c r="C4362" s="586"/>
      <c r="D4362" s="587"/>
      <c r="E4362" s="591"/>
      <c r="G4362" s="593"/>
    </row>
    <row r="4363" spans="1:7">
      <c r="A4363" s="584"/>
      <c r="B4363" s="585"/>
      <c r="C4363" s="586"/>
      <c r="D4363" s="587"/>
      <c r="E4363" s="591"/>
      <c r="G4363" s="593"/>
    </row>
    <row r="4364" spans="1:7">
      <c r="A4364" s="584"/>
      <c r="B4364" s="585"/>
      <c r="C4364" s="586"/>
      <c r="D4364" s="587"/>
      <c r="E4364" s="591"/>
      <c r="G4364" s="593"/>
    </row>
    <row r="4365" spans="1:7">
      <c r="A4365" s="584"/>
      <c r="B4365" s="585"/>
      <c r="C4365" s="586"/>
      <c r="D4365" s="587"/>
      <c r="E4365" s="591"/>
      <c r="G4365" s="593"/>
    </row>
    <row r="4366" spans="1:7">
      <c r="A4366" s="584"/>
      <c r="B4366" s="585"/>
      <c r="C4366" s="586"/>
      <c r="D4366" s="587"/>
      <c r="E4366" s="591"/>
      <c r="G4366" s="593"/>
    </row>
    <row r="4367" spans="1:7">
      <c r="A4367" s="584"/>
      <c r="B4367" s="585"/>
      <c r="C4367" s="586"/>
      <c r="D4367" s="587"/>
      <c r="E4367" s="591"/>
      <c r="G4367" s="593"/>
    </row>
    <row r="4368" spans="1:7">
      <c r="A4368" s="584"/>
      <c r="B4368" s="585"/>
      <c r="C4368" s="586"/>
      <c r="D4368" s="587"/>
      <c r="E4368" s="591"/>
      <c r="G4368" s="593"/>
    </row>
    <row r="4369" spans="1:7">
      <c r="A4369" s="584"/>
      <c r="B4369" s="585"/>
      <c r="C4369" s="586"/>
      <c r="D4369" s="587"/>
      <c r="E4369" s="591"/>
      <c r="G4369" s="593"/>
    </row>
    <row r="4370" spans="1:7">
      <c r="A4370" s="584"/>
      <c r="B4370" s="585"/>
      <c r="C4370" s="586"/>
      <c r="D4370" s="587"/>
      <c r="E4370" s="591"/>
      <c r="G4370" s="593"/>
    </row>
    <row r="4371" spans="1:7">
      <c r="A4371" s="584"/>
      <c r="B4371" s="585"/>
      <c r="C4371" s="586"/>
      <c r="D4371" s="587"/>
      <c r="E4371" s="591"/>
      <c r="G4371" s="593"/>
    </row>
    <row r="4372" spans="1:7">
      <c r="A4372" s="584"/>
      <c r="B4372" s="585"/>
      <c r="C4372" s="586"/>
      <c r="D4372" s="587"/>
      <c r="E4372" s="591"/>
      <c r="G4372" s="593"/>
    </row>
    <row r="4373" spans="1:7">
      <c r="A4373" s="584"/>
      <c r="B4373" s="585"/>
      <c r="C4373" s="586"/>
      <c r="D4373" s="587"/>
      <c r="E4373" s="591"/>
      <c r="G4373" s="593"/>
    </row>
    <row r="4374" spans="1:7">
      <c r="A4374" s="584"/>
      <c r="B4374" s="585"/>
      <c r="C4374" s="586"/>
      <c r="D4374" s="587"/>
      <c r="E4374" s="591"/>
      <c r="G4374" s="593"/>
    </row>
    <row r="4375" spans="1:7">
      <c r="A4375" s="584"/>
      <c r="B4375" s="585"/>
      <c r="C4375" s="586"/>
      <c r="D4375" s="587"/>
      <c r="E4375" s="591"/>
      <c r="G4375" s="593"/>
    </row>
    <row r="4376" spans="1:7">
      <c r="A4376" s="584"/>
      <c r="B4376" s="585"/>
      <c r="C4376" s="586"/>
      <c r="D4376" s="587"/>
      <c r="E4376" s="591"/>
      <c r="G4376" s="593"/>
    </row>
    <row r="4377" spans="1:7">
      <c r="A4377" s="584"/>
      <c r="B4377" s="585"/>
      <c r="C4377" s="586"/>
      <c r="D4377" s="587"/>
      <c r="E4377" s="591"/>
      <c r="G4377" s="593"/>
    </row>
    <row r="4378" spans="1:7">
      <c r="A4378" s="584"/>
      <c r="B4378" s="585"/>
      <c r="C4378" s="586"/>
      <c r="D4378" s="587"/>
      <c r="E4378" s="591"/>
      <c r="G4378" s="593"/>
    </row>
    <row r="4379" spans="1:7">
      <c r="A4379" s="584"/>
      <c r="B4379" s="585"/>
      <c r="C4379" s="586"/>
      <c r="D4379" s="587"/>
      <c r="E4379" s="591"/>
      <c r="G4379" s="593"/>
    </row>
    <row r="4380" spans="1:7">
      <c r="A4380" s="584"/>
      <c r="B4380" s="585"/>
      <c r="C4380" s="586"/>
      <c r="D4380" s="587"/>
      <c r="E4380" s="591"/>
      <c r="G4380" s="593"/>
    </row>
    <row r="4381" spans="1:7">
      <c r="A4381" s="584"/>
      <c r="B4381" s="585"/>
      <c r="C4381" s="586"/>
      <c r="D4381" s="587"/>
      <c r="E4381" s="591"/>
      <c r="G4381" s="593"/>
    </row>
    <row r="4382" spans="1:7">
      <c r="A4382" s="584"/>
      <c r="B4382" s="585"/>
      <c r="C4382" s="586"/>
      <c r="D4382" s="587"/>
      <c r="E4382" s="591"/>
      <c r="G4382" s="593"/>
    </row>
    <row r="4383" spans="1:7">
      <c r="A4383" s="584"/>
      <c r="B4383" s="585"/>
      <c r="C4383" s="586"/>
      <c r="D4383" s="587"/>
      <c r="E4383" s="591"/>
      <c r="G4383" s="593"/>
    </row>
    <row r="4384" spans="1:7">
      <c r="A4384" s="584"/>
      <c r="B4384" s="585"/>
      <c r="C4384" s="586"/>
      <c r="D4384" s="587"/>
      <c r="E4384" s="591"/>
      <c r="G4384" s="593"/>
    </row>
    <row r="4385" spans="1:7">
      <c r="A4385" s="584"/>
      <c r="B4385" s="585"/>
      <c r="C4385" s="586"/>
      <c r="D4385" s="587"/>
      <c r="E4385" s="591"/>
      <c r="G4385" s="593"/>
    </row>
    <row r="4386" spans="1:7">
      <c r="A4386" s="584"/>
      <c r="B4386" s="585"/>
      <c r="C4386" s="586"/>
      <c r="D4386" s="587"/>
      <c r="E4386" s="591"/>
      <c r="G4386" s="593"/>
    </row>
    <row r="4387" spans="1:7">
      <c r="A4387" s="584"/>
      <c r="B4387" s="585"/>
      <c r="C4387" s="586"/>
      <c r="D4387" s="587"/>
      <c r="E4387" s="591"/>
      <c r="G4387" s="593"/>
    </row>
    <row r="4388" spans="1:7">
      <c r="A4388" s="584"/>
      <c r="B4388" s="585"/>
      <c r="C4388" s="586"/>
      <c r="D4388" s="587"/>
      <c r="E4388" s="591"/>
      <c r="G4388" s="593"/>
    </row>
    <row r="4389" spans="1:7">
      <c r="A4389" s="584"/>
      <c r="B4389" s="585"/>
      <c r="C4389" s="586"/>
      <c r="D4389" s="587"/>
      <c r="E4389" s="591"/>
      <c r="G4389" s="593"/>
    </row>
    <row r="4390" spans="1:7">
      <c r="A4390" s="584"/>
      <c r="B4390" s="585"/>
      <c r="C4390" s="586"/>
      <c r="D4390" s="587"/>
      <c r="E4390" s="591"/>
      <c r="G4390" s="593"/>
    </row>
    <row r="4391" spans="1:7">
      <c r="A4391" s="584"/>
      <c r="B4391" s="585"/>
      <c r="C4391" s="586"/>
      <c r="D4391" s="587"/>
      <c r="E4391" s="591"/>
      <c r="G4391" s="593"/>
    </row>
    <row r="4392" spans="1:7">
      <c r="A4392" s="584"/>
      <c r="B4392" s="585"/>
      <c r="C4392" s="586"/>
      <c r="D4392" s="587"/>
      <c r="E4392" s="591"/>
      <c r="G4392" s="593"/>
    </row>
    <row r="4393" spans="1:7">
      <c r="A4393" s="584"/>
      <c r="B4393" s="585"/>
      <c r="C4393" s="586"/>
      <c r="D4393" s="587"/>
      <c r="E4393" s="591"/>
      <c r="G4393" s="593"/>
    </row>
    <row r="4394" spans="1:7">
      <c r="A4394" s="584"/>
      <c r="B4394" s="585"/>
      <c r="C4394" s="586"/>
      <c r="D4394" s="587"/>
      <c r="E4394" s="591"/>
      <c r="G4394" s="593"/>
    </row>
    <row r="4395" spans="1:7">
      <c r="A4395" s="584"/>
      <c r="B4395" s="585"/>
      <c r="C4395" s="586"/>
      <c r="D4395" s="587"/>
      <c r="E4395" s="591"/>
      <c r="G4395" s="593"/>
    </row>
    <row r="4396" spans="1:7">
      <c r="A4396" s="584"/>
      <c r="B4396" s="585"/>
      <c r="C4396" s="586"/>
      <c r="D4396" s="587"/>
      <c r="E4396" s="591"/>
      <c r="G4396" s="593"/>
    </row>
    <row r="4397" spans="1:7">
      <c r="A4397" s="584"/>
      <c r="B4397" s="585"/>
      <c r="C4397" s="586"/>
      <c r="D4397" s="587"/>
      <c r="E4397" s="591"/>
      <c r="G4397" s="593"/>
    </row>
    <row r="4398" spans="1:7">
      <c r="A4398" s="584"/>
      <c r="B4398" s="585"/>
      <c r="C4398" s="586"/>
      <c r="D4398" s="587"/>
      <c r="E4398" s="591"/>
      <c r="G4398" s="593"/>
    </row>
    <row r="4399" spans="1:7">
      <c r="A4399" s="584"/>
      <c r="B4399" s="585"/>
      <c r="C4399" s="586"/>
      <c r="D4399" s="587"/>
      <c r="E4399" s="591"/>
      <c r="G4399" s="593"/>
    </row>
    <row r="4400" spans="1:7">
      <c r="A4400" s="584"/>
      <c r="B4400" s="585"/>
      <c r="C4400" s="586"/>
      <c r="D4400" s="587"/>
      <c r="E4400" s="591"/>
      <c r="G4400" s="593"/>
    </row>
    <row r="4401" spans="1:7">
      <c r="A4401" s="584"/>
      <c r="B4401" s="585"/>
      <c r="C4401" s="586"/>
      <c r="D4401" s="587"/>
      <c r="E4401" s="591"/>
      <c r="G4401" s="593"/>
    </row>
    <row r="4402" spans="1:7">
      <c r="A4402" s="584"/>
      <c r="B4402" s="585"/>
      <c r="C4402" s="586"/>
      <c r="D4402" s="587"/>
      <c r="E4402" s="591"/>
      <c r="G4402" s="593"/>
    </row>
    <row r="4403" spans="1:7">
      <c r="A4403" s="584"/>
      <c r="B4403" s="585"/>
      <c r="C4403" s="586"/>
      <c r="D4403" s="587"/>
      <c r="E4403" s="591"/>
      <c r="G4403" s="593"/>
    </row>
    <row r="4404" spans="1:7">
      <c r="A4404" s="584"/>
      <c r="B4404" s="585"/>
      <c r="C4404" s="586"/>
      <c r="D4404" s="587"/>
      <c r="E4404" s="591"/>
      <c r="G4404" s="593"/>
    </row>
    <row r="4405" spans="1:7">
      <c r="A4405" s="584"/>
      <c r="B4405" s="585"/>
      <c r="C4405" s="586"/>
      <c r="D4405" s="587"/>
      <c r="E4405" s="591"/>
      <c r="G4405" s="593"/>
    </row>
    <row r="4406" spans="1:7">
      <c r="A4406" s="584"/>
      <c r="B4406" s="585"/>
      <c r="C4406" s="586"/>
      <c r="D4406" s="587"/>
      <c r="E4406" s="591"/>
      <c r="G4406" s="593"/>
    </row>
    <row r="4407" spans="1:7">
      <c r="A4407" s="584"/>
      <c r="B4407" s="585"/>
      <c r="C4407" s="586"/>
      <c r="D4407" s="587"/>
      <c r="E4407" s="591"/>
      <c r="G4407" s="593"/>
    </row>
    <row r="4408" spans="1:7">
      <c r="A4408" s="584"/>
      <c r="B4408" s="585"/>
      <c r="C4408" s="586"/>
      <c r="D4408" s="587"/>
      <c r="E4408" s="591"/>
      <c r="G4408" s="593"/>
    </row>
    <row r="4409" spans="1:7">
      <c r="A4409" s="584"/>
      <c r="B4409" s="585"/>
      <c r="C4409" s="586"/>
      <c r="D4409" s="587"/>
      <c r="E4409" s="591"/>
      <c r="G4409" s="593"/>
    </row>
    <row r="4410" spans="1:7">
      <c r="A4410" s="584"/>
      <c r="B4410" s="585"/>
      <c r="C4410" s="586"/>
      <c r="D4410" s="587"/>
      <c r="E4410" s="591"/>
      <c r="G4410" s="593"/>
    </row>
    <row r="4411" spans="1:7">
      <c r="A4411" s="584"/>
      <c r="B4411" s="585"/>
      <c r="C4411" s="586"/>
      <c r="D4411" s="587"/>
      <c r="E4411" s="591"/>
      <c r="G4411" s="593"/>
    </row>
    <row r="4412" spans="1:7">
      <c r="A4412" s="584"/>
      <c r="B4412" s="585"/>
      <c r="C4412" s="586"/>
      <c r="D4412" s="587"/>
      <c r="E4412" s="591"/>
      <c r="G4412" s="593"/>
    </row>
    <row r="4413" spans="1:7">
      <c r="A4413" s="584"/>
      <c r="B4413" s="585"/>
      <c r="C4413" s="586"/>
      <c r="D4413" s="587"/>
      <c r="E4413" s="591"/>
      <c r="G4413" s="593"/>
    </row>
    <row r="4414" spans="1:7">
      <c r="A4414" s="584"/>
      <c r="B4414" s="585"/>
      <c r="C4414" s="586"/>
      <c r="D4414" s="587"/>
      <c r="E4414" s="591"/>
      <c r="G4414" s="593"/>
    </row>
    <row r="4415" spans="1:7">
      <c r="A4415" s="584"/>
      <c r="B4415" s="585"/>
      <c r="C4415" s="586"/>
      <c r="D4415" s="587"/>
      <c r="E4415" s="591"/>
      <c r="G4415" s="593"/>
    </row>
    <row r="4416" spans="1:7">
      <c r="A4416" s="584"/>
      <c r="B4416" s="585"/>
      <c r="C4416" s="586"/>
      <c r="D4416" s="587"/>
      <c r="E4416" s="591"/>
      <c r="G4416" s="593"/>
    </row>
    <row r="4417" spans="1:7">
      <c r="A4417" s="584"/>
      <c r="B4417" s="585"/>
      <c r="C4417" s="586"/>
      <c r="D4417" s="587"/>
      <c r="E4417" s="591"/>
      <c r="G4417" s="593"/>
    </row>
    <row r="4418" spans="1:7">
      <c r="A4418" s="584"/>
      <c r="B4418" s="585"/>
      <c r="C4418" s="586"/>
      <c r="D4418" s="587"/>
      <c r="E4418" s="591"/>
      <c r="G4418" s="593"/>
    </row>
    <row r="4419" spans="1:7">
      <c r="A4419" s="584"/>
      <c r="B4419" s="585"/>
      <c r="C4419" s="586"/>
      <c r="D4419" s="587"/>
      <c r="E4419" s="591"/>
      <c r="G4419" s="593"/>
    </row>
    <row r="4420" spans="1:7">
      <c r="A4420" s="584"/>
      <c r="B4420" s="585"/>
      <c r="C4420" s="586"/>
      <c r="D4420" s="587"/>
      <c r="E4420" s="591"/>
      <c r="G4420" s="593"/>
    </row>
    <row r="4421" spans="1:7">
      <c r="A4421" s="584"/>
      <c r="B4421" s="585"/>
      <c r="C4421" s="586"/>
      <c r="D4421" s="587"/>
      <c r="E4421" s="591"/>
      <c r="G4421" s="593"/>
    </row>
    <row r="4422" spans="1:7">
      <c r="A4422" s="584"/>
      <c r="B4422" s="585"/>
      <c r="C4422" s="586"/>
      <c r="D4422" s="587"/>
      <c r="E4422" s="591"/>
      <c r="G4422" s="593"/>
    </row>
    <row r="4423" spans="1:7">
      <c r="A4423" s="584"/>
      <c r="B4423" s="585"/>
      <c r="C4423" s="586"/>
      <c r="D4423" s="587"/>
      <c r="E4423" s="591"/>
      <c r="G4423" s="593"/>
    </row>
    <row r="4424" spans="1:7">
      <c r="A4424" s="584"/>
      <c r="B4424" s="585"/>
      <c r="C4424" s="586"/>
      <c r="D4424" s="587"/>
      <c r="E4424" s="591"/>
      <c r="G4424" s="593"/>
    </row>
    <row r="4425" spans="1:7">
      <c r="A4425" s="584"/>
      <c r="B4425" s="585"/>
      <c r="C4425" s="586"/>
      <c r="D4425" s="587"/>
      <c r="E4425" s="591"/>
      <c r="G4425" s="593"/>
    </row>
    <row r="4426" spans="1:7">
      <c r="A4426" s="584"/>
      <c r="B4426" s="585"/>
      <c r="C4426" s="586"/>
      <c r="D4426" s="587"/>
      <c r="E4426" s="591"/>
      <c r="G4426" s="593"/>
    </row>
    <row r="4427" spans="1:7">
      <c r="A4427" s="584"/>
      <c r="B4427" s="585"/>
      <c r="C4427" s="586"/>
      <c r="D4427" s="587"/>
      <c r="E4427" s="591"/>
      <c r="G4427" s="593"/>
    </row>
    <row r="4428" spans="1:7">
      <c r="A4428" s="584"/>
      <c r="B4428" s="585"/>
      <c r="C4428" s="586"/>
      <c r="D4428" s="587"/>
      <c r="E4428" s="591"/>
      <c r="G4428" s="593"/>
    </row>
    <row r="4429" spans="1:7">
      <c r="A4429" s="584"/>
      <c r="B4429" s="585"/>
      <c r="C4429" s="586"/>
      <c r="D4429" s="587"/>
      <c r="E4429" s="591"/>
      <c r="G4429" s="593"/>
    </row>
    <row r="4430" spans="1:7">
      <c r="A4430" s="584"/>
      <c r="B4430" s="585"/>
      <c r="C4430" s="586"/>
      <c r="D4430" s="587"/>
      <c r="E4430" s="591"/>
      <c r="G4430" s="593"/>
    </row>
    <row r="4431" spans="1:7">
      <c r="A4431" s="584"/>
      <c r="B4431" s="585"/>
      <c r="C4431" s="586"/>
      <c r="D4431" s="587"/>
      <c r="E4431" s="591"/>
      <c r="G4431" s="593"/>
    </row>
    <row r="4432" spans="1:7">
      <c r="A4432" s="584"/>
      <c r="B4432" s="585"/>
      <c r="C4432" s="586"/>
      <c r="D4432" s="587"/>
      <c r="E4432" s="591"/>
      <c r="G4432" s="593"/>
    </row>
    <row r="4433" spans="1:7">
      <c r="A4433" s="584"/>
      <c r="B4433" s="585"/>
      <c r="C4433" s="586"/>
      <c r="D4433" s="587"/>
      <c r="E4433" s="591"/>
      <c r="G4433" s="593"/>
    </row>
    <row r="4434" spans="1:7">
      <c r="A4434" s="584"/>
      <c r="B4434" s="585"/>
      <c r="C4434" s="586"/>
      <c r="D4434" s="587"/>
      <c r="E4434" s="591"/>
      <c r="G4434" s="593"/>
    </row>
    <row r="4435" spans="1:7">
      <c r="A4435" s="584"/>
      <c r="B4435" s="585"/>
      <c r="C4435" s="586"/>
      <c r="D4435" s="587"/>
      <c r="E4435" s="591"/>
      <c r="G4435" s="593"/>
    </row>
    <row r="4436" spans="1:7">
      <c r="A4436" s="584"/>
      <c r="B4436" s="585"/>
      <c r="C4436" s="586"/>
      <c r="D4436" s="587"/>
      <c r="E4436" s="591"/>
      <c r="G4436" s="593"/>
    </row>
    <row r="4437" spans="1:7">
      <c r="A4437" s="584"/>
      <c r="B4437" s="585"/>
      <c r="C4437" s="586"/>
      <c r="D4437" s="587"/>
      <c r="E4437" s="591"/>
      <c r="G4437" s="593"/>
    </row>
    <row r="4438" spans="1:7">
      <c r="A4438" s="584"/>
      <c r="B4438" s="585"/>
      <c r="C4438" s="586"/>
      <c r="D4438" s="587"/>
      <c r="E4438" s="591"/>
      <c r="G4438" s="593"/>
    </row>
    <row r="4439" spans="1:7">
      <c r="A4439" s="584"/>
      <c r="B4439" s="585"/>
      <c r="C4439" s="586"/>
      <c r="D4439" s="587"/>
      <c r="E4439" s="591"/>
      <c r="G4439" s="593"/>
    </row>
    <row r="4440" spans="1:7">
      <c r="A4440" s="584"/>
      <c r="B4440" s="585"/>
      <c r="C4440" s="586"/>
      <c r="D4440" s="587"/>
      <c r="E4440" s="591"/>
      <c r="G4440" s="593"/>
    </row>
    <row r="4441" spans="1:7">
      <c r="A4441" s="584"/>
      <c r="B4441" s="585"/>
      <c r="C4441" s="586"/>
      <c r="D4441" s="587"/>
      <c r="E4441" s="591"/>
      <c r="G4441" s="593"/>
    </row>
    <row r="4442" spans="1:7">
      <c r="A4442" s="584"/>
      <c r="B4442" s="585"/>
      <c r="C4442" s="586"/>
      <c r="D4442" s="587"/>
      <c r="E4442" s="591"/>
      <c r="G4442" s="593"/>
    </row>
    <row r="4443" spans="1:7">
      <c r="A4443" s="584"/>
      <c r="B4443" s="585"/>
      <c r="C4443" s="586"/>
      <c r="D4443" s="587"/>
      <c r="E4443" s="591"/>
      <c r="G4443" s="593"/>
    </row>
    <row r="4444" spans="1:7">
      <c r="A4444" s="584"/>
      <c r="B4444" s="585"/>
      <c r="C4444" s="586"/>
      <c r="D4444" s="587"/>
      <c r="E4444" s="591"/>
      <c r="G4444" s="593"/>
    </row>
    <row r="4445" spans="1:7">
      <c r="A4445" s="584"/>
      <c r="B4445" s="585"/>
      <c r="C4445" s="586"/>
      <c r="D4445" s="587"/>
      <c r="E4445" s="591"/>
      <c r="G4445" s="593"/>
    </row>
    <row r="4446" spans="1:7">
      <c r="A4446" s="584"/>
      <c r="B4446" s="585"/>
      <c r="C4446" s="586"/>
      <c r="D4446" s="587"/>
      <c r="E4446" s="591"/>
      <c r="G4446" s="593"/>
    </row>
    <row r="4447" spans="1:7">
      <c r="A4447" s="584"/>
      <c r="B4447" s="585"/>
      <c r="C4447" s="586"/>
      <c r="D4447" s="587"/>
      <c r="E4447" s="591"/>
      <c r="G4447" s="593"/>
    </row>
    <row r="4448" spans="1:7">
      <c r="A4448" s="584"/>
      <c r="B4448" s="585"/>
      <c r="C4448" s="586"/>
      <c r="D4448" s="587"/>
      <c r="E4448" s="591"/>
      <c r="G4448" s="593"/>
    </row>
    <row r="4449" spans="1:7">
      <c r="A4449" s="584"/>
      <c r="B4449" s="585"/>
      <c r="C4449" s="586"/>
      <c r="D4449" s="587"/>
      <c r="E4449" s="591"/>
      <c r="G4449" s="593"/>
    </row>
    <row r="4450" spans="1:7">
      <c r="A4450" s="584"/>
      <c r="B4450" s="585"/>
      <c r="C4450" s="586"/>
      <c r="D4450" s="587"/>
      <c r="E4450" s="591"/>
      <c r="G4450" s="593"/>
    </row>
    <row r="4451" spans="1:7">
      <c r="A4451" s="584"/>
      <c r="B4451" s="585"/>
      <c r="C4451" s="586"/>
      <c r="D4451" s="587"/>
      <c r="E4451" s="591"/>
      <c r="G4451" s="593"/>
    </row>
    <row r="4452" spans="1:7">
      <c r="A4452" s="584"/>
      <c r="B4452" s="585"/>
      <c r="C4452" s="586"/>
      <c r="D4452" s="587"/>
      <c r="E4452" s="591"/>
      <c r="G4452" s="593"/>
    </row>
    <row r="4453" spans="1:7">
      <c r="A4453" s="584"/>
      <c r="B4453" s="585"/>
      <c r="C4453" s="586"/>
      <c r="D4453" s="587"/>
      <c r="E4453" s="591"/>
      <c r="G4453" s="593"/>
    </row>
    <row r="4454" spans="1:7">
      <c r="A4454" s="584"/>
      <c r="B4454" s="585"/>
      <c r="C4454" s="586"/>
      <c r="D4454" s="587"/>
      <c r="E4454" s="591"/>
      <c r="G4454" s="593"/>
    </row>
    <row r="4455" spans="1:7">
      <c r="A4455" s="584"/>
      <c r="B4455" s="585"/>
      <c r="C4455" s="586"/>
      <c r="D4455" s="587"/>
      <c r="E4455" s="591"/>
      <c r="G4455" s="593"/>
    </row>
    <row r="4456" spans="1:7">
      <c r="A4456" s="584"/>
      <c r="B4456" s="585"/>
      <c r="C4456" s="586"/>
      <c r="D4456" s="587"/>
      <c r="E4456" s="591"/>
      <c r="G4456" s="593"/>
    </row>
    <row r="4457" spans="1:7">
      <c r="A4457" s="584"/>
      <c r="B4457" s="585"/>
      <c r="C4457" s="586"/>
      <c r="D4457" s="587"/>
      <c r="E4457" s="591"/>
      <c r="G4457" s="593"/>
    </row>
    <row r="4458" spans="1:7">
      <c r="A4458" s="584"/>
      <c r="B4458" s="585"/>
      <c r="C4458" s="586"/>
      <c r="D4458" s="587"/>
      <c r="E4458" s="591"/>
      <c r="G4458" s="593"/>
    </row>
    <row r="4459" spans="1:7">
      <c r="A4459" s="584"/>
      <c r="B4459" s="585"/>
      <c r="C4459" s="586"/>
      <c r="D4459" s="587"/>
      <c r="E4459" s="591"/>
      <c r="G4459" s="593"/>
    </row>
    <row r="4460" spans="1:7">
      <c r="A4460" s="584"/>
      <c r="B4460" s="585"/>
      <c r="C4460" s="586"/>
      <c r="D4460" s="587"/>
      <c r="E4460" s="591"/>
      <c r="G4460" s="593"/>
    </row>
    <row r="4461" spans="1:7">
      <c r="A4461" s="584"/>
      <c r="B4461" s="585"/>
      <c r="C4461" s="586"/>
      <c r="D4461" s="587"/>
      <c r="E4461" s="591"/>
      <c r="G4461" s="593"/>
    </row>
    <row r="4462" spans="1:7">
      <c r="A4462" s="584"/>
      <c r="B4462" s="585"/>
      <c r="C4462" s="586"/>
      <c r="D4462" s="587"/>
      <c r="E4462" s="591"/>
      <c r="G4462" s="593"/>
    </row>
    <row r="4463" spans="1:7">
      <c r="A4463" s="584"/>
      <c r="B4463" s="585"/>
      <c r="C4463" s="586"/>
      <c r="D4463" s="587"/>
      <c r="E4463" s="591"/>
      <c r="G4463" s="593"/>
    </row>
    <row r="4464" spans="1:7">
      <c r="A4464" s="584"/>
      <c r="B4464" s="585"/>
      <c r="C4464" s="586"/>
      <c r="D4464" s="587"/>
      <c r="E4464" s="591"/>
      <c r="G4464" s="593"/>
    </row>
    <row r="4465" spans="1:7">
      <c r="A4465" s="584"/>
      <c r="B4465" s="585"/>
      <c r="C4465" s="586"/>
      <c r="D4465" s="587"/>
      <c r="E4465" s="591"/>
      <c r="G4465" s="593"/>
    </row>
    <row r="4466" spans="1:7">
      <c r="A4466" s="584"/>
      <c r="B4466" s="585"/>
      <c r="C4466" s="586"/>
      <c r="D4466" s="587"/>
      <c r="E4466" s="591"/>
      <c r="G4466" s="593"/>
    </row>
    <row r="4467" spans="1:7">
      <c r="A4467" s="584"/>
      <c r="B4467" s="585"/>
      <c r="C4467" s="586"/>
      <c r="D4467" s="587"/>
      <c r="E4467" s="591"/>
      <c r="G4467" s="593"/>
    </row>
    <row r="4468" spans="1:7">
      <c r="A4468" s="584"/>
      <c r="B4468" s="585"/>
      <c r="C4468" s="586"/>
      <c r="D4468" s="587"/>
      <c r="E4468" s="591"/>
      <c r="G4468" s="593"/>
    </row>
    <row r="4469" spans="1:7">
      <c r="A4469" s="584"/>
      <c r="B4469" s="585"/>
      <c r="C4469" s="586"/>
      <c r="D4469" s="587"/>
      <c r="E4469" s="591"/>
      <c r="G4469" s="593"/>
    </row>
    <row r="4470" spans="1:7">
      <c r="A4470" s="584"/>
      <c r="B4470" s="585"/>
      <c r="C4470" s="586"/>
      <c r="D4470" s="587"/>
      <c r="E4470" s="591"/>
      <c r="G4470" s="593"/>
    </row>
    <row r="4471" spans="1:7">
      <c r="A4471" s="584"/>
      <c r="B4471" s="585"/>
      <c r="C4471" s="586"/>
      <c r="D4471" s="587"/>
      <c r="E4471" s="591"/>
      <c r="G4471" s="593"/>
    </row>
    <row r="4472" spans="1:7">
      <c r="A4472" s="584"/>
      <c r="B4472" s="585"/>
      <c r="C4472" s="586"/>
      <c r="D4472" s="587"/>
      <c r="E4472" s="591"/>
      <c r="G4472" s="593"/>
    </row>
    <row r="4473" spans="1:7">
      <c r="A4473" s="584"/>
      <c r="B4473" s="585"/>
      <c r="C4473" s="586"/>
      <c r="D4473" s="587"/>
      <c r="E4473" s="591"/>
      <c r="G4473" s="593"/>
    </row>
    <row r="4474" spans="1:7">
      <c r="A4474" s="584"/>
      <c r="B4474" s="585"/>
      <c r="C4474" s="586"/>
      <c r="D4474" s="587"/>
      <c r="E4474" s="591"/>
      <c r="G4474" s="593"/>
    </row>
    <row r="4475" spans="1:7">
      <c r="A4475" s="584"/>
      <c r="B4475" s="585"/>
      <c r="C4475" s="586"/>
      <c r="D4475" s="587"/>
      <c r="E4475" s="591"/>
      <c r="G4475" s="593"/>
    </row>
    <row r="4476" spans="1:7">
      <c r="A4476" s="584"/>
      <c r="B4476" s="585"/>
      <c r="C4476" s="586"/>
      <c r="D4476" s="587"/>
      <c r="E4476" s="591"/>
      <c r="G4476" s="593"/>
    </row>
    <row r="4477" spans="1:7">
      <c r="A4477" s="584"/>
      <c r="B4477" s="585"/>
      <c r="C4477" s="586"/>
      <c r="D4477" s="587"/>
      <c r="E4477" s="591"/>
      <c r="G4477" s="593"/>
    </row>
    <row r="4478" spans="1:7">
      <c r="A4478" s="584"/>
      <c r="B4478" s="585"/>
      <c r="C4478" s="586"/>
      <c r="D4478" s="587"/>
      <c r="E4478" s="591"/>
      <c r="G4478" s="593"/>
    </row>
    <row r="4479" spans="1:7">
      <c r="A4479" s="584"/>
      <c r="B4479" s="585"/>
      <c r="C4479" s="586"/>
      <c r="D4479" s="587"/>
      <c r="E4479" s="591"/>
      <c r="G4479" s="593"/>
    </row>
    <row r="4480" spans="1:7">
      <c r="A4480" s="584"/>
      <c r="B4480" s="585"/>
      <c r="C4480" s="586"/>
      <c r="D4480" s="587"/>
      <c r="E4480" s="591"/>
      <c r="G4480" s="593"/>
    </row>
    <row r="4481" spans="1:7">
      <c r="A4481" s="584"/>
      <c r="B4481" s="585"/>
      <c r="C4481" s="586"/>
      <c r="D4481" s="587"/>
      <c r="E4481" s="591"/>
      <c r="G4481" s="593"/>
    </row>
    <row r="4482" spans="1:7">
      <c r="A4482" s="584"/>
      <c r="B4482" s="585"/>
      <c r="C4482" s="586"/>
      <c r="D4482" s="587"/>
      <c r="E4482" s="591"/>
      <c r="G4482" s="593"/>
    </row>
    <row r="4483" spans="1:7">
      <c r="A4483" s="584"/>
      <c r="B4483" s="585"/>
      <c r="C4483" s="586"/>
      <c r="D4483" s="587"/>
      <c r="E4483" s="591"/>
      <c r="G4483" s="593"/>
    </row>
    <row r="4484" spans="1:7">
      <c r="A4484" s="584"/>
      <c r="B4484" s="585"/>
      <c r="C4484" s="586"/>
      <c r="D4484" s="587"/>
      <c r="E4484" s="591"/>
      <c r="G4484" s="593"/>
    </row>
    <row r="4485" spans="1:7">
      <c r="A4485" s="584"/>
      <c r="B4485" s="585"/>
      <c r="C4485" s="586"/>
      <c r="D4485" s="587"/>
      <c r="E4485" s="591"/>
      <c r="G4485" s="593"/>
    </row>
    <row r="4486" spans="1:7">
      <c r="A4486" s="584"/>
      <c r="B4486" s="585"/>
      <c r="C4486" s="586"/>
      <c r="D4486" s="587"/>
      <c r="E4486" s="591"/>
      <c r="G4486" s="593"/>
    </row>
    <row r="4487" spans="1:7">
      <c r="A4487" s="584"/>
      <c r="B4487" s="585"/>
      <c r="C4487" s="586"/>
      <c r="D4487" s="587"/>
      <c r="E4487" s="591"/>
      <c r="G4487" s="593"/>
    </row>
    <row r="4488" spans="1:7">
      <c r="A4488" s="584"/>
      <c r="B4488" s="585"/>
      <c r="C4488" s="586"/>
      <c r="D4488" s="587"/>
      <c r="E4488" s="591"/>
      <c r="G4488" s="593"/>
    </row>
    <row r="4489" spans="1:7">
      <c r="A4489" s="584"/>
      <c r="B4489" s="585"/>
      <c r="C4489" s="586"/>
      <c r="D4489" s="587"/>
      <c r="E4489" s="591"/>
      <c r="G4489" s="593"/>
    </row>
    <row r="4490" spans="1:7">
      <c r="A4490" s="584"/>
      <c r="B4490" s="585"/>
      <c r="C4490" s="586"/>
      <c r="D4490" s="587"/>
      <c r="E4490" s="591"/>
      <c r="G4490" s="593"/>
    </row>
    <row r="4491" spans="1:7">
      <c r="A4491" s="584"/>
      <c r="B4491" s="585"/>
      <c r="C4491" s="586"/>
      <c r="D4491" s="587"/>
      <c r="E4491" s="591"/>
      <c r="G4491" s="593"/>
    </row>
    <row r="4492" spans="1:7">
      <c r="A4492" s="584"/>
      <c r="B4492" s="585"/>
      <c r="C4492" s="586"/>
      <c r="D4492" s="587"/>
      <c r="E4492" s="591"/>
      <c r="G4492" s="593"/>
    </row>
    <row r="4493" spans="1:7">
      <c r="A4493" s="584"/>
      <c r="B4493" s="585"/>
      <c r="C4493" s="586"/>
      <c r="D4493" s="587"/>
      <c r="E4493" s="591"/>
      <c r="G4493" s="593"/>
    </row>
    <row r="4494" spans="1:7">
      <c r="A4494" s="584"/>
      <c r="B4494" s="585"/>
      <c r="C4494" s="586"/>
      <c r="D4494" s="587"/>
      <c r="E4494" s="591"/>
      <c r="G4494" s="593"/>
    </row>
    <row r="4495" spans="1:7">
      <c r="A4495" s="584"/>
      <c r="B4495" s="585"/>
      <c r="C4495" s="586"/>
      <c r="D4495" s="587"/>
      <c r="E4495" s="591"/>
      <c r="G4495" s="593"/>
    </row>
    <row r="4496" spans="1:7">
      <c r="A4496" s="584"/>
      <c r="B4496" s="585"/>
      <c r="C4496" s="586"/>
      <c r="D4496" s="587"/>
      <c r="E4496" s="591"/>
      <c r="G4496" s="593"/>
    </row>
    <row r="4497" spans="1:7">
      <c r="A4497" s="584"/>
      <c r="B4497" s="585"/>
      <c r="C4497" s="586"/>
      <c r="D4497" s="587"/>
      <c r="E4497" s="591"/>
      <c r="G4497" s="593"/>
    </row>
    <row r="4498" spans="1:7">
      <c r="A4498" s="584"/>
      <c r="B4498" s="585"/>
      <c r="C4498" s="586"/>
      <c r="D4498" s="587"/>
      <c r="E4498" s="591"/>
      <c r="G4498" s="593"/>
    </row>
    <row r="4499" spans="1:7">
      <c r="A4499" s="584"/>
      <c r="B4499" s="585"/>
      <c r="C4499" s="586"/>
      <c r="D4499" s="587"/>
      <c r="E4499" s="591"/>
      <c r="G4499" s="593"/>
    </row>
    <row r="4500" spans="1:7">
      <c r="A4500" s="584"/>
      <c r="B4500" s="585"/>
      <c r="C4500" s="586"/>
      <c r="D4500" s="587"/>
      <c r="E4500" s="591"/>
      <c r="G4500" s="593"/>
    </row>
    <row r="4501" spans="1:7">
      <c r="A4501" s="584"/>
      <c r="B4501" s="585"/>
      <c r="C4501" s="586"/>
      <c r="D4501" s="587"/>
      <c r="E4501" s="591"/>
      <c r="G4501" s="593"/>
    </row>
    <row r="4502" spans="1:7">
      <c r="A4502" s="584"/>
      <c r="B4502" s="585"/>
      <c r="C4502" s="586"/>
      <c r="D4502" s="587"/>
      <c r="E4502" s="591"/>
      <c r="G4502" s="593"/>
    </row>
    <row r="4503" spans="1:7">
      <c r="A4503" s="584"/>
      <c r="B4503" s="585"/>
      <c r="C4503" s="586"/>
      <c r="D4503" s="587"/>
      <c r="E4503" s="591"/>
      <c r="G4503" s="593"/>
    </row>
    <row r="4504" spans="1:7">
      <c r="A4504" s="584"/>
      <c r="B4504" s="585"/>
      <c r="C4504" s="586"/>
      <c r="D4504" s="587"/>
      <c r="E4504" s="591"/>
      <c r="G4504" s="593"/>
    </row>
    <row r="4505" spans="1:7">
      <c r="A4505" s="584"/>
      <c r="B4505" s="585"/>
      <c r="C4505" s="586"/>
      <c r="D4505" s="587"/>
      <c r="E4505" s="591"/>
      <c r="G4505" s="593"/>
    </row>
    <row r="4506" spans="1:7">
      <c r="A4506" s="584"/>
      <c r="B4506" s="585"/>
      <c r="C4506" s="586"/>
      <c r="D4506" s="587"/>
      <c r="E4506" s="591"/>
      <c r="G4506" s="593"/>
    </row>
    <row r="4507" spans="1:7">
      <c r="A4507" s="584"/>
      <c r="B4507" s="585"/>
      <c r="C4507" s="586"/>
      <c r="D4507" s="587"/>
      <c r="E4507" s="591"/>
      <c r="G4507" s="593"/>
    </row>
    <row r="4508" spans="1:7">
      <c r="A4508" s="584"/>
      <c r="B4508" s="585"/>
      <c r="C4508" s="586"/>
      <c r="D4508" s="587"/>
      <c r="E4508" s="591"/>
      <c r="G4508" s="593"/>
    </row>
    <row r="4509" spans="1:7">
      <c r="A4509" s="584"/>
      <c r="B4509" s="585"/>
      <c r="C4509" s="586"/>
      <c r="D4509" s="587"/>
      <c r="E4509" s="591"/>
      <c r="G4509" s="593"/>
    </row>
    <row r="4510" spans="1:7">
      <c r="A4510" s="584"/>
      <c r="B4510" s="585"/>
      <c r="C4510" s="586"/>
      <c r="D4510" s="587"/>
      <c r="E4510" s="591"/>
      <c r="G4510" s="593"/>
    </row>
    <row r="4511" spans="1:7">
      <c r="A4511" s="584"/>
      <c r="B4511" s="585"/>
      <c r="C4511" s="586"/>
      <c r="D4511" s="587"/>
      <c r="E4511" s="591"/>
      <c r="G4511" s="593"/>
    </row>
    <row r="4512" spans="1:7">
      <c r="A4512" s="584"/>
      <c r="B4512" s="585"/>
      <c r="C4512" s="586"/>
      <c r="D4512" s="587"/>
      <c r="E4512" s="591"/>
      <c r="G4512" s="593"/>
    </row>
    <row r="4513" spans="1:7">
      <c r="A4513" s="584"/>
      <c r="B4513" s="585"/>
      <c r="C4513" s="586"/>
      <c r="D4513" s="587"/>
      <c r="E4513" s="591"/>
      <c r="G4513" s="593"/>
    </row>
    <row r="4514" spans="1:7">
      <c r="A4514" s="584"/>
      <c r="B4514" s="585"/>
      <c r="C4514" s="586"/>
      <c r="D4514" s="587"/>
      <c r="E4514" s="591"/>
      <c r="G4514" s="593"/>
    </row>
    <row r="4515" spans="1:7">
      <c r="A4515" s="584"/>
      <c r="B4515" s="585"/>
      <c r="C4515" s="586"/>
      <c r="D4515" s="587"/>
      <c r="E4515" s="591"/>
      <c r="G4515" s="593"/>
    </row>
    <row r="4516" spans="1:7">
      <c r="A4516" s="584"/>
      <c r="B4516" s="585"/>
      <c r="C4516" s="586"/>
      <c r="D4516" s="587"/>
      <c r="E4516" s="591"/>
      <c r="G4516" s="593"/>
    </row>
    <row r="4517" spans="1:7">
      <c r="A4517" s="584"/>
      <c r="B4517" s="585"/>
      <c r="C4517" s="586"/>
      <c r="D4517" s="587"/>
      <c r="E4517" s="591"/>
      <c r="G4517" s="593"/>
    </row>
    <row r="4518" spans="1:7">
      <c r="A4518" s="584"/>
      <c r="B4518" s="585"/>
      <c r="C4518" s="586"/>
      <c r="D4518" s="587"/>
      <c r="E4518" s="591"/>
      <c r="G4518" s="593"/>
    </row>
    <row r="4519" spans="1:7">
      <c r="A4519" s="584"/>
      <c r="B4519" s="585"/>
      <c r="C4519" s="586"/>
      <c r="D4519" s="587"/>
      <c r="E4519" s="591"/>
      <c r="G4519" s="593"/>
    </row>
    <row r="4520" spans="1:7">
      <c r="A4520" s="584"/>
      <c r="B4520" s="585"/>
      <c r="C4520" s="586"/>
      <c r="D4520" s="587"/>
      <c r="E4520" s="591"/>
      <c r="G4520" s="593"/>
    </row>
    <row r="4521" spans="1:7">
      <c r="A4521" s="584"/>
      <c r="B4521" s="585"/>
      <c r="C4521" s="586"/>
      <c r="D4521" s="587"/>
      <c r="E4521" s="591"/>
      <c r="G4521" s="593"/>
    </row>
    <row r="4522" spans="1:7">
      <c r="A4522" s="584"/>
      <c r="B4522" s="585"/>
      <c r="C4522" s="586"/>
      <c r="D4522" s="587"/>
      <c r="E4522" s="591"/>
      <c r="G4522" s="593"/>
    </row>
    <row r="4523" spans="1:7">
      <c r="A4523" s="584"/>
      <c r="B4523" s="585"/>
      <c r="C4523" s="586"/>
      <c r="D4523" s="587"/>
      <c r="E4523" s="591"/>
      <c r="G4523" s="593"/>
    </row>
    <row r="4524" spans="1:7">
      <c r="A4524" s="584"/>
      <c r="B4524" s="585"/>
      <c r="C4524" s="586"/>
      <c r="D4524" s="587"/>
      <c r="E4524" s="591"/>
      <c r="G4524" s="593"/>
    </row>
    <row r="4525" spans="1:7">
      <c r="A4525" s="584"/>
      <c r="B4525" s="585"/>
      <c r="C4525" s="586"/>
      <c r="D4525" s="587"/>
      <c r="E4525" s="591"/>
      <c r="G4525" s="593"/>
    </row>
    <row r="4526" spans="1:7">
      <c r="A4526" s="584"/>
      <c r="B4526" s="585"/>
      <c r="C4526" s="586"/>
      <c r="D4526" s="587"/>
      <c r="E4526" s="591"/>
      <c r="G4526" s="593"/>
    </row>
    <row r="4527" spans="1:7">
      <c r="A4527" s="584"/>
      <c r="B4527" s="585"/>
      <c r="C4527" s="586"/>
      <c r="D4527" s="587"/>
      <c r="E4527" s="591"/>
      <c r="G4527" s="593"/>
    </row>
    <row r="4528" spans="1:7">
      <c r="A4528" s="584"/>
      <c r="B4528" s="585"/>
      <c r="C4528" s="586"/>
      <c r="D4528" s="587"/>
      <c r="E4528" s="591"/>
      <c r="G4528" s="593"/>
    </row>
    <row r="4529" spans="1:7">
      <c r="A4529" s="584"/>
      <c r="B4529" s="585"/>
      <c r="C4529" s="586"/>
      <c r="D4529" s="587"/>
      <c r="E4529" s="591"/>
      <c r="G4529" s="593"/>
    </row>
    <row r="4530" spans="1:7">
      <c r="A4530" s="584"/>
      <c r="B4530" s="585"/>
      <c r="C4530" s="586"/>
      <c r="D4530" s="587"/>
      <c r="E4530" s="591"/>
      <c r="G4530" s="593"/>
    </row>
    <row r="4531" spans="1:7">
      <c r="A4531" s="584"/>
      <c r="B4531" s="585"/>
      <c r="C4531" s="586"/>
      <c r="D4531" s="587"/>
      <c r="E4531" s="591"/>
      <c r="G4531" s="593"/>
    </row>
    <row r="4532" spans="1:7">
      <c r="A4532" s="584"/>
      <c r="B4532" s="585"/>
      <c r="C4532" s="586"/>
      <c r="D4532" s="587"/>
      <c r="E4532" s="591"/>
      <c r="G4532" s="593"/>
    </row>
    <row r="4533" spans="1:7">
      <c r="A4533" s="584"/>
      <c r="B4533" s="585"/>
      <c r="C4533" s="586"/>
      <c r="D4533" s="587"/>
      <c r="E4533" s="591"/>
      <c r="G4533" s="593"/>
    </row>
    <row r="4534" spans="1:7">
      <c r="A4534" s="584"/>
      <c r="B4534" s="585"/>
      <c r="C4534" s="586"/>
      <c r="D4534" s="587"/>
      <c r="E4534" s="591"/>
      <c r="G4534" s="593"/>
    </row>
    <row r="4535" spans="1:7">
      <c r="A4535" s="584"/>
      <c r="B4535" s="585"/>
      <c r="C4535" s="586"/>
      <c r="D4535" s="587"/>
      <c r="E4535" s="591"/>
      <c r="G4535" s="593"/>
    </row>
    <row r="4536" spans="1:7">
      <c r="A4536" s="584"/>
      <c r="B4536" s="585"/>
      <c r="C4536" s="586"/>
      <c r="D4536" s="587"/>
      <c r="E4536" s="591"/>
      <c r="G4536" s="593"/>
    </row>
    <row r="4537" spans="1:7">
      <c r="A4537" s="584"/>
      <c r="B4537" s="585"/>
      <c r="C4537" s="586"/>
      <c r="D4537" s="587"/>
      <c r="E4537" s="591"/>
      <c r="G4537" s="593"/>
    </row>
    <row r="4538" spans="1:7">
      <c r="A4538" s="584"/>
      <c r="B4538" s="585"/>
      <c r="C4538" s="586"/>
      <c r="D4538" s="587"/>
      <c r="E4538" s="591"/>
      <c r="G4538" s="593"/>
    </row>
    <row r="4539" spans="1:7">
      <c r="A4539" s="584"/>
      <c r="B4539" s="585"/>
      <c r="C4539" s="586"/>
      <c r="D4539" s="587"/>
      <c r="E4539" s="591"/>
      <c r="G4539" s="593"/>
    </row>
    <row r="4540" spans="1:7">
      <c r="A4540" s="584"/>
      <c r="B4540" s="585"/>
      <c r="C4540" s="586"/>
      <c r="D4540" s="587"/>
      <c r="E4540" s="591"/>
      <c r="G4540" s="593"/>
    </row>
    <row r="4541" spans="1:7">
      <c r="A4541" s="584"/>
      <c r="B4541" s="585"/>
      <c r="C4541" s="586"/>
      <c r="D4541" s="587"/>
      <c r="E4541" s="591"/>
      <c r="G4541" s="593"/>
    </row>
    <row r="4542" spans="1:7">
      <c r="A4542" s="584"/>
      <c r="B4542" s="585"/>
      <c r="C4542" s="586"/>
      <c r="D4542" s="587"/>
      <c r="E4542" s="591"/>
      <c r="G4542" s="593"/>
    </row>
    <row r="4543" spans="1:7">
      <c r="A4543" s="584"/>
      <c r="B4543" s="585"/>
      <c r="C4543" s="586"/>
      <c r="D4543" s="587"/>
      <c r="E4543" s="591"/>
      <c r="G4543" s="593"/>
    </row>
    <row r="4544" spans="1:7">
      <c r="A4544" s="584"/>
      <c r="B4544" s="585"/>
      <c r="C4544" s="586"/>
      <c r="D4544" s="587"/>
      <c r="E4544" s="591"/>
      <c r="G4544" s="593"/>
    </row>
    <row r="4545" spans="1:7">
      <c r="A4545" s="584"/>
      <c r="B4545" s="585"/>
      <c r="C4545" s="586"/>
      <c r="D4545" s="587"/>
      <c r="E4545" s="591"/>
      <c r="G4545" s="593"/>
    </row>
    <row r="4546" spans="1:7">
      <c r="A4546" s="584"/>
      <c r="B4546" s="585"/>
      <c r="C4546" s="586"/>
      <c r="D4546" s="587"/>
      <c r="E4546" s="591"/>
      <c r="G4546" s="593"/>
    </row>
    <row r="4547" spans="1:7">
      <c r="A4547" s="584"/>
      <c r="B4547" s="585"/>
      <c r="C4547" s="586"/>
      <c r="D4547" s="587"/>
      <c r="E4547" s="591"/>
      <c r="G4547" s="593"/>
    </row>
    <row r="4548" spans="1:7">
      <c r="A4548" s="584"/>
      <c r="B4548" s="585"/>
      <c r="C4548" s="586"/>
      <c r="D4548" s="587"/>
      <c r="E4548" s="591"/>
      <c r="G4548" s="593"/>
    </row>
    <row r="4549" spans="1:7">
      <c r="A4549" s="584"/>
      <c r="B4549" s="585"/>
      <c r="C4549" s="586"/>
      <c r="D4549" s="587"/>
      <c r="E4549" s="591"/>
      <c r="G4549" s="593"/>
    </row>
    <row r="4550" spans="1:7">
      <c r="A4550" s="584"/>
      <c r="B4550" s="585"/>
      <c r="C4550" s="586"/>
      <c r="D4550" s="587"/>
      <c r="E4550" s="591"/>
      <c r="G4550" s="593"/>
    </row>
    <row r="4551" spans="1:7">
      <c r="A4551" s="584"/>
      <c r="B4551" s="585"/>
      <c r="C4551" s="586"/>
      <c r="D4551" s="587"/>
      <c r="E4551" s="591"/>
      <c r="G4551" s="593"/>
    </row>
    <row r="4552" spans="1:7">
      <c r="A4552" s="584"/>
      <c r="B4552" s="585"/>
      <c r="C4552" s="586"/>
      <c r="D4552" s="587"/>
      <c r="E4552" s="591"/>
      <c r="G4552" s="593"/>
    </row>
    <row r="4553" spans="1:7">
      <c r="A4553" s="584"/>
      <c r="B4553" s="585"/>
      <c r="C4553" s="586"/>
      <c r="D4553" s="587"/>
      <c r="E4553" s="591"/>
      <c r="G4553" s="593"/>
    </row>
    <row r="4554" spans="1:7">
      <c r="A4554" s="584"/>
      <c r="B4554" s="585"/>
      <c r="C4554" s="586"/>
      <c r="D4554" s="587"/>
      <c r="E4554" s="591"/>
      <c r="G4554" s="593"/>
    </row>
    <row r="4555" spans="1:7">
      <c r="A4555" s="584"/>
      <c r="B4555" s="585"/>
      <c r="C4555" s="586"/>
      <c r="D4555" s="587"/>
      <c r="E4555" s="591"/>
      <c r="G4555" s="593"/>
    </row>
    <row r="4556" spans="1:7">
      <c r="A4556" s="584"/>
      <c r="B4556" s="585"/>
      <c r="C4556" s="586"/>
      <c r="D4556" s="587"/>
      <c r="E4556" s="591"/>
      <c r="G4556" s="593"/>
    </row>
    <row r="4557" spans="1:7">
      <c r="A4557" s="584"/>
      <c r="B4557" s="585"/>
      <c r="C4557" s="586"/>
      <c r="D4557" s="587"/>
      <c r="E4557" s="591"/>
      <c r="G4557" s="593"/>
    </row>
    <row r="4558" spans="1:7">
      <c r="A4558" s="584"/>
      <c r="B4558" s="585"/>
      <c r="C4558" s="586"/>
      <c r="D4558" s="587"/>
      <c r="E4558" s="591"/>
      <c r="G4558" s="593"/>
    </row>
    <row r="4559" spans="1:7">
      <c r="A4559" s="584"/>
      <c r="B4559" s="585"/>
      <c r="C4559" s="586"/>
      <c r="D4559" s="587"/>
      <c r="E4559" s="591"/>
      <c r="G4559" s="593"/>
    </row>
    <row r="4560" spans="1:7">
      <c r="A4560" s="584"/>
      <c r="B4560" s="585"/>
      <c r="C4560" s="586"/>
      <c r="D4560" s="587"/>
      <c r="E4560" s="591"/>
      <c r="G4560" s="593"/>
    </row>
    <row r="4561" spans="1:7">
      <c r="A4561" s="584"/>
      <c r="B4561" s="585"/>
      <c r="C4561" s="586"/>
      <c r="D4561" s="587"/>
      <c r="E4561" s="591"/>
      <c r="G4561" s="593"/>
    </row>
    <row r="4562" spans="1:7">
      <c r="A4562" s="584"/>
      <c r="B4562" s="585"/>
      <c r="C4562" s="586"/>
      <c r="D4562" s="587"/>
      <c r="E4562" s="591"/>
      <c r="G4562" s="593"/>
    </row>
    <row r="4563" spans="1:7">
      <c r="A4563" s="584"/>
      <c r="B4563" s="585"/>
      <c r="C4563" s="586"/>
      <c r="D4563" s="587"/>
      <c r="E4563" s="591"/>
      <c r="G4563" s="593"/>
    </row>
    <row r="4564" spans="1:7">
      <c r="A4564" s="584"/>
      <c r="B4564" s="585"/>
      <c r="C4564" s="586"/>
      <c r="D4564" s="587"/>
      <c r="E4564" s="591"/>
      <c r="G4564" s="593"/>
    </row>
    <row r="4565" spans="1:7">
      <c r="A4565" s="584"/>
      <c r="B4565" s="585"/>
      <c r="C4565" s="586"/>
      <c r="D4565" s="587"/>
      <c r="E4565" s="591"/>
      <c r="G4565" s="593"/>
    </row>
    <row r="4566" spans="1:7">
      <c r="A4566" s="584"/>
      <c r="B4566" s="585"/>
      <c r="C4566" s="586"/>
      <c r="D4566" s="587"/>
      <c r="E4566" s="591"/>
      <c r="G4566" s="593"/>
    </row>
    <row r="4567" spans="1:7">
      <c r="A4567" s="584"/>
      <c r="B4567" s="585"/>
      <c r="C4567" s="586"/>
      <c r="D4567" s="587"/>
      <c r="E4567" s="591"/>
      <c r="G4567" s="593"/>
    </row>
    <row r="4568" spans="1:7">
      <c r="A4568" s="584"/>
      <c r="B4568" s="585"/>
      <c r="C4568" s="586"/>
      <c r="D4568" s="587"/>
      <c r="E4568" s="591"/>
      <c r="G4568" s="593"/>
    </row>
    <row r="4569" spans="1:7">
      <c r="A4569" s="584"/>
      <c r="B4569" s="585"/>
      <c r="C4569" s="586"/>
      <c r="D4569" s="587"/>
      <c r="E4569" s="591"/>
      <c r="G4569" s="593"/>
    </row>
    <row r="4570" spans="1:7">
      <c r="A4570" s="584"/>
      <c r="B4570" s="585"/>
      <c r="C4570" s="586"/>
      <c r="D4570" s="587"/>
      <c r="E4570" s="591"/>
      <c r="G4570" s="593"/>
    </row>
    <row r="4571" spans="1:7">
      <c r="A4571" s="584"/>
      <c r="B4571" s="585"/>
      <c r="C4571" s="586"/>
      <c r="D4571" s="587"/>
      <c r="E4571" s="591"/>
      <c r="G4571" s="593"/>
    </row>
    <row r="4572" spans="1:7">
      <c r="A4572" s="584"/>
      <c r="B4572" s="585"/>
      <c r="C4572" s="586"/>
      <c r="D4572" s="587"/>
      <c r="E4572" s="591"/>
      <c r="G4572" s="593"/>
    </row>
    <row r="4573" spans="1:7">
      <c r="A4573" s="584"/>
      <c r="B4573" s="585"/>
      <c r="C4573" s="586"/>
      <c r="D4573" s="587"/>
      <c r="E4573" s="591"/>
      <c r="G4573" s="593"/>
    </row>
    <row r="4574" spans="1:7">
      <c r="A4574" s="584"/>
      <c r="B4574" s="585"/>
      <c r="C4574" s="586"/>
      <c r="D4574" s="587"/>
      <c r="E4574" s="591"/>
      <c r="G4574" s="593"/>
    </row>
    <row r="4575" spans="1:7">
      <c r="A4575" s="584"/>
      <c r="B4575" s="585"/>
      <c r="C4575" s="586"/>
      <c r="D4575" s="587"/>
      <c r="E4575" s="591"/>
      <c r="G4575" s="593"/>
    </row>
    <row r="4576" spans="1:7">
      <c r="A4576" s="584"/>
      <c r="B4576" s="585"/>
      <c r="C4576" s="586"/>
      <c r="D4576" s="587"/>
      <c r="E4576" s="591"/>
      <c r="G4576" s="593"/>
    </row>
    <row r="4577" spans="1:7">
      <c r="A4577" s="584"/>
      <c r="B4577" s="585"/>
      <c r="C4577" s="586"/>
      <c r="D4577" s="587"/>
      <c r="E4577" s="591"/>
      <c r="G4577" s="593"/>
    </row>
    <row r="4578" spans="1:7">
      <c r="A4578" s="584"/>
      <c r="B4578" s="585"/>
      <c r="C4578" s="586"/>
      <c r="D4578" s="587"/>
      <c r="E4578" s="591"/>
      <c r="G4578" s="593"/>
    </row>
    <row r="4579" spans="1:7">
      <c r="A4579" s="584"/>
      <c r="B4579" s="585"/>
      <c r="C4579" s="586"/>
      <c r="D4579" s="587"/>
      <c r="E4579" s="591"/>
      <c r="G4579" s="593"/>
    </row>
    <row r="4580" spans="1:7">
      <c r="A4580" s="584"/>
      <c r="B4580" s="585"/>
      <c r="C4580" s="586"/>
      <c r="D4580" s="587"/>
      <c r="E4580" s="591"/>
      <c r="G4580" s="593"/>
    </row>
    <row r="4581" spans="1:7">
      <c r="A4581" s="584"/>
      <c r="B4581" s="585"/>
      <c r="C4581" s="586"/>
      <c r="D4581" s="587"/>
      <c r="E4581" s="591"/>
      <c r="G4581" s="593"/>
    </row>
    <row r="4582" spans="1:7">
      <c r="A4582" s="584"/>
      <c r="B4582" s="585"/>
      <c r="C4582" s="586"/>
      <c r="D4582" s="587"/>
      <c r="E4582" s="591"/>
      <c r="G4582" s="593"/>
    </row>
    <row r="4583" spans="1:7">
      <c r="A4583" s="584"/>
      <c r="B4583" s="585"/>
      <c r="C4583" s="586"/>
      <c r="D4583" s="587"/>
      <c r="E4583" s="591"/>
      <c r="G4583" s="593"/>
    </row>
    <row r="4584" spans="1:7">
      <c r="A4584" s="584"/>
      <c r="B4584" s="585"/>
      <c r="C4584" s="586"/>
      <c r="D4584" s="587"/>
      <c r="E4584" s="591"/>
      <c r="G4584" s="593"/>
    </row>
    <row r="4585" spans="1:7">
      <c r="A4585" s="584"/>
      <c r="B4585" s="585"/>
      <c r="C4585" s="586"/>
      <c r="D4585" s="587"/>
      <c r="E4585" s="591"/>
      <c r="G4585" s="593"/>
    </row>
    <row r="4586" spans="1:7">
      <c r="A4586" s="584"/>
      <c r="B4586" s="585"/>
      <c r="C4586" s="586"/>
      <c r="D4586" s="587"/>
      <c r="E4586" s="591"/>
      <c r="G4586" s="593"/>
    </row>
    <row r="4587" spans="1:7">
      <c r="A4587" s="584"/>
      <c r="B4587" s="585"/>
      <c r="C4587" s="586"/>
      <c r="D4587" s="587"/>
      <c r="E4587" s="591"/>
      <c r="G4587" s="593"/>
    </row>
    <row r="4588" spans="1:7">
      <c r="A4588" s="584"/>
      <c r="B4588" s="585"/>
      <c r="C4588" s="586"/>
      <c r="D4588" s="587"/>
      <c r="E4588" s="591"/>
      <c r="G4588" s="593"/>
    </row>
    <row r="4589" spans="1:7">
      <c r="A4589" s="584"/>
      <c r="B4589" s="585"/>
      <c r="C4589" s="586"/>
      <c r="D4589" s="587"/>
      <c r="E4589" s="591"/>
      <c r="G4589" s="593"/>
    </row>
    <row r="4590" spans="1:7">
      <c r="A4590" s="584"/>
      <c r="B4590" s="585"/>
      <c r="C4590" s="586"/>
      <c r="D4590" s="587"/>
      <c r="E4590" s="591"/>
      <c r="G4590" s="593"/>
    </row>
    <row r="4591" spans="1:7">
      <c r="A4591" s="584"/>
      <c r="B4591" s="585"/>
      <c r="C4591" s="586"/>
      <c r="D4591" s="587"/>
      <c r="E4591" s="591"/>
      <c r="G4591" s="593"/>
    </row>
    <row r="4592" spans="1:7">
      <c r="A4592" s="584"/>
      <c r="B4592" s="585"/>
      <c r="C4592" s="586"/>
      <c r="D4592" s="587"/>
      <c r="E4592" s="591"/>
      <c r="G4592" s="593"/>
    </row>
    <row r="4593" spans="1:7">
      <c r="A4593" s="584"/>
      <c r="B4593" s="585"/>
      <c r="C4593" s="586"/>
      <c r="D4593" s="587"/>
      <c r="E4593" s="591"/>
      <c r="G4593" s="593"/>
    </row>
    <row r="4594" spans="1:7">
      <c r="A4594" s="584"/>
      <c r="B4594" s="585"/>
      <c r="C4594" s="586"/>
      <c r="D4594" s="587"/>
      <c r="E4594" s="591"/>
      <c r="G4594" s="593"/>
    </row>
    <row r="4595" spans="1:7">
      <c r="A4595" s="584"/>
      <c r="B4595" s="585"/>
      <c r="C4595" s="586"/>
      <c r="D4595" s="587"/>
      <c r="E4595" s="591"/>
      <c r="G4595" s="593"/>
    </row>
    <row r="4596" spans="1:7">
      <c r="A4596" s="584"/>
      <c r="B4596" s="585"/>
      <c r="C4596" s="586"/>
      <c r="D4596" s="587"/>
      <c r="E4596" s="591"/>
      <c r="G4596" s="593"/>
    </row>
    <row r="4597" spans="1:7">
      <c r="A4597" s="584"/>
      <c r="B4597" s="585"/>
      <c r="C4597" s="586"/>
      <c r="D4597" s="587"/>
      <c r="E4597" s="591"/>
      <c r="G4597" s="593"/>
    </row>
    <row r="4598" spans="1:7">
      <c r="A4598" s="584"/>
      <c r="B4598" s="585"/>
      <c r="C4598" s="586"/>
      <c r="D4598" s="587"/>
      <c r="E4598" s="591"/>
      <c r="G4598" s="593"/>
    </row>
    <row r="4599" spans="1:7">
      <c r="A4599" s="584"/>
      <c r="B4599" s="585"/>
      <c r="C4599" s="586"/>
      <c r="D4599" s="587"/>
      <c r="E4599" s="591"/>
      <c r="G4599" s="593"/>
    </row>
    <row r="4600" spans="1:7">
      <c r="A4600" s="584"/>
      <c r="B4600" s="585"/>
      <c r="C4600" s="586"/>
      <c r="D4600" s="587"/>
      <c r="E4600" s="591"/>
      <c r="G4600" s="593"/>
    </row>
    <row r="4601" spans="1:7">
      <c r="A4601" s="584"/>
      <c r="B4601" s="585"/>
      <c r="C4601" s="586"/>
      <c r="D4601" s="587"/>
      <c r="E4601" s="591"/>
      <c r="G4601" s="593"/>
    </row>
    <row r="4602" spans="1:7">
      <c r="A4602" s="584"/>
      <c r="B4602" s="585"/>
      <c r="C4602" s="586"/>
      <c r="D4602" s="587"/>
      <c r="E4602" s="591"/>
      <c r="G4602" s="593"/>
    </row>
    <row r="4603" spans="1:7">
      <c r="A4603" s="584"/>
      <c r="B4603" s="585"/>
      <c r="C4603" s="586"/>
      <c r="D4603" s="587"/>
      <c r="E4603" s="591"/>
      <c r="G4603" s="593"/>
    </row>
    <row r="4604" spans="1:7">
      <c r="A4604" s="584"/>
      <c r="B4604" s="585"/>
      <c r="C4604" s="586"/>
      <c r="D4604" s="587"/>
      <c r="E4604" s="591"/>
      <c r="G4604" s="593"/>
    </row>
    <row r="4605" spans="1:7">
      <c r="A4605" s="584"/>
      <c r="B4605" s="585"/>
      <c r="C4605" s="586"/>
      <c r="D4605" s="587"/>
      <c r="E4605" s="591"/>
      <c r="G4605" s="593"/>
    </row>
    <row r="4606" spans="1:7">
      <c r="A4606" s="584"/>
      <c r="B4606" s="585"/>
      <c r="C4606" s="586"/>
      <c r="D4606" s="587"/>
      <c r="E4606" s="591"/>
      <c r="G4606" s="593"/>
    </row>
    <row r="4607" spans="1:7">
      <c r="A4607" s="584"/>
      <c r="B4607" s="585"/>
      <c r="C4607" s="586"/>
      <c r="D4607" s="587"/>
      <c r="E4607" s="591"/>
      <c r="G4607" s="593"/>
    </row>
    <row r="4608" spans="1:7">
      <c r="A4608" s="584"/>
      <c r="B4608" s="585"/>
      <c r="C4608" s="586"/>
      <c r="D4608" s="587"/>
      <c r="E4608" s="591"/>
      <c r="G4608" s="593"/>
    </row>
    <row r="4609" spans="1:7">
      <c r="A4609" s="584"/>
      <c r="B4609" s="585"/>
      <c r="C4609" s="586"/>
      <c r="D4609" s="587"/>
      <c r="E4609" s="591"/>
      <c r="G4609" s="593"/>
    </row>
    <row r="4610" spans="1:7">
      <c r="A4610" s="584"/>
      <c r="B4610" s="585"/>
      <c r="C4610" s="586"/>
      <c r="D4610" s="587"/>
      <c r="E4610" s="591"/>
      <c r="G4610" s="593"/>
    </row>
    <row r="4611" spans="1:7">
      <c r="A4611" s="584"/>
      <c r="B4611" s="585"/>
      <c r="C4611" s="586"/>
      <c r="D4611" s="587"/>
      <c r="E4611" s="591"/>
      <c r="G4611" s="593"/>
    </row>
    <row r="4612" spans="1:7">
      <c r="A4612" s="584"/>
      <c r="B4612" s="585"/>
      <c r="C4612" s="586"/>
      <c r="D4612" s="587"/>
      <c r="E4612" s="591"/>
      <c r="G4612" s="593"/>
    </row>
    <row r="4613" spans="1:7">
      <c r="A4613" s="584"/>
      <c r="B4613" s="585"/>
      <c r="C4613" s="586"/>
      <c r="D4613" s="587"/>
      <c r="E4613" s="591"/>
      <c r="G4613" s="593"/>
    </row>
    <row r="4614" spans="1:7">
      <c r="A4614" s="584"/>
      <c r="B4614" s="585"/>
      <c r="C4614" s="586"/>
      <c r="D4614" s="587"/>
      <c r="E4614" s="591"/>
      <c r="G4614" s="593"/>
    </row>
    <row r="4615" spans="1:7">
      <c r="A4615" s="584"/>
      <c r="B4615" s="585"/>
      <c r="C4615" s="586"/>
      <c r="D4615" s="587"/>
      <c r="E4615" s="591"/>
      <c r="G4615" s="593"/>
    </row>
    <row r="4616" spans="1:7">
      <c r="A4616" s="584"/>
      <c r="B4616" s="585"/>
      <c r="C4616" s="586"/>
      <c r="D4616" s="587"/>
      <c r="E4616" s="591"/>
      <c r="G4616" s="593"/>
    </row>
    <row r="4617" spans="1:7">
      <c r="A4617" s="584"/>
      <c r="B4617" s="585"/>
      <c r="C4617" s="586"/>
      <c r="D4617" s="587"/>
      <c r="E4617" s="591"/>
      <c r="G4617" s="593"/>
    </row>
    <row r="4618" spans="1:7">
      <c r="A4618" s="584"/>
      <c r="B4618" s="585"/>
      <c r="C4618" s="586"/>
      <c r="D4618" s="587"/>
      <c r="E4618" s="591"/>
      <c r="G4618" s="593"/>
    </row>
    <row r="4619" spans="1:7">
      <c r="A4619" s="584"/>
      <c r="B4619" s="585"/>
      <c r="C4619" s="586"/>
      <c r="D4619" s="587"/>
      <c r="E4619" s="591"/>
      <c r="G4619" s="593"/>
    </row>
    <row r="4620" spans="1:7">
      <c r="A4620" s="584"/>
      <c r="B4620" s="585"/>
      <c r="C4620" s="586"/>
      <c r="D4620" s="587"/>
      <c r="E4620" s="591"/>
      <c r="G4620" s="593"/>
    </row>
    <row r="4621" spans="1:7">
      <c r="A4621" s="584"/>
      <c r="B4621" s="585"/>
      <c r="C4621" s="586"/>
      <c r="D4621" s="587"/>
      <c r="E4621" s="591"/>
      <c r="G4621" s="593"/>
    </row>
    <row r="4622" spans="1:7">
      <c r="A4622" s="584"/>
      <c r="B4622" s="585"/>
      <c r="C4622" s="586"/>
      <c r="D4622" s="587"/>
      <c r="E4622" s="591"/>
      <c r="G4622" s="593"/>
    </row>
    <row r="4623" spans="1:7">
      <c r="A4623" s="584"/>
      <c r="B4623" s="585"/>
      <c r="C4623" s="586"/>
      <c r="D4623" s="587"/>
      <c r="E4623" s="591"/>
      <c r="G4623" s="593"/>
    </row>
    <row r="4624" spans="1:7">
      <c r="A4624" s="584"/>
      <c r="B4624" s="585"/>
      <c r="C4624" s="586"/>
      <c r="D4624" s="587"/>
      <c r="E4624" s="591"/>
      <c r="G4624" s="593"/>
    </row>
    <row r="4625" spans="1:7">
      <c r="A4625" s="584"/>
      <c r="B4625" s="585"/>
      <c r="C4625" s="586"/>
      <c r="D4625" s="587"/>
      <c r="E4625" s="591"/>
      <c r="G4625" s="593"/>
    </row>
    <row r="4626" spans="1:7">
      <c r="A4626" s="584"/>
      <c r="B4626" s="585"/>
      <c r="C4626" s="586"/>
      <c r="D4626" s="587"/>
      <c r="E4626" s="591"/>
      <c r="G4626" s="593"/>
    </row>
    <row r="4627" spans="1:7">
      <c r="A4627" s="584"/>
      <c r="B4627" s="585"/>
      <c r="C4627" s="586"/>
      <c r="D4627" s="587"/>
      <c r="E4627" s="591"/>
      <c r="G4627" s="593"/>
    </row>
    <row r="4628" spans="1:7">
      <c r="A4628" s="584"/>
      <c r="B4628" s="585"/>
      <c r="C4628" s="586"/>
      <c r="D4628" s="587"/>
      <c r="E4628" s="591"/>
      <c r="G4628" s="593"/>
    </row>
    <row r="4629" spans="1:7">
      <c r="A4629" s="584"/>
      <c r="B4629" s="585"/>
      <c r="C4629" s="586"/>
      <c r="D4629" s="587"/>
      <c r="E4629" s="591"/>
      <c r="G4629" s="593"/>
    </row>
    <row r="4630" spans="1:7">
      <c r="A4630" s="584"/>
      <c r="B4630" s="585"/>
      <c r="C4630" s="586"/>
      <c r="D4630" s="587"/>
      <c r="E4630" s="591"/>
      <c r="G4630" s="593"/>
    </row>
    <row r="4631" spans="1:7">
      <c r="A4631" s="584"/>
      <c r="B4631" s="585"/>
      <c r="C4631" s="586"/>
      <c r="D4631" s="587"/>
      <c r="E4631" s="591"/>
      <c r="G4631" s="593"/>
    </row>
    <row r="4632" spans="1:7">
      <c r="A4632" s="584"/>
      <c r="B4632" s="585"/>
      <c r="C4632" s="586"/>
      <c r="D4632" s="587"/>
      <c r="E4632" s="591"/>
      <c r="G4632" s="593"/>
    </row>
    <row r="4633" spans="1:7">
      <c r="A4633" s="584"/>
      <c r="B4633" s="585"/>
      <c r="C4633" s="586"/>
      <c r="D4633" s="587"/>
      <c r="E4633" s="591"/>
      <c r="G4633" s="593"/>
    </row>
    <row r="4634" spans="1:7">
      <c r="A4634" s="584"/>
      <c r="B4634" s="585"/>
      <c r="C4634" s="586"/>
      <c r="D4634" s="587"/>
      <c r="E4634" s="591"/>
      <c r="G4634" s="593"/>
    </row>
    <row r="4635" spans="1:7">
      <c r="A4635" s="584"/>
      <c r="B4635" s="585"/>
      <c r="C4635" s="586"/>
      <c r="D4635" s="587"/>
      <c r="E4635" s="591"/>
      <c r="G4635" s="593"/>
    </row>
    <row r="4636" spans="1:7">
      <c r="A4636" s="584"/>
      <c r="B4636" s="585"/>
      <c r="C4636" s="586"/>
      <c r="D4636" s="587"/>
      <c r="E4636" s="591"/>
      <c r="G4636" s="593"/>
    </row>
    <row r="4637" spans="1:7">
      <c r="A4637" s="584"/>
      <c r="B4637" s="585"/>
      <c r="C4637" s="586"/>
      <c r="D4637" s="587"/>
      <c r="E4637" s="591"/>
      <c r="G4637" s="593"/>
    </row>
    <row r="4638" spans="1:7">
      <c r="A4638" s="584"/>
      <c r="B4638" s="585"/>
      <c r="C4638" s="586"/>
      <c r="D4638" s="587"/>
      <c r="E4638" s="591"/>
      <c r="G4638" s="593"/>
    </row>
    <row r="4639" spans="1:7">
      <c r="A4639" s="584"/>
      <c r="B4639" s="585"/>
      <c r="C4639" s="586"/>
      <c r="D4639" s="587"/>
      <c r="E4639" s="591"/>
      <c r="G4639" s="593"/>
    </row>
    <row r="4640" spans="1:7">
      <c r="A4640" s="584"/>
      <c r="B4640" s="585"/>
      <c r="C4640" s="586"/>
      <c r="D4640" s="587"/>
      <c r="E4640" s="591"/>
      <c r="G4640" s="593"/>
    </row>
    <row r="4641" spans="1:7">
      <c r="A4641" s="584"/>
      <c r="B4641" s="585"/>
      <c r="C4641" s="586"/>
      <c r="D4641" s="587"/>
      <c r="E4641" s="591"/>
      <c r="G4641" s="593"/>
    </row>
    <row r="4642" spans="1:7">
      <c r="A4642" s="584"/>
      <c r="B4642" s="585"/>
      <c r="C4642" s="586"/>
      <c r="D4642" s="587"/>
      <c r="E4642" s="591"/>
      <c r="G4642" s="593"/>
    </row>
    <row r="4643" spans="1:7">
      <c r="A4643" s="584"/>
      <c r="B4643" s="585"/>
      <c r="C4643" s="586"/>
      <c r="D4643" s="587"/>
      <c r="E4643" s="591"/>
      <c r="G4643" s="593"/>
    </row>
    <row r="4644" spans="1:7">
      <c r="A4644" s="584"/>
      <c r="B4644" s="585"/>
      <c r="C4644" s="586"/>
      <c r="D4644" s="587"/>
      <c r="E4644" s="591"/>
      <c r="G4644" s="593"/>
    </row>
    <row r="4645" spans="1:7">
      <c r="A4645" s="584"/>
      <c r="B4645" s="585"/>
      <c r="C4645" s="586"/>
      <c r="D4645" s="587"/>
      <c r="E4645" s="591"/>
      <c r="G4645" s="593"/>
    </row>
    <row r="4646" spans="1:7">
      <c r="A4646" s="584"/>
      <c r="B4646" s="585"/>
      <c r="C4646" s="586"/>
      <c r="D4646" s="587"/>
      <c r="E4646" s="591"/>
      <c r="G4646" s="593"/>
    </row>
    <row r="4647" spans="1:7">
      <c r="A4647" s="584"/>
      <c r="B4647" s="585"/>
      <c r="C4647" s="586"/>
      <c r="D4647" s="587"/>
      <c r="E4647" s="591"/>
      <c r="G4647" s="593"/>
    </row>
    <row r="4648" spans="1:7">
      <c r="A4648" s="584"/>
      <c r="B4648" s="585"/>
      <c r="C4648" s="586"/>
      <c r="D4648" s="587"/>
      <c r="E4648" s="591"/>
      <c r="G4648" s="593"/>
    </row>
    <row r="4649" spans="1:7">
      <c r="A4649" s="584"/>
      <c r="B4649" s="585"/>
      <c r="C4649" s="586"/>
      <c r="D4649" s="587"/>
      <c r="E4649" s="591"/>
      <c r="G4649" s="593"/>
    </row>
    <row r="4650" spans="1:7">
      <c r="A4650" s="584"/>
      <c r="B4650" s="585"/>
      <c r="C4650" s="586"/>
      <c r="D4650" s="587"/>
      <c r="E4650" s="591"/>
      <c r="G4650" s="593"/>
    </row>
    <row r="4651" spans="1:7">
      <c r="A4651" s="584"/>
      <c r="B4651" s="585"/>
      <c r="C4651" s="586"/>
      <c r="D4651" s="587"/>
      <c r="E4651" s="591"/>
      <c r="G4651" s="593"/>
    </row>
    <row r="4652" spans="1:7">
      <c r="A4652" s="584"/>
      <c r="B4652" s="585"/>
      <c r="C4652" s="586"/>
      <c r="D4652" s="587"/>
      <c r="E4652" s="591"/>
      <c r="G4652" s="593"/>
    </row>
    <row r="4653" spans="1:7">
      <c r="A4653" s="584"/>
      <c r="B4653" s="585"/>
      <c r="C4653" s="586"/>
      <c r="D4653" s="587"/>
      <c r="E4653" s="591"/>
      <c r="G4653" s="593"/>
    </row>
    <row r="4654" spans="1:7">
      <c r="A4654" s="584"/>
      <c r="B4654" s="585"/>
      <c r="C4654" s="586"/>
      <c r="D4654" s="587"/>
      <c r="E4654" s="591"/>
      <c r="G4654" s="593"/>
    </row>
    <row r="4655" spans="1:7">
      <c r="A4655" s="584"/>
      <c r="B4655" s="585"/>
      <c r="C4655" s="586"/>
      <c r="D4655" s="587"/>
      <c r="E4655" s="591"/>
      <c r="G4655" s="593"/>
    </row>
    <row r="4656" spans="1:7">
      <c r="A4656" s="584"/>
      <c r="B4656" s="585"/>
      <c r="C4656" s="586"/>
      <c r="D4656" s="587"/>
      <c r="E4656" s="591"/>
      <c r="G4656" s="593"/>
    </row>
    <row r="4657" spans="1:7">
      <c r="A4657" s="584"/>
      <c r="B4657" s="585"/>
      <c r="C4657" s="586"/>
      <c r="D4657" s="587"/>
      <c r="E4657" s="591"/>
      <c r="G4657" s="593"/>
    </row>
    <row r="4658" spans="1:7">
      <c r="A4658" s="584"/>
      <c r="B4658" s="585"/>
      <c r="C4658" s="586"/>
      <c r="D4658" s="587"/>
      <c r="E4658" s="591"/>
      <c r="G4658" s="593"/>
    </row>
    <row r="4659" spans="1:7">
      <c r="A4659" s="584"/>
      <c r="B4659" s="585"/>
      <c r="C4659" s="586"/>
      <c r="D4659" s="587"/>
      <c r="E4659" s="591"/>
      <c r="G4659" s="593"/>
    </row>
    <row r="4660" spans="1:7">
      <c r="A4660" s="584"/>
      <c r="B4660" s="585"/>
      <c r="C4660" s="586"/>
      <c r="D4660" s="587"/>
      <c r="E4660" s="591"/>
      <c r="G4660" s="593"/>
    </row>
    <row r="4661" spans="1:7">
      <c r="A4661" s="584"/>
      <c r="B4661" s="585"/>
      <c r="C4661" s="586"/>
      <c r="D4661" s="587"/>
      <c r="E4661" s="591"/>
      <c r="G4661" s="593"/>
    </row>
    <row r="4662" spans="1:7">
      <c r="A4662" s="584"/>
      <c r="B4662" s="585"/>
      <c r="C4662" s="586"/>
      <c r="D4662" s="587"/>
      <c r="E4662" s="591"/>
      <c r="G4662" s="593"/>
    </row>
    <row r="4663" spans="1:7">
      <c r="A4663" s="584"/>
      <c r="B4663" s="585"/>
      <c r="C4663" s="586"/>
      <c r="D4663" s="587"/>
      <c r="E4663" s="591"/>
      <c r="G4663" s="593"/>
    </row>
    <row r="4664" spans="1:7">
      <c r="A4664" s="584"/>
      <c r="B4664" s="585"/>
      <c r="C4664" s="586"/>
      <c r="D4664" s="587"/>
      <c r="E4664" s="591"/>
      <c r="G4664" s="593"/>
    </row>
    <row r="4665" spans="1:7">
      <c r="A4665" s="584"/>
      <c r="B4665" s="585"/>
      <c r="C4665" s="586"/>
      <c r="D4665" s="587"/>
      <c r="E4665" s="591"/>
      <c r="G4665" s="593"/>
    </row>
    <row r="4666" spans="1:7">
      <c r="A4666" s="584"/>
      <c r="B4666" s="585"/>
      <c r="C4666" s="586"/>
      <c r="D4666" s="587"/>
      <c r="E4666" s="591"/>
      <c r="G4666" s="593"/>
    </row>
    <row r="4667" spans="1:7">
      <c r="A4667" s="584"/>
      <c r="B4667" s="585"/>
      <c r="C4667" s="586"/>
      <c r="D4667" s="587"/>
      <c r="E4667" s="591"/>
      <c r="G4667" s="593"/>
    </row>
    <row r="4668" spans="1:7">
      <c r="A4668" s="584"/>
      <c r="B4668" s="585"/>
      <c r="C4668" s="586"/>
      <c r="D4668" s="587"/>
      <c r="E4668" s="591"/>
      <c r="G4668" s="593"/>
    </row>
    <row r="4669" spans="1:7">
      <c r="A4669" s="584"/>
      <c r="B4669" s="585"/>
      <c r="C4669" s="586"/>
      <c r="D4669" s="587"/>
      <c r="E4669" s="591"/>
      <c r="G4669" s="593"/>
    </row>
    <row r="4670" spans="1:7">
      <c r="A4670" s="584"/>
      <c r="B4670" s="585"/>
      <c r="C4670" s="586"/>
      <c r="D4670" s="587"/>
      <c r="E4670" s="591"/>
      <c r="G4670" s="593"/>
    </row>
    <row r="4671" spans="1:7">
      <c r="A4671" s="584"/>
      <c r="B4671" s="585"/>
      <c r="C4671" s="586"/>
      <c r="D4671" s="587"/>
      <c r="E4671" s="591"/>
      <c r="G4671" s="593"/>
    </row>
    <row r="4672" spans="1:7">
      <c r="A4672" s="584"/>
      <c r="B4672" s="585"/>
      <c r="C4672" s="586"/>
      <c r="D4672" s="587"/>
      <c r="E4672" s="591"/>
      <c r="G4672" s="593"/>
    </row>
    <row r="4673" spans="1:7">
      <c r="A4673" s="584"/>
      <c r="B4673" s="585"/>
      <c r="C4673" s="586"/>
      <c r="D4673" s="587"/>
      <c r="E4673" s="591"/>
      <c r="G4673" s="593"/>
    </row>
    <row r="4674" spans="1:7">
      <c r="A4674" s="584"/>
      <c r="B4674" s="585"/>
      <c r="C4674" s="586"/>
      <c r="D4674" s="587"/>
      <c r="E4674" s="591"/>
      <c r="G4674" s="593"/>
    </row>
    <row r="4675" spans="1:7">
      <c r="A4675" s="584"/>
      <c r="B4675" s="585"/>
      <c r="C4675" s="586"/>
      <c r="D4675" s="587"/>
      <c r="E4675" s="591"/>
      <c r="G4675" s="593"/>
    </row>
    <row r="4676" spans="1:7">
      <c r="A4676" s="584"/>
      <c r="B4676" s="585"/>
      <c r="C4676" s="586"/>
      <c r="D4676" s="587"/>
      <c r="E4676" s="591"/>
      <c r="G4676" s="593"/>
    </row>
    <row r="4677" spans="1:7">
      <c r="A4677" s="584"/>
      <c r="B4677" s="585"/>
      <c r="C4677" s="586"/>
      <c r="D4677" s="587"/>
      <c r="E4677" s="591"/>
      <c r="G4677" s="593"/>
    </row>
    <row r="4678" spans="1:7">
      <c r="A4678" s="584"/>
      <c r="B4678" s="585"/>
      <c r="C4678" s="586"/>
      <c r="D4678" s="587"/>
      <c r="E4678" s="591"/>
      <c r="G4678" s="593"/>
    </row>
    <row r="4679" spans="1:7">
      <c r="A4679" s="584"/>
      <c r="B4679" s="585"/>
      <c r="C4679" s="586"/>
      <c r="D4679" s="587"/>
      <c r="E4679" s="591"/>
      <c r="G4679" s="593"/>
    </row>
    <row r="4680" spans="1:7">
      <c r="A4680" s="584"/>
      <c r="B4680" s="585"/>
      <c r="C4680" s="586"/>
      <c r="D4680" s="587"/>
      <c r="E4680" s="591"/>
      <c r="G4680" s="593"/>
    </row>
    <row r="4681" spans="1:7">
      <c r="A4681" s="584"/>
      <c r="B4681" s="585"/>
      <c r="C4681" s="586"/>
      <c r="D4681" s="587"/>
      <c r="E4681" s="591"/>
      <c r="G4681" s="593"/>
    </row>
    <row r="4682" spans="1:7">
      <c r="A4682" s="584"/>
      <c r="B4682" s="585"/>
      <c r="C4682" s="586"/>
      <c r="D4682" s="587"/>
      <c r="E4682" s="591"/>
      <c r="G4682" s="593"/>
    </row>
    <row r="4683" spans="1:7">
      <c r="A4683" s="584"/>
      <c r="B4683" s="585"/>
      <c r="C4683" s="586"/>
      <c r="D4683" s="587"/>
      <c r="E4683" s="591"/>
      <c r="G4683" s="593"/>
    </row>
    <row r="4684" spans="1:7">
      <c r="A4684" s="584"/>
      <c r="B4684" s="585"/>
      <c r="C4684" s="586"/>
      <c r="D4684" s="587"/>
      <c r="E4684" s="591"/>
      <c r="G4684" s="593"/>
    </row>
    <row r="4685" spans="1:7">
      <c r="A4685" s="584"/>
      <c r="B4685" s="585"/>
      <c r="C4685" s="586"/>
      <c r="D4685" s="587"/>
      <c r="E4685" s="591"/>
      <c r="G4685" s="593"/>
    </row>
    <row r="4686" spans="1:7">
      <c r="A4686" s="584"/>
      <c r="B4686" s="585"/>
      <c r="C4686" s="586"/>
      <c r="D4686" s="587"/>
      <c r="E4686" s="591"/>
      <c r="G4686" s="593"/>
    </row>
    <row r="4687" spans="1:7">
      <c r="A4687" s="584"/>
      <c r="B4687" s="585"/>
      <c r="C4687" s="586"/>
      <c r="D4687" s="587"/>
      <c r="E4687" s="591"/>
      <c r="G4687" s="593"/>
    </row>
    <row r="4688" spans="1:7">
      <c r="A4688" s="584"/>
      <c r="B4688" s="585"/>
      <c r="C4688" s="586"/>
      <c r="D4688" s="587"/>
      <c r="E4688" s="591"/>
      <c r="G4688" s="593"/>
    </row>
    <row r="4689" spans="1:7">
      <c r="A4689" s="584"/>
      <c r="B4689" s="585"/>
      <c r="C4689" s="586"/>
      <c r="D4689" s="587"/>
      <c r="E4689" s="591"/>
      <c r="G4689" s="593"/>
    </row>
    <row r="4690" spans="1:7">
      <c r="A4690" s="584"/>
      <c r="B4690" s="585"/>
      <c r="C4690" s="586"/>
      <c r="D4690" s="587"/>
      <c r="E4690" s="591"/>
      <c r="G4690" s="593"/>
    </row>
    <row r="4691" spans="1:7">
      <c r="A4691" s="584"/>
      <c r="B4691" s="585"/>
      <c r="C4691" s="586"/>
      <c r="D4691" s="587"/>
      <c r="E4691" s="591"/>
      <c r="G4691" s="593"/>
    </row>
    <row r="4692" spans="1:7">
      <c r="A4692" s="584"/>
      <c r="B4692" s="585"/>
      <c r="C4692" s="586"/>
      <c r="D4692" s="587"/>
      <c r="E4692" s="591"/>
      <c r="G4692" s="593"/>
    </row>
    <row r="4693" spans="1:7">
      <c r="A4693" s="584"/>
      <c r="B4693" s="585"/>
      <c r="C4693" s="586"/>
      <c r="D4693" s="587"/>
      <c r="E4693" s="591"/>
      <c r="G4693" s="593"/>
    </row>
    <row r="4694" spans="1:7">
      <c r="A4694" s="584"/>
      <c r="B4694" s="585"/>
      <c r="C4694" s="586"/>
      <c r="D4694" s="587"/>
      <c r="E4694" s="591"/>
      <c r="G4694" s="593"/>
    </row>
    <row r="4695" spans="1:7">
      <c r="A4695" s="584"/>
      <c r="B4695" s="585"/>
      <c r="C4695" s="586"/>
      <c r="D4695" s="587"/>
      <c r="E4695" s="591"/>
      <c r="G4695" s="593"/>
    </row>
    <row r="4696" spans="1:7">
      <c r="A4696" s="584"/>
      <c r="B4696" s="585"/>
      <c r="C4696" s="586"/>
      <c r="D4696" s="587"/>
      <c r="E4696" s="591"/>
      <c r="G4696" s="593"/>
    </row>
    <row r="4697" spans="1:7">
      <c r="A4697" s="584"/>
      <c r="B4697" s="585"/>
      <c r="C4697" s="586"/>
      <c r="D4697" s="587"/>
      <c r="E4697" s="591"/>
      <c r="G4697" s="593"/>
    </row>
    <row r="4698" spans="1:7">
      <c r="A4698" s="584"/>
      <c r="B4698" s="585"/>
      <c r="C4698" s="586"/>
      <c r="D4698" s="587"/>
      <c r="E4698" s="591"/>
      <c r="G4698" s="593"/>
    </row>
    <row r="4699" spans="1:7">
      <c r="A4699" s="584"/>
      <c r="B4699" s="585"/>
      <c r="C4699" s="586"/>
      <c r="D4699" s="587"/>
      <c r="E4699" s="591"/>
      <c r="G4699" s="593"/>
    </row>
    <row r="4700" spans="1:7">
      <c r="A4700" s="584"/>
      <c r="B4700" s="585"/>
      <c r="C4700" s="586"/>
      <c r="D4700" s="587"/>
      <c r="E4700" s="591"/>
      <c r="G4700" s="593"/>
    </row>
    <row r="4701" spans="1:7">
      <c r="A4701" s="584"/>
      <c r="B4701" s="585"/>
      <c r="C4701" s="586"/>
      <c r="D4701" s="587"/>
      <c r="E4701" s="591"/>
      <c r="G4701" s="593"/>
    </row>
    <row r="4702" spans="1:7">
      <c r="A4702" s="584"/>
      <c r="B4702" s="585"/>
      <c r="C4702" s="586"/>
      <c r="D4702" s="587"/>
      <c r="E4702" s="591"/>
      <c r="G4702" s="593"/>
    </row>
    <row r="4703" spans="1:7">
      <c r="A4703" s="584"/>
      <c r="B4703" s="585"/>
      <c r="C4703" s="586"/>
      <c r="D4703" s="587"/>
      <c r="E4703" s="591"/>
      <c r="G4703" s="593"/>
    </row>
    <row r="4704" spans="1:7">
      <c r="A4704" s="584"/>
      <c r="B4704" s="585"/>
      <c r="C4704" s="586"/>
      <c r="D4704" s="587"/>
      <c r="E4704" s="591"/>
      <c r="G4704" s="593"/>
    </row>
    <row r="4705" spans="1:7">
      <c r="A4705" s="584"/>
      <c r="B4705" s="585"/>
      <c r="C4705" s="586"/>
      <c r="D4705" s="587"/>
      <c r="E4705" s="591"/>
      <c r="G4705" s="593"/>
    </row>
    <row r="4706" spans="1:7">
      <c r="A4706" s="584"/>
      <c r="B4706" s="585"/>
      <c r="C4706" s="586"/>
      <c r="D4706" s="587"/>
      <c r="E4706" s="591"/>
      <c r="G4706" s="593"/>
    </row>
    <row r="4707" spans="1:7">
      <c r="A4707" s="584"/>
      <c r="B4707" s="585"/>
      <c r="C4707" s="586"/>
      <c r="D4707" s="587"/>
      <c r="E4707" s="591"/>
      <c r="G4707" s="593"/>
    </row>
    <row r="4708" spans="1:7">
      <c r="A4708" s="584"/>
      <c r="B4708" s="585"/>
      <c r="C4708" s="586"/>
      <c r="D4708" s="587"/>
      <c r="E4708" s="591"/>
      <c r="G4708" s="593"/>
    </row>
    <row r="4709" spans="1:7">
      <c r="A4709" s="584"/>
      <c r="B4709" s="585"/>
      <c r="C4709" s="586"/>
      <c r="D4709" s="587"/>
      <c r="E4709" s="591"/>
      <c r="G4709" s="593"/>
    </row>
    <row r="4710" spans="1:7">
      <c r="A4710" s="584"/>
      <c r="B4710" s="585"/>
      <c r="C4710" s="586"/>
      <c r="D4710" s="587"/>
      <c r="E4710" s="591"/>
      <c r="G4710" s="593"/>
    </row>
    <row r="4711" spans="1:7">
      <c r="A4711" s="584"/>
      <c r="B4711" s="585"/>
      <c r="C4711" s="586"/>
      <c r="D4711" s="587"/>
      <c r="E4711" s="591"/>
      <c r="G4711" s="593"/>
    </row>
    <row r="4712" spans="1:7">
      <c r="A4712" s="584"/>
      <c r="B4712" s="585"/>
      <c r="C4712" s="586"/>
      <c r="D4712" s="587"/>
      <c r="E4712" s="591"/>
      <c r="G4712" s="593"/>
    </row>
    <row r="4713" spans="1:7">
      <c r="A4713" s="584"/>
      <c r="B4713" s="585"/>
      <c r="C4713" s="586"/>
      <c r="D4713" s="587"/>
      <c r="E4713" s="591"/>
      <c r="G4713" s="593"/>
    </row>
    <row r="4714" spans="1:7">
      <c r="A4714" s="584"/>
      <c r="B4714" s="585"/>
      <c r="C4714" s="586"/>
      <c r="D4714" s="587"/>
      <c r="E4714" s="591"/>
      <c r="G4714" s="593"/>
    </row>
    <row r="4715" spans="1:7">
      <c r="A4715" s="584"/>
      <c r="B4715" s="585"/>
      <c r="C4715" s="586"/>
      <c r="D4715" s="587"/>
      <c r="E4715" s="591"/>
      <c r="G4715" s="593"/>
    </row>
    <row r="4716" spans="1:7">
      <c r="A4716" s="584"/>
      <c r="B4716" s="585"/>
      <c r="C4716" s="586"/>
      <c r="D4716" s="587"/>
      <c r="E4716" s="591"/>
      <c r="G4716" s="593"/>
    </row>
    <row r="4717" spans="1:7">
      <c r="A4717" s="584"/>
      <c r="B4717" s="585"/>
      <c r="C4717" s="586"/>
      <c r="D4717" s="587"/>
      <c r="E4717" s="591"/>
      <c r="G4717" s="593"/>
    </row>
    <row r="4718" spans="1:7">
      <c r="A4718" s="584"/>
      <c r="B4718" s="585"/>
      <c r="C4718" s="586"/>
      <c r="D4718" s="587"/>
      <c r="E4718" s="591"/>
      <c r="G4718" s="593"/>
    </row>
    <row r="4719" spans="1:7">
      <c r="A4719" s="584"/>
      <c r="B4719" s="585"/>
      <c r="C4719" s="586"/>
      <c r="D4719" s="587"/>
      <c r="E4719" s="591"/>
      <c r="G4719" s="593"/>
    </row>
    <row r="4720" spans="1:7">
      <c r="A4720" s="584"/>
      <c r="B4720" s="585"/>
      <c r="C4720" s="586"/>
      <c r="D4720" s="587"/>
      <c r="E4720" s="591"/>
      <c r="G4720" s="593"/>
    </row>
    <row r="4721" spans="1:7">
      <c r="A4721" s="584"/>
      <c r="B4721" s="585"/>
      <c r="C4721" s="586"/>
      <c r="D4721" s="587"/>
      <c r="E4721" s="591"/>
      <c r="G4721" s="593"/>
    </row>
    <row r="4722" spans="1:7">
      <c r="A4722" s="584"/>
      <c r="B4722" s="585"/>
      <c r="C4722" s="586"/>
      <c r="D4722" s="587"/>
      <c r="E4722" s="591"/>
      <c r="G4722" s="593"/>
    </row>
    <row r="4723" spans="1:7">
      <c r="A4723" s="584"/>
      <c r="B4723" s="585"/>
      <c r="C4723" s="586"/>
      <c r="D4723" s="587"/>
      <c r="E4723" s="591"/>
      <c r="G4723" s="593"/>
    </row>
    <row r="4724" spans="1:7">
      <c r="A4724" s="584"/>
      <c r="B4724" s="585"/>
      <c r="C4724" s="586"/>
      <c r="D4724" s="587"/>
      <c r="E4724" s="591"/>
      <c r="G4724" s="593"/>
    </row>
    <row r="4725" spans="1:7">
      <c r="A4725" s="584"/>
      <c r="B4725" s="585"/>
      <c r="C4725" s="586"/>
      <c r="D4725" s="587"/>
      <c r="E4725" s="591"/>
      <c r="G4725" s="593"/>
    </row>
    <row r="4726" spans="1:7">
      <c r="A4726" s="584"/>
      <c r="B4726" s="585"/>
      <c r="C4726" s="586"/>
      <c r="D4726" s="587"/>
      <c r="E4726" s="591"/>
      <c r="G4726" s="593"/>
    </row>
    <row r="4727" spans="1:7">
      <c r="A4727" s="584"/>
      <c r="B4727" s="585"/>
      <c r="C4727" s="586"/>
      <c r="D4727" s="587"/>
      <c r="E4727" s="591"/>
      <c r="G4727" s="593"/>
    </row>
    <row r="4728" spans="1:7">
      <c r="A4728" s="584"/>
      <c r="B4728" s="585"/>
      <c r="C4728" s="586"/>
      <c r="D4728" s="587"/>
      <c r="E4728" s="591"/>
      <c r="G4728" s="593"/>
    </row>
    <row r="4729" spans="1:7">
      <c r="A4729" s="584"/>
      <c r="B4729" s="585"/>
      <c r="C4729" s="586"/>
      <c r="D4729" s="587"/>
      <c r="E4729" s="591"/>
      <c r="G4729" s="593"/>
    </row>
    <row r="4730" spans="1:7">
      <c r="A4730" s="584"/>
      <c r="B4730" s="585"/>
      <c r="C4730" s="586"/>
      <c r="D4730" s="587"/>
      <c r="E4730" s="591"/>
      <c r="G4730" s="593"/>
    </row>
    <row r="4731" spans="1:7">
      <c r="A4731" s="584"/>
      <c r="B4731" s="585"/>
      <c r="C4731" s="586"/>
      <c r="D4731" s="587"/>
      <c r="E4731" s="591"/>
      <c r="G4731" s="593"/>
    </row>
    <row r="4732" spans="1:7">
      <c r="A4732" s="584"/>
      <c r="B4732" s="585"/>
      <c r="C4732" s="586"/>
      <c r="D4732" s="587"/>
      <c r="E4732" s="591"/>
      <c r="G4732" s="593"/>
    </row>
    <row r="4733" spans="1:7">
      <c r="A4733" s="584"/>
      <c r="B4733" s="585"/>
      <c r="C4733" s="586"/>
      <c r="D4733" s="587"/>
      <c r="E4733" s="591"/>
      <c r="G4733" s="593"/>
    </row>
    <row r="4734" spans="1:7">
      <c r="A4734" s="584"/>
      <c r="B4734" s="585"/>
      <c r="C4734" s="586"/>
      <c r="D4734" s="587"/>
      <c r="E4734" s="591"/>
      <c r="G4734" s="593"/>
    </row>
    <row r="4735" spans="1:7">
      <c r="A4735" s="584"/>
      <c r="B4735" s="585"/>
      <c r="C4735" s="586"/>
      <c r="D4735" s="587"/>
      <c r="E4735" s="591"/>
      <c r="G4735" s="593"/>
    </row>
    <row r="4736" spans="1:7">
      <c r="A4736" s="584"/>
      <c r="B4736" s="585"/>
      <c r="C4736" s="586"/>
      <c r="D4736" s="587"/>
      <c r="E4736" s="591"/>
      <c r="G4736" s="593"/>
    </row>
    <row r="4737" spans="1:7">
      <c r="A4737" s="584"/>
      <c r="B4737" s="585"/>
      <c r="C4737" s="586"/>
      <c r="D4737" s="587"/>
      <c r="E4737" s="591"/>
      <c r="G4737" s="593"/>
    </row>
    <row r="4738" spans="1:7">
      <c r="A4738" s="584"/>
      <c r="B4738" s="585"/>
      <c r="C4738" s="586"/>
      <c r="D4738" s="587"/>
      <c r="E4738" s="591"/>
      <c r="G4738" s="593"/>
    </row>
    <row r="4739" spans="1:7">
      <c r="A4739" s="584"/>
      <c r="B4739" s="585"/>
      <c r="C4739" s="586"/>
      <c r="D4739" s="587"/>
      <c r="E4739" s="591"/>
      <c r="G4739" s="593"/>
    </row>
    <row r="4740" spans="1:7">
      <c r="A4740" s="584"/>
      <c r="B4740" s="585"/>
      <c r="C4740" s="586"/>
      <c r="D4740" s="587"/>
      <c r="E4740" s="591"/>
      <c r="G4740" s="593"/>
    </row>
    <row r="4741" spans="1:7">
      <c r="A4741" s="584"/>
      <c r="B4741" s="585"/>
      <c r="C4741" s="586"/>
      <c r="D4741" s="587"/>
      <c r="E4741" s="591"/>
      <c r="G4741" s="593"/>
    </row>
    <row r="4742" spans="1:7">
      <c r="A4742" s="584"/>
      <c r="B4742" s="585"/>
      <c r="C4742" s="586"/>
      <c r="D4742" s="587"/>
      <c r="E4742" s="591"/>
      <c r="G4742" s="593"/>
    </row>
    <row r="4743" spans="1:7">
      <c r="A4743" s="584"/>
      <c r="B4743" s="585"/>
      <c r="C4743" s="586"/>
      <c r="D4743" s="587"/>
      <c r="E4743" s="591"/>
      <c r="G4743" s="593"/>
    </row>
    <row r="4744" spans="1:7">
      <c r="A4744" s="584"/>
      <c r="B4744" s="585"/>
      <c r="C4744" s="586"/>
      <c r="D4744" s="587"/>
      <c r="E4744" s="591"/>
      <c r="G4744" s="593"/>
    </row>
    <row r="4745" spans="1:7">
      <c r="A4745" s="584"/>
      <c r="B4745" s="585"/>
      <c r="C4745" s="586"/>
      <c r="D4745" s="587"/>
      <c r="E4745" s="591"/>
      <c r="G4745" s="593"/>
    </row>
    <row r="4746" spans="1:7">
      <c r="A4746" s="584"/>
      <c r="B4746" s="585"/>
      <c r="C4746" s="586"/>
      <c r="D4746" s="587"/>
      <c r="E4746" s="591"/>
      <c r="G4746" s="593"/>
    </row>
    <row r="4747" spans="1:7">
      <c r="A4747" s="584"/>
      <c r="B4747" s="585"/>
      <c r="C4747" s="586"/>
      <c r="D4747" s="587"/>
      <c r="E4747" s="591"/>
      <c r="G4747" s="593"/>
    </row>
    <row r="4748" spans="1:7">
      <c r="A4748" s="584"/>
      <c r="B4748" s="585"/>
      <c r="C4748" s="586"/>
      <c r="D4748" s="587"/>
      <c r="E4748" s="591"/>
      <c r="G4748" s="593"/>
    </row>
    <row r="4749" spans="1:7">
      <c r="A4749" s="584"/>
      <c r="B4749" s="585"/>
      <c r="C4749" s="586"/>
      <c r="D4749" s="587"/>
      <c r="E4749" s="591"/>
      <c r="G4749" s="593"/>
    </row>
    <row r="4750" spans="1:7">
      <c r="A4750" s="584"/>
      <c r="B4750" s="585"/>
      <c r="C4750" s="586"/>
      <c r="D4750" s="587"/>
      <c r="E4750" s="591"/>
      <c r="G4750" s="593"/>
    </row>
    <row r="4751" spans="1:7">
      <c r="A4751" s="584"/>
      <c r="B4751" s="585"/>
      <c r="C4751" s="586"/>
      <c r="D4751" s="587"/>
      <c r="E4751" s="591"/>
      <c r="G4751" s="593"/>
    </row>
    <row r="4752" spans="1:7">
      <c r="A4752" s="584"/>
      <c r="B4752" s="585"/>
      <c r="C4752" s="586"/>
      <c r="D4752" s="587"/>
      <c r="E4752" s="591"/>
      <c r="G4752" s="593"/>
    </row>
    <row r="4753" spans="1:7">
      <c r="A4753" s="584"/>
      <c r="B4753" s="585"/>
      <c r="C4753" s="586"/>
      <c r="D4753" s="587"/>
      <c r="E4753" s="591"/>
      <c r="G4753" s="593"/>
    </row>
    <row r="4754" spans="1:7">
      <c r="A4754" s="584"/>
      <c r="B4754" s="585"/>
      <c r="C4754" s="586"/>
      <c r="D4754" s="587"/>
      <c r="E4754" s="591"/>
      <c r="G4754" s="593"/>
    </row>
    <row r="4755" spans="1:7">
      <c r="A4755" s="584"/>
      <c r="B4755" s="585"/>
      <c r="C4755" s="586"/>
      <c r="D4755" s="587"/>
      <c r="E4755" s="591"/>
      <c r="G4755" s="593"/>
    </row>
    <row r="4756" spans="1:7">
      <c r="A4756" s="584"/>
      <c r="B4756" s="585"/>
      <c r="C4756" s="586"/>
      <c r="D4756" s="587"/>
      <c r="E4756" s="591"/>
      <c r="G4756" s="593"/>
    </row>
    <row r="4757" spans="1:7">
      <c r="A4757" s="584"/>
      <c r="B4757" s="585"/>
      <c r="C4757" s="586"/>
      <c r="D4757" s="587"/>
      <c r="E4757" s="591"/>
      <c r="G4757" s="593"/>
    </row>
    <row r="4758" spans="1:7">
      <c r="A4758" s="584"/>
      <c r="B4758" s="585"/>
      <c r="C4758" s="586"/>
      <c r="D4758" s="587"/>
      <c r="E4758" s="591"/>
      <c r="G4758" s="593"/>
    </row>
    <row r="4759" spans="1:7">
      <c r="A4759" s="584"/>
      <c r="B4759" s="585"/>
      <c r="C4759" s="586"/>
      <c r="D4759" s="587"/>
      <c r="E4759" s="591"/>
      <c r="G4759" s="593"/>
    </row>
    <row r="4760" spans="1:7">
      <c r="A4760" s="584"/>
      <c r="B4760" s="585"/>
      <c r="C4760" s="586"/>
      <c r="D4760" s="587"/>
      <c r="E4760" s="591"/>
      <c r="G4760" s="593"/>
    </row>
    <row r="4761" spans="1:7">
      <c r="A4761" s="584"/>
      <c r="B4761" s="585"/>
      <c r="C4761" s="586"/>
      <c r="D4761" s="587"/>
      <c r="E4761" s="591"/>
      <c r="G4761" s="593"/>
    </row>
    <row r="4762" spans="1:7">
      <c r="A4762" s="584"/>
      <c r="B4762" s="585"/>
      <c r="C4762" s="586"/>
      <c r="D4762" s="587"/>
      <c r="E4762" s="591"/>
      <c r="G4762" s="593"/>
    </row>
    <row r="4763" spans="1:7">
      <c r="A4763" s="584"/>
      <c r="B4763" s="585"/>
      <c r="C4763" s="586"/>
      <c r="D4763" s="587"/>
      <c r="E4763" s="591"/>
      <c r="G4763" s="593"/>
    </row>
    <row r="4764" spans="1:7">
      <c r="A4764" s="584"/>
      <c r="B4764" s="585"/>
      <c r="C4764" s="586"/>
      <c r="D4764" s="587"/>
      <c r="E4764" s="591"/>
      <c r="G4764" s="593"/>
    </row>
    <row r="4765" spans="1:7">
      <c r="A4765" s="584"/>
      <c r="B4765" s="585"/>
      <c r="C4765" s="586"/>
      <c r="D4765" s="587"/>
      <c r="E4765" s="591"/>
      <c r="G4765" s="593"/>
    </row>
    <row r="4766" spans="1:7">
      <c r="A4766" s="584"/>
      <c r="B4766" s="585"/>
      <c r="C4766" s="586"/>
      <c r="D4766" s="587"/>
      <c r="E4766" s="591"/>
      <c r="G4766" s="593"/>
    </row>
    <row r="4767" spans="1:7">
      <c r="A4767" s="584"/>
      <c r="B4767" s="585"/>
      <c r="C4767" s="586"/>
      <c r="D4767" s="587"/>
      <c r="E4767" s="591"/>
      <c r="G4767" s="593"/>
    </row>
    <row r="4768" spans="1:7">
      <c r="A4768" s="584"/>
      <c r="B4768" s="585"/>
      <c r="C4768" s="586"/>
      <c r="D4768" s="587"/>
      <c r="E4768" s="591"/>
      <c r="G4768" s="593"/>
    </row>
    <row r="4769" spans="1:7">
      <c r="A4769" s="584"/>
      <c r="B4769" s="585"/>
      <c r="C4769" s="586"/>
      <c r="D4769" s="587"/>
      <c r="E4769" s="591"/>
      <c r="G4769" s="593"/>
    </row>
    <row r="4770" spans="1:7">
      <c r="A4770" s="584"/>
      <c r="B4770" s="585"/>
      <c r="C4770" s="586"/>
      <c r="D4770" s="587"/>
      <c r="E4770" s="591"/>
      <c r="G4770" s="593"/>
    </row>
    <row r="4771" spans="1:7">
      <c r="A4771" s="584"/>
      <c r="B4771" s="585"/>
      <c r="C4771" s="586"/>
      <c r="D4771" s="587"/>
      <c r="E4771" s="591"/>
      <c r="G4771" s="593"/>
    </row>
    <row r="4772" spans="1:7">
      <c r="A4772" s="584"/>
      <c r="B4772" s="585"/>
      <c r="C4772" s="586"/>
      <c r="D4772" s="587"/>
      <c r="E4772" s="591"/>
      <c r="G4772" s="593"/>
    </row>
    <row r="4773" spans="1:7">
      <c r="A4773" s="584"/>
      <c r="B4773" s="585"/>
      <c r="C4773" s="586"/>
      <c r="D4773" s="587"/>
      <c r="E4773" s="591"/>
      <c r="G4773" s="593"/>
    </row>
    <row r="4774" spans="1:7">
      <c r="A4774" s="584"/>
      <c r="B4774" s="585"/>
      <c r="C4774" s="586"/>
      <c r="D4774" s="587"/>
      <c r="E4774" s="591"/>
      <c r="G4774" s="593"/>
    </row>
    <row r="4775" spans="1:7">
      <c r="A4775" s="584"/>
      <c r="B4775" s="585"/>
      <c r="C4775" s="586"/>
      <c r="D4775" s="587"/>
      <c r="E4775" s="591"/>
      <c r="G4775" s="593"/>
    </row>
    <row r="4776" spans="1:7">
      <c r="A4776" s="584"/>
      <c r="B4776" s="585"/>
      <c r="C4776" s="586"/>
      <c r="D4776" s="587"/>
      <c r="E4776" s="591"/>
      <c r="G4776" s="593"/>
    </row>
    <row r="4777" spans="1:7">
      <c r="A4777" s="584"/>
      <c r="B4777" s="585"/>
      <c r="C4777" s="586"/>
      <c r="D4777" s="587"/>
      <c r="E4777" s="591"/>
      <c r="G4777" s="593"/>
    </row>
    <row r="4778" spans="1:7">
      <c r="A4778" s="584"/>
      <c r="B4778" s="585"/>
      <c r="C4778" s="586"/>
      <c r="D4778" s="587"/>
      <c r="E4778" s="591"/>
      <c r="G4778" s="593"/>
    </row>
    <row r="4779" spans="1:7">
      <c r="A4779" s="584"/>
      <c r="B4779" s="585"/>
      <c r="C4779" s="586"/>
      <c r="D4779" s="587"/>
      <c r="E4779" s="591"/>
      <c r="G4779" s="593"/>
    </row>
    <row r="4780" spans="1:7">
      <c r="A4780" s="584"/>
      <c r="B4780" s="585"/>
      <c r="C4780" s="586"/>
      <c r="D4780" s="587"/>
      <c r="E4780" s="591"/>
      <c r="G4780" s="593"/>
    </row>
    <row r="4781" spans="1:7">
      <c r="A4781" s="584"/>
      <c r="B4781" s="585"/>
      <c r="C4781" s="586"/>
      <c r="D4781" s="587"/>
      <c r="E4781" s="591"/>
      <c r="G4781" s="593"/>
    </row>
    <row r="4782" spans="1:7">
      <c r="A4782" s="584"/>
      <c r="B4782" s="585"/>
      <c r="C4782" s="586"/>
      <c r="D4782" s="587"/>
      <c r="E4782" s="591"/>
      <c r="G4782" s="593"/>
    </row>
    <row r="4783" spans="1:7">
      <c r="A4783" s="584"/>
      <c r="B4783" s="585"/>
      <c r="C4783" s="586"/>
      <c r="D4783" s="587"/>
      <c r="E4783" s="591"/>
      <c r="G4783" s="593"/>
    </row>
    <row r="4784" spans="1:7">
      <c r="A4784" s="584"/>
      <c r="B4784" s="585"/>
      <c r="C4784" s="586"/>
      <c r="D4784" s="587"/>
      <c r="E4784" s="591"/>
      <c r="G4784" s="593"/>
    </row>
    <row r="4785" spans="1:7">
      <c r="A4785" s="584"/>
      <c r="B4785" s="585"/>
      <c r="C4785" s="586"/>
      <c r="D4785" s="587"/>
      <c r="E4785" s="591"/>
      <c r="G4785" s="593"/>
    </row>
    <row r="4786" spans="1:7">
      <c r="A4786" s="584"/>
      <c r="B4786" s="585"/>
      <c r="C4786" s="586"/>
      <c r="D4786" s="587"/>
      <c r="E4786" s="591"/>
      <c r="G4786" s="593"/>
    </row>
    <row r="4787" spans="1:7">
      <c r="A4787" s="584"/>
      <c r="B4787" s="585"/>
      <c r="C4787" s="586"/>
      <c r="D4787" s="587"/>
      <c r="E4787" s="591"/>
      <c r="G4787" s="593"/>
    </row>
    <row r="4788" spans="1:7">
      <c r="A4788" s="584"/>
      <c r="B4788" s="585"/>
      <c r="C4788" s="586"/>
      <c r="D4788" s="587"/>
      <c r="E4788" s="591"/>
      <c r="G4788" s="593"/>
    </row>
    <row r="4789" spans="1:7">
      <c r="A4789" s="584"/>
      <c r="B4789" s="585"/>
      <c r="C4789" s="586"/>
      <c r="D4789" s="587"/>
      <c r="E4789" s="591"/>
      <c r="G4789" s="593"/>
    </row>
    <row r="4790" spans="1:7">
      <c r="A4790" s="584"/>
      <c r="B4790" s="585"/>
      <c r="C4790" s="586"/>
      <c r="D4790" s="587"/>
      <c r="E4790" s="591"/>
      <c r="G4790" s="593"/>
    </row>
    <row r="4791" spans="1:7">
      <c r="A4791" s="584"/>
      <c r="B4791" s="585"/>
      <c r="C4791" s="586"/>
      <c r="D4791" s="587"/>
      <c r="E4791" s="591"/>
      <c r="G4791" s="593"/>
    </row>
    <row r="4792" spans="1:7">
      <c r="A4792" s="584"/>
      <c r="B4792" s="585"/>
      <c r="C4792" s="586"/>
      <c r="D4792" s="587"/>
      <c r="E4792" s="591"/>
      <c r="G4792" s="593"/>
    </row>
    <row r="4793" spans="1:7">
      <c r="A4793" s="584"/>
      <c r="B4793" s="585"/>
      <c r="C4793" s="586"/>
      <c r="D4793" s="587"/>
      <c r="E4793" s="591"/>
      <c r="G4793" s="593"/>
    </row>
    <row r="4794" spans="1:7">
      <c r="A4794" s="584"/>
      <c r="B4794" s="585"/>
      <c r="C4794" s="586"/>
      <c r="D4794" s="587"/>
      <c r="E4794" s="591"/>
      <c r="G4794" s="593"/>
    </row>
    <row r="4795" spans="1:7">
      <c r="A4795" s="584"/>
      <c r="B4795" s="585"/>
      <c r="C4795" s="586"/>
      <c r="D4795" s="587"/>
      <c r="E4795" s="591"/>
      <c r="G4795" s="593"/>
    </row>
    <row r="4796" spans="1:7">
      <c r="A4796" s="584"/>
      <c r="B4796" s="585"/>
      <c r="C4796" s="586"/>
      <c r="D4796" s="587"/>
      <c r="E4796" s="591"/>
      <c r="G4796" s="593"/>
    </row>
    <row r="4797" spans="1:7">
      <c r="A4797" s="584"/>
      <c r="B4797" s="585"/>
      <c r="C4797" s="586"/>
      <c r="D4797" s="587"/>
      <c r="E4797" s="591"/>
      <c r="G4797" s="593"/>
    </row>
    <row r="4798" spans="1:7">
      <c r="A4798" s="584"/>
      <c r="B4798" s="585"/>
      <c r="C4798" s="586"/>
      <c r="D4798" s="587"/>
      <c r="E4798" s="591"/>
      <c r="G4798" s="593"/>
    </row>
    <row r="4799" spans="1:7">
      <c r="A4799" s="584"/>
      <c r="B4799" s="585"/>
      <c r="C4799" s="586"/>
      <c r="D4799" s="587"/>
      <c r="E4799" s="591"/>
      <c r="G4799" s="593"/>
    </row>
    <row r="4800" spans="1:7">
      <c r="A4800" s="584"/>
      <c r="B4800" s="585"/>
      <c r="C4800" s="586"/>
      <c r="D4800" s="587"/>
      <c r="E4800" s="591"/>
      <c r="G4800" s="593"/>
    </row>
    <row r="4801" spans="1:7">
      <c r="A4801" s="584"/>
      <c r="B4801" s="585"/>
      <c r="C4801" s="586"/>
      <c r="D4801" s="587"/>
      <c r="E4801" s="591"/>
      <c r="G4801" s="593"/>
    </row>
    <row r="4802" spans="1:7">
      <c r="A4802" s="584"/>
      <c r="B4802" s="585"/>
      <c r="C4802" s="586"/>
      <c r="D4802" s="587"/>
      <c r="E4802" s="591"/>
      <c r="G4802" s="593"/>
    </row>
    <row r="4803" spans="1:7">
      <c r="A4803" s="584"/>
      <c r="B4803" s="585"/>
      <c r="C4803" s="586"/>
      <c r="D4803" s="587"/>
      <c r="E4803" s="591"/>
      <c r="G4803" s="593"/>
    </row>
    <row r="4804" spans="1:7">
      <c r="A4804" s="584"/>
      <c r="B4804" s="585"/>
      <c r="C4804" s="586"/>
      <c r="D4804" s="587"/>
      <c r="E4804" s="591"/>
      <c r="G4804" s="593"/>
    </row>
    <row r="4805" spans="1:7">
      <c r="A4805" s="584"/>
      <c r="B4805" s="585"/>
      <c r="C4805" s="586"/>
      <c r="D4805" s="587"/>
      <c r="E4805" s="591"/>
      <c r="G4805" s="593"/>
    </row>
    <row r="4806" spans="1:7">
      <c r="A4806" s="584"/>
      <c r="B4806" s="585"/>
      <c r="C4806" s="586"/>
      <c r="D4806" s="587"/>
      <c r="E4806" s="591"/>
      <c r="G4806" s="593"/>
    </row>
    <row r="4807" spans="1:7">
      <c r="A4807" s="584"/>
      <c r="B4807" s="585"/>
      <c r="C4807" s="586"/>
      <c r="D4807" s="587"/>
      <c r="E4807" s="591"/>
      <c r="G4807" s="593"/>
    </row>
    <row r="4808" spans="1:7">
      <c r="A4808" s="584"/>
      <c r="B4808" s="585"/>
      <c r="C4808" s="586"/>
      <c r="D4808" s="587"/>
      <c r="E4808" s="591"/>
      <c r="G4808" s="593"/>
    </row>
    <row r="4809" spans="1:7">
      <c r="A4809" s="584"/>
      <c r="B4809" s="585"/>
      <c r="C4809" s="586"/>
      <c r="D4809" s="587"/>
      <c r="E4809" s="591"/>
      <c r="G4809" s="593"/>
    </row>
    <row r="4810" spans="1:7">
      <c r="A4810" s="584"/>
      <c r="B4810" s="585"/>
      <c r="C4810" s="586"/>
      <c r="D4810" s="587"/>
      <c r="E4810" s="591"/>
      <c r="G4810" s="593"/>
    </row>
    <row r="4811" spans="1:7">
      <c r="A4811" s="584"/>
      <c r="B4811" s="585"/>
      <c r="C4811" s="586"/>
      <c r="D4811" s="587"/>
      <c r="E4811" s="591"/>
      <c r="G4811" s="593"/>
    </row>
    <row r="4812" spans="1:7">
      <c r="A4812" s="584"/>
      <c r="B4812" s="585"/>
      <c r="C4812" s="586"/>
      <c r="D4812" s="587"/>
      <c r="E4812" s="591"/>
      <c r="G4812" s="593"/>
    </row>
    <row r="4813" spans="1:7">
      <c r="A4813" s="584"/>
      <c r="B4813" s="585"/>
      <c r="C4813" s="586"/>
      <c r="D4813" s="587"/>
      <c r="E4813" s="591"/>
      <c r="G4813" s="593"/>
    </row>
    <row r="4814" spans="1:7">
      <c r="A4814" s="584"/>
      <c r="B4814" s="585"/>
      <c r="C4814" s="586"/>
      <c r="D4814" s="587"/>
      <c r="E4814" s="591"/>
      <c r="G4814" s="593"/>
    </row>
    <row r="4815" spans="1:7">
      <c r="A4815" s="584"/>
      <c r="B4815" s="585"/>
      <c r="C4815" s="586"/>
      <c r="D4815" s="587"/>
      <c r="E4815" s="591"/>
      <c r="G4815" s="593"/>
    </row>
    <row r="4816" spans="1:7">
      <c r="A4816" s="584"/>
      <c r="B4816" s="585"/>
      <c r="C4816" s="586"/>
      <c r="D4816" s="587"/>
      <c r="E4816" s="591"/>
      <c r="G4816" s="593"/>
    </row>
    <row r="4817" spans="1:7">
      <c r="A4817" s="584"/>
      <c r="B4817" s="585"/>
      <c r="C4817" s="586"/>
      <c r="D4817" s="587"/>
      <c r="E4817" s="591"/>
      <c r="G4817" s="593"/>
    </row>
    <row r="4818" spans="1:7">
      <c r="A4818" s="584"/>
      <c r="B4818" s="585"/>
      <c r="C4818" s="586"/>
      <c r="D4818" s="587"/>
      <c r="E4818" s="591"/>
      <c r="G4818" s="593"/>
    </row>
    <row r="4819" spans="1:7">
      <c r="A4819" s="584"/>
      <c r="B4819" s="585"/>
      <c r="C4819" s="586"/>
      <c r="D4819" s="587"/>
      <c r="E4819" s="591"/>
      <c r="G4819" s="593"/>
    </row>
    <row r="4820" spans="1:7">
      <c r="A4820" s="584"/>
      <c r="B4820" s="585"/>
      <c r="C4820" s="586"/>
      <c r="D4820" s="587"/>
      <c r="E4820" s="591"/>
      <c r="G4820" s="593"/>
    </row>
    <row r="4821" spans="1:7">
      <c r="A4821" s="584"/>
      <c r="B4821" s="585"/>
      <c r="C4821" s="586"/>
      <c r="D4821" s="587"/>
      <c r="E4821" s="591"/>
      <c r="G4821" s="593"/>
    </row>
    <row r="4822" spans="1:7">
      <c r="A4822" s="584"/>
      <c r="B4822" s="585"/>
      <c r="C4822" s="586"/>
      <c r="D4822" s="587"/>
      <c r="E4822" s="591"/>
      <c r="G4822" s="593"/>
    </row>
    <row r="4823" spans="1:7">
      <c r="A4823" s="584"/>
      <c r="B4823" s="585"/>
      <c r="C4823" s="586"/>
      <c r="D4823" s="587"/>
      <c r="E4823" s="591"/>
      <c r="G4823" s="593"/>
    </row>
    <row r="4824" spans="1:7">
      <c r="A4824" s="584"/>
      <c r="B4824" s="585"/>
      <c r="C4824" s="586"/>
      <c r="D4824" s="587"/>
      <c r="E4824" s="591"/>
      <c r="G4824" s="593"/>
    </row>
    <row r="4825" spans="1:7">
      <c r="A4825" s="584"/>
      <c r="B4825" s="585"/>
      <c r="C4825" s="586"/>
      <c r="D4825" s="587"/>
      <c r="E4825" s="591"/>
      <c r="G4825" s="593"/>
    </row>
    <row r="4826" spans="1:7">
      <c r="A4826" s="584"/>
      <c r="B4826" s="585"/>
      <c r="C4826" s="586"/>
      <c r="D4826" s="587"/>
      <c r="E4826" s="591"/>
      <c r="G4826" s="593"/>
    </row>
    <row r="4827" spans="1:7">
      <c r="A4827" s="584"/>
      <c r="B4827" s="585"/>
      <c r="C4827" s="586"/>
      <c r="D4827" s="587"/>
      <c r="E4827" s="591"/>
      <c r="G4827" s="593"/>
    </row>
    <row r="4828" spans="1:7">
      <c r="A4828" s="584"/>
      <c r="B4828" s="585"/>
      <c r="C4828" s="586"/>
      <c r="D4828" s="587"/>
      <c r="E4828" s="591"/>
      <c r="G4828" s="593"/>
    </row>
    <row r="4829" spans="1:7">
      <c r="A4829" s="584"/>
      <c r="B4829" s="585"/>
      <c r="C4829" s="586"/>
      <c r="D4829" s="587"/>
      <c r="E4829" s="591"/>
      <c r="G4829" s="593"/>
    </row>
    <row r="4830" spans="1:7">
      <c r="A4830" s="584"/>
      <c r="B4830" s="585"/>
      <c r="C4830" s="586"/>
      <c r="D4830" s="587"/>
      <c r="E4830" s="591"/>
      <c r="G4830" s="593"/>
    </row>
    <row r="4831" spans="1:7">
      <c r="A4831" s="584"/>
      <c r="B4831" s="585"/>
      <c r="C4831" s="586"/>
      <c r="D4831" s="587"/>
      <c r="E4831" s="591"/>
      <c r="G4831" s="593"/>
    </row>
    <row r="4832" spans="1:7">
      <c r="A4832" s="584"/>
      <c r="B4832" s="585"/>
      <c r="C4832" s="586"/>
      <c r="D4832" s="587"/>
      <c r="E4832" s="591"/>
      <c r="G4832" s="593"/>
    </row>
    <row r="4833" spans="1:7">
      <c r="A4833" s="584"/>
      <c r="B4833" s="585"/>
      <c r="C4833" s="586"/>
      <c r="D4833" s="587"/>
      <c r="E4833" s="591"/>
      <c r="G4833" s="593"/>
    </row>
    <row r="4834" spans="1:7">
      <c r="A4834" s="584"/>
      <c r="B4834" s="585"/>
      <c r="C4834" s="586"/>
      <c r="D4834" s="587"/>
      <c r="E4834" s="591"/>
      <c r="G4834" s="593"/>
    </row>
    <row r="4835" spans="1:7">
      <c r="A4835" s="584"/>
      <c r="B4835" s="585"/>
      <c r="C4835" s="586"/>
      <c r="D4835" s="587"/>
      <c r="E4835" s="591"/>
      <c r="G4835" s="593"/>
    </row>
    <row r="4836" spans="1:7">
      <c r="A4836" s="584"/>
      <c r="B4836" s="585"/>
      <c r="C4836" s="586"/>
      <c r="D4836" s="587"/>
      <c r="E4836" s="591"/>
      <c r="G4836" s="593"/>
    </row>
    <row r="4837" spans="1:7">
      <c r="A4837" s="584"/>
      <c r="B4837" s="585"/>
      <c r="C4837" s="586"/>
      <c r="D4837" s="587"/>
      <c r="E4837" s="591"/>
      <c r="G4837" s="593"/>
    </row>
    <row r="4838" spans="1:7">
      <c r="A4838" s="584"/>
      <c r="B4838" s="585"/>
      <c r="C4838" s="586"/>
      <c r="D4838" s="587"/>
      <c r="E4838" s="591"/>
      <c r="G4838" s="593"/>
    </row>
    <row r="4839" spans="1:7">
      <c r="A4839" s="584"/>
      <c r="B4839" s="585"/>
      <c r="C4839" s="586"/>
      <c r="D4839" s="587"/>
      <c r="E4839" s="591"/>
      <c r="G4839" s="593"/>
    </row>
    <row r="4840" spans="1:7">
      <c r="A4840" s="584"/>
      <c r="B4840" s="585"/>
      <c r="C4840" s="586"/>
      <c r="D4840" s="587"/>
      <c r="E4840" s="591"/>
      <c r="G4840" s="593"/>
    </row>
    <row r="4841" spans="1:7">
      <c r="A4841" s="584"/>
      <c r="B4841" s="585"/>
      <c r="C4841" s="586"/>
      <c r="D4841" s="587"/>
      <c r="E4841" s="591"/>
      <c r="G4841" s="593"/>
    </row>
    <row r="4842" spans="1:7">
      <c r="A4842" s="584"/>
      <c r="B4842" s="585"/>
      <c r="C4842" s="586"/>
      <c r="D4842" s="587"/>
      <c r="E4842" s="591"/>
      <c r="G4842" s="593"/>
    </row>
    <row r="4843" spans="1:7">
      <c r="A4843" s="584"/>
      <c r="B4843" s="585"/>
      <c r="C4843" s="586"/>
      <c r="D4843" s="587"/>
      <c r="E4843" s="591"/>
      <c r="G4843" s="593"/>
    </row>
    <row r="4844" spans="1:7">
      <c r="A4844" s="584"/>
      <c r="B4844" s="585"/>
      <c r="C4844" s="586"/>
      <c r="D4844" s="587"/>
      <c r="E4844" s="591"/>
      <c r="G4844" s="593"/>
    </row>
    <row r="4845" spans="1:7">
      <c r="A4845" s="584"/>
      <c r="B4845" s="585"/>
      <c r="C4845" s="586"/>
      <c r="D4845" s="587"/>
      <c r="E4845" s="591"/>
      <c r="G4845" s="593"/>
    </row>
    <row r="4846" spans="1:7">
      <c r="A4846" s="584"/>
      <c r="B4846" s="585"/>
      <c r="C4846" s="586"/>
      <c r="D4846" s="587"/>
      <c r="E4846" s="591"/>
      <c r="G4846" s="593"/>
    </row>
    <row r="4847" spans="1:7">
      <c r="A4847" s="584"/>
      <c r="B4847" s="585"/>
      <c r="C4847" s="586"/>
      <c r="D4847" s="587"/>
      <c r="E4847" s="591"/>
      <c r="G4847" s="593"/>
    </row>
    <row r="4848" spans="1:7">
      <c r="A4848" s="584"/>
      <c r="B4848" s="585"/>
      <c r="C4848" s="586"/>
      <c r="D4848" s="587"/>
      <c r="E4848" s="591"/>
      <c r="G4848" s="593"/>
    </row>
    <row r="4849" spans="1:7">
      <c r="A4849" s="584"/>
      <c r="B4849" s="585"/>
      <c r="C4849" s="586"/>
      <c r="D4849" s="587"/>
      <c r="E4849" s="591"/>
      <c r="G4849" s="593"/>
    </row>
    <row r="4850" spans="1:7">
      <c r="A4850" s="584"/>
      <c r="B4850" s="585"/>
      <c r="C4850" s="586"/>
      <c r="D4850" s="587"/>
      <c r="E4850" s="591"/>
      <c r="G4850" s="593"/>
    </row>
    <row r="4851" spans="1:7">
      <c r="A4851" s="584"/>
      <c r="B4851" s="585"/>
      <c r="C4851" s="586"/>
      <c r="D4851" s="587"/>
      <c r="E4851" s="591"/>
      <c r="G4851" s="593"/>
    </row>
    <row r="4852" spans="1:7">
      <c r="A4852" s="584"/>
      <c r="B4852" s="585"/>
      <c r="C4852" s="586"/>
      <c r="D4852" s="587"/>
      <c r="E4852" s="591"/>
      <c r="G4852" s="593"/>
    </row>
    <row r="4853" spans="1:7">
      <c r="A4853" s="584"/>
      <c r="B4853" s="585"/>
      <c r="C4853" s="586"/>
      <c r="D4853" s="587"/>
      <c r="E4853" s="591"/>
      <c r="G4853" s="593"/>
    </row>
    <row r="4854" spans="1:7">
      <c r="A4854" s="584"/>
      <c r="B4854" s="585"/>
      <c r="C4854" s="586"/>
      <c r="D4854" s="587"/>
      <c r="E4854" s="591"/>
      <c r="G4854" s="593"/>
    </row>
    <row r="4855" spans="1:7">
      <c r="A4855" s="584"/>
      <c r="B4855" s="585"/>
      <c r="C4855" s="586"/>
      <c r="D4855" s="587"/>
      <c r="E4855" s="591"/>
      <c r="G4855" s="593"/>
    </row>
    <row r="4856" spans="1:7">
      <c r="A4856" s="584"/>
      <c r="B4856" s="585"/>
      <c r="C4856" s="586"/>
      <c r="D4856" s="587"/>
      <c r="E4856" s="591"/>
      <c r="G4856" s="593"/>
    </row>
    <row r="4857" spans="1:7">
      <c r="A4857" s="584"/>
      <c r="B4857" s="585"/>
      <c r="C4857" s="586"/>
      <c r="D4857" s="587"/>
      <c r="E4857" s="591"/>
      <c r="G4857" s="593"/>
    </row>
    <row r="4858" spans="1:7">
      <c r="A4858" s="584"/>
      <c r="B4858" s="585"/>
      <c r="C4858" s="586"/>
      <c r="D4858" s="587"/>
      <c r="E4858" s="591"/>
      <c r="G4858" s="593"/>
    </row>
    <row r="4859" spans="1:7">
      <c r="A4859" s="584"/>
      <c r="B4859" s="585"/>
      <c r="C4859" s="586"/>
      <c r="D4859" s="587"/>
      <c r="E4859" s="591"/>
      <c r="G4859" s="593"/>
    </row>
    <row r="4860" spans="1:7">
      <c r="A4860" s="584"/>
      <c r="B4860" s="585"/>
      <c r="C4860" s="586"/>
      <c r="D4860" s="587"/>
      <c r="E4860" s="591"/>
      <c r="G4860" s="593"/>
    </row>
    <row r="4861" spans="1:7">
      <c r="A4861" s="584"/>
      <c r="B4861" s="585"/>
      <c r="C4861" s="586"/>
      <c r="D4861" s="587"/>
      <c r="E4861" s="591"/>
      <c r="G4861" s="593"/>
    </row>
    <row r="4862" spans="1:7">
      <c r="A4862" s="584"/>
      <c r="B4862" s="585"/>
      <c r="C4862" s="586"/>
      <c r="D4862" s="587"/>
      <c r="E4862" s="591"/>
      <c r="G4862" s="593"/>
    </row>
    <row r="4863" spans="1:7">
      <c r="A4863" s="584"/>
      <c r="B4863" s="585"/>
      <c r="C4863" s="586"/>
      <c r="D4863" s="587"/>
      <c r="E4863" s="591"/>
      <c r="G4863" s="593"/>
    </row>
    <row r="4864" spans="1:7">
      <c r="A4864" s="584"/>
      <c r="B4864" s="585"/>
      <c r="C4864" s="586"/>
      <c r="D4864" s="587"/>
      <c r="E4864" s="591"/>
      <c r="G4864" s="593"/>
    </row>
    <row r="4865" spans="1:7">
      <c r="A4865" s="584"/>
      <c r="B4865" s="585"/>
      <c r="C4865" s="586"/>
      <c r="D4865" s="587"/>
      <c r="E4865" s="591"/>
      <c r="G4865" s="593"/>
    </row>
    <row r="4866" spans="1:7">
      <c r="A4866" s="584"/>
      <c r="B4866" s="585"/>
      <c r="C4866" s="586"/>
      <c r="D4866" s="587"/>
      <c r="E4866" s="591"/>
      <c r="G4866" s="593"/>
    </row>
    <row r="4867" spans="1:7">
      <c r="A4867" s="584"/>
      <c r="B4867" s="585"/>
      <c r="C4867" s="586"/>
      <c r="D4867" s="587"/>
      <c r="E4867" s="591"/>
      <c r="G4867" s="593"/>
    </row>
    <row r="4868" spans="1:7">
      <c r="A4868" s="584"/>
      <c r="B4868" s="585"/>
      <c r="C4868" s="586"/>
      <c r="D4868" s="587"/>
      <c r="E4868" s="591"/>
      <c r="G4868" s="593"/>
    </row>
    <row r="4869" spans="1:7">
      <c r="A4869" s="584"/>
      <c r="B4869" s="585"/>
      <c r="C4869" s="586"/>
      <c r="D4869" s="587"/>
      <c r="E4869" s="591"/>
      <c r="G4869" s="593"/>
    </row>
    <row r="4870" spans="1:7">
      <c r="A4870" s="584"/>
      <c r="B4870" s="585"/>
      <c r="C4870" s="586"/>
      <c r="D4870" s="587"/>
      <c r="E4870" s="591"/>
      <c r="G4870" s="593"/>
    </row>
    <row r="4871" spans="1:7">
      <c r="A4871" s="584"/>
      <c r="B4871" s="585"/>
      <c r="C4871" s="586"/>
      <c r="D4871" s="587"/>
      <c r="E4871" s="591"/>
      <c r="G4871" s="593"/>
    </row>
    <row r="4872" spans="1:7">
      <c r="A4872" s="584"/>
      <c r="B4872" s="585"/>
      <c r="C4872" s="586"/>
      <c r="D4872" s="587"/>
      <c r="E4872" s="591"/>
      <c r="G4872" s="593"/>
    </row>
    <row r="4873" spans="1:7">
      <c r="A4873" s="584"/>
      <c r="B4873" s="585"/>
      <c r="C4873" s="586"/>
      <c r="D4873" s="587"/>
      <c r="E4873" s="591"/>
      <c r="G4873" s="593"/>
    </row>
    <row r="4874" spans="1:7">
      <c r="A4874" s="584"/>
      <c r="B4874" s="585"/>
      <c r="C4874" s="586"/>
      <c r="D4874" s="587"/>
      <c r="E4874" s="591"/>
      <c r="G4874" s="593"/>
    </row>
    <row r="4875" spans="1:7">
      <c r="A4875" s="584"/>
      <c r="B4875" s="585"/>
      <c r="C4875" s="586"/>
      <c r="D4875" s="587"/>
      <c r="E4875" s="591"/>
      <c r="G4875" s="593"/>
    </row>
    <row r="4876" spans="1:7">
      <c r="A4876" s="584"/>
      <c r="B4876" s="585"/>
      <c r="C4876" s="586"/>
      <c r="D4876" s="587"/>
      <c r="E4876" s="591"/>
      <c r="G4876" s="593"/>
    </row>
    <row r="4877" spans="1:7">
      <c r="A4877" s="584"/>
      <c r="B4877" s="585"/>
      <c r="C4877" s="586"/>
      <c r="D4877" s="587"/>
      <c r="E4877" s="591"/>
      <c r="G4877" s="593"/>
    </row>
    <row r="4878" spans="1:7">
      <c r="A4878" s="584"/>
      <c r="B4878" s="585"/>
      <c r="C4878" s="586"/>
      <c r="D4878" s="587"/>
      <c r="E4878" s="591"/>
      <c r="G4878" s="593"/>
    </row>
    <row r="4879" spans="1:7">
      <c r="A4879" s="584"/>
      <c r="B4879" s="585"/>
      <c r="C4879" s="586"/>
      <c r="D4879" s="587"/>
      <c r="E4879" s="591"/>
      <c r="G4879" s="593"/>
    </row>
    <row r="4880" spans="1:7">
      <c r="A4880" s="584"/>
      <c r="B4880" s="585"/>
      <c r="C4880" s="586"/>
      <c r="D4880" s="587"/>
      <c r="E4880" s="591"/>
      <c r="G4880" s="593"/>
    </row>
    <row r="4881" spans="1:7">
      <c r="A4881" s="584"/>
      <c r="B4881" s="585"/>
      <c r="C4881" s="586"/>
      <c r="D4881" s="587"/>
      <c r="E4881" s="591"/>
      <c r="G4881" s="593"/>
    </row>
    <row r="4882" spans="1:7">
      <c r="A4882" s="584"/>
      <c r="B4882" s="585"/>
      <c r="C4882" s="586"/>
      <c r="D4882" s="587"/>
      <c r="E4882" s="591"/>
      <c r="G4882" s="593"/>
    </row>
    <row r="4883" spans="1:7">
      <c r="A4883" s="584"/>
      <c r="B4883" s="585"/>
      <c r="C4883" s="586"/>
      <c r="D4883" s="587"/>
      <c r="E4883" s="591"/>
      <c r="G4883" s="593"/>
    </row>
    <row r="4884" spans="1:7">
      <c r="A4884" s="584"/>
      <c r="B4884" s="585"/>
      <c r="C4884" s="586"/>
      <c r="D4884" s="587"/>
      <c r="E4884" s="591"/>
      <c r="G4884" s="593"/>
    </row>
    <row r="4885" spans="1:7">
      <c r="A4885" s="584"/>
      <c r="B4885" s="585"/>
      <c r="C4885" s="586"/>
      <c r="D4885" s="587"/>
      <c r="E4885" s="591"/>
      <c r="G4885" s="593"/>
    </row>
    <row r="4886" spans="1:7">
      <c r="A4886" s="584"/>
      <c r="B4886" s="585"/>
      <c r="C4886" s="586"/>
      <c r="D4886" s="587"/>
      <c r="E4886" s="591"/>
      <c r="G4886" s="593"/>
    </row>
    <row r="4887" spans="1:7">
      <c r="A4887" s="584"/>
      <c r="B4887" s="585"/>
      <c r="C4887" s="586"/>
      <c r="D4887" s="587"/>
      <c r="E4887" s="591"/>
      <c r="G4887" s="593"/>
    </row>
    <row r="4888" spans="1:7">
      <c r="A4888" s="584"/>
      <c r="B4888" s="585"/>
      <c r="C4888" s="586"/>
      <c r="D4888" s="587"/>
      <c r="E4888" s="591"/>
      <c r="G4888" s="593"/>
    </row>
    <row r="4889" spans="1:7">
      <c r="A4889" s="584"/>
      <c r="B4889" s="585"/>
      <c r="C4889" s="586"/>
      <c r="D4889" s="587"/>
      <c r="E4889" s="591"/>
      <c r="G4889" s="593"/>
    </row>
    <row r="4890" spans="1:7">
      <c r="A4890" s="584"/>
      <c r="B4890" s="585"/>
      <c r="C4890" s="586"/>
      <c r="D4890" s="587"/>
      <c r="E4890" s="591"/>
      <c r="G4890" s="593"/>
    </row>
    <row r="4891" spans="1:7">
      <c r="A4891" s="584"/>
      <c r="B4891" s="585"/>
      <c r="C4891" s="586"/>
      <c r="D4891" s="587"/>
      <c r="E4891" s="591"/>
      <c r="G4891" s="593"/>
    </row>
    <row r="4892" spans="1:7">
      <c r="A4892" s="584"/>
      <c r="B4892" s="585"/>
      <c r="C4892" s="586"/>
      <c r="D4892" s="587"/>
      <c r="E4892" s="591"/>
      <c r="G4892" s="593"/>
    </row>
    <row r="4893" spans="1:7">
      <c r="A4893" s="584"/>
      <c r="B4893" s="585"/>
      <c r="C4893" s="586"/>
      <c r="D4893" s="587"/>
      <c r="E4893" s="591"/>
      <c r="G4893" s="593"/>
    </row>
    <row r="4894" spans="1:7">
      <c r="A4894" s="584"/>
      <c r="B4894" s="585"/>
      <c r="C4894" s="586"/>
      <c r="D4894" s="587"/>
      <c r="E4894" s="591"/>
      <c r="G4894" s="593"/>
    </row>
    <row r="4895" spans="1:7">
      <c r="A4895" s="584"/>
      <c r="B4895" s="585"/>
      <c r="C4895" s="586"/>
      <c r="D4895" s="587"/>
      <c r="E4895" s="591"/>
      <c r="G4895" s="593"/>
    </row>
    <row r="4896" spans="1:7">
      <c r="A4896" s="584"/>
      <c r="B4896" s="585"/>
      <c r="C4896" s="586"/>
      <c r="D4896" s="587"/>
      <c r="E4896" s="591"/>
      <c r="G4896" s="593"/>
    </row>
    <row r="4897" spans="1:7">
      <c r="A4897" s="584"/>
      <c r="B4897" s="585"/>
      <c r="C4897" s="586"/>
      <c r="D4897" s="587"/>
      <c r="E4897" s="591"/>
      <c r="G4897" s="593"/>
    </row>
    <row r="4898" spans="1:7">
      <c r="A4898" s="584"/>
      <c r="B4898" s="585"/>
      <c r="C4898" s="586"/>
      <c r="D4898" s="587"/>
      <c r="E4898" s="591"/>
      <c r="G4898" s="593"/>
    </row>
    <row r="4899" spans="1:7">
      <c r="A4899" s="584"/>
      <c r="B4899" s="585"/>
      <c r="C4899" s="586"/>
      <c r="D4899" s="587"/>
      <c r="E4899" s="591"/>
      <c r="G4899" s="593"/>
    </row>
    <row r="4900" spans="1:7">
      <c r="A4900" s="584"/>
      <c r="B4900" s="585"/>
      <c r="C4900" s="586"/>
      <c r="D4900" s="587"/>
      <c r="E4900" s="591"/>
      <c r="G4900" s="593"/>
    </row>
    <row r="4901" spans="1:7">
      <c r="A4901" s="584"/>
      <c r="B4901" s="585"/>
      <c r="C4901" s="586"/>
      <c r="D4901" s="587"/>
      <c r="E4901" s="591"/>
      <c r="G4901" s="593"/>
    </row>
    <row r="4902" spans="1:7">
      <c r="A4902" s="584"/>
      <c r="B4902" s="585"/>
      <c r="C4902" s="586"/>
      <c r="D4902" s="587"/>
      <c r="E4902" s="591"/>
      <c r="G4902" s="593"/>
    </row>
    <row r="4903" spans="1:7">
      <c r="A4903" s="584"/>
      <c r="B4903" s="585"/>
      <c r="C4903" s="586"/>
      <c r="D4903" s="587"/>
      <c r="E4903" s="591"/>
      <c r="G4903" s="593"/>
    </row>
    <row r="4904" spans="1:7">
      <c r="A4904" s="584"/>
      <c r="B4904" s="585"/>
      <c r="C4904" s="586"/>
      <c r="D4904" s="587"/>
      <c r="E4904" s="591"/>
      <c r="G4904" s="593"/>
    </row>
    <row r="4905" spans="1:7">
      <c r="A4905" s="584"/>
      <c r="B4905" s="585"/>
      <c r="C4905" s="586"/>
      <c r="D4905" s="587"/>
      <c r="E4905" s="591"/>
      <c r="G4905" s="593"/>
    </row>
    <row r="4906" spans="1:7">
      <c r="A4906" s="584"/>
      <c r="B4906" s="585"/>
      <c r="C4906" s="586"/>
      <c r="D4906" s="587"/>
      <c r="E4906" s="591"/>
      <c r="G4906" s="593"/>
    </row>
    <row r="4907" spans="1:7">
      <c r="A4907" s="584"/>
      <c r="B4907" s="585"/>
      <c r="C4907" s="586"/>
      <c r="D4907" s="587"/>
      <c r="E4907" s="591"/>
      <c r="G4907" s="593"/>
    </row>
    <row r="4908" spans="1:7">
      <c r="A4908" s="584"/>
      <c r="B4908" s="585"/>
      <c r="C4908" s="586"/>
      <c r="D4908" s="587"/>
      <c r="E4908" s="591"/>
      <c r="G4908" s="593"/>
    </row>
    <row r="4909" spans="1:7">
      <c r="A4909" s="584"/>
      <c r="B4909" s="585"/>
      <c r="C4909" s="586"/>
      <c r="D4909" s="587"/>
      <c r="E4909" s="591"/>
      <c r="G4909" s="593"/>
    </row>
    <row r="4910" spans="1:7">
      <c r="A4910" s="584"/>
      <c r="B4910" s="585"/>
      <c r="C4910" s="586"/>
      <c r="D4910" s="587"/>
      <c r="E4910" s="591"/>
      <c r="G4910" s="593"/>
    </row>
    <row r="4911" spans="1:7">
      <c r="A4911" s="584"/>
      <c r="B4911" s="585"/>
      <c r="C4911" s="586"/>
      <c r="D4911" s="587"/>
      <c r="E4911" s="591"/>
      <c r="G4911" s="593"/>
    </row>
    <row r="4912" spans="1:7">
      <c r="A4912" s="584"/>
      <c r="B4912" s="585"/>
      <c r="C4912" s="586"/>
      <c r="D4912" s="587"/>
      <c r="E4912" s="591"/>
      <c r="G4912" s="593"/>
    </row>
    <row r="4913" spans="1:7">
      <c r="A4913" s="584"/>
      <c r="B4913" s="585"/>
      <c r="C4913" s="586"/>
      <c r="D4913" s="587"/>
      <c r="E4913" s="591"/>
      <c r="G4913" s="593"/>
    </row>
    <row r="4914" spans="1:7">
      <c r="A4914" s="584"/>
      <c r="B4914" s="585"/>
      <c r="C4914" s="586"/>
      <c r="D4914" s="587"/>
      <c r="E4914" s="591"/>
      <c r="G4914" s="593"/>
    </row>
    <row r="4915" spans="1:7">
      <c r="A4915" s="584"/>
      <c r="B4915" s="585"/>
      <c r="C4915" s="586"/>
      <c r="D4915" s="587"/>
      <c r="E4915" s="591"/>
      <c r="G4915" s="593"/>
    </row>
    <row r="4916" spans="1:7">
      <c r="A4916" s="584"/>
      <c r="B4916" s="585"/>
      <c r="C4916" s="586"/>
      <c r="D4916" s="587"/>
      <c r="E4916" s="591"/>
      <c r="G4916" s="593"/>
    </row>
    <row r="4917" spans="1:7">
      <c r="A4917" s="584"/>
      <c r="B4917" s="585"/>
      <c r="C4917" s="586"/>
      <c r="D4917" s="587"/>
      <c r="E4917" s="591"/>
      <c r="G4917" s="593"/>
    </row>
    <row r="4918" spans="1:7">
      <c r="A4918" s="584"/>
      <c r="B4918" s="585"/>
      <c r="C4918" s="586"/>
      <c r="D4918" s="587"/>
      <c r="E4918" s="591"/>
      <c r="G4918" s="593"/>
    </row>
    <row r="4919" spans="1:7">
      <c r="A4919" s="584"/>
      <c r="B4919" s="585"/>
      <c r="C4919" s="586"/>
      <c r="D4919" s="587"/>
      <c r="E4919" s="591"/>
      <c r="G4919" s="593"/>
    </row>
    <row r="4920" spans="1:7">
      <c r="A4920" s="584"/>
      <c r="B4920" s="585"/>
      <c r="C4920" s="586"/>
      <c r="D4920" s="587"/>
      <c r="E4920" s="591"/>
      <c r="G4920" s="593"/>
    </row>
    <row r="4921" spans="1:7">
      <c r="A4921" s="584"/>
      <c r="B4921" s="585"/>
      <c r="C4921" s="586"/>
      <c r="D4921" s="587"/>
      <c r="E4921" s="591"/>
      <c r="G4921" s="593"/>
    </row>
    <row r="4922" spans="1:7">
      <c r="A4922" s="584"/>
      <c r="B4922" s="585"/>
      <c r="C4922" s="586"/>
      <c r="D4922" s="587"/>
      <c r="E4922" s="591"/>
      <c r="G4922" s="593"/>
    </row>
    <row r="4923" spans="1:7">
      <c r="A4923" s="584"/>
      <c r="B4923" s="585"/>
      <c r="C4923" s="586"/>
      <c r="D4923" s="587"/>
      <c r="E4923" s="591"/>
      <c r="G4923" s="593"/>
    </row>
    <row r="4924" spans="1:7">
      <c r="A4924" s="584"/>
      <c r="B4924" s="585"/>
      <c r="C4924" s="586"/>
      <c r="D4924" s="587"/>
      <c r="E4924" s="591"/>
      <c r="G4924" s="593"/>
    </row>
    <row r="4925" spans="1:7">
      <c r="A4925" s="584"/>
      <c r="B4925" s="585"/>
      <c r="C4925" s="586"/>
      <c r="D4925" s="587"/>
      <c r="E4925" s="591"/>
      <c r="G4925" s="593"/>
    </row>
    <row r="4926" spans="1:7">
      <c r="A4926" s="584"/>
      <c r="B4926" s="585"/>
      <c r="C4926" s="586"/>
      <c r="D4926" s="587"/>
      <c r="E4926" s="591"/>
      <c r="G4926" s="593"/>
    </row>
    <row r="4927" spans="1:7">
      <c r="A4927" s="584"/>
      <c r="B4927" s="585"/>
      <c r="C4927" s="586"/>
      <c r="D4927" s="587"/>
      <c r="E4927" s="591"/>
      <c r="G4927" s="593"/>
    </row>
    <row r="4928" spans="1:7">
      <c r="A4928" s="584"/>
      <c r="B4928" s="585"/>
      <c r="C4928" s="586"/>
      <c r="D4928" s="587"/>
      <c r="E4928" s="591"/>
      <c r="G4928" s="593"/>
    </row>
    <row r="4929" spans="1:7">
      <c r="A4929" s="584"/>
      <c r="B4929" s="585"/>
      <c r="C4929" s="586"/>
      <c r="D4929" s="587"/>
      <c r="E4929" s="591"/>
      <c r="G4929" s="593"/>
    </row>
    <row r="4930" spans="1:7">
      <c r="A4930" s="584"/>
      <c r="B4930" s="585"/>
      <c r="C4930" s="586"/>
      <c r="D4930" s="587"/>
      <c r="E4930" s="591"/>
      <c r="G4930" s="593"/>
    </row>
    <row r="4931" spans="1:7">
      <c r="A4931" s="584"/>
      <c r="B4931" s="585"/>
      <c r="C4931" s="586"/>
      <c r="D4931" s="587"/>
      <c r="E4931" s="591"/>
      <c r="G4931" s="593"/>
    </row>
    <row r="4932" spans="1:7">
      <c r="A4932" s="584"/>
      <c r="B4932" s="585"/>
      <c r="C4932" s="586"/>
      <c r="D4932" s="587"/>
      <c r="E4932" s="591"/>
      <c r="G4932" s="593"/>
    </row>
    <row r="4933" spans="1:7">
      <c r="A4933" s="584"/>
      <c r="B4933" s="585"/>
      <c r="C4933" s="586"/>
      <c r="D4933" s="587"/>
      <c r="E4933" s="591"/>
      <c r="G4933" s="593"/>
    </row>
    <row r="4934" spans="1:7">
      <c r="A4934" s="584"/>
      <c r="B4934" s="585"/>
      <c r="C4934" s="586"/>
      <c r="D4934" s="587"/>
      <c r="E4934" s="591"/>
      <c r="G4934" s="593"/>
    </row>
    <row r="4935" spans="1:7">
      <c r="A4935" s="584"/>
      <c r="B4935" s="585"/>
      <c r="C4935" s="586"/>
      <c r="D4935" s="587"/>
      <c r="E4935" s="591"/>
      <c r="G4935" s="593"/>
    </row>
    <row r="4936" spans="1:7">
      <c r="A4936" s="584"/>
      <c r="B4936" s="585"/>
      <c r="C4936" s="586"/>
      <c r="D4936" s="587"/>
      <c r="E4936" s="591"/>
      <c r="G4936" s="593"/>
    </row>
    <row r="4937" spans="1:7">
      <c r="A4937" s="584"/>
      <c r="B4937" s="585"/>
      <c r="C4937" s="586"/>
      <c r="D4937" s="587"/>
      <c r="E4937" s="591"/>
      <c r="G4937" s="593"/>
    </row>
    <row r="4938" spans="1:7">
      <c r="A4938" s="584"/>
      <c r="B4938" s="585"/>
      <c r="C4938" s="586"/>
      <c r="D4938" s="587"/>
      <c r="E4938" s="591"/>
      <c r="G4938" s="593"/>
    </row>
    <row r="4939" spans="1:7">
      <c r="A4939" s="584"/>
      <c r="B4939" s="585"/>
      <c r="C4939" s="586"/>
      <c r="D4939" s="587"/>
      <c r="E4939" s="591"/>
      <c r="G4939" s="593"/>
    </row>
    <row r="4940" spans="1:7">
      <c r="A4940" s="584"/>
      <c r="B4940" s="585"/>
      <c r="C4940" s="586"/>
      <c r="D4940" s="587"/>
      <c r="E4940" s="591"/>
      <c r="G4940" s="593"/>
    </row>
    <row r="4941" spans="1:7">
      <c r="A4941" s="584"/>
      <c r="B4941" s="585"/>
      <c r="C4941" s="586"/>
      <c r="D4941" s="587"/>
      <c r="E4941" s="591"/>
      <c r="G4941" s="593"/>
    </row>
    <row r="4942" spans="1:7">
      <c r="A4942" s="584"/>
      <c r="B4942" s="585"/>
      <c r="C4942" s="586"/>
      <c r="D4942" s="587"/>
      <c r="E4942" s="591"/>
      <c r="G4942" s="593"/>
    </row>
    <row r="4943" spans="1:7">
      <c r="A4943" s="584"/>
      <c r="B4943" s="585"/>
      <c r="C4943" s="586"/>
      <c r="D4943" s="587"/>
      <c r="E4943" s="591"/>
      <c r="G4943" s="593"/>
    </row>
    <row r="4944" spans="1:7">
      <c r="A4944" s="584"/>
      <c r="B4944" s="585"/>
      <c r="C4944" s="586"/>
      <c r="D4944" s="587"/>
      <c r="E4944" s="591"/>
      <c r="G4944" s="593"/>
    </row>
    <row r="4945" spans="1:7">
      <c r="A4945" s="584"/>
      <c r="B4945" s="585"/>
      <c r="C4945" s="586"/>
      <c r="D4945" s="587"/>
      <c r="E4945" s="591"/>
      <c r="G4945" s="593"/>
    </row>
    <row r="4946" spans="1:7">
      <c r="A4946" s="584"/>
      <c r="B4946" s="585"/>
      <c r="C4946" s="586"/>
      <c r="D4946" s="587"/>
      <c r="E4946" s="591"/>
      <c r="G4946" s="593"/>
    </row>
    <row r="4947" spans="1:7">
      <c r="A4947" s="584"/>
      <c r="B4947" s="585"/>
      <c r="C4947" s="586"/>
      <c r="D4947" s="587"/>
      <c r="E4947" s="591"/>
      <c r="G4947" s="593"/>
    </row>
    <row r="4948" spans="1:7">
      <c r="A4948" s="584"/>
      <c r="B4948" s="585"/>
      <c r="C4948" s="586"/>
      <c r="D4948" s="587"/>
      <c r="E4948" s="591"/>
      <c r="G4948" s="593"/>
    </row>
    <row r="4949" spans="1:7">
      <c r="A4949" s="584"/>
      <c r="B4949" s="585"/>
      <c r="C4949" s="586"/>
      <c r="D4949" s="587"/>
      <c r="E4949" s="591"/>
      <c r="G4949" s="593"/>
    </row>
    <row r="4950" spans="1:7">
      <c r="A4950" s="584"/>
      <c r="B4950" s="585"/>
      <c r="C4950" s="586"/>
      <c r="D4950" s="587"/>
      <c r="E4950" s="591"/>
      <c r="G4950" s="593"/>
    </row>
    <row r="4951" spans="1:7">
      <c r="A4951" s="584"/>
      <c r="B4951" s="585"/>
      <c r="C4951" s="586"/>
      <c r="D4951" s="587"/>
      <c r="E4951" s="591"/>
      <c r="G4951" s="593"/>
    </row>
    <row r="4952" spans="1:7">
      <c r="A4952" s="584"/>
      <c r="B4952" s="585"/>
      <c r="C4952" s="586"/>
      <c r="D4952" s="587"/>
      <c r="E4952" s="591"/>
      <c r="G4952" s="593"/>
    </row>
    <row r="4953" spans="1:7">
      <c r="A4953" s="584"/>
      <c r="B4953" s="585"/>
      <c r="C4953" s="586"/>
      <c r="D4953" s="587"/>
      <c r="E4953" s="591"/>
      <c r="G4953" s="593"/>
    </row>
    <row r="4954" spans="1:7">
      <c r="A4954" s="584"/>
      <c r="B4954" s="585"/>
      <c r="C4954" s="586"/>
      <c r="D4954" s="587"/>
      <c r="E4954" s="591"/>
      <c r="G4954" s="593"/>
    </row>
    <row r="4955" spans="1:7">
      <c r="A4955" s="584"/>
      <c r="B4955" s="585"/>
      <c r="C4955" s="586"/>
      <c r="D4955" s="587"/>
      <c r="E4955" s="591"/>
      <c r="G4955" s="593"/>
    </row>
    <row r="4956" spans="1:7">
      <c r="A4956" s="584"/>
      <c r="B4956" s="585"/>
      <c r="C4956" s="586"/>
      <c r="D4956" s="587"/>
      <c r="E4956" s="591"/>
      <c r="G4956" s="593"/>
    </row>
    <row r="4957" spans="1:7">
      <c r="A4957" s="584"/>
      <c r="B4957" s="585"/>
      <c r="C4957" s="586"/>
      <c r="D4957" s="587"/>
      <c r="E4957" s="591"/>
      <c r="G4957" s="593"/>
    </row>
    <row r="4958" spans="1:7">
      <c r="A4958" s="584"/>
      <c r="B4958" s="585"/>
      <c r="C4958" s="586"/>
      <c r="D4958" s="587"/>
      <c r="E4958" s="591"/>
      <c r="G4958" s="593"/>
    </row>
    <row r="4959" spans="1:7">
      <c r="A4959" s="584"/>
      <c r="B4959" s="585"/>
      <c r="C4959" s="586"/>
      <c r="D4959" s="587"/>
      <c r="E4959" s="591"/>
      <c r="G4959" s="593"/>
    </row>
    <row r="4960" spans="1:7">
      <c r="A4960" s="584"/>
      <c r="B4960" s="585"/>
      <c r="C4960" s="586"/>
      <c r="D4960" s="587"/>
      <c r="E4960" s="591"/>
      <c r="G4960" s="593"/>
    </row>
    <row r="4961" spans="1:7">
      <c r="A4961" s="584"/>
      <c r="B4961" s="585"/>
      <c r="C4961" s="586"/>
      <c r="D4961" s="587"/>
      <c r="E4961" s="591"/>
      <c r="G4961" s="593"/>
    </row>
    <row r="4962" spans="1:7">
      <c r="A4962" s="584"/>
      <c r="B4962" s="585"/>
      <c r="C4962" s="586"/>
      <c r="D4962" s="587"/>
      <c r="E4962" s="591"/>
      <c r="G4962" s="593"/>
    </row>
    <row r="4963" spans="1:7">
      <c r="A4963" s="584"/>
      <c r="B4963" s="585"/>
      <c r="C4963" s="586"/>
      <c r="D4963" s="587"/>
      <c r="E4963" s="591"/>
      <c r="G4963" s="593"/>
    </row>
    <row r="4964" spans="1:7">
      <c r="A4964" s="584"/>
      <c r="B4964" s="585"/>
      <c r="C4964" s="586"/>
      <c r="D4964" s="587"/>
      <c r="E4964" s="591"/>
      <c r="G4964" s="593"/>
    </row>
    <row r="4965" spans="1:7">
      <c r="A4965" s="584"/>
      <c r="B4965" s="585"/>
      <c r="C4965" s="586"/>
      <c r="D4965" s="587"/>
      <c r="E4965" s="591"/>
      <c r="G4965" s="593"/>
    </row>
    <row r="4966" spans="1:7">
      <c r="A4966" s="584"/>
      <c r="B4966" s="585"/>
      <c r="C4966" s="586"/>
      <c r="D4966" s="587"/>
      <c r="E4966" s="591"/>
      <c r="G4966" s="593"/>
    </row>
    <row r="4967" spans="1:7">
      <c r="A4967" s="584"/>
      <c r="B4967" s="585"/>
      <c r="C4967" s="586"/>
      <c r="D4967" s="587"/>
      <c r="E4967" s="591"/>
      <c r="G4967" s="593"/>
    </row>
    <row r="4968" spans="1:7">
      <c r="A4968" s="584"/>
      <c r="B4968" s="585"/>
      <c r="C4968" s="586"/>
      <c r="D4968" s="587"/>
      <c r="E4968" s="591"/>
      <c r="G4968" s="593"/>
    </row>
    <row r="4969" spans="1:7">
      <c r="A4969" s="584"/>
      <c r="B4969" s="585"/>
      <c r="C4969" s="586"/>
      <c r="D4969" s="587"/>
      <c r="E4969" s="591"/>
      <c r="G4969" s="593"/>
    </row>
    <row r="4970" spans="1:7">
      <c r="A4970" s="584"/>
      <c r="B4970" s="585"/>
      <c r="C4970" s="586"/>
      <c r="D4970" s="587"/>
      <c r="E4970" s="591"/>
      <c r="G4970" s="593"/>
    </row>
    <row r="4971" spans="1:7">
      <c r="A4971" s="584"/>
      <c r="B4971" s="585"/>
      <c r="C4971" s="586"/>
      <c r="D4971" s="587"/>
      <c r="E4971" s="591"/>
      <c r="G4971" s="593"/>
    </row>
    <row r="4972" spans="1:7">
      <c r="A4972" s="584"/>
      <c r="B4972" s="585"/>
      <c r="C4972" s="586"/>
      <c r="D4972" s="587"/>
      <c r="E4972" s="591"/>
      <c r="G4972" s="593"/>
    </row>
    <row r="4973" spans="1:7">
      <c r="A4973" s="584"/>
      <c r="B4973" s="585"/>
      <c r="C4973" s="586"/>
      <c r="D4973" s="587"/>
      <c r="E4973" s="591"/>
      <c r="G4973" s="593"/>
    </row>
    <row r="4974" spans="1:7">
      <c r="A4974" s="584"/>
      <c r="B4974" s="585"/>
      <c r="C4974" s="586"/>
      <c r="D4974" s="587"/>
      <c r="E4974" s="591"/>
      <c r="G4974" s="593"/>
    </row>
    <row r="4975" spans="1:7">
      <c r="A4975" s="584"/>
      <c r="B4975" s="585"/>
      <c r="C4975" s="586"/>
      <c r="D4975" s="587"/>
      <c r="E4975" s="591"/>
      <c r="G4975" s="593"/>
    </row>
    <row r="4976" spans="1:7">
      <c r="A4976" s="584"/>
      <c r="B4976" s="585"/>
      <c r="C4976" s="586"/>
      <c r="D4976" s="587"/>
      <c r="E4976" s="591"/>
      <c r="G4976" s="593"/>
    </row>
    <row r="4977" spans="1:7">
      <c r="A4977" s="584"/>
      <c r="B4977" s="585"/>
      <c r="C4977" s="586"/>
      <c r="D4977" s="587"/>
      <c r="E4977" s="591"/>
      <c r="G4977" s="593"/>
    </row>
    <row r="4978" spans="1:7">
      <c r="A4978" s="584"/>
      <c r="B4978" s="585"/>
      <c r="C4978" s="586"/>
      <c r="D4978" s="587"/>
      <c r="E4978" s="591"/>
      <c r="G4978" s="593"/>
    </row>
    <row r="4979" spans="1:7">
      <c r="A4979" s="584"/>
      <c r="B4979" s="585"/>
      <c r="C4979" s="586"/>
      <c r="D4979" s="587"/>
      <c r="E4979" s="591"/>
      <c r="G4979" s="593"/>
    </row>
    <row r="4980" spans="1:7">
      <c r="A4980" s="584"/>
      <c r="B4980" s="585"/>
      <c r="C4980" s="586"/>
      <c r="D4980" s="587"/>
      <c r="E4980" s="591"/>
      <c r="G4980" s="593"/>
    </row>
    <row r="4981" spans="1:7">
      <c r="A4981" s="584"/>
      <c r="B4981" s="585"/>
      <c r="C4981" s="586"/>
      <c r="D4981" s="587"/>
      <c r="E4981" s="591"/>
      <c r="G4981" s="593"/>
    </row>
    <row r="4982" spans="1:7">
      <c r="A4982" s="584"/>
      <c r="B4982" s="585"/>
      <c r="C4982" s="586"/>
      <c r="D4982" s="587"/>
      <c r="E4982" s="591"/>
      <c r="G4982" s="593"/>
    </row>
    <row r="4983" spans="1:7">
      <c r="A4983" s="584"/>
      <c r="B4983" s="585"/>
      <c r="C4983" s="586"/>
      <c r="D4983" s="587"/>
      <c r="E4983" s="591"/>
      <c r="G4983" s="593"/>
    </row>
    <row r="4984" spans="1:7">
      <c r="A4984" s="584"/>
      <c r="B4984" s="585"/>
      <c r="C4984" s="586"/>
      <c r="D4984" s="587"/>
      <c r="E4984" s="591"/>
      <c r="G4984" s="593"/>
    </row>
    <row r="4985" spans="1:7">
      <c r="A4985" s="584"/>
      <c r="B4985" s="585"/>
      <c r="C4985" s="586"/>
      <c r="D4985" s="587"/>
      <c r="E4985" s="591"/>
      <c r="G4985" s="593"/>
    </row>
    <row r="4986" spans="1:7">
      <c r="A4986" s="584"/>
      <c r="B4986" s="585"/>
      <c r="C4986" s="586"/>
      <c r="D4986" s="587"/>
      <c r="E4986" s="591"/>
      <c r="G4986" s="593"/>
    </row>
    <row r="4987" spans="1:7">
      <c r="A4987" s="584"/>
      <c r="B4987" s="585"/>
      <c r="C4987" s="586"/>
      <c r="D4987" s="587"/>
      <c r="E4987" s="591"/>
      <c r="G4987" s="593"/>
    </row>
    <row r="4988" spans="1:7">
      <c r="A4988" s="584"/>
      <c r="B4988" s="585"/>
      <c r="C4988" s="586"/>
      <c r="D4988" s="587"/>
      <c r="E4988" s="591"/>
      <c r="G4988" s="593"/>
    </row>
    <row r="4989" spans="1:7">
      <c r="A4989" s="584"/>
      <c r="B4989" s="585"/>
      <c r="C4989" s="586"/>
      <c r="D4989" s="587"/>
      <c r="E4989" s="591"/>
      <c r="G4989" s="593"/>
    </row>
    <row r="4990" spans="1:7">
      <c r="A4990" s="584"/>
      <c r="B4990" s="585"/>
      <c r="C4990" s="586"/>
      <c r="D4990" s="587"/>
      <c r="E4990" s="591"/>
      <c r="G4990" s="593"/>
    </row>
    <row r="4991" spans="1:7">
      <c r="A4991" s="584"/>
      <c r="B4991" s="585"/>
      <c r="C4991" s="586"/>
      <c r="D4991" s="587"/>
      <c r="E4991" s="591"/>
      <c r="G4991" s="593"/>
    </row>
    <row r="4992" spans="1:7">
      <c r="A4992" s="584"/>
      <c r="B4992" s="585"/>
      <c r="C4992" s="586"/>
      <c r="D4992" s="587"/>
      <c r="E4992" s="591"/>
      <c r="G4992" s="593"/>
    </row>
    <row r="4993" spans="1:7">
      <c r="A4993" s="584"/>
      <c r="B4993" s="585"/>
      <c r="C4993" s="586"/>
      <c r="D4993" s="587"/>
      <c r="E4993" s="591"/>
      <c r="G4993" s="593"/>
    </row>
    <row r="4994" spans="1:7">
      <c r="A4994" s="584"/>
      <c r="B4994" s="585"/>
      <c r="C4994" s="586"/>
      <c r="D4994" s="587"/>
      <c r="E4994" s="591"/>
      <c r="G4994" s="593"/>
    </row>
    <row r="4995" spans="1:7">
      <c r="A4995" s="584"/>
      <c r="B4995" s="585"/>
      <c r="C4995" s="586"/>
      <c r="D4995" s="587"/>
      <c r="E4995" s="591"/>
      <c r="G4995" s="593"/>
    </row>
    <row r="4996" spans="1:7">
      <c r="A4996" s="584"/>
      <c r="B4996" s="585"/>
      <c r="C4996" s="586"/>
      <c r="D4996" s="587"/>
      <c r="E4996" s="591"/>
      <c r="G4996" s="593"/>
    </row>
    <row r="4997" spans="1:7">
      <c r="A4997" s="584"/>
      <c r="B4997" s="585"/>
      <c r="C4997" s="586"/>
      <c r="D4997" s="587"/>
      <c r="E4997" s="591"/>
      <c r="G4997" s="593"/>
    </row>
    <row r="4998" spans="1:7">
      <c r="A4998" s="584"/>
      <c r="B4998" s="585"/>
      <c r="C4998" s="586"/>
      <c r="D4998" s="587"/>
      <c r="E4998" s="591"/>
      <c r="G4998" s="593"/>
    </row>
    <row r="4999" spans="1:7">
      <c r="A4999" s="584"/>
      <c r="B4999" s="585"/>
      <c r="C4999" s="586"/>
      <c r="D4999" s="587"/>
      <c r="E4999" s="591"/>
      <c r="G4999" s="593"/>
    </row>
    <row r="5000" spans="1:7">
      <c r="A5000" s="584"/>
      <c r="B5000" s="585"/>
      <c r="C5000" s="586"/>
      <c r="D5000" s="587"/>
      <c r="E5000" s="591"/>
      <c r="G5000" s="593"/>
    </row>
    <row r="5001" spans="1:7">
      <c r="A5001" s="596">
        <v>1</v>
      </c>
      <c r="B5001" s="597">
        <v>1</v>
      </c>
      <c r="C5001" s="598" t="s">
        <v>662</v>
      </c>
      <c r="D5001" s="597">
        <v>1</v>
      </c>
      <c r="E5001" s="599">
        <v>1</v>
      </c>
      <c r="F5001" s="592" t="s">
        <v>662</v>
      </c>
    </row>
  </sheetData>
  <mergeCells count="1">
    <mergeCell ref="G4:G5"/>
  </mergeCells>
  <dataValidations count="2">
    <dataValidation type="list" allowBlank="1" showInputMessage="1" showErrorMessage="1" sqref="F5000:G5000" xr:uid="{9161E918-84F7-4514-9984-4091FD78ECF2}">
      <formula1>#REF!</formula1>
    </dataValidation>
    <dataValidation type="list" allowBlank="1" showInputMessage="1" showErrorMessage="1" sqref="E6:E6762" xr:uid="{00D88010-3D34-49A0-9141-932B4F072B33}">
      <formula1>"Thread Gage"</formula1>
    </dataValidation>
  </dataValidations>
  <pageMargins left="0.75" right="0.75" top="1" bottom="1" header="0.5" footer="0.5"/>
  <pageSetup paperSize="9" scale="1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r:uid="{E5721961-29F3-4D84-AF29-57EB4B3EB9D4}">
          <x14:formula1>
            <xm:f>'Setup Data'!$CA$109</xm:f>
          </x14:formula1>
          <xm:sqref>A6:A7251</xm:sqref>
        </x14:dataValidation>
        <x14:dataValidation type="list" allowBlank="1" showInputMessage="1" showErrorMessage="1" xr:uid="{86F68336-AE08-4CE6-B543-488BA354D573}">
          <x14:formula1>
            <xm:f>'Setup Data'!$CA$152:$CA$202</xm:f>
          </x14:formula1>
          <xm:sqref>B6:B6072</xm:sqref>
        </x14:dataValidation>
        <x14:dataValidation type="list" allowBlank="1" showInputMessage="1" showErrorMessage="1" xr:uid="{EBEC10B6-0976-4896-898B-77934E07599B}">
          <x14:formula1>
            <xm:f>'Setup Data'!$CA$111:$CA$114</xm:f>
          </x14:formula1>
          <xm:sqref>C6:C6498</xm:sqref>
        </x14:dataValidation>
        <x14:dataValidation type="list" allowBlank="1" showInputMessage="1" showErrorMessage="1" xr:uid="{FB862771-F0AA-4646-96A0-44D17A486D4F}">
          <x14:formula1>
            <xm:f>'Setup Data'!$CA$142</xm:f>
          </x14:formula1>
          <xm:sqref>D6:D6581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69</vt:i4>
      </vt:variant>
    </vt:vector>
  </HeadingPairs>
  <TitlesOfParts>
    <vt:vector size="81" baseType="lpstr">
      <vt:lpstr>Setup Data</vt:lpstr>
      <vt:lpstr>1Test Data</vt:lpstr>
      <vt:lpstr>Worksheet (2)</vt:lpstr>
      <vt:lpstr>Report</vt:lpstr>
      <vt:lpstr>Test Data</vt:lpstr>
      <vt:lpstr>Worksheet</vt:lpstr>
      <vt:lpstr>Variables</vt:lpstr>
      <vt:lpstr>Uncert</vt:lpstr>
      <vt:lpstr>Scope</vt:lpstr>
      <vt:lpstr>Notes</vt:lpstr>
      <vt:lpstr>shernof</vt:lpstr>
      <vt:lpstr>Mods</vt:lpstr>
      <vt:lpstr>'Test Data'!AN</vt:lpstr>
      <vt:lpstr>ANS</vt:lpstr>
      <vt:lpstr>'Worksheet (2)'!aveTemp</vt:lpstr>
      <vt:lpstr>aveTemp</vt:lpstr>
      <vt:lpstr>correction</vt:lpstr>
      <vt:lpstr>customerName</vt:lpstr>
      <vt:lpstr>decAssign</vt:lpstr>
      <vt:lpstr>DecimalPlaces</vt:lpstr>
      <vt:lpstr>'Test Data'!Due</vt:lpstr>
      <vt:lpstr>'Worksheet (2)'!EDMS</vt:lpstr>
      <vt:lpstr>EDMS</vt:lpstr>
      <vt:lpstr>ElectUncert</vt:lpstr>
      <vt:lpstr>features</vt:lpstr>
      <vt:lpstr>gauge</vt:lpstr>
      <vt:lpstr>GaugeDiameter</vt:lpstr>
      <vt:lpstr>GaugeLimitMSA2</vt:lpstr>
      <vt:lpstr>GaugeType</vt:lpstr>
      <vt:lpstr>go</vt:lpstr>
      <vt:lpstr>Gravity</vt:lpstr>
      <vt:lpstr>inch</vt:lpstr>
      <vt:lpstr>jobNumber</vt:lpstr>
      <vt:lpstr>'Test Data'!Kit</vt:lpstr>
      <vt:lpstr>Lab</vt:lpstr>
      <vt:lpstr>Lower</vt:lpstr>
      <vt:lpstr>majorD</vt:lpstr>
      <vt:lpstr>'Test Data'!make</vt:lpstr>
      <vt:lpstr>make</vt:lpstr>
      <vt:lpstr>medium</vt:lpstr>
      <vt:lpstr>mm</vt:lpstr>
      <vt:lpstr>myLoc</vt:lpstr>
      <vt:lpstr>'Test Data'!NATA</vt:lpstr>
      <vt:lpstr>NATA</vt:lpstr>
      <vt:lpstr>Mods!nataStatement</vt:lpstr>
      <vt:lpstr>nataStatement</vt:lpstr>
      <vt:lpstr>noGo</vt:lpstr>
      <vt:lpstr>Onsite</vt:lpstr>
      <vt:lpstr>pitchD</vt:lpstr>
      <vt:lpstr>Report!Print_Area</vt:lpstr>
      <vt:lpstr>Print_Area_NonNata</vt:lpstr>
      <vt:lpstr>'Test Data'!Range</vt:lpstr>
      <vt:lpstr>Range</vt:lpstr>
      <vt:lpstr>RangeCrossover</vt:lpstr>
      <vt:lpstr>Readability</vt:lpstr>
      <vt:lpstr>Reading</vt:lpstr>
      <vt:lpstr>ReadingCrossover</vt:lpstr>
      <vt:lpstr>ReadoutType</vt:lpstr>
      <vt:lpstr>ReffTest</vt:lpstr>
      <vt:lpstr>Scopekpa</vt:lpstr>
      <vt:lpstr>ScopeReading</vt:lpstr>
      <vt:lpstr>'Worksheet (2)'!settlingTime</vt:lpstr>
      <vt:lpstr>settlingTime</vt:lpstr>
      <vt:lpstr>'Test Data'!SN</vt:lpstr>
      <vt:lpstr>SN</vt:lpstr>
      <vt:lpstr>swVersion</vt:lpstr>
      <vt:lpstr>tech</vt:lpstr>
      <vt:lpstr>testPart</vt:lpstr>
      <vt:lpstr>testpointelect</vt:lpstr>
      <vt:lpstr>TestType</vt:lpstr>
      <vt:lpstr>threadGage</vt:lpstr>
      <vt:lpstr>threadProfiles</vt:lpstr>
      <vt:lpstr>toastVersion</vt:lpstr>
      <vt:lpstr>tol</vt:lpstr>
      <vt:lpstr>Tolerance</vt:lpstr>
      <vt:lpstr>traceableStatement</vt:lpstr>
      <vt:lpstr>Units</vt:lpstr>
      <vt:lpstr>Upper</vt:lpstr>
      <vt:lpstr>VacRR</vt:lpstr>
      <vt:lpstr>Vacuum</vt:lpstr>
      <vt:lpstr>withFail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Sherwin Nofuente</dc:creator>
  <cp:lastModifiedBy>Sherwin Nofuente</cp:lastModifiedBy>
  <dcterms:created xsi:type="dcterms:W3CDTF">2025-06-12T05:44:53Z</dcterms:created>
  <dcterms:modified xsi:type="dcterms:W3CDTF">2025-07-01T07:10:25Z</dcterms:modified>
</cp:coreProperties>
</file>