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_hasegawa/Documents/研究/資料/"/>
    </mc:Choice>
  </mc:AlternateContent>
  <xr:revisionPtr revIDLastSave="0" documentId="13_ncr:1_{268E4873-0AD0-9C49-91ED-7F992F58959E}" xr6:coauthVersionLast="47" xr6:coauthVersionMax="47" xr10:uidLastSave="{00000000-0000-0000-0000-000000000000}"/>
  <bookViews>
    <workbookView xWindow="3760" yWindow="780" windowWidth="27000" windowHeight="19860" xr2:uid="{00000000-000D-0000-FFFF-FFFF00000000}"/>
  </bookViews>
  <sheets>
    <sheet name="3660330cs" sheetId="1" r:id="rId1"/>
  </sheets>
  <definedNames>
    <definedName name="_xlnm.Print_Area" localSheetId="0">'3660330cs'!$A$11:$V$149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" i="1" l="1"/>
  <c r="E45" i="1"/>
  <c r="F45" i="1"/>
  <c r="G45" i="1"/>
  <c r="H45" i="1"/>
  <c r="D46" i="1"/>
  <c r="E46" i="1"/>
  <c r="F46" i="1"/>
  <c r="G46" i="1"/>
  <c r="H46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W47" i="1"/>
  <c r="X47" i="1"/>
  <c r="Y47" i="1"/>
  <c r="BW4" i="1"/>
  <c r="S16" i="1" l="1"/>
  <c r="BE5" i="1"/>
  <c r="G60" i="1"/>
  <c r="D37" i="1"/>
  <c r="E37" i="1"/>
  <c r="F37" i="1"/>
  <c r="G37" i="1"/>
  <c r="H37" i="1"/>
  <c r="D38" i="1"/>
  <c r="E38" i="1"/>
  <c r="F38" i="1"/>
  <c r="G38" i="1"/>
  <c r="H38" i="1"/>
  <c r="D39" i="1"/>
  <c r="E39" i="1"/>
  <c r="F39" i="1"/>
  <c r="G39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F44" i="1"/>
  <c r="G44" i="1"/>
  <c r="H44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68" i="1"/>
  <c r="E68" i="1"/>
  <c r="F68" i="1"/>
  <c r="G68" i="1"/>
  <c r="H68" i="1"/>
  <c r="D69" i="1"/>
  <c r="E69" i="1"/>
  <c r="F69" i="1"/>
  <c r="G69" i="1"/>
  <c r="H69" i="1"/>
  <c r="D70" i="1"/>
  <c r="E70" i="1"/>
  <c r="F70" i="1"/>
  <c r="G70" i="1"/>
  <c r="H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W40" i="1"/>
  <c r="W41" i="1"/>
  <c r="W42" i="1"/>
  <c r="W43" i="1"/>
  <c r="W44" i="1"/>
  <c r="W45" i="1"/>
  <c r="W46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X40" i="1"/>
  <c r="X41" i="1"/>
  <c r="X42" i="1"/>
  <c r="X43" i="1"/>
  <c r="X44" i="1"/>
  <c r="X45" i="1"/>
  <c r="X46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Y40" i="1"/>
  <c r="Y41" i="1"/>
  <c r="Y42" i="1"/>
  <c r="Y43" i="1"/>
  <c r="Y44" i="1"/>
  <c r="Y45" i="1"/>
  <c r="Y46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CC7" i="1"/>
  <c r="BK8" i="1"/>
  <c r="CC6" i="1"/>
  <c r="BK7" i="1"/>
  <c r="CC5" i="1"/>
  <c r="BK6" i="1"/>
  <c r="CC4" i="1"/>
  <c r="BK4" i="1"/>
  <c r="CC3" i="1"/>
  <c r="BK3" i="1"/>
  <c r="BH3" i="1"/>
  <c r="D109" i="1" l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2" i="1"/>
  <c r="E112" i="1"/>
  <c r="F112" i="1"/>
  <c r="G112" i="1"/>
  <c r="H112" i="1"/>
  <c r="D113" i="1"/>
  <c r="E113" i="1"/>
  <c r="F113" i="1"/>
  <c r="G113" i="1"/>
  <c r="H113" i="1"/>
  <c r="D114" i="1"/>
  <c r="E114" i="1"/>
  <c r="F114" i="1"/>
  <c r="G114" i="1"/>
  <c r="H114" i="1"/>
  <c r="D115" i="1"/>
  <c r="E115" i="1"/>
  <c r="F115" i="1"/>
  <c r="G115" i="1"/>
  <c r="H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H108" i="1"/>
  <c r="H106" i="1"/>
  <c r="G108" i="1"/>
  <c r="G106" i="1"/>
  <c r="F108" i="1"/>
  <c r="F106" i="1"/>
  <c r="E108" i="1"/>
  <c r="E106" i="1"/>
  <c r="D108" i="1"/>
  <c r="D106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83" i="1"/>
  <c r="E32" i="1"/>
  <c r="E33" i="1"/>
  <c r="E34" i="1"/>
  <c r="E35" i="1"/>
  <c r="E36" i="1"/>
  <c r="E77" i="1"/>
  <c r="E78" i="1"/>
  <c r="E79" i="1"/>
  <c r="E80" i="1"/>
  <c r="E81" i="1"/>
  <c r="E31" i="1"/>
  <c r="D84" i="1"/>
  <c r="F84" i="1"/>
  <c r="G84" i="1"/>
  <c r="H84" i="1"/>
  <c r="D85" i="1"/>
  <c r="F85" i="1"/>
  <c r="G85" i="1"/>
  <c r="H85" i="1"/>
  <c r="D86" i="1"/>
  <c r="F86" i="1"/>
  <c r="G86" i="1"/>
  <c r="H86" i="1"/>
  <c r="D87" i="1"/>
  <c r="F87" i="1"/>
  <c r="G87" i="1"/>
  <c r="H87" i="1"/>
  <c r="D88" i="1"/>
  <c r="F88" i="1"/>
  <c r="G88" i="1"/>
  <c r="H88" i="1"/>
  <c r="D89" i="1"/>
  <c r="F89" i="1"/>
  <c r="G89" i="1"/>
  <c r="H89" i="1"/>
  <c r="D90" i="1"/>
  <c r="F90" i="1"/>
  <c r="G90" i="1"/>
  <c r="H90" i="1"/>
  <c r="D91" i="1"/>
  <c r="F91" i="1"/>
  <c r="G91" i="1"/>
  <c r="H91" i="1"/>
  <c r="D92" i="1"/>
  <c r="F92" i="1"/>
  <c r="G92" i="1"/>
  <c r="H92" i="1"/>
  <c r="D93" i="1"/>
  <c r="F93" i="1"/>
  <c r="G93" i="1"/>
  <c r="H93" i="1"/>
  <c r="D94" i="1"/>
  <c r="F94" i="1"/>
  <c r="G94" i="1"/>
  <c r="H94" i="1"/>
  <c r="D95" i="1"/>
  <c r="F95" i="1"/>
  <c r="G95" i="1"/>
  <c r="H95" i="1"/>
  <c r="D96" i="1"/>
  <c r="F96" i="1"/>
  <c r="G96" i="1"/>
  <c r="H96" i="1"/>
  <c r="D97" i="1"/>
  <c r="F97" i="1"/>
  <c r="G97" i="1"/>
  <c r="H97" i="1"/>
  <c r="D98" i="1"/>
  <c r="F98" i="1"/>
  <c r="G98" i="1"/>
  <c r="H98" i="1"/>
  <c r="D99" i="1"/>
  <c r="F99" i="1"/>
  <c r="G99" i="1"/>
  <c r="H99" i="1"/>
  <c r="D100" i="1"/>
  <c r="F100" i="1"/>
  <c r="G100" i="1"/>
  <c r="H100" i="1"/>
  <c r="D101" i="1"/>
  <c r="F101" i="1"/>
  <c r="G101" i="1"/>
  <c r="H101" i="1"/>
  <c r="D102" i="1"/>
  <c r="F102" i="1"/>
  <c r="G102" i="1"/>
  <c r="H102" i="1"/>
  <c r="D103" i="1"/>
  <c r="F103" i="1"/>
  <c r="G103" i="1"/>
  <c r="H103" i="1"/>
  <c r="D104" i="1"/>
  <c r="F104" i="1"/>
  <c r="G104" i="1"/>
  <c r="H104" i="1"/>
  <c r="H83" i="1"/>
  <c r="G83" i="1"/>
  <c r="F83" i="1"/>
  <c r="D83" i="1"/>
  <c r="D32" i="1"/>
  <c r="F32" i="1"/>
  <c r="G32" i="1"/>
  <c r="H32" i="1"/>
  <c r="D33" i="1"/>
  <c r="F33" i="1"/>
  <c r="G33" i="1"/>
  <c r="H33" i="1"/>
  <c r="D34" i="1"/>
  <c r="F34" i="1"/>
  <c r="G34" i="1"/>
  <c r="H34" i="1"/>
  <c r="D35" i="1"/>
  <c r="F35" i="1"/>
  <c r="G35" i="1"/>
  <c r="H35" i="1"/>
  <c r="D36" i="1"/>
  <c r="F36" i="1"/>
  <c r="G36" i="1"/>
  <c r="H36" i="1"/>
  <c r="D77" i="1"/>
  <c r="F77" i="1"/>
  <c r="G77" i="1"/>
  <c r="H77" i="1"/>
  <c r="D78" i="1"/>
  <c r="F78" i="1"/>
  <c r="G78" i="1"/>
  <c r="H78" i="1"/>
  <c r="D79" i="1"/>
  <c r="F79" i="1"/>
  <c r="G79" i="1"/>
  <c r="H79" i="1"/>
  <c r="D80" i="1"/>
  <c r="F80" i="1"/>
  <c r="G80" i="1"/>
  <c r="H80" i="1"/>
  <c r="D81" i="1"/>
  <c r="F81" i="1"/>
  <c r="G81" i="1"/>
  <c r="H81" i="1"/>
  <c r="G31" i="1"/>
  <c r="F31" i="1"/>
  <c r="H31" i="1"/>
  <c r="E82" i="1"/>
  <c r="D31" i="1"/>
  <c r="O25" i="1" a="1"/>
  <c r="O25" i="1" s="1"/>
  <c r="N25" i="1"/>
  <c r="P25" i="1" s="1"/>
  <c r="N24" i="1"/>
  <c r="P24" i="1" s="1"/>
  <c r="N23" i="1"/>
  <c r="N22" i="1"/>
  <c r="N21" i="1"/>
  <c r="N20" i="1"/>
  <c r="N19" i="1"/>
  <c r="N18" i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CC2" i="1" l="1"/>
  <c r="BK2" i="1"/>
  <c r="S18" i="1"/>
  <c r="S17" i="1"/>
  <c r="BT9" i="1"/>
  <c r="BW8" i="1"/>
  <c r="BT8" i="1"/>
  <c r="BH8" i="1"/>
  <c r="O24" i="1" s="1" a="1"/>
  <c r="O24" i="1" s="1"/>
  <c r="BZ7" i="1"/>
  <c r="BW7" i="1"/>
  <c r="BT7" i="1"/>
  <c r="BQ7" i="1"/>
  <c r="BN7" i="1"/>
  <c r="BH7" i="1"/>
  <c r="BE7" i="1"/>
  <c r="BB7" i="1"/>
  <c r="AY7" i="1"/>
  <c r="AS7" i="1"/>
  <c r="AM7" i="1"/>
  <c r="CF6" i="1"/>
  <c r="BZ6" i="1"/>
  <c r="BW6" i="1"/>
  <c r="BT6" i="1"/>
  <c r="BQ6" i="1"/>
  <c r="BN6" i="1"/>
  <c r="BH6" i="1"/>
  <c r="BE6" i="1"/>
  <c r="BB6" i="1"/>
  <c r="AY6" i="1"/>
  <c r="AV6" i="1"/>
  <c r="AS6" i="1"/>
  <c r="AP6" i="1"/>
  <c r="AM6" i="1"/>
  <c r="CI5" i="1"/>
  <c r="CF5" i="1"/>
  <c r="BW5" i="1"/>
  <c r="BT5" i="1"/>
  <c r="BB5" i="1"/>
  <c r="AV5" i="1"/>
  <c r="AM5" i="1"/>
  <c r="AJ5" i="1"/>
  <c r="AG5" i="1"/>
  <c r="AD5" i="1"/>
  <c r="BZ4" i="1"/>
  <c r="BT4" i="1"/>
  <c r="BQ4" i="1"/>
  <c r="BN4" i="1"/>
  <c r="BH4" i="1"/>
  <c r="BE4" i="1"/>
  <c r="BB4" i="1"/>
  <c r="AY4" i="1"/>
  <c r="AV4" i="1"/>
  <c r="AS4" i="1"/>
  <c r="AP4" i="1"/>
  <c r="AM4" i="1"/>
  <c r="CI3" i="1"/>
  <c r="CF3" i="1"/>
  <c r="BZ3" i="1"/>
  <c r="BW3" i="1"/>
  <c r="BT3" i="1"/>
  <c r="BQ3" i="1"/>
  <c r="BN3" i="1"/>
  <c r="BE3" i="1"/>
  <c r="BB3" i="1"/>
  <c r="AY3" i="1"/>
  <c r="AV3" i="1"/>
  <c r="AS3" i="1"/>
  <c r="AP3" i="1"/>
  <c r="AM3" i="1"/>
  <c r="AJ3" i="1"/>
  <c r="AG3" i="1"/>
  <c r="AD3" i="1"/>
  <c r="CI2" i="1"/>
  <c r="CF2" i="1"/>
  <c r="BZ2" i="1"/>
  <c r="BW2" i="1"/>
  <c r="BT2" i="1"/>
  <c r="BQ2" i="1"/>
  <c r="BN2" i="1"/>
  <c r="BH2" i="1"/>
  <c r="BE2" i="1"/>
  <c r="BB2" i="1"/>
  <c r="AY2" i="1"/>
  <c r="AV2" i="1"/>
  <c r="AS2" i="1"/>
  <c r="AP2" i="1"/>
  <c r="AM2" i="1"/>
  <c r="AJ2" i="1"/>
  <c r="AG2" i="1"/>
  <c r="AD2" i="1"/>
  <c r="Y32" i="1"/>
  <c r="W116" i="1"/>
  <c r="W117" i="1"/>
  <c r="W118" i="1"/>
  <c r="W119" i="1"/>
  <c r="X116" i="1"/>
  <c r="X117" i="1"/>
  <c r="X118" i="1"/>
  <c r="X119" i="1"/>
  <c r="Y116" i="1"/>
  <c r="Y117" i="1"/>
  <c r="Y118" i="1"/>
  <c r="Y119" i="1"/>
  <c r="W75" i="1"/>
  <c r="W76" i="1"/>
  <c r="W77" i="1"/>
  <c r="W78" i="1"/>
  <c r="W79" i="1"/>
  <c r="W80" i="1"/>
  <c r="W81" i="1"/>
  <c r="X75" i="1"/>
  <c r="X76" i="1"/>
  <c r="X77" i="1"/>
  <c r="X78" i="1"/>
  <c r="X79" i="1"/>
  <c r="X80" i="1"/>
  <c r="X81" i="1"/>
  <c r="Y75" i="1"/>
  <c r="Y76" i="1"/>
  <c r="Y77" i="1"/>
  <c r="Y78" i="1"/>
  <c r="Y79" i="1"/>
  <c r="Y80" i="1"/>
  <c r="Y81" i="1"/>
  <c r="W123" i="1"/>
  <c r="W124" i="1"/>
  <c r="W125" i="1"/>
  <c r="W126" i="1"/>
  <c r="W127" i="1"/>
  <c r="X123" i="1"/>
  <c r="X124" i="1"/>
  <c r="X125" i="1"/>
  <c r="X126" i="1"/>
  <c r="X127" i="1"/>
  <c r="Y123" i="1"/>
  <c r="Y124" i="1"/>
  <c r="Y125" i="1"/>
  <c r="Y126" i="1"/>
  <c r="Y127" i="1"/>
  <c r="W104" i="1"/>
  <c r="X104" i="1"/>
  <c r="Y104" i="1"/>
  <c r="W109" i="1"/>
  <c r="W110" i="1"/>
  <c r="W111" i="1"/>
  <c r="W112" i="1"/>
  <c r="W113" i="1"/>
  <c r="W114" i="1"/>
  <c r="W115" i="1"/>
  <c r="W120" i="1"/>
  <c r="W121" i="1"/>
  <c r="W122" i="1"/>
  <c r="W128" i="1"/>
  <c r="X109" i="1"/>
  <c r="X110" i="1"/>
  <c r="X111" i="1"/>
  <c r="X112" i="1"/>
  <c r="X113" i="1"/>
  <c r="X114" i="1"/>
  <c r="X115" i="1"/>
  <c r="X120" i="1"/>
  <c r="X121" i="1"/>
  <c r="X122" i="1"/>
  <c r="X128" i="1"/>
  <c r="Y109" i="1"/>
  <c r="Y110" i="1"/>
  <c r="Y111" i="1"/>
  <c r="Y112" i="1"/>
  <c r="Y113" i="1"/>
  <c r="Y114" i="1"/>
  <c r="Y115" i="1"/>
  <c r="Y120" i="1"/>
  <c r="Y121" i="1"/>
  <c r="Y122" i="1"/>
  <c r="Y128" i="1"/>
  <c r="O19" i="1" l="1" a="1"/>
  <c r="O19" i="1" s="1"/>
  <c r="P19" i="1" s="1"/>
  <c r="O18" i="1" a="1"/>
  <c r="O18" i="1" s="1"/>
  <c r="P18" i="1" s="1"/>
  <c r="O20" i="1" a="1"/>
  <c r="O20" i="1" s="1"/>
  <c r="P20" i="1" s="1"/>
  <c r="O22" i="1" a="1"/>
  <c r="O22" i="1" s="1"/>
  <c r="P22" i="1" s="1"/>
  <c r="O23" i="1" a="1"/>
  <c r="O23" i="1" s="1"/>
  <c r="P23" i="1" s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W64" i="1" l="1"/>
  <c r="W65" i="1"/>
  <c r="W66" i="1"/>
  <c r="W67" i="1"/>
  <c r="W68" i="1"/>
  <c r="W69" i="1"/>
  <c r="W70" i="1"/>
  <c r="W71" i="1"/>
  <c r="W72" i="1"/>
  <c r="W73" i="1"/>
  <c r="W74" i="1"/>
  <c r="X64" i="1"/>
  <c r="X65" i="1"/>
  <c r="X66" i="1"/>
  <c r="X67" i="1"/>
  <c r="X68" i="1"/>
  <c r="X69" i="1"/>
  <c r="X70" i="1"/>
  <c r="X71" i="1"/>
  <c r="X72" i="1"/>
  <c r="X73" i="1"/>
  <c r="X74" i="1"/>
  <c r="Y64" i="1"/>
  <c r="Y65" i="1"/>
  <c r="Y66" i="1"/>
  <c r="Y67" i="1"/>
  <c r="Y68" i="1"/>
  <c r="Y69" i="1"/>
  <c r="Y70" i="1"/>
  <c r="Y71" i="1"/>
  <c r="Y72" i="1"/>
  <c r="Y73" i="1"/>
  <c r="Y74" i="1"/>
  <c r="E105" i="1"/>
  <c r="E107" i="1"/>
  <c r="E129" i="1" s="1"/>
  <c r="D82" i="1"/>
  <c r="F82" i="1"/>
  <c r="G82" i="1"/>
  <c r="H82" i="1"/>
  <c r="I82" i="1"/>
  <c r="W37" i="1"/>
  <c r="X37" i="1"/>
  <c r="Y37" i="1"/>
  <c r="W38" i="1"/>
  <c r="X38" i="1"/>
  <c r="Y38" i="1"/>
  <c r="W39" i="1"/>
  <c r="X39" i="1"/>
  <c r="Y39" i="1"/>
  <c r="W36" i="1"/>
  <c r="X36" i="1"/>
  <c r="Y36" i="1"/>
  <c r="W34" i="1"/>
  <c r="X34" i="1"/>
  <c r="Y34" i="1"/>
  <c r="W33" i="1"/>
  <c r="X33" i="1"/>
  <c r="Y33" i="1"/>
  <c r="W35" i="1"/>
  <c r="X35" i="1"/>
  <c r="Y35" i="1"/>
  <c r="W32" i="1"/>
  <c r="X32" i="1"/>
  <c r="W129" i="1"/>
  <c r="X129" i="1"/>
  <c r="Y129" i="1"/>
  <c r="Y31" i="1"/>
  <c r="Y82" i="1"/>
  <c r="Y83" i="1"/>
  <c r="Y105" i="1"/>
  <c r="Y106" i="1"/>
  <c r="Y107" i="1"/>
  <c r="Y108" i="1"/>
  <c r="W31" i="1"/>
  <c r="W82" i="1"/>
  <c r="W83" i="1"/>
  <c r="W105" i="1"/>
  <c r="W106" i="1"/>
  <c r="W107" i="1"/>
  <c r="W108" i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X31" i="1"/>
  <c r="X82" i="1"/>
  <c r="X83" i="1"/>
  <c r="X105" i="1"/>
  <c r="X106" i="1"/>
  <c r="X107" i="1"/>
  <c r="X108" i="1"/>
  <c r="U26" i="1" l="1"/>
  <c r="AS5" i="1"/>
  <c r="BZ5" i="1"/>
  <c r="BQ5" i="1"/>
  <c r="BN5" i="1"/>
  <c r="AY5" i="1"/>
  <c r="AP5" i="1"/>
  <c r="CF4" i="1"/>
  <c r="CI4" i="1"/>
  <c r="AJ4" i="1"/>
  <c r="AG4" i="1"/>
  <c r="AD4" i="1"/>
  <c r="BK5" i="1"/>
  <c r="BH5" i="1"/>
  <c r="I105" i="1"/>
  <c r="I107" i="1" s="1"/>
  <c r="I129" i="1"/>
  <c r="H105" i="1"/>
  <c r="H107" i="1" s="1"/>
  <c r="H129" i="1"/>
  <c r="G105" i="1"/>
  <c r="G107" i="1" s="1"/>
  <c r="G129" i="1"/>
  <c r="F105" i="1"/>
  <c r="F107" i="1" s="1"/>
  <c r="F129" i="1"/>
  <c r="D105" i="1"/>
  <c r="O21" i="1" a="1"/>
  <c r="O21" i="1" s="1"/>
  <c r="P21" i="1" s="1"/>
  <c r="D107" i="1" l="1"/>
  <c r="D129" i="1"/>
  <c r="O16" i="1" s="1"/>
  <c r="P16" i="1" s="1"/>
  <c r="P26" i="1" s="1"/>
  <c r="M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<sst xmlns="http://schemas.openxmlformats.org/spreadsheetml/2006/main" count="921" uniqueCount="338">
  <si>
    <t>本科及び認定専攻科で修得した単位：外国語の単位〔必ず含む〕</t>
    <rPh sb="0" eb="2">
      <t>ホンカ</t>
    </rPh>
    <rPh sb="2" eb="3">
      <t>オヨ</t>
    </rPh>
    <rPh sb="4" eb="6">
      <t>ニンテイ</t>
    </rPh>
    <rPh sb="6" eb="9">
      <t>センコウカ</t>
    </rPh>
    <rPh sb="10" eb="12">
      <t>シュウトク</t>
    </rPh>
    <rPh sb="14" eb="16">
      <t>タンイ</t>
    </rPh>
    <rPh sb="17" eb="20">
      <t>ガイコクゴ</t>
    </rPh>
    <rPh sb="21" eb="23">
      <t>タンイ</t>
    </rPh>
    <rPh sb="24" eb="25">
      <t>カナラ</t>
    </rPh>
    <rPh sb="26" eb="27">
      <t>フク</t>
    </rPh>
    <phoneticPr fontId="4"/>
  </si>
  <si>
    <t>⑥</t>
    <phoneticPr fontId="4"/>
  </si>
  <si>
    <t>本科及び認定専攻科で修得した単位：専門科目以外〔≧24単位〕</t>
    <rPh sb="0" eb="2">
      <t>ホンカ</t>
    </rPh>
    <rPh sb="2" eb="3">
      <t>オヨ</t>
    </rPh>
    <rPh sb="4" eb="6">
      <t>ニンテイ</t>
    </rPh>
    <rPh sb="6" eb="9">
      <t>センコウカ</t>
    </rPh>
    <rPh sb="10" eb="12">
      <t>シュウトク</t>
    </rPh>
    <rPh sb="14" eb="16">
      <t>タンイ</t>
    </rPh>
    <rPh sb="17" eb="19">
      <t>センモン</t>
    </rPh>
    <rPh sb="19" eb="21">
      <t>カモク</t>
    </rPh>
    <rPh sb="21" eb="23">
      <t>イガイ</t>
    </rPh>
    <rPh sb="27" eb="29">
      <t>タンイ</t>
    </rPh>
    <phoneticPr fontId="4"/>
  </si>
  <si>
    <t>⑤</t>
    <phoneticPr fontId="4"/>
  </si>
  <si>
    <t>本科及び認定専攻科で修得した単位：専門科目（学修総まとめ科目に該当する授業科目を含む）＋関連科目〔≧62単位〕</t>
    <rPh sb="0" eb="2">
      <t>ホンカ</t>
    </rPh>
    <rPh sb="2" eb="3">
      <t>オヨ</t>
    </rPh>
    <rPh sb="4" eb="6">
      <t>ニンテイ</t>
    </rPh>
    <rPh sb="6" eb="9">
      <t>センコウカ</t>
    </rPh>
    <rPh sb="10" eb="12">
      <t>シュウトク</t>
    </rPh>
    <rPh sb="14" eb="16">
      <t>タンイ</t>
    </rPh>
    <rPh sb="17" eb="19">
      <t>センモン</t>
    </rPh>
    <rPh sb="19" eb="21">
      <t>カモク</t>
    </rPh>
    <rPh sb="22" eb="24">
      <t>ガクシュウ</t>
    </rPh>
    <rPh sb="24" eb="25">
      <t>ソウ</t>
    </rPh>
    <rPh sb="28" eb="30">
      <t>カモク</t>
    </rPh>
    <rPh sb="31" eb="33">
      <t>ガイトウ</t>
    </rPh>
    <rPh sb="35" eb="37">
      <t>ジュギョウ</t>
    </rPh>
    <rPh sb="37" eb="39">
      <t>カモク</t>
    </rPh>
    <rPh sb="44" eb="46">
      <t>カンレン</t>
    </rPh>
    <rPh sb="46" eb="48">
      <t>カモク</t>
    </rPh>
    <rPh sb="52" eb="54">
      <t>タンイ</t>
    </rPh>
    <phoneticPr fontId="4"/>
  </si>
  <si>
    <t>④</t>
    <phoneticPr fontId="4"/>
  </si>
  <si>
    <t>認定専攻科で修得した単位：専門科目（学修総まとめ科目に該当する授業科目を含む）〔2年課程：≧31単位　1年課程：≧16単位〕</t>
    <rPh sb="0" eb="2">
      <t>ニンテイ</t>
    </rPh>
    <rPh sb="2" eb="5">
      <t>センコウカ</t>
    </rPh>
    <rPh sb="6" eb="8">
      <t>シュウトク</t>
    </rPh>
    <rPh sb="10" eb="12">
      <t>タンイ</t>
    </rPh>
    <rPh sb="13" eb="15">
      <t>センモン</t>
    </rPh>
    <rPh sb="15" eb="17">
      <t>カモク</t>
    </rPh>
    <rPh sb="18" eb="20">
      <t>ガクシュウ</t>
    </rPh>
    <rPh sb="20" eb="21">
      <t>ソウ</t>
    </rPh>
    <rPh sb="24" eb="26">
      <t>カモク</t>
    </rPh>
    <rPh sb="27" eb="29">
      <t>ガイトウ</t>
    </rPh>
    <rPh sb="31" eb="33">
      <t>ジュギョウ</t>
    </rPh>
    <rPh sb="33" eb="35">
      <t>カモク</t>
    </rPh>
    <rPh sb="36" eb="37">
      <t>フク</t>
    </rPh>
    <rPh sb="41" eb="42">
      <t>ネン</t>
    </rPh>
    <rPh sb="42" eb="44">
      <t>カテイ</t>
    </rPh>
    <rPh sb="48" eb="50">
      <t>タンイ</t>
    </rPh>
    <rPh sb="52" eb="53">
      <t>ネン</t>
    </rPh>
    <rPh sb="53" eb="55">
      <t>カテイ</t>
    </rPh>
    <rPh sb="59" eb="61">
      <t>タンイ</t>
    </rPh>
    <phoneticPr fontId="4"/>
  </si>
  <si>
    <t>③</t>
    <phoneticPr fontId="4"/>
  </si>
  <si>
    <t>認定専攻科で修得した単位：専門科目（学修総まとめ科目に該当する授業科目を除く）＋関連科目〔2年課程：≧40単位　1年課程：≧20単位〕</t>
    <rPh sb="0" eb="2">
      <t>ニンテイ</t>
    </rPh>
    <rPh sb="2" eb="5">
      <t>センコウカ</t>
    </rPh>
    <rPh sb="6" eb="8">
      <t>シュウトク</t>
    </rPh>
    <rPh sb="10" eb="12">
      <t>タンイ</t>
    </rPh>
    <rPh sb="13" eb="15">
      <t>センモン</t>
    </rPh>
    <rPh sb="15" eb="17">
      <t>カモク</t>
    </rPh>
    <rPh sb="18" eb="20">
      <t>ガクシュウ</t>
    </rPh>
    <rPh sb="20" eb="21">
      <t>ソウ</t>
    </rPh>
    <rPh sb="24" eb="26">
      <t>カモク</t>
    </rPh>
    <rPh sb="27" eb="29">
      <t>ガイトウ</t>
    </rPh>
    <rPh sb="31" eb="33">
      <t>ジュギョウ</t>
    </rPh>
    <rPh sb="33" eb="35">
      <t>カモク</t>
    </rPh>
    <rPh sb="36" eb="37">
      <t>ノゾ</t>
    </rPh>
    <rPh sb="40" eb="42">
      <t>カンレン</t>
    </rPh>
    <rPh sb="42" eb="44">
      <t>カモク</t>
    </rPh>
    <rPh sb="46" eb="47">
      <t>ネン</t>
    </rPh>
    <rPh sb="47" eb="49">
      <t>カテイ</t>
    </rPh>
    <rPh sb="53" eb="55">
      <t>タンイ</t>
    </rPh>
    <rPh sb="57" eb="58">
      <t>ネン</t>
    </rPh>
    <rPh sb="58" eb="60">
      <t>カテイ</t>
    </rPh>
    <rPh sb="64" eb="66">
      <t>タンイ</t>
    </rPh>
    <phoneticPr fontId="4"/>
  </si>
  <si>
    <t>②</t>
    <phoneticPr fontId="4"/>
  </si>
  <si>
    <t>認定専攻科で修得した単位：全ての科目〔2年課程：≧62単位　1年課程：≧31単位〕</t>
    <rPh sb="0" eb="2">
      <t>ニンテイ</t>
    </rPh>
    <rPh sb="2" eb="5">
      <t>センコウカ</t>
    </rPh>
    <rPh sb="6" eb="8">
      <t>シュウトク</t>
    </rPh>
    <rPh sb="10" eb="12">
      <t>タンイ</t>
    </rPh>
    <rPh sb="13" eb="14">
      <t>スベ</t>
    </rPh>
    <rPh sb="16" eb="18">
      <t>カモク</t>
    </rPh>
    <rPh sb="20" eb="21">
      <t>ネン</t>
    </rPh>
    <rPh sb="21" eb="23">
      <t>カテイ</t>
    </rPh>
    <rPh sb="27" eb="29">
      <t>タンイ</t>
    </rPh>
    <rPh sb="31" eb="32">
      <t>ネン</t>
    </rPh>
    <rPh sb="32" eb="34">
      <t>カテイ</t>
    </rPh>
    <rPh sb="38" eb="40">
      <t>タンイ</t>
    </rPh>
    <phoneticPr fontId="4"/>
  </si>
  <si>
    <t>①</t>
    <phoneticPr fontId="4"/>
  </si>
  <si>
    <t>【単位修得の要件】</t>
    <rPh sb="1" eb="3">
      <t>タンイ</t>
    </rPh>
    <rPh sb="3" eb="5">
      <t>シュウトク</t>
    </rPh>
    <rPh sb="6" eb="8">
      <t>ヨウケン</t>
    </rPh>
    <phoneticPr fontId="4"/>
  </si>
  <si>
    <t>単位計</t>
    <rPh sb="0" eb="2">
      <t>タンイ</t>
    </rPh>
    <rPh sb="2" eb="3">
      <t>ケイ</t>
    </rPh>
    <phoneticPr fontId="4"/>
  </si>
  <si>
    <t>学修総まとめ
科目</t>
    <rPh sb="0" eb="2">
      <t>ガクシュウ</t>
    </rPh>
    <rPh sb="2" eb="3">
      <t>ソウ</t>
    </rPh>
    <rPh sb="7" eb="9">
      <t>カモク</t>
    </rPh>
    <phoneticPr fontId="4"/>
  </si>
  <si>
    <t>必・選</t>
    <rPh sb="0" eb="1">
      <t>ヒツ</t>
    </rPh>
    <rPh sb="2" eb="3">
      <t>セン</t>
    </rPh>
    <phoneticPr fontId="4"/>
  </si>
  <si>
    <t>授業科目名</t>
    <rPh sb="0" eb="2">
      <t>ジュギョウ</t>
    </rPh>
    <rPh sb="2" eb="4">
      <t>カモク</t>
    </rPh>
    <rPh sb="4" eb="5">
      <t>メイ</t>
    </rPh>
    <phoneticPr fontId="4"/>
  </si>
  <si>
    <t>学校における区分</t>
    <rPh sb="0" eb="2">
      <t>ガッコウ</t>
    </rPh>
    <rPh sb="6" eb="8">
      <t>クブン</t>
    </rPh>
    <phoneticPr fontId="4"/>
  </si>
  <si>
    <t>科目区分</t>
    <rPh sb="0" eb="2">
      <t>カモク</t>
    </rPh>
    <rPh sb="2" eb="4">
      <t>クブン</t>
    </rPh>
    <phoneticPr fontId="4"/>
  </si>
  <si>
    <t>摘要</t>
    <rPh sb="0" eb="2">
      <t>テキヨウ</t>
    </rPh>
    <phoneticPr fontId="4"/>
  </si>
  <si>
    <t>シラバス
該当ページ</t>
    <rPh sb="5" eb="7">
      <t>ガイトウ</t>
    </rPh>
    <phoneticPr fontId="4"/>
  </si>
  <si>
    <t>履修年次</t>
    <rPh sb="0" eb="2">
      <t>リシュウ</t>
    </rPh>
    <rPh sb="2" eb="4">
      <t>ネンジ</t>
    </rPh>
    <phoneticPr fontId="4"/>
  </si>
  <si>
    <t>単位数</t>
    <rPh sb="0" eb="3">
      <t>タンイスウ</t>
    </rPh>
    <phoneticPr fontId="4"/>
  </si>
  <si>
    <t>開設科目</t>
    <rPh sb="0" eb="2">
      <t>カイセツ</t>
    </rPh>
    <rPh sb="2" eb="4">
      <t>カモク</t>
    </rPh>
    <phoneticPr fontId="4"/>
  </si>
  <si>
    <t>単位修得の要件による分類</t>
    <rPh sb="0" eb="2">
      <t>タンイ</t>
    </rPh>
    <rPh sb="2" eb="4">
      <t>シュウトク</t>
    </rPh>
    <rPh sb="5" eb="7">
      <t>ヨウケン</t>
    </rPh>
    <rPh sb="10" eb="12">
      <t>ブンルイ</t>
    </rPh>
    <phoneticPr fontId="4"/>
  </si>
  <si>
    <t>列17</t>
  </si>
  <si>
    <t>適用年度</t>
    <rPh sb="0" eb="2">
      <t>テキヨウ</t>
    </rPh>
    <rPh sb="2" eb="4">
      <t>ネンド</t>
    </rPh>
    <phoneticPr fontId="4"/>
  </si>
  <si>
    <t>専攻の区分</t>
    <rPh sb="0" eb="2">
      <t>センコウ</t>
    </rPh>
    <rPh sb="3" eb="5">
      <t>クブン</t>
    </rPh>
    <phoneticPr fontId="4"/>
  </si>
  <si>
    <t>専攻分野の名称</t>
    <rPh sb="0" eb="2">
      <t>センコウ</t>
    </rPh>
    <rPh sb="2" eb="4">
      <t>ブンヤ</t>
    </rPh>
    <rPh sb="5" eb="7">
      <t>メイショウ</t>
    </rPh>
    <phoneticPr fontId="4"/>
  </si>
  <si>
    <t>専攻科／学科名</t>
    <rPh sb="0" eb="3">
      <t>センコウカ</t>
    </rPh>
    <rPh sb="4" eb="6">
      <t>ガッカ</t>
    </rPh>
    <rPh sb="6" eb="7">
      <t>メイ</t>
    </rPh>
    <phoneticPr fontId="4"/>
  </si>
  <si>
    <t>学校名</t>
    <rPh sb="0" eb="2">
      <t>ガッコウ</t>
    </rPh>
    <rPh sb="2" eb="3">
      <t>メイ</t>
    </rPh>
    <phoneticPr fontId="4"/>
  </si>
  <si>
    <t>専攻区分</t>
    <rPh sb="0" eb="4">
      <t>センコウクブン</t>
    </rPh>
    <phoneticPr fontId="3"/>
  </si>
  <si>
    <t>専門＋関連</t>
    <rPh sb="0" eb="2">
      <t>センモン</t>
    </rPh>
    <rPh sb="3" eb="5">
      <t>カンレン</t>
    </rPh>
    <phoneticPr fontId="1"/>
  </si>
  <si>
    <t>専門科目合計</t>
    <rPh sb="0" eb="2">
      <t>センモン</t>
    </rPh>
    <rPh sb="2" eb="4">
      <t>カモク</t>
    </rPh>
    <rPh sb="4" eb="6">
      <t>ゴウケイ</t>
    </rPh>
    <phoneticPr fontId="1"/>
  </si>
  <si>
    <t>うちA群</t>
    <rPh sb="3" eb="4">
      <t>グン</t>
    </rPh>
    <phoneticPr fontId="1"/>
  </si>
  <si>
    <t>　　A群種類</t>
    <rPh sb="3" eb="4">
      <t>グン</t>
    </rPh>
    <rPh sb="4" eb="6">
      <t>シュルイ</t>
    </rPh>
    <phoneticPr fontId="1"/>
  </si>
  <si>
    <t>うちB群</t>
    <rPh sb="3" eb="4">
      <t>グン</t>
    </rPh>
    <phoneticPr fontId="1"/>
  </si>
  <si>
    <t>関連科目</t>
    <rPh sb="0" eb="4">
      <t>カンレンカモク</t>
    </rPh>
    <phoneticPr fontId="1"/>
  </si>
  <si>
    <t>専攻区分による要件</t>
    <rPh sb="0" eb="4">
      <t>センコウクブン</t>
    </rPh>
    <rPh sb="7" eb="9">
      <t>ヨウケン</t>
    </rPh>
    <phoneticPr fontId="3"/>
  </si>
  <si>
    <t>共通要件</t>
    <rPh sb="0" eb="4">
      <t>キョウツウヨウケン</t>
    </rPh>
    <phoneticPr fontId="3"/>
  </si>
  <si>
    <t>専攻科の専門科目</t>
    <rPh sb="0" eb="3">
      <t>センコウカ</t>
    </rPh>
    <rPh sb="4" eb="8">
      <t>センモンカモク</t>
    </rPh>
    <phoneticPr fontId="1"/>
  </si>
  <si>
    <t>専攻科の専門・関連</t>
    <rPh sb="0" eb="3">
      <t>センコウカ</t>
    </rPh>
    <rPh sb="4" eb="6">
      <t>センモン</t>
    </rPh>
    <rPh sb="7" eb="9">
      <t>カンレン</t>
    </rPh>
    <phoneticPr fontId="1"/>
  </si>
  <si>
    <t>専門・関連</t>
    <rPh sb="0" eb="2">
      <t>センモン</t>
    </rPh>
    <rPh sb="3" eb="5">
      <t>カンレン</t>
    </rPh>
    <phoneticPr fontId="1"/>
  </si>
  <si>
    <t>関連・専攻外</t>
    <rPh sb="0" eb="2">
      <t>カンレン</t>
    </rPh>
    <rPh sb="3" eb="5">
      <t>センコウ</t>
    </rPh>
    <rPh sb="5" eb="6">
      <t>ガイ</t>
    </rPh>
    <phoneticPr fontId="1"/>
  </si>
  <si>
    <t>外国語の単位</t>
    <rPh sb="0" eb="3">
      <t>ガイコクゴ</t>
    </rPh>
    <rPh sb="4" eb="6">
      <t>タンイ</t>
    </rPh>
    <phoneticPr fontId="1"/>
  </si>
  <si>
    <t>修得単位数
(種類)</t>
    <rPh sb="0" eb="2">
      <t>シュウトク</t>
    </rPh>
    <rPh sb="2" eb="5">
      <t>タンイスウ</t>
    </rPh>
    <rPh sb="7" eb="9">
      <t>シュルイ</t>
    </rPh>
    <phoneticPr fontId="3"/>
  </si>
  <si>
    <t>修得単位数</t>
    <rPh sb="0" eb="2">
      <t>シュウトク</t>
    </rPh>
    <rPh sb="2" eb="5">
      <t>タンイスウ</t>
    </rPh>
    <phoneticPr fontId="3"/>
  </si>
  <si>
    <t>商船学項目</t>
    <rPh sb="0" eb="3">
      <t>ショウセンガク</t>
    </rPh>
    <rPh sb="3" eb="5">
      <t>コウモク</t>
    </rPh>
    <phoneticPr fontId="3"/>
  </si>
  <si>
    <t>列163</t>
  </si>
  <si>
    <t>単位修得の要件による分類</t>
    <phoneticPr fontId="3"/>
  </si>
  <si>
    <t>認定専攻科で修得した全科目</t>
    <rPh sb="0" eb="5">
      <t>ニンテイセンコウカ</t>
    </rPh>
    <rPh sb="6" eb="8">
      <t>シュウトク</t>
    </rPh>
    <rPh sb="10" eb="13">
      <t>ゼンカモク</t>
    </rPh>
    <phoneticPr fontId="3"/>
  </si>
  <si>
    <t>専攻科で修得した専門科目（総まとめを除く）＋関連科目</t>
    <rPh sb="0" eb="3">
      <t>センコウカ</t>
    </rPh>
    <rPh sb="4" eb="6">
      <t>シュウトク</t>
    </rPh>
    <rPh sb="8" eb="10">
      <t>センモン</t>
    </rPh>
    <rPh sb="10" eb="12">
      <t>カモク</t>
    </rPh>
    <rPh sb="13" eb="14">
      <t>ソウ</t>
    </rPh>
    <rPh sb="18" eb="19">
      <t>ノゾ</t>
    </rPh>
    <rPh sb="22" eb="24">
      <t>カンレン</t>
    </rPh>
    <rPh sb="24" eb="26">
      <t>カモク</t>
    </rPh>
    <phoneticPr fontId="3"/>
  </si>
  <si>
    <t>専攻科で修得した専門科目（総まとめを含む）</t>
    <rPh sb="0" eb="3">
      <t>センコウカ</t>
    </rPh>
    <rPh sb="4" eb="6">
      <t>シュウトク</t>
    </rPh>
    <rPh sb="8" eb="10">
      <t>センモン</t>
    </rPh>
    <rPh sb="10" eb="12">
      <t>カモク</t>
    </rPh>
    <rPh sb="13" eb="14">
      <t>ソウ</t>
    </rPh>
    <rPh sb="18" eb="19">
      <t>フク</t>
    </rPh>
    <phoneticPr fontId="3"/>
  </si>
  <si>
    <t>専攻科目＋関連科目</t>
    <rPh sb="0" eb="2">
      <t>センコウ</t>
    </rPh>
    <rPh sb="2" eb="4">
      <t>カモク</t>
    </rPh>
    <rPh sb="5" eb="7">
      <t>カンレン</t>
    </rPh>
    <rPh sb="7" eb="9">
      <t>カモク</t>
    </rPh>
    <phoneticPr fontId="3"/>
  </si>
  <si>
    <t>専攻科目</t>
    <rPh sb="0" eb="4">
      <t>センコウカモク</t>
    </rPh>
    <phoneticPr fontId="3"/>
  </si>
  <si>
    <t>外国語の科目</t>
    <rPh sb="0" eb="3">
      <t>ガイコクゴ</t>
    </rPh>
    <rPh sb="4" eb="6">
      <t>カモク</t>
    </rPh>
    <phoneticPr fontId="3"/>
  </si>
  <si>
    <t>学校における区分</t>
    <rPh sb="0" eb="2">
      <t>ガッコウ</t>
    </rPh>
    <rPh sb="6" eb="8">
      <t>クブン</t>
    </rPh>
    <phoneticPr fontId="3"/>
  </si>
  <si>
    <t>授業科目名</t>
    <rPh sb="0" eb="5">
      <t>ジュギョウカモクメイ</t>
    </rPh>
    <phoneticPr fontId="3"/>
  </si>
  <si>
    <t>必・選</t>
    <rPh sb="2" eb="3">
      <t>セン</t>
    </rPh>
    <phoneticPr fontId="3"/>
  </si>
  <si>
    <t>単位数</t>
    <rPh sb="0" eb="3">
      <t>タンイスウ</t>
    </rPh>
    <phoneticPr fontId="3"/>
  </si>
  <si>
    <t>履修年次</t>
    <rPh sb="0" eb="4">
      <t>リシュウネンジ</t>
    </rPh>
    <phoneticPr fontId="3"/>
  </si>
  <si>
    <t>シラバス該当ページ</t>
    <rPh sb="4" eb="6">
      <t>ガイトウ</t>
    </rPh>
    <phoneticPr fontId="4"/>
  </si>
  <si>
    <t>摘要</t>
    <rPh sb="0" eb="2">
      <t>テキヨウ</t>
    </rPh>
    <phoneticPr fontId="3"/>
  </si>
  <si>
    <t>摘要の種類</t>
    <rPh sb="0" eb="2">
      <t>テキヨウ</t>
    </rPh>
    <rPh sb="3" eb="5">
      <t>シュルイ</t>
    </rPh>
    <phoneticPr fontId="3"/>
  </si>
  <si>
    <t>列164</t>
  </si>
  <si>
    <t>申請者ID</t>
    <rPh sb="0" eb="3">
      <t>シンセイシャ</t>
    </rPh>
    <phoneticPr fontId="3"/>
  </si>
  <si>
    <t>修得状況</t>
    <rPh sb="2" eb="4">
      <t>ジョウキョウ</t>
    </rPh>
    <phoneticPr fontId="3"/>
  </si>
  <si>
    <t>項目①</t>
    <rPh sb="0" eb="2">
      <t>コウモク</t>
    </rPh>
    <phoneticPr fontId="1"/>
  </si>
  <si>
    <t>項目②</t>
    <rPh sb="0" eb="2">
      <t>コウモク</t>
    </rPh>
    <phoneticPr fontId="1"/>
  </si>
  <si>
    <t>項目③</t>
    <phoneticPr fontId="3"/>
  </si>
  <si>
    <t>項目④</t>
    <phoneticPr fontId="3"/>
  </si>
  <si>
    <t>項目⑤</t>
    <rPh sb="0" eb="2">
      <t>コウモク</t>
    </rPh>
    <phoneticPr fontId="1"/>
  </si>
  <si>
    <t>項目⑥</t>
    <rPh sb="0" eb="2">
      <t>コウモク</t>
    </rPh>
    <phoneticPr fontId="1"/>
  </si>
  <si>
    <t>学修総まとめ
科目</t>
    <phoneticPr fontId="3"/>
  </si>
  <si>
    <t>専攻科の科目</t>
    <phoneticPr fontId="3"/>
  </si>
  <si>
    <t>列165</t>
  </si>
  <si>
    <t>摘要の種類A群カウント用</t>
    <rPh sb="0" eb="2">
      <t>テキヨウ</t>
    </rPh>
    <rPh sb="3" eb="5">
      <t>シュルイ</t>
    </rPh>
    <rPh sb="6" eb="7">
      <t>グン</t>
    </rPh>
    <rPh sb="11" eb="12">
      <t>ヨウ</t>
    </rPh>
    <phoneticPr fontId="3"/>
  </si>
  <si>
    <t>e</t>
  </si>
  <si>
    <t>e</t>
    <phoneticPr fontId="3"/>
  </si>
  <si>
    <t>修得状況
（修得した科目にeを入力してください）</t>
    <rPh sb="0" eb="4">
      <t>シュウトクジョウキョウ</t>
    </rPh>
    <rPh sb="6" eb="8">
      <t>シュウトク</t>
    </rPh>
    <rPh sb="10" eb="12">
      <t>カモク</t>
    </rPh>
    <rPh sb="15" eb="17">
      <t>ニュウリョク</t>
    </rPh>
    <phoneticPr fontId="3"/>
  </si>
  <si>
    <t>歴史学項目</t>
    <rPh sb="0" eb="2">
      <t>レキシ</t>
    </rPh>
    <rPh sb="2" eb="3">
      <t>ガク</t>
    </rPh>
    <rPh sb="3" eb="5">
      <t>コウモク</t>
    </rPh>
    <phoneticPr fontId="3"/>
  </si>
  <si>
    <t>歴史学</t>
    <rPh sb="0" eb="3">
      <t>レキシガク</t>
    </rPh>
    <phoneticPr fontId="3"/>
  </si>
  <si>
    <t>教育学項目</t>
    <rPh sb="0" eb="3">
      <t>キョウイクガク</t>
    </rPh>
    <rPh sb="3" eb="5">
      <t>コウモク</t>
    </rPh>
    <phoneticPr fontId="3"/>
  </si>
  <si>
    <t>経営学項目</t>
    <phoneticPr fontId="3"/>
  </si>
  <si>
    <t>看護学項目</t>
    <rPh sb="0" eb="3">
      <t>カンゴガク</t>
    </rPh>
    <rPh sb="3" eb="5">
      <t>コウモク</t>
    </rPh>
    <phoneticPr fontId="3"/>
  </si>
  <si>
    <t>検査技術科学項目</t>
    <rPh sb="0" eb="4">
      <t>ケンサギジュツ</t>
    </rPh>
    <rPh sb="4" eb="6">
      <t>カガク</t>
    </rPh>
    <rPh sb="6" eb="8">
      <t>コウモク</t>
    </rPh>
    <phoneticPr fontId="3"/>
  </si>
  <si>
    <t>口腔保健衛生学項目</t>
    <rPh sb="7" eb="9">
      <t>コウモク</t>
    </rPh>
    <phoneticPr fontId="3"/>
  </si>
  <si>
    <t>栄養学項目</t>
    <rPh sb="0" eb="3">
      <t>エイヨウガク</t>
    </rPh>
    <rPh sb="3" eb="5">
      <t>コウモク</t>
    </rPh>
    <phoneticPr fontId="3"/>
  </si>
  <si>
    <t>栄養学</t>
    <rPh sb="0" eb="3">
      <t>エイヨウガク</t>
    </rPh>
    <phoneticPr fontId="3"/>
  </si>
  <si>
    <t>機械工学</t>
    <rPh sb="0" eb="4">
      <t>キカイコウガク</t>
    </rPh>
    <phoneticPr fontId="3"/>
  </si>
  <si>
    <t>機械工学項目</t>
    <rPh sb="0" eb="6">
      <t>キカイコウガクコウモク</t>
    </rPh>
    <phoneticPr fontId="3"/>
  </si>
  <si>
    <t>電気電子工学項目</t>
    <rPh sb="0" eb="6">
      <t>デンキデンシコウガク</t>
    </rPh>
    <rPh sb="6" eb="8">
      <t>コウモク</t>
    </rPh>
    <phoneticPr fontId="3"/>
  </si>
  <si>
    <t>情報工学項目</t>
    <rPh sb="0" eb="4">
      <t>ジョウホウコウガク</t>
    </rPh>
    <rPh sb="4" eb="6">
      <t>コウモク</t>
    </rPh>
    <phoneticPr fontId="3"/>
  </si>
  <si>
    <t>応用化学</t>
    <rPh sb="0" eb="4">
      <t>オウヨウカガク</t>
    </rPh>
    <phoneticPr fontId="3"/>
  </si>
  <si>
    <t>応用化学項目</t>
    <rPh sb="0" eb="6">
      <t>オウヨウカガクコウモク</t>
    </rPh>
    <phoneticPr fontId="3"/>
  </si>
  <si>
    <t>生物工学項目</t>
    <rPh sb="0" eb="6">
      <t>セイブツコウガクコウモク</t>
    </rPh>
    <phoneticPr fontId="3"/>
  </si>
  <si>
    <t>材料工学項目</t>
    <rPh sb="0" eb="4">
      <t>ザイリョウコウガク</t>
    </rPh>
    <rPh sb="4" eb="6">
      <t>コウモク</t>
    </rPh>
    <phoneticPr fontId="3"/>
  </si>
  <si>
    <t>土木工学</t>
    <rPh sb="0" eb="4">
      <t>ドボクコウガク</t>
    </rPh>
    <phoneticPr fontId="3"/>
  </si>
  <si>
    <t>土木工学項目</t>
    <rPh sb="0" eb="6">
      <t>ドボクコウガクコウモク</t>
    </rPh>
    <phoneticPr fontId="3"/>
  </si>
  <si>
    <t>建築学項目</t>
    <rPh sb="0" eb="2">
      <t>ケンチク</t>
    </rPh>
    <rPh sb="2" eb="5">
      <t>ガクコウモク</t>
    </rPh>
    <phoneticPr fontId="3"/>
  </si>
  <si>
    <t>社会システム工学</t>
    <rPh sb="0" eb="2">
      <t>シャカイ</t>
    </rPh>
    <rPh sb="6" eb="8">
      <t>コウガク</t>
    </rPh>
    <phoneticPr fontId="3"/>
  </si>
  <si>
    <t>社会システム工学項目</t>
    <rPh sb="0" eb="2">
      <t>シャカイ</t>
    </rPh>
    <rPh sb="6" eb="8">
      <t>コウガク</t>
    </rPh>
    <rPh sb="8" eb="10">
      <t>コウモク</t>
    </rPh>
    <phoneticPr fontId="3"/>
  </si>
  <si>
    <t>音楽</t>
    <rPh sb="0" eb="2">
      <t>オンガク</t>
    </rPh>
    <phoneticPr fontId="3"/>
  </si>
  <si>
    <t>音楽項目</t>
    <rPh sb="0" eb="4">
      <t>オンガクコウモク</t>
    </rPh>
    <phoneticPr fontId="3"/>
  </si>
  <si>
    <t>美術項目</t>
    <rPh sb="0" eb="2">
      <t>ビジュツ</t>
    </rPh>
    <rPh sb="2" eb="4">
      <t>コウモク</t>
    </rPh>
    <phoneticPr fontId="3"/>
  </si>
  <si>
    <t>単位の要件</t>
    <rPh sb="0" eb="2">
      <t>タンイ</t>
    </rPh>
    <rPh sb="3" eb="5">
      <t>ヨウケン</t>
    </rPh>
    <phoneticPr fontId="3"/>
  </si>
  <si>
    <t>○/×</t>
    <phoneticPr fontId="3"/>
  </si>
  <si>
    <t>商船学</t>
    <phoneticPr fontId="3"/>
  </si>
  <si>
    <t>教育学計算式</t>
    <rPh sb="0" eb="3">
      <t>キョウイクガク</t>
    </rPh>
    <phoneticPr fontId="3"/>
  </si>
  <si>
    <t>教育学</t>
    <phoneticPr fontId="3"/>
  </si>
  <si>
    <t>経営学</t>
    <phoneticPr fontId="3"/>
  </si>
  <si>
    <t>経営学計算式</t>
    <rPh sb="0" eb="3">
      <t>ケイエイガク</t>
    </rPh>
    <phoneticPr fontId="3"/>
  </si>
  <si>
    <t>歴史学計算式</t>
    <rPh sb="0" eb="3">
      <t>レキシガク</t>
    </rPh>
    <rPh sb="3" eb="6">
      <t>ケイサンシキ</t>
    </rPh>
    <phoneticPr fontId="3"/>
  </si>
  <si>
    <t>看護学計算式</t>
    <rPh sb="0" eb="3">
      <t>カンゴガク</t>
    </rPh>
    <rPh sb="3" eb="6">
      <t>ケイサンシキ</t>
    </rPh>
    <phoneticPr fontId="3"/>
  </si>
  <si>
    <t>看護学</t>
    <rPh sb="0" eb="3">
      <t>カンゴガクケイサンシキ2</t>
    </rPh>
    <phoneticPr fontId="3"/>
  </si>
  <si>
    <t>検査技術科学計算式</t>
    <rPh sb="0" eb="4">
      <t>ケンサギジュツ</t>
    </rPh>
    <rPh sb="4" eb="6">
      <t>カガク</t>
    </rPh>
    <phoneticPr fontId="3"/>
  </si>
  <si>
    <t>口腔保健衛生学</t>
    <phoneticPr fontId="3"/>
  </si>
  <si>
    <t>口腔保健衛生学計算式</t>
    <rPh sb="0" eb="7">
      <t>コウクウホケンエイセイガク</t>
    </rPh>
    <phoneticPr fontId="3"/>
  </si>
  <si>
    <t>検査技術科学</t>
    <rPh sb="0" eb="4">
      <t>ケンサギジュツカガク2</t>
    </rPh>
    <phoneticPr fontId="3"/>
  </si>
  <si>
    <t>栄養学計算式</t>
    <rPh sb="0" eb="3">
      <t>エイヨウガク</t>
    </rPh>
    <rPh sb="3" eb="6">
      <t>ケイサンシキ</t>
    </rPh>
    <phoneticPr fontId="3"/>
  </si>
  <si>
    <t>機械工学計算式</t>
    <rPh sb="0" eb="4">
      <t>キカイコウガク</t>
    </rPh>
    <rPh sb="4" eb="7">
      <t>ケイサンシキ</t>
    </rPh>
    <phoneticPr fontId="3"/>
  </si>
  <si>
    <t>電気電子工学計算式</t>
    <rPh sb="0" eb="2">
      <t>デンキ</t>
    </rPh>
    <rPh sb="2" eb="4">
      <t>デンシ</t>
    </rPh>
    <rPh sb="4" eb="6">
      <t>コウガク</t>
    </rPh>
    <rPh sb="6" eb="9">
      <t>ケイサンシキ</t>
    </rPh>
    <phoneticPr fontId="3"/>
  </si>
  <si>
    <t>電気電子工学</t>
    <rPh sb="0" eb="6">
      <t>デンキデンシコウガク</t>
    </rPh>
    <phoneticPr fontId="3"/>
  </si>
  <si>
    <t>情報工学計算式</t>
    <rPh sb="0" eb="2">
      <t>ジョウホウ</t>
    </rPh>
    <rPh sb="2" eb="4">
      <t>コウガク</t>
    </rPh>
    <rPh sb="4" eb="7">
      <t>ケイサンシキ</t>
    </rPh>
    <phoneticPr fontId="3"/>
  </si>
  <si>
    <t>情報工学</t>
    <phoneticPr fontId="3"/>
  </si>
  <si>
    <t>応用化学計算式</t>
    <rPh sb="0" eb="4">
      <t>オウヨウカガク</t>
    </rPh>
    <rPh sb="4" eb="7">
      <t>ケイサンシキ</t>
    </rPh>
    <phoneticPr fontId="3"/>
  </si>
  <si>
    <t>生物工学計算式</t>
    <rPh sb="0" eb="4">
      <t>セイブツコウガク</t>
    </rPh>
    <rPh sb="4" eb="7">
      <t>ケイサンシキ</t>
    </rPh>
    <phoneticPr fontId="3"/>
  </si>
  <si>
    <t>生物工学</t>
    <rPh sb="0" eb="2">
      <t>セイブツ</t>
    </rPh>
    <rPh sb="2" eb="4">
      <t>コウガク</t>
    </rPh>
    <phoneticPr fontId="3"/>
  </si>
  <si>
    <t>材料工学計算式</t>
    <rPh sb="0" eb="4">
      <t>ザイリョウコウガク</t>
    </rPh>
    <rPh sb="4" eb="6">
      <t>ケイサン</t>
    </rPh>
    <rPh sb="6" eb="7">
      <t>シキ</t>
    </rPh>
    <phoneticPr fontId="3"/>
  </si>
  <si>
    <t>材料工学</t>
    <rPh sb="0" eb="4">
      <t>ザイリョウコウガクケイサンシキ2</t>
    </rPh>
    <phoneticPr fontId="3"/>
  </si>
  <si>
    <t>土木工学計算式</t>
    <rPh sb="0" eb="4">
      <t>ドボクコウガク</t>
    </rPh>
    <rPh sb="4" eb="7">
      <t>ケイサンシキ</t>
    </rPh>
    <phoneticPr fontId="3"/>
  </si>
  <si>
    <t>建築学計算式</t>
    <rPh sb="0" eb="2">
      <t>ケンチク</t>
    </rPh>
    <rPh sb="2" eb="3">
      <t>ガク</t>
    </rPh>
    <rPh sb="3" eb="6">
      <t>ケイサンシキ</t>
    </rPh>
    <phoneticPr fontId="3"/>
  </si>
  <si>
    <t>建築学</t>
    <rPh sb="0" eb="3">
      <t>ケンチクガク</t>
    </rPh>
    <phoneticPr fontId="3"/>
  </si>
  <si>
    <t>社会システム工学計算式</t>
    <rPh sb="0" eb="2">
      <t>シャカイ</t>
    </rPh>
    <rPh sb="6" eb="8">
      <t>コウガク</t>
    </rPh>
    <rPh sb="8" eb="11">
      <t>ケイサンシキ</t>
    </rPh>
    <phoneticPr fontId="3"/>
  </si>
  <si>
    <t>音楽計算式</t>
    <rPh sb="0" eb="2">
      <t>オンガク</t>
    </rPh>
    <rPh sb="2" eb="5">
      <t>ケイサンシキ</t>
    </rPh>
    <phoneticPr fontId="3"/>
  </si>
  <si>
    <t>美術計算式</t>
    <rPh sb="0" eb="2">
      <t>ビジュツ</t>
    </rPh>
    <rPh sb="2" eb="5">
      <t>ケイサンシキ</t>
    </rPh>
    <phoneticPr fontId="3"/>
  </si>
  <si>
    <t>美術</t>
    <rPh sb="0" eb="2">
      <t>ビジュツ</t>
    </rPh>
    <phoneticPr fontId="3"/>
  </si>
  <si>
    <t>専門＋関連</t>
    <rPh sb="0" eb="2">
      <t>センモン</t>
    </rPh>
    <rPh sb="3" eb="5">
      <t>カンレン</t>
    </rPh>
    <phoneticPr fontId="3"/>
  </si>
  <si>
    <t>関連科目</t>
  </si>
  <si>
    <t>専門種類</t>
    <rPh sb="0" eb="2">
      <t>センモン</t>
    </rPh>
    <rPh sb="2" eb="4">
      <t>シュルイ</t>
    </rPh>
    <phoneticPr fontId="3"/>
  </si>
  <si>
    <t>関連</t>
    <rPh sb="0" eb="2">
      <t>カンレン</t>
    </rPh>
    <phoneticPr fontId="3"/>
  </si>
  <si>
    <t>専門科目種別カウント用</t>
    <rPh sb="0" eb="4">
      <t>センモンカモク</t>
    </rPh>
    <rPh sb="4" eb="6">
      <t>シュベツ</t>
    </rPh>
    <rPh sb="10" eb="11">
      <t>ヨウ</t>
    </rPh>
    <phoneticPr fontId="3"/>
  </si>
  <si>
    <t>　　必修科目区分</t>
    <rPh sb="2" eb="4">
      <t>ヒッシュウ</t>
    </rPh>
    <rPh sb="4" eb="6">
      <t>カモク</t>
    </rPh>
    <rPh sb="6" eb="8">
      <t>クブン</t>
    </rPh>
    <phoneticPr fontId="1"/>
  </si>
  <si>
    <t>商船学計算式</t>
    <rPh sb="0" eb="2">
      <t>ショウセン</t>
    </rPh>
    <rPh sb="2" eb="3">
      <t>ガク</t>
    </rPh>
    <rPh sb="3" eb="6">
      <t>ケイサンシキ</t>
    </rPh>
    <phoneticPr fontId="3"/>
  </si>
  <si>
    <t>関連科目</t>
    <phoneticPr fontId="3"/>
  </si>
  <si>
    <t>　　特定科目</t>
    <rPh sb="2" eb="6">
      <t>トクテイカモク</t>
    </rPh>
    <phoneticPr fontId="1"/>
  </si>
  <si>
    <t>うちA-1群</t>
    <rPh sb="5" eb="6">
      <t>グン</t>
    </rPh>
    <phoneticPr fontId="1"/>
  </si>
  <si>
    <t>　　A-1群種類</t>
    <rPh sb="5" eb="6">
      <t>グン</t>
    </rPh>
    <rPh sb="6" eb="8">
      <t>シュルイ</t>
    </rPh>
    <phoneticPr fontId="1"/>
  </si>
  <si>
    <t>うちA-2群</t>
    <rPh sb="5" eb="6">
      <t>グン</t>
    </rPh>
    <phoneticPr fontId="1"/>
  </si>
  <si>
    <t>関連科目</t>
    <rPh sb="0" eb="4">
      <t>カンレンカモク</t>
    </rPh>
    <phoneticPr fontId="3"/>
  </si>
  <si>
    <t>摘要の種類A-1群カウント用</t>
    <phoneticPr fontId="3"/>
  </si>
  <si>
    <t>【土木工学に】ついて</t>
    <rPh sb="0" eb="7">
      <t>(ドボクコウガクニ)</t>
    </rPh>
    <phoneticPr fontId="3"/>
  </si>
  <si>
    <t>列6</t>
  </si>
  <si>
    <t>列7</t>
  </si>
  <si>
    <t>列8</t>
  </si>
  <si>
    <t>列9</t>
  </si>
  <si>
    <t>・専門科目A群の「都市・景観に関する科目」の区分の
　単位数が15単位以上の場合は、その区分の演習科目を
　実験・実習科目に替えることができる。
　当該区分の演習科目を実験・演習科目に替える場合は
　演習科目の情報を右の表に転記してください。　</t>
    <phoneticPr fontId="3"/>
  </si>
  <si>
    <t>授業科目名</t>
    <phoneticPr fontId="4"/>
  </si>
  <si>
    <t>単位数</t>
    <phoneticPr fontId="4"/>
  </si>
  <si>
    <t>履修年次</t>
    <phoneticPr fontId="4"/>
  </si>
  <si>
    <t>摘要</t>
    <phoneticPr fontId="4"/>
  </si>
  <si>
    <t>摘要の種類</t>
    <rPh sb="0" eb="2">
      <t>テキヨウ</t>
    </rPh>
    <rPh sb="3" eb="5">
      <t>シュルイ</t>
    </rPh>
    <phoneticPr fontId="4"/>
  </si>
  <si>
    <t>項目⑦</t>
    <rPh sb="0" eb="2">
      <t>コウモク</t>
    </rPh>
    <phoneticPr fontId="3"/>
  </si>
  <si>
    <t>項目⑧</t>
    <rPh sb="0" eb="2">
      <t>コウモク</t>
    </rPh>
    <phoneticPr fontId="3"/>
  </si>
  <si>
    <t>うちB群</t>
    <phoneticPr fontId="3"/>
  </si>
  <si>
    <t>建築構造に関する科目</t>
    <rPh sb="0" eb="4">
      <t>ケンチクコウゾウ</t>
    </rPh>
    <rPh sb="5" eb="6">
      <t>カン</t>
    </rPh>
    <rPh sb="8" eb="10">
      <t>カモク</t>
    </rPh>
    <phoneticPr fontId="1"/>
  </si>
  <si>
    <t>建築構法・材料・施工に関する科目</t>
    <rPh sb="0" eb="16">
      <t>ケンチクコウホウ･ザイリョウ･シコウニカンスルカモク</t>
    </rPh>
    <phoneticPr fontId="3"/>
  </si>
  <si>
    <t>建築環境工学に関する科目</t>
    <rPh sb="0" eb="6">
      <t>ケンチクカンキョウコウガク</t>
    </rPh>
    <rPh sb="7" eb="8">
      <t>カン</t>
    </rPh>
    <rPh sb="10" eb="12">
      <t>カモク</t>
    </rPh>
    <phoneticPr fontId="3"/>
  </si>
  <si>
    <t>建築計画に関する科目</t>
    <rPh sb="0" eb="4">
      <t>ケンチクケイカク</t>
    </rPh>
    <rPh sb="5" eb="6">
      <t>カン</t>
    </rPh>
    <rPh sb="8" eb="10">
      <t>カモク</t>
    </rPh>
    <phoneticPr fontId="3"/>
  </si>
  <si>
    <t>うちB-1群</t>
    <rPh sb="5" eb="6">
      <t>グン</t>
    </rPh>
    <phoneticPr fontId="1"/>
  </si>
  <si>
    <t>うちB-2群</t>
    <rPh sb="5" eb="6">
      <t>グン</t>
    </rPh>
    <phoneticPr fontId="1"/>
  </si>
  <si>
    <t>うちC群</t>
    <rPh sb="3" eb="4">
      <t>グン</t>
    </rPh>
    <phoneticPr fontId="1"/>
  </si>
  <si>
    <t>専門科目種類</t>
    <rPh sb="0" eb="4">
      <t>センモンカモク</t>
    </rPh>
    <rPh sb="4" eb="6">
      <t>シュルイ</t>
    </rPh>
    <phoneticPr fontId="1"/>
  </si>
  <si>
    <t>演奏に関する科目</t>
    <rPh sb="0" eb="2">
      <t>エンソウ</t>
    </rPh>
    <rPh sb="3" eb="4">
      <t>カン</t>
    </rPh>
    <rPh sb="6" eb="8">
      <t>カモク</t>
    </rPh>
    <phoneticPr fontId="1"/>
  </si>
  <si>
    <t>関連科目</t>
    <rPh sb="0" eb="2">
      <t>カンレン</t>
    </rPh>
    <rPh sb="2" eb="4">
      <t>カモク</t>
    </rPh>
    <phoneticPr fontId="3"/>
  </si>
  <si>
    <t>専門科目</t>
    <rPh sb="0" eb="2">
      <t>センモン</t>
    </rPh>
    <rPh sb="2" eb="4">
      <t>カモク</t>
    </rPh>
    <phoneticPr fontId="4"/>
  </si>
  <si>
    <t>関連科目</t>
    <rPh sb="0" eb="2">
      <t>カンレン</t>
    </rPh>
    <rPh sb="2" eb="4">
      <t>カモク</t>
    </rPh>
    <phoneticPr fontId="4"/>
  </si>
  <si>
    <t>専攻外科目</t>
    <rPh sb="0" eb="2">
      <t>センコウ</t>
    </rPh>
    <rPh sb="2" eb="3">
      <t>ガイ</t>
    </rPh>
    <rPh sb="3" eb="5">
      <t>カモク</t>
    </rPh>
    <phoneticPr fontId="4"/>
  </si>
  <si>
    <t>○</t>
  </si>
  <si>
    <t>インターンシップ</t>
  </si>
  <si>
    <t>専門科目</t>
  </si>
  <si>
    <t>一般科目</t>
  </si>
  <si>
    <t>専攻外科目</t>
  </si>
  <si>
    <t>必修</t>
  </si>
  <si>
    <t>B</t>
  </si>
  <si>
    <t>選択</t>
  </si>
  <si>
    <t>学校種類</t>
    <rPh sb="0" eb="4">
      <t>ガッコウシュルイ</t>
    </rPh>
    <phoneticPr fontId="4"/>
  </si>
  <si>
    <t>2年次制</t>
  </si>
  <si>
    <t>家政学項目</t>
    <rPh sb="0" eb="3">
      <t>カセイガク</t>
    </rPh>
    <rPh sb="3" eb="5">
      <t>コウモク</t>
    </rPh>
    <phoneticPr fontId="4"/>
  </si>
  <si>
    <t>家政学計算式</t>
    <rPh sb="0" eb="3">
      <t>カセイガク</t>
    </rPh>
    <rPh sb="3" eb="6">
      <t>ケイサンシキ</t>
    </rPh>
    <phoneticPr fontId="4"/>
  </si>
  <si>
    <t>家政学</t>
    <rPh sb="0" eb="3">
      <t>カセイガク</t>
    </rPh>
    <phoneticPr fontId="4"/>
  </si>
  <si>
    <t>氏名欄</t>
    <rPh sb="0" eb="3">
      <t>シメイラン</t>
    </rPh>
    <phoneticPr fontId="4"/>
  </si>
  <si>
    <t>※氏名欄の記載は機構送付時に削除してください。</t>
    <rPh sb="1" eb="4">
      <t>シメイラン</t>
    </rPh>
    <rPh sb="5" eb="7">
      <t>キサイ</t>
    </rPh>
    <phoneticPr fontId="4"/>
  </si>
  <si>
    <t>記載順</t>
    <rPh sb="0" eb="3">
      <t>キサイジュン</t>
    </rPh>
    <phoneticPr fontId="4"/>
  </si>
  <si>
    <t>記載順</t>
    <rPh sb="0" eb="3">
      <t>キサイジュン</t>
    </rPh>
    <phoneticPr fontId="3"/>
  </si>
  <si>
    <t>通常掲載順</t>
    <rPh sb="0" eb="2">
      <t>ツウジョウ</t>
    </rPh>
    <rPh sb="2" eb="5">
      <t>ケイサイジュン</t>
    </rPh>
    <phoneticPr fontId="4"/>
  </si>
  <si>
    <t>A</t>
  </si>
  <si>
    <t>本4</t>
  </si>
  <si>
    <t>本5</t>
  </si>
  <si>
    <t>専1</t>
  </si>
  <si>
    <t>専2</t>
  </si>
  <si>
    <t>工業英語</t>
  </si>
  <si>
    <t>必修</t>
    <rPh sb="0" eb="2">
      <t>ヒッシュウ</t>
    </rPh>
    <phoneticPr fontId="1"/>
  </si>
  <si>
    <t>単　位　修　得　状　況　等　申　告　書</t>
    <rPh sb="0" eb="1">
      <t>タン</t>
    </rPh>
    <rPh sb="2" eb="3">
      <t>クライ</t>
    </rPh>
    <rPh sb="4" eb="5">
      <t>オサム</t>
    </rPh>
    <rPh sb="6" eb="7">
      <t>エ</t>
    </rPh>
    <rPh sb="8" eb="9">
      <t>ジョウ</t>
    </rPh>
    <rPh sb="10" eb="11">
      <t>キョウ</t>
    </rPh>
    <rPh sb="12" eb="13">
      <t>ナド</t>
    </rPh>
    <rPh sb="14" eb="15">
      <t>サル</t>
    </rPh>
    <rPh sb="16" eb="17">
      <t>コク</t>
    </rPh>
    <rPh sb="18" eb="19">
      <t>ショ</t>
    </rPh>
    <phoneticPr fontId="4"/>
  </si>
  <si>
    <t>木更津工業高等専門学校</t>
    <rPh sb="0" eb="11">
      <t>キ</t>
    </rPh>
    <phoneticPr fontId="5"/>
  </si>
  <si>
    <t>制御・情報システム工学専攻／情報工学科</t>
    <rPh sb="14" eb="16">
      <t>ジョウホウ</t>
    </rPh>
    <rPh sb="16" eb="19">
      <t>コウガクカ</t>
    </rPh>
    <phoneticPr fontId="5"/>
  </si>
  <si>
    <t>工学</t>
    <rPh sb="0" eb="2">
      <t>コウガク</t>
    </rPh>
    <phoneticPr fontId="2"/>
  </si>
  <si>
    <t>情報工学</t>
    <rPh sb="0" eb="2">
      <t>ジョウホウ</t>
    </rPh>
    <rPh sb="2" eb="4">
      <t>コウガク</t>
    </rPh>
    <phoneticPr fontId="6"/>
  </si>
  <si>
    <t>言語処理系Ⅰ</t>
    <rPh sb="0" eb="2">
      <t>ゲンゴ</t>
    </rPh>
    <rPh sb="2" eb="4">
      <t>ショリ</t>
    </rPh>
    <rPh sb="4" eb="5">
      <t>ケイ</t>
    </rPh>
    <phoneticPr fontId="16"/>
  </si>
  <si>
    <t>必修</t>
    <rPh sb="0" eb="2">
      <t>ヒッシュウ</t>
    </rPh>
    <phoneticPr fontId="16"/>
  </si>
  <si>
    <t>本4</t>
    <rPh sb="0" eb="1">
      <t>ホン</t>
    </rPh>
    <phoneticPr fontId="16"/>
  </si>
  <si>
    <t>計算機システムに関する科目</t>
    <rPh sb="0" eb="3">
      <t>ケイサンキ</t>
    </rPh>
    <rPh sb="8" eb="9">
      <t>カン</t>
    </rPh>
    <rPh sb="11" eb="13">
      <t>カモク</t>
    </rPh>
    <phoneticPr fontId="9"/>
  </si>
  <si>
    <t>言語処理系Ⅱ</t>
    <rPh sb="0" eb="2">
      <t>ゲンゴ</t>
    </rPh>
    <rPh sb="2" eb="4">
      <t>ショリ</t>
    </rPh>
    <rPh sb="4" eb="5">
      <t>ケイ</t>
    </rPh>
    <phoneticPr fontId="16"/>
  </si>
  <si>
    <t>オペレーティングシステムⅠ</t>
  </si>
  <si>
    <t>オペレーティングシステムⅡ</t>
  </si>
  <si>
    <t>コンピュータアーキテクチャⅢ</t>
  </si>
  <si>
    <t>インターフェース回路</t>
  </si>
  <si>
    <t>計算機インターフェースⅠ</t>
    <rPh sb="0" eb="3">
      <t>ケイサンキ</t>
    </rPh>
    <phoneticPr fontId="16"/>
  </si>
  <si>
    <t>計算機インターフェースⅡ</t>
    <rPh sb="0" eb="3">
      <t>ケイサンキ</t>
    </rPh>
    <phoneticPr fontId="16"/>
  </si>
  <si>
    <t>情報処理に関する科目</t>
    <rPh sb="0" eb="2">
      <t>ジョウホウ</t>
    </rPh>
    <rPh sb="2" eb="4">
      <t>ショリ</t>
    </rPh>
    <rPh sb="5" eb="6">
      <t>カン</t>
    </rPh>
    <rPh sb="8" eb="10">
      <t>カモク</t>
    </rPh>
    <phoneticPr fontId="9"/>
  </si>
  <si>
    <t>プログラミング言語 Ⅰ</t>
    <rPh sb="7" eb="9">
      <t>ゲンゴ</t>
    </rPh>
    <phoneticPr fontId="16"/>
  </si>
  <si>
    <t>プログラミング言語 Ⅱ</t>
  </si>
  <si>
    <t>プログラミング演習ⅢＡ</t>
  </si>
  <si>
    <t>情報工学に関する演習・実験・実習科目</t>
    <rPh sb="0" eb="2">
      <t>ジョウホウ</t>
    </rPh>
    <rPh sb="2" eb="4">
      <t>コウガク</t>
    </rPh>
    <rPh sb="5" eb="6">
      <t>カン</t>
    </rPh>
    <rPh sb="8" eb="10">
      <t>エンシュウ</t>
    </rPh>
    <rPh sb="11" eb="13">
      <t>ジッケン</t>
    </rPh>
    <rPh sb="14" eb="16">
      <t>ジッシュウ</t>
    </rPh>
    <rPh sb="16" eb="18">
      <t>カモク</t>
    </rPh>
    <phoneticPr fontId="9"/>
  </si>
  <si>
    <t>プログラミング演習ⅢＢ</t>
  </si>
  <si>
    <t xml:space="preserve">実験・実習Ⅳ </t>
    <rPh sb="0" eb="2">
      <t>ジッケン</t>
    </rPh>
    <rPh sb="3" eb="5">
      <t>ジッシュウ</t>
    </rPh>
    <phoneticPr fontId="16"/>
  </si>
  <si>
    <t>情報セキュリティ Ⅰ</t>
  </si>
  <si>
    <t>情報セキュリティ Ⅱ</t>
  </si>
  <si>
    <t>課題研究</t>
    <rPh sb="0" eb="2">
      <t>カダイ</t>
    </rPh>
    <rPh sb="2" eb="4">
      <t>ケンキュウ</t>
    </rPh>
    <phoneticPr fontId="16"/>
  </si>
  <si>
    <t>学外実習</t>
    <rPh sb="0" eb="2">
      <t>ガクガイ</t>
    </rPh>
    <rPh sb="2" eb="4">
      <t>ジッシュウ</t>
    </rPh>
    <phoneticPr fontId="17"/>
  </si>
  <si>
    <t>選択</t>
    <rPh sb="0" eb="2">
      <t>センタク</t>
    </rPh>
    <phoneticPr fontId="17"/>
  </si>
  <si>
    <t>本4</t>
    <rPh sb="0" eb="1">
      <t>ホン</t>
    </rPh>
    <phoneticPr fontId="17"/>
  </si>
  <si>
    <t>制御情報システム</t>
  </si>
  <si>
    <t>選択</t>
    <rPh sb="0" eb="2">
      <t>センタク</t>
    </rPh>
    <phoneticPr fontId="16"/>
  </si>
  <si>
    <t>本5</t>
    <rPh sb="0" eb="1">
      <t>ホn</t>
    </rPh>
    <phoneticPr fontId="16"/>
  </si>
  <si>
    <t>電気電子・通信・システムに関する科目</t>
    <rPh sb="0" eb="2">
      <t>デンキ</t>
    </rPh>
    <rPh sb="2" eb="4">
      <t>デンシ</t>
    </rPh>
    <rPh sb="5" eb="7">
      <t>ツウシン</t>
    </rPh>
    <rPh sb="13" eb="14">
      <t>カン</t>
    </rPh>
    <rPh sb="16" eb="18">
      <t>カモク</t>
    </rPh>
    <phoneticPr fontId="9"/>
  </si>
  <si>
    <t>ソフトウェア設計Ⅰ</t>
    <rPh sb="6" eb="8">
      <t>セッケイ</t>
    </rPh>
    <phoneticPr fontId="2"/>
  </si>
  <si>
    <t>本5</t>
    <rPh sb="0" eb="1">
      <t>ホン</t>
    </rPh>
    <phoneticPr fontId="16"/>
  </si>
  <si>
    <t>ソフトウェア設計Ⅱ</t>
    <rPh sb="6" eb="8">
      <t>セッケイ</t>
    </rPh>
    <phoneticPr fontId="2"/>
  </si>
  <si>
    <t>数値計算</t>
  </si>
  <si>
    <t>情報理論Ⅰ</t>
    <rPh sb="0" eb="2">
      <t>ジョウホウ</t>
    </rPh>
    <rPh sb="2" eb="4">
      <t>リロン</t>
    </rPh>
    <phoneticPr fontId="16"/>
  </si>
  <si>
    <t>情報工学の基盤となる科目</t>
  </si>
  <si>
    <t>情報理論Ⅱ</t>
    <rPh sb="0" eb="2">
      <t>ジョウホウ</t>
    </rPh>
    <rPh sb="2" eb="4">
      <t>リロン</t>
    </rPh>
    <phoneticPr fontId="16"/>
  </si>
  <si>
    <t>ネットワークシステムⅠ</t>
  </si>
  <si>
    <t>ネットワークシステムⅡ</t>
  </si>
  <si>
    <t>卒業研究</t>
    <rPh sb="0" eb="2">
      <t>ソツギョウ</t>
    </rPh>
    <rPh sb="2" eb="4">
      <t>ケンキュウ</t>
    </rPh>
    <phoneticPr fontId="16"/>
  </si>
  <si>
    <t>知能システム</t>
  </si>
  <si>
    <t>信号処理工学</t>
  </si>
  <si>
    <t>画像情報システム</t>
  </si>
  <si>
    <t>データマイニング</t>
  </si>
  <si>
    <t>バイオインフォマティクス</t>
  </si>
  <si>
    <t>メディアデザイン</t>
  </si>
  <si>
    <t>計測システム</t>
    <rPh sb="0" eb="2">
      <t>ケイソク</t>
    </rPh>
    <phoneticPr fontId="2"/>
  </si>
  <si>
    <t>分散情報システム</t>
  </si>
  <si>
    <t>特別研究Ⅰ</t>
    <rPh sb="0" eb="2">
      <t>トクベツ</t>
    </rPh>
    <rPh sb="2" eb="4">
      <t>ケンキュウ</t>
    </rPh>
    <phoneticPr fontId="2"/>
  </si>
  <si>
    <t>必修</t>
    <rPh sb="0" eb="2">
      <t>ヒッシュウ</t>
    </rPh>
    <phoneticPr fontId="9"/>
  </si>
  <si>
    <t>専1</t>
    <rPh sb="0" eb="1">
      <t>セン</t>
    </rPh>
    <phoneticPr fontId="9"/>
  </si>
  <si>
    <t>特別実験</t>
    <rPh sb="0" eb="2">
      <t>トクベツ</t>
    </rPh>
    <rPh sb="2" eb="4">
      <t>ジッケン</t>
    </rPh>
    <phoneticPr fontId="2"/>
  </si>
  <si>
    <t>特別演習Ⅰ</t>
    <rPh sb="0" eb="2">
      <t>トクベツ</t>
    </rPh>
    <rPh sb="2" eb="4">
      <t>エンシュウ</t>
    </rPh>
    <phoneticPr fontId="2"/>
  </si>
  <si>
    <t>専門科目</t>
    <rPh sb="0" eb="2">
      <t>センモン</t>
    </rPh>
    <rPh sb="2" eb="4">
      <t>カモク</t>
    </rPh>
    <phoneticPr fontId="9"/>
  </si>
  <si>
    <t>コンピュータ科学</t>
    <rPh sb="6" eb="8">
      <t>カガク</t>
    </rPh>
    <phoneticPr fontId="2"/>
  </si>
  <si>
    <t>回路工学</t>
    <rPh sb="0" eb="2">
      <t>カイロ</t>
    </rPh>
    <rPh sb="2" eb="4">
      <t>コウガク</t>
    </rPh>
    <phoneticPr fontId="2"/>
  </si>
  <si>
    <t>必修選択</t>
    <rPh sb="0" eb="2">
      <t>ヒッシュウ</t>
    </rPh>
    <rPh sb="2" eb="4">
      <t>センタク</t>
    </rPh>
    <phoneticPr fontId="9"/>
  </si>
  <si>
    <t>半導体デバイス</t>
    <rPh sb="0" eb="3">
      <t>ハンドウタイ</t>
    </rPh>
    <phoneticPr fontId="2"/>
  </si>
  <si>
    <t>選択</t>
    <rPh sb="0" eb="2">
      <t>センタク</t>
    </rPh>
    <phoneticPr fontId="9"/>
  </si>
  <si>
    <t>学習制御</t>
    <rPh sb="0" eb="2">
      <t>ガクシュウ</t>
    </rPh>
    <rPh sb="2" eb="4">
      <t>セイギョ</t>
    </rPh>
    <phoneticPr fontId="2"/>
  </si>
  <si>
    <t>数値解析基礎論</t>
    <rPh sb="0" eb="2">
      <t>スウチ</t>
    </rPh>
    <rPh sb="2" eb="4">
      <t>カイセキ</t>
    </rPh>
    <rPh sb="4" eb="6">
      <t>キソ</t>
    </rPh>
    <rPh sb="6" eb="7">
      <t>ロン</t>
    </rPh>
    <phoneticPr fontId="2"/>
  </si>
  <si>
    <t>ソフトウェア工学</t>
    <rPh sb="6" eb="8">
      <t>コウガク</t>
    </rPh>
    <phoneticPr fontId="2"/>
  </si>
  <si>
    <t>ヒューマンインターフェース</t>
  </si>
  <si>
    <t>特別演習Ⅱ</t>
    <rPh sb="0" eb="2">
      <t>トクベツ</t>
    </rPh>
    <rPh sb="2" eb="4">
      <t>エンシュウ</t>
    </rPh>
    <phoneticPr fontId="2"/>
  </si>
  <si>
    <t>専2</t>
    <rPh sb="0" eb="1">
      <t>セン</t>
    </rPh>
    <phoneticPr fontId="9"/>
  </si>
  <si>
    <t>システム制御</t>
    <rPh sb="4" eb="6">
      <t>セイギョ</t>
    </rPh>
    <phoneticPr fontId="2"/>
  </si>
  <si>
    <t>情報処理に関する科目</t>
  </si>
  <si>
    <t>通信工学</t>
    <rPh sb="0" eb="2">
      <t>ツウシン</t>
    </rPh>
    <rPh sb="2" eb="4">
      <t>コウガク</t>
    </rPh>
    <phoneticPr fontId="2"/>
  </si>
  <si>
    <t>集積回路工学</t>
    <rPh sb="0" eb="2">
      <t>シュウセキ</t>
    </rPh>
    <rPh sb="2" eb="4">
      <t>カイロ</t>
    </rPh>
    <rPh sb="4" eb="6">
      <t>コウガク</t>
    </rPh>
    <phoneticPr fontId="2"/>
  </si>
  <si>
    <t>情報通信工学</t>
    <rPh sb="0" eb="2">
      <t>ジョウホウ</t>
    </rPh>
    <rPh sb="2" eb="4">
      <t>ツウシン</t>
    </rPh>
    <rPh sb="4" eb="6">
      <t>コウガク</t>
    </rPh>
    <phoneticPr fontId="2"/>
  </si>
  <si>
    <t>数理モデリング</t>
    <rPh sb="0" eb="2">
      <t>スウリ</t>
    </rPh>
    <phoneticPr fontId="2"/>
  </si>
  <si>
    <t>必修</t>
    <rPh sb="0" eb="2">
      <t>ヒッシュウ</t>
    </rPh>
    <phoneticPr fontId="17"/>
  </si>
  <si>
    <t>関連</t>
    <rPh sb="0" eb="1">
      <t>カンレn</t>
    </rPh>
    <phoneticPr fontId="2"/>
  </si>
  <si>
    <t>工学の基礎となる科目</t>
    <rPh sb="0" eb="2">
      <t>コウガク</t>
    </rPh>
    <rPh sb="3" eb="5">
      <t>キソ</t>
    </rPh>
    <rPh sb="8" eb="10">
      <t>カモク</t>
    </rPh>
    <phoneticPr fontId="1"/>
  </si>
  <si>
    <t>ﾌﾟﾚｾﾞﾝﾃｰｼｮﾝ技法</t>
  </si>
  <si>
    <t>関連</t>
    <rPh sb="0" eb="2">
      <t>カンレン</t>
    </rPh>
    <phoneticPr fontId="2"/>
  </si>
  <si>
    <t>応用数学Ａ</t>
    <rPh sb="0" eb="2">
      <t>オウヨウ</t>
    </rPh>
    <rPh sb="2" eb="4">
      <t>スウガク</t>
    </rPh>
    <phoneticPr fontId="17"/>
  </si>
  <si>
    <t>必修選択</t>
    <rPh sb="0" eb="2">
      <t>ヒッシュウ</t>
    </rPh>
    <rPh sb="2" eb="3">
      <t>センタク</t>
    </rPh>
    <phoneticPr fontId="17"/>
  </si>
  <si>
    <t>工学の基礎となる科目</t>
    <rPh sb="0" eb="2">
      <t>コウガク</t>
    </rPh>
    <rPh sb="3" eb="5">
      <t>キソ</t>
    </rPh>
    <rPh sb="8" eb="10">
      <t>カモク</t>
    </rPh>
    <phoneticPr fontId="9"/>
  </si>
  <si>
    <t>応用数学Ｂ</t>
    <rPh sb="0" eb="2">
      <t>オウヨウ</t>
    </rPh>
    <rPh sb="2" eb="4">
      <t>スウガク</t>
    </rPh>
    <phoneticPr fontId="17"/>
  </si>
  <si>
    <t>必修選択</t>
    <rPh sb="0" eb="2">
      <t>ヒッシュウ</t>
    </rPh>
    <rPh sb="2" eb="4">
      <t>センタク</t>
    </rPh>
    <phoneticPr fontId="17"/>
  </si>
  <si>
    <t>統計学</t>
    <rPh sb="0" eb="3">
      <t>トウケイガク</t>
    </rPh>
    <phoneticPr fontId="17"/>
  </si>
  <si>
    <t>認知科学</t>
    <rPh sb="0" eb="2">
      <t>ニンチ</t>
    </rPh>
    <rPh sb="2" eb="4">
      <t>カガク</t>
    </rPh>
    <phoneticPr fontId="2"/>
  </si>
  <si>
    <t>工学及び周辺技術等に関する科目</t>
    <rPh sb="0" eb="2">
      <t>コウガク</t>
    </rPh>
    <rPh sb="2" eb="3">
      <t>オヨ</t>
    </rPh>
    <rPh sb="4" eb="6">
      <t>シュウヘン</t>
    </rPh>
    <rPh sb="6" eb="8">
      <t>ギジュツ</t>
    </rPh>
    <rPh sb="8" eb="9">
      <t>トウ</t>
    </rPh>
    <rPh sb="10" eb="11">
      <t>カン</t>
    </rPh>
    <rPh sb="13" eb="15">
      <t>カモク</t>
    </rPh>
    <phoneticPr fontId="9"/>
  </si>
  <si>
    <t>技術英語Ⅰ</t>
    <rPh sb="0" eb="2">
      <t>ギジュツ</t>
    </rPh>
    <rPh sb="2" eb="4">
      <t>エイゴ</t>
    </rPh>
    <phoneticPr fontId="2"/>
  </si>
  <si>
    <t>材料力学通論</t>
    <rPh sb="0" eb="2">
      <t>ザイリョウ</t>
    </rPh>
    <rPh sb="2" eb="4">
      <t>リキガク</t>
    </rPh>
    <rPh sb="4" eb="6">
      <t>ツウロン</t>
    </rPh>
    <phoneticPr fontId="2"/>
  </si>
  <si>
    <t>問題解決技法</t>
    <rPh sb="0" eb="2">
      <t>モンダイ</t>
    </rPh>
    <rPh sb="2" eb="4">
      <t>カイケツ</t>
    </rPh>
    <rPh sb="4" eb="6">
      <t>ギホウ</t>
    </rPh>
    <phoneticPr fontId="2"/>
  </si>
  <si>
    <t>応用数学特論</t>
    <rPh sb="0" eb="2">
      <t>オウヨウ</t>
    </rPh>
    <rPh sb="2" eb="4">
      <t>スウガク</t>
    </rPh>
    <rPh sb="4" eb="6">
      <t>トクロン</t>
    </rPh>
    <phoneticPr fontId="2"/>
  </si>
  <si>
    <t>応用物理特論</t>
    <rPh sb="0" eb="2">
      <t>オウヨウ</t>
    </rPh>
    <rPh sb="2" eb="4">
      <t>ブツリ</t>
    </rPh>
    <rPh sb="4" eb="6">
      <t>トクロン</t>
    </rPh>
    <phoneticPr fontId="2"/>
  </si>
  <si>
    <t>応用化学特論</t>
    <rPh sb="0" eb="2">
      <t>オウヨウ</t>
    </rPh>
    <rPh sb="2" eb="4">
      <t>カガク</t>
    </rPh>
    <rPh sb="4" eb="6">
      <t>トクロン</t>
    </rPh>
    <phoneticPr fontId="2"/>
  </si>
  <si>
    <t>環境工学通論</t>
    <rPh sb="0" eb="2">
      <t>カンキョウ</t>
    </rPh>
    <rPh sb="2" eb="4">
      <t>コウガク</t>
    </rPh>
    <rPh sb="4" eb="6">
      <t>ツウロン</t>
    </rPh>
    <phoneticPr fontId="2"/>
  </si>
  <si>
    <t>材料学通論</t>
    <rPh sb="0" eb="2">
      <t>ザイリョウ</t>
    </rPh>
    <rPh sb="2" eb="3">
      <t>ガク</t>
    </rPh>
    <rPh sb="3" eb="5">
      <t>ツウロン</t>
    </rPh>
    <phoneticPr fontId="2"/>
  </si>
  <si>
    <t>技術倫理</t>
    <rPh sb="0" eb="2">
      <t>ギジュツ</t>
    </rPh>
    <rPh sb="2" eb="4">
      <t>リンリ</t>
    </rPh>
    <phoneticPr fontId="2"/>
  </si>
  <si>
    <t>技術英語Ⅱ</t>
    <rPh sb="0" eb="2">
      <t>ギジュツ</t>
    </rPh>
    <rPh sb="2" eb="4">
      <t>エイゴ</t>
    </rPh>
    <phoneticPr fontId="2"/>
  </si>
  <si>
    <t>地震防災工学通論</t>
    <rPh sb="0" eb="2">
      <t>ジシン</t>
    </rPh>
    <rPh sb="2" eb="4">
      <t>ボウサイ</t>
    </rPh>
    <rPh sb="4" eb="6">
      <t>コウガク</t>
    </rPh>
    <rPh sb="6" eb="8">
      <t>ツウロン</t>
    </rPh>
    <phoneticPr fontId="2"/>
  </si>
  <si>
    <t>環境化学特論</t>
    <rPh sb="0" eb="2">
      <t>カンキョウ</t>
    </rPh>
    <rPh sb="2" eb="4">
      <t>カガク</t>
    </rPh>
    <rPh sb="4" eb="6">
      <t>トクロン</t>
    </rPh>
    <phoneticPr fontId="2"/>
  </si>
  <si>
    <t>創造設計工学</t>
    <rPh sb="0" eb="2">
      <t>ソウゾウ</t>
    </rPh>
    <rPh sb="2" eb="4">
      <t>セッケイ</t>
    </rPh>
    <rPh sb="4" eb="6">
      <t>コウガク</t>
    </rPh>
    <phoneticPr fontId="2"/>
  </si>
  <si>
    <t>磁性材料工学</t>
    <rPh sb="0" eb="2">
      <t>ジセイ</t>
    </rPh>
    <rPh sb="2" eb="4">
      <t>ザイリョウ</t>
    </rPh>
    <rPh sb="4" eb="6">
      <t>コウガク</t>
    </rPh>
    <phoneticPr fontId="2"/>
  </si>
  <si>
    <t>技術論</t>
    <rPh sb="0" eb="3">
      <t>ギジュツロン</t>
    </rPh>
    <phoneticPr fontId="2"/>
  </si>
  <si>
    <t>専門科目</t>
    <rPh sb="0" eb="2">
      <t>センモン</t>
    </rPh>
    <rPh sb="2" eb="4">
      <t>カモク</t>
    </rPh>
    <phoneticPr fontId="17"/>
  </si>
  <si>
    <t>特別研究Ⅱ</t>
    <rPh sb="0" eb="2">
      <t>トクベツ</t>
    </rPh>
    <rPh sb="2" eb="4">
      <t>ケンキュウ</t>
    </rPh>
    <phoneticPr fontId="18"/>
  </si>
  <si>
    <t>専2</t>
    <rPh sb="0" eb="1">
      <t>セン</t>
    </rPh>
    <phoneticPr fontId="1"/>
  </si>
  <si>
    <t>情報工学に関する演習・実験・実習科目</t>
    <rPh sb="0" eb="2">
      <t>ジョウホウ</t>
    </rPh>
    <rPh sb="2" eb="4">
      <t>コウガク</t>
    </rPh>
    <rPh sb="5" eb="6">
      <t>カン</t>
    </rPh>
    <rPh sb="8" eb="10">
      <t>エンシュウ</t>
    </rPh>
    <rPh sb="11" eb="13">
      <t>ジッケン</t>
    </rPh>
    <rPh sb="14" eb="16">
      <t>ジッシュウ</t>
    </rPh>
    <rPh sb="16" eb="18">
      <t>カモク</t>
    </rPh>
    <phoneticPr fontId="1"/>
  </si>
  <si>
    <t>一般科目</t>
    <rPh sb="0" eb="2">
      <t>イッパン</t>
    </rPh>
    <rPh sb="2" eb="4">
      <t>カモク</t>
    </rPh>
    <phoneticPr fontId="2"/>
  </si>
  <si>
    <t>英語演習ⅠＡ</t>
  </si>
  <si>
    <t>必修選択</t>
  </si>
  <si>
    <t>専攻外科目</t>
    <rPh sb="0" eb="2">
      <t>センコウ</t>
    </rPh>
    <rPh sb="2" eb="3">
      <t>ガイ</t>
    </rPh>
    <rPh sb="3" eb="5">
      <t>カモク</t>
    </rPh>
    <phoneticPr fontId="2"/>
  </si>
  <si>
    <t>英語演習ＩＢ</t>
  </si>
  <si>
    <t>本4</t>
    <rPh sb="0" eb="1">
      <t>ホン</t>
    </rPh>
    <phoneticPr fontId="2"/>
  </si>
  <si>
    <t>英会話ⅠＡ</t>
  </si>
  <si>
    <t>英会話ＩＢ</t>
  </si>
  <si>
    <t>必修選択</t>
    <rPh sb="0" eb="2">
      <t>ヒッシュウ</t>
    </rPh>
    <rPh sb="2" eb="4">
      <t>センタク</t>
    </rPh>
    <phoneticPr fontId="2"/>
  </si>
  <si>
    <t>国語表現</t>
  </si>
  <si>
    <t>体育Ⅱ</t>
  </si>
  <si>
    <t>哲学Ａ</t>
  </si>
  <si>
    <t>哲学Ｂ</t>
  </si>
  <si>
    <t>経済学Ａ</t>
    <rPh sb="0" eb="3">
      <t>ケイザイガク</t>
    </rPh>
    <phoneticPr fontId="2"/>
  </si>
  <si>
    <t>経済学Ｂ</t>
  </si>
  <si>
    <t>社会学Ａ</t>
  </si>
  <si>
    <t>社会学Ｂ</t>
  </si>
  <si>
    <t>体育Ⅲ</t>
  </si>
  <si>
    <t>英語演習Ⅱ</t>
  </si>
  <si>
    <t>英会話Ⅱ</t>
  </si>
  <si>
    <t>心理学</t>
  </si>
  <si>
    <t>英語総合</t>
  </si>
  <si>
    <t>人間と文化</t>
  </si>
  <si>
    <t>ドイツ語演習Ⅰ</t>
  </si>
  <si>
    <t>ドイツ語演習Ⅱ</t>
  </si>
  <si>
    <t>現代文明</t>
  </si>
  <si>
    <t>学外実習</t>
  </si>
  <si>
    <t>情報工学に関する演習・実験・実習科目</t>
  </si>
  <si>
    <t>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</si>
</sst>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令和&quot;#&quot;年度入学生適用&quot;"/>
    <numFmt numFmtId="177" formatCode="#&quot;以上&quot;"/>
  </numFmts>
  <fonts count="23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0.5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1"/>
      <name val="游ゴシック"/>
      <family val="3"/>
      <charset val="128"/>
      <scheme val="minor"/>
    </font>
    <font>
      <sz val="14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游ゴシック"/>
      <family val="2"/>
      <charset val="128"/>
      <scheme val="minor"/>
    </font>
    <font>
      <b/>
      <sz val="14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0" tint="-0.1499984740745262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0.5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theme="1"/>
      </bottom>
      <diagonal/>
    </border>
    <border>
      <left style="double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/>
      <top style="thin">
        <color indexed="64"/>
      </top>
      <bottom style="thin">
        <color theme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6" fillId="0" borderId="0">
      <alignment vertical="center"/>
    </xf>
    <xf numFmtId="0" fontId="6" fillId="0" borderId="0"/>
    <xf numFmtId="0" fontId="17" fillId="0" borderId="0">
      <alignment vertical="center"/>
    </xf>
  </cellStyleXfs>
  <cellXfs count="215">
    <xf numFmtId="0" fontId="0" fillId="0" borderId="0" xfId="0">
      <alignment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5" xfId="0" applyFont="1" applyBorder="1" applyAlignment="1" applyProtection="1">
      <alignment horizontal="center" vertical="center"/>
      <protection locked="0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0" fillId="0" borderId="8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0" fontId="19" fillId="0" borderId="16" xfId="0" applyFont="1" applyBorder="1" applyAlignment="1" applyProtection="1">
      <alignment horizontal="center" vertical="center"/>
      <protection locked="0"/>
    </xf>
    <xf numFmtId="0" fontId="19" fillId="0" borderId="49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shrinkToFit="1"/>
    </xf>
    <xf numFmtId="0" fontId="20" fillId="0" borderId="4" xfId="0" applyFont="1" applyBorder="1" applyAlignment="1">
      <alignment vertical="center" shrinkToFit="1"/>
    </xf>
    <xf numFmtId="0" fontId="20" fillId="0" borderId="4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 shrinkToFit="1"/>
    </xf>
    <xf numFmtId="0" fontId="20" fillId="0" borderId="7" xfId="0" applyFont="1" applyBorder="1" applyAlignment="1">
      <alignment horizontal="center" vertical="center" shrinkToFit="1"/>
    </xf>
    <xf numFmtId="0" fontId="20" fillId="0" borderId="6" xfId="0" applyFont="1" applyBorder="1" applyAlignment="1">
      <alignment horizontal="center" vertical="center"/>
    </xf>
    <xf numFmtId="0" fontId="20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0" fillId="0" borderId="4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9" fillId="0" borderId="46" xfId="0" applyFont="1" applyBorder="1">
      <alignment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49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0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left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22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33" xfId="0" applyFont="1" applyBorder="1" applyAlignment="1">
      <alignment horizontal="center" vertical="center"/>
    </xf>
    <xf numFmtId="0" fontId="11" fillId="0" borderId="0" xfId="0" applyFont="1" applyAlignment="1">
      <alignment horizontal="centerContinuous" vertical="center"/>
    </xf>
    <xf numFmtId="0" fontId="0" fillId="0" borderId="27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2" fillId="0" borderId="40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vertical="center" shrinkToFit="1"/>
    </xf>
    <xf numFmtId="0" fontId="2" fillId="0" borderId="10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vertical="center" shrinkToFit="1"/>
    </xf>
    <xf numFmtId="177" fontId="2" fillId="0" borderId="4" xfId="0" quotePrefix="1" applyNumberFormat="1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7" fontId="9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distributed" vertical="center"/>
    </xf>
    <xf numFmtId="0" fontId="0" fillId="0" borderId="0" xfId="0" applyAlignment="1">
      <alignment horizontal="distributed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 wrapText="1" shrinkToFit="1"/>
    </xf>
    <xf numFmtId="0" fontId="2" fillId="0" borderId="33" xfId="0" applyFont="1" applyBorder="1" applyAlignment="1">
      <alignment horizontal="center" vertical="center"/>
    </xf>
    <xf numFmtId="0" fontId="8" fillId="7" borderId="52" xfId="0" applyFont="1" applyFill="1" applyBorder="1" applyAlignment="1">
      <alignment horizontal="center" vertical="center" wrapText="1"/>
    </xf>
    <xf numFmtId="0" fontId="2" fillId="7" borderId="55" xfId="0" applyFont="1" applyFill="1" applyBorder="1" applyAlignment="1">
      <alignment horizontal="left" vertical="center"/>
    </xf>
    <xf numFmtId="0" fontId="0" fillId="7" borderId="55" xfId="0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7" borderId="55" xfId="0" applyFont="1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/>
    </xf>
    <xf numFmtId="0" fontId="2" fillId="7" borderId="57" xfId="0" applyFont="1" applyFill="1" applyBorder="1" applyAlignment="1">
      <alignment horizontal="center" vertical="center"/>
    </xf>
    <xf numFmtId="0" fontId="5" fillId="7" borderId="53" xfId="0" applyFont="1" applyFill="1" applyBorder="1" applyAlignment="1">
      <alignment horizontal="center" vertical="center" wrapText="1"/>
    </xf>
    <xf numFmtId="0" fontId="2" fillId="7" borderId="5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26" xfId="0" applyFont="1" applyBorder="1" applyAlignment="1">
      <alignment horizontal="center" vertical="top"/>
    </xf>
    <xf numFmtId="0" fontId="20" fillId="0" borderId="15" xfId="0" applyFont="1" applyBorder="1">
      <alignment vertical="center"/>
    </xf>
    <xf numFmtId="0" fontId="2" fillId="0" borderId="45" xfId="0" applyFont="1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19" fillId="0" borderId="15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2" fillId="0" borderId="15" xfId="0" applyFont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0" fontId="19" fillId="0" borderId="13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>
      <alignment vertical="center"/>
    </xf>
    <xf numFmtId="0" fontId="0" fillId="0" borderId="41" xfId="0" applyBorder="1" applyAlignment="1">
      <alignment horizontal="center" vertical="top" wrapText="1"/>
    </xf>
    <xf numFmtId="0" fontId="19" fillId="0" borderId="13" xfId="0" applyFont="1" applyBorder="1" applyAlignment="1">
      <alignment horizontal="center" vertical="center"/>
    </xf>
    <xf numFmtId="0" fontId="19" fillId="0" borderId="15" xfId="0" applyFont="1" applyBorder="1" applyAlignment="1">
      <alignment vertical="center" shrinkToFit="1"/>
    </xf>
    <xf numFmtId="0" fontId="19" fillId="0" borderId="12" xfId="0" applyFont="1" applyBorder="1" applyAlignment="1">
      <alignment horizontal="center" vertical="center"/>
    </xf>
    <xf numFmtId="0" fontId="19" fillId="0" borderId="16" xfId="0" applyFont="1" applyBorder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2" xfId="0" applyFont="1" applyBorder="1">
      <alignment vertical="center"/>
    </xf>
    <xf numFmtId="0" fontId="0" fillId="0" borderId="21" xfId="0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left" vertical="center" wrapText="1"/>
    </xf>
    <xf numFmtId="0" fontId="2" fillId="2" borderId="16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18" fillId="2" borderId="11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4" borderId="8" xfId="0" applyFont="1" applyFill="1" applyBorder="1" applyAlignment="1">
      <alignment horizontal="center" vertical="center"/>
    </xf>
    <xf numFmtId="0" fontId="2" fillId="0" borderId="4" xfId="0" applyFont="1" applyBorder="1" applyProtection="1">
      <alignment vertical="center"/>
      <protection locked="0"/>
    </xf>
    <xf numFmtId="0" fontId="2" fillId="6" borderId="10" xfId="0" applyFont="1" applyFill="1" applyBorder="1" applyProtection="1">
      <alignment vertical="center"/>
      <protection locked="0"/>
    </xf>
    <xf numFmtId="0" fontId="2" fillId="6" borderId="5" xfId="0" applyFont="1" applyFill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0" fontId="2" fillId="0" borderId="5" xfId="0" applyFont="1" applyBorder="1" applyProtection="1">
      <alignment vertical="center"/>
      <protection locked="0"/>
    </xf>
    <xf numFmtId="0" fontId="2" fillId="0" borderId="3" xfId="0" applyFont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2" fillId="0" borderId="32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58" xfId="0" applyFont="1" applyBorder="1" applyAlignment="1">
      <alignment horizontal="center" vertical="center"/>
    </xf>
    <xf numFmtId="0" fontId="2" fillId="0" borderId="4" xfId="0" applyFont="1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35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 shrinkToFit="1"/>
    </xf>
    <xf numFmtId="0" fontId="2" fillId="0" borderId="39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1" fillId="0" borderId="10" xfId="0" applyFont="1" applyBorder="1">
      <alignment vertical="center"/>
    </xf>
    <xf numFmtId="0" fontId="22" fillId="0" borderId="5" xfId="0" applyFont="1" applyBorder="1">
      <alignment vertical="center"/>
    </xf>
    <xf numFmtId="0" fontId="22" fillId="0" borderId="8" xfId="0" applyFont="1" applyBorder="1">
      <alignment vertical="center"/>
    </xf>
    <xf numFmtId="176" fontId="21" fillId="0" borderId="10" xfId="0" applyNumberFormat="1" applyFont="1" applyBorder="1" applyAlignment="1">
      <alignment horizontal="left" vertical="center"/>
    </xf>
    <xf numFmtId="176" fontId="22" fillId="0" borderId="5" xfId="0" applyNumberFormat="1" applyFont="1" applyBorder="1" applyAlignment="1">
      <alignment horizontal="left" vertical="center"/>
    </xf>
    <xf numFmtId="176" fontId="22" fillId="0" borderId="8" xfId="0" applyNumberFormat="1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>
      <alignment vertical="center"/>
    </xf>
    <xf numFmtId="0" fontId="21" fillId="0" borderId="8" xfId="0" applyFont="1" applyBorder="1">
      <alignment vertical="center"/>
    </xf>
    <xf numFmtId="0" fontId="2" fillId="0" borderId="10" xfId="0" applyFont="1" applyBorder="1" applyAlignment="1" applyProtection="1">
      <alignment horizontal="left" vertical="center" shrinkToFit="1"/>
      <protection locked="0"/>
    </xf>
    <xf numFmtId="0" fontId="2" fillId="0" borderId="5" xfId="0" applyFont="1" applyBorder="1" applyAlignment="1" applyProtection="1">
      <alignment horizontal="left" vertical="center" shrinkToFit="1"/>
      <protection locked="0"/>
    </xf>
    <xf numFmtId="0" fontId="2" fillId="0" borderId="8" xfId="0" applyFont="1" applyBorder="1" applyAlignment="1" applyProtection="1">
      <alignment horizontal="left" vertical="center" shrinkToFit="1"/>
      <protection locked="0"/>
    </xf>
    <xf numFmtId="0" fontId="2" fillId="0" borderId="4" xfId="0" applyFont="1" applyBorder="1" applyAlignment="1">
      <alignment horizontal="distributed" vertical="center" shrinkToFit="1"/>
    </xf>
    <xf numFmtId="0" fontId="2" fillId="0" borderId="4" xfId="0" applyFont="1" applyBorder="1" applyAlignment="1" applyProtection="1">
      <alignment horizontal="left" vertical="center" shrinkToFit="1"/>
      <protection locked="0"/>
    </xf>
    <xf numFmtId="0" fontId="2" fillId="0" borderId="4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5" fillId="0" borderId="33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distributed" vertical="center"/>
    </xf>
    <xf numFmtId="0" fontId="2" fillId="0" borderId="8" xfId="0" applyFont="1" applyBorder="1" applyAlignment="1">
      <alignment horizontal="distributed" vertical="center"/>
    </xf>
    <xf numFmtId="0" fontId="2" fillId="0" borderId="3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</cellXfs>
  <cellStyles count="5">
    <cellStyle name="標準" xfId="0" builtinId="0"/>
    <cellStyle name="標準 2" xfId="2" xr:uid="{00000000-0005-0000-0000-000001000000}"/>
    <cellStyle name="標準 3" xfId="3" xr:uid="{00000000-0005-0000-0000-000002000000}"/>
    <cellStyle name="標準 4" xfId="4" xr:uid="{00000000-0005-0000-0000-000003000000}"/>
    <cellStyle name="標準 5" xfId="1" xr:uid="{00000000-0005-0000-0000-000004000000}"/>
  </cellStyles>
  <dxfs count="1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solid">
          <fgColor indexed="64"/>
          <bgColor theme="0" tint="-0.1499679555650502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double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</border>
      <protection locked="0" hidden="0"/>
    </dxf>
    <dxf>
      <border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科目表" displayName="科目表" ref="B30:Z129" totalsRowShown="0" headerRowDxfId="120" dataDxfId="119" tableBorderDxfId="118">
  <autoFilter ref="B30:Z129" xr:uid="{00000000-0009-0000-0100-000001000000}"/>
  <tableColumns count="25">
    <tableColumn id="1" xr3:uid="{00000000-0010-0000-0000-000001000000}" name="修得状況" dataDxfId="117"/>
    <tableColumn id="2" xr3:uid="{00000000-0010-0000-0000-000002000000}" name="単位修得の要件による分類" dataDxfId="116"/>
    <tableColumn id="3" xr3:uid="{00000000-0010-0000-0000-000003000000}" name="認定専攻科で修得した全科目" dataDxfId="115"/>
    <tableColumn id="4" xr3:uid="{00000000-0010-0000-0000-000004000000}" name="専攻科で修得した専門科目（総まとめを除く）＋関連科目" dataDxfId="114"/>
    <tableColumn id="5" xr3:uid="{00000000-0010-0000-0000-000005000000}" name="専攻科で修得した専門科目（総まとめを含む）" dataDxfId="113"/>
    <tableColumn id="6" xr3:uid="{00000000-0010-0000-0000-000006000000}" name="専攻科目＋関連科目" dataDxfId="112"/>
    <tableColumn id="7" xr3:uid="{00000000-0010-0000-0000-000007000000}" name="専攻科目" dataDxfId="111"/>
    <tableColumn id="8" xr3:uid="{00000000-0010-0000-0000-000008000000}" name="外国語の科目" dataDxfId="110"/>
    <tableColumn id="9" xr3:uid="{00000000-0010-0000-0000-000009000000}" name="学校における区分" dataDxfId="109"/>
    <tableColumn id="10" xr3:uid="{00000000-0010-0000-0000-00000A000000}" name="記載順" dataDxfId="108"/>
    <tableColumn id="11" xr3:uid="{00000000-0010-0000-0000-00000B000000}" name="授業科目名" dataDxfId="107"/>
    <tableColumn id="12" xr3:uid="{00000000-0010-0000-0000-00000C000000}" name="必・選" dataDxfId="106"/>
    <tableColumn id="13" xr3:uid="{00000000-0010-0000-0000-00000D000000}" name="単位数" dataDxfId="105"/>
    <tableColumn id="14" xr3:uid="{00000000-0010-0000-0000-00000E000000}" name="履修年次" dataDxfId="104"/>
    <tableColumn id="15" xr3:uid="{00000000-0010-0000-0000-00000F000000}" name="シラバス該当ページ" dataDxfId="103"/>
    <tableColumn id="16" xr3:uid="{00000000-0010-0000-0000-000010000000}" name="摘要" dataDxfId="102"/>
    <tableColumn id="18" xr3:uid="{00000000-0010-0000-0000-000012000000}" name="摘要の種類" dataDxfId="101"/>
    <tableColumn id="19" xr3:uid="{00000000-0010-0000-0000-000013000000}" name="列163" dataDxfId="100"/>
    <tableColumn id="21" xr3:uid="{00000000-0010-0000-0000-000015000000}" name="列164" dataDxfId="99"/>
    <tableColumn id="22" xr3:uid="{00000000-0010-0000-0000-000016000000}" name="列165" dataDxfId="98"/>
    <tableColumn id="17" xr3:uid="{00000000-0010-0000-0000-000011000000}" name="列17" dataDxfId="97"/>
    <tableColumn id="24" xr3:uid="{00000000-0010-0000-0000-000018000000}" name="専門科目種別カウント用" dataDxfId="96">
      <calculatedColumnFormula>IFERROR(1/(COUNTIFS(科目表[修得状況],"e",科目表[摘要],"専門",科目表[摘要の種類],R31)),0)</calculatedColumnFormula>
    </tableColumn>
    <tableColumn id="20" xr3:uid="{00000000-0010-0000-0000-000014000000}" name="摘要の種類A群カウント用" dataDxfId="95">
      <calculatedColumnFormula>IFERROR(1/(COUNTIFS(科目表[修得状況],"e",科目表[摘要],"A",科目表[摘要の種類],R31)),0)</calculatedColumnFormula>
    </tableColumn>
    <tableColumn id="25" xr3:uid="{00000000-0010-0000-0000-000019000000}" name="摘要の種類A-1群カウント用" dataDxfId="94">
      <calculatedColumnFormula>IFERROR(1/(COUNTIFS(科目表[修得状況],"e",科目表[摘要],"A-1",科目表[摘要の種類],R31)),0)</calculatedColumnFormula>
    </tableColumn>
    <tableColumn id="26" xr3:uid="{4E6DE822-1F9C-4971-B047-17E0D2FEB62E}" name="通常掲載順" dataDxfId="9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土木工学用" displayName="土木工学用" ref="L140:T147" totalsRowShown="0" headerRowDxfId="92" dataDxfId="90" headerRowBorderDxfId="91" tableBorderDxfId="89" totalsRowBorderDxfId="88">
  <autoFilter ref="L140:T147" xr:uid="{00000000-0009-0000-0100-000003000000}"/>
  <tableColumns count="9">
    <tableColumn id="1" xr3:uid="{00000000-0010-0000-0100-000001000000}" name="授業科目名" dataDxfId="87"/>
    <tableColumn id="2" xr3:uid="{00000000-0010-0000-0100-000002000000}" name="単位数" dataDxfId="86"/>
    <tableColumn id="3" xr3:uid="{00000000-0010-0000-0100-000003000000}" name="履修年次" dataDxfId="85"/>
    <tableColumn id="4" xr3:uid="{00000000-0010-0000-0100-000004000000}" name="摘要" dataDxfId="84"/>
    <tableColumn id="5" xr3:uid="{00000000-0010-0000-0100-000005000000}" name="摘要の種類" dataDxfId="83"/>
    <tableColumn id="6" xr3:uid="{00000000-0010-0000-0100-000006000000}" name="列6" dataDxfId="82"/>
    <tableColumn id="7" xr3:uid="{00000000-0010-0000-0100-000007000000}" name="列7" dataDxfId="81"/>
    <tableColumn id="8" xr3:uid="{00000000-0010-0000-0100-000008000000}" name="列8" dataDxfId="80"/>
    <tableColumn id="9" xr3:uid="{00000000-0010-0000-0100-000009000000}" name="列9" dataDxfId="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702477-F1E7-43C6-975D-67640149FE6D}" name="専攻区分と要件7" displayName="専攻区分と要件7" ref="AB1:CJ9" totalsRowShown="0" headerRowDxfId="78" dataDxfId="77">
  <autoFilter ref="AB1:CJ9" xr:uid="{DE702477-F1E7-43C6-975D-67640149FE6D}"/>
  <tableColumns count="61">
    <tableColumn id="1" xr3:uid="{BC56528A-5743-4411-869F-FA273AFE20F7}" name="専攻区分" dataDxfId="76"/>
    <tableColumn id="7" xr3:uid="{E0BA1D87-5BCA-4A50-B2CA-D09D65A7201C}" name="歴史学項目" dataDxfId="75"/>
    <tableColumn id="8" xr3:uid="{98312397-8C07-4ED3-BACD-E7BFE480B052}" name="歴史学計算式" dataDxfId="74">
      <calculatedColumnFormula>SUMIFS(科目表[単位数],科目表[修得状況],"e",科目表[専攻科目＋関連科目],"○")</calculatedColumnFormula>
    </tableColumn>
    <tableColumn id="3" xr3:uid="{08DF0FD1-425A-4F10-9AEC-645010FCBD56}" name="歴史学" dataDxfId="73"/>
    <tableColumn id="11" xr3:uid="{0A279F64-597A-40A2-9BFC-D8F3EE872AC5}" name="教育学項目" dataDxfId="72"/>
    <tableColumn id="10" xr3:uid="{48DDABFE-CD61-49C9-ABA8-EAE9078A9D49}" name="教育学計算式" dataDxfId="71"/>
    <tableColumn id="14" xr3:uid="{1F7C1FB8-E4AE-45AA-903F-B222508CD7AB}" name="教育学" dataDxfId="70"/>
    <tableColumn id="13" xr3:uid="{145893AE-DF9B-4AE7-AB80-305E3B00DC42}" name="経営学項目" dataDxfId="69"/>
    <tableColumn id="12" xr3:uid="{8789C620-F985-49F8-8FA1-E58408570FD4}" name="経営学計算式" dataDxfId="68"/>
    <tableColumn id="9" xr3:uid="{52E2534D-0B15-4E43-B877-2CE3F52A0A24}" name="経営学" dataDxfId="67"/>
    <tableColumn id="17" xr3:uid="{085B413B-157B-4054-A477-2095611BD0E0}" name="看護学項目" dataDxfId="66"/>
    <tableColumn id="16" xr3:uid="{E258942D-086C-4054-838E-FF5F0367D95A}" name="看護学計算式" dataDxfId="65"/>
    <tableColumn id="15" xr3:uid="{E9F8EFFF-B59E-4BCB-9865-1A6627DE9153}" name="看護学" dataDxfId="64"/>
    <tableColumn id="20" xr3:uid="{B9C47F2B-862C-48B8-8D51-040A280B33C0}" name="検査技術科学項目" dataDxfId="63"/>
    <tableColumn id="19" xr3:uid="{2E8EF3B5-419F-440F-85C2-F4209BB95329}" name="検査技術科学計算式" dataDxfId="62"/>
    <tableColumn id="18" xr3:uid="{BB2CCA49-855C-4CC6-9973-47319F56B660}" name="検査技術科学" dataDxfId="61"/>
    <tableColumn id="23" xr3:uid="{44C8EC7D-194E-473A-8BE1-9FD9EFAF7705}" name="口腔保健衛生学項目" dataDxfId="60"/>
    <tableColumn id="22" xr3:uid="{B61C96E1-AE83-4F79-B717-F66AB883D4A5}" name="口腔保健衛生学計算式" dataDxfId="59"/>
    <tableColumn id="21" xr3:uid="{1BE52D57-B8CC-4FDE-ACDE-8BE2FB1E814B}" name="口腔保健衛生学" dataDxfId="58"/>
    <tableColumn id="26" xr3:uid="{8CCFEE6F-62CC-4D47-8599-C433DAAE3B05}" name="栄養学項目" dataDxfId="57"/>
    <tableColumn id="25" xr3:uid="{CF3CE786-F366-4CBB-B16F-143CC698AB2B}" name="栄養学計算式" dataDxfId="56"/>
    <tableColumn id="24" xr3:uid="{81CF0C9D-77BE-4A4F-B61B-B424F09C5538}" name="栄養学" dataDxfId="55"/>
    <tableColumn id="29" xr3:uid="{7F91072B-5842-4CD3-90B9-A1805CCDA4D7}" name="機械工学項目" dataDxfId="54"/>
    <tableColumn id="28" xr3:uid="{B7284F71-EE4A-4D7D-98FC-2A79A4DA11CC}" name="機械工学計算式" dataDxfId="53"/>
    <tableColumn id="27" xr3:uid="{163B9D67-E39E-4B40-840F-2B4FC88E69BB}" name="機械工学" dataDxfId="52"/>
    <tableColumn id="32" xr3:uid="{023D6DF3-B408-44E3-B19D-3889EA3CCF26}" name="電気電子工学項目" dataDxfId="51"/>
    <tableColumn id="31" xr3:uid="{E98D5CAF-0777-48EA-885E-C97B25F63571}" name="電気電子工学計算式" dataDxfId="50"/>
    <tableColumn id="30" xr3:uid="{D936EE6B-5002-4190-B86D-9652BD7BC9FE}" name="電気電子工学" dataDxfId="49"/>
    <tableColumn id="35" xr3:uid="{A4F62978-99C2-49FE-BE68-E2FD22EF171E}" name="情報工学項目" dataDxfId="48"/>
    <tableColumn id="34" xr3:uid="{990FB9C5-0906-4CD5-93A2-AC628978A24D}" name="情報工学計算式" dataDxfId="47"/>
    <tableColumn id="42" xr3:uid="{121FE86E-12C9-4694-BA2E-513C432FAB90}" name="情報工学" dataDxfId="46"/>
    <tableColumn id="38" xr3:uid="{68F1E935-28EB-4FC9-9983-5FD5C001CEA5}" name="応用化学項目" dataDxfId="45"/>
    <tableColumn id="37" xr3:uid="{BADAAB8B-8266-4689-841B-E289A329EBA8}" name="応用化学計算式" dataDxfId="44"/>
    <tableColumn id="36" xr3:uid="{38851DA3-2E18-4869-BEF7-1E8E952D9F10}" name="応用化学" dataDxfId="43"/>
    <tableColumn id="41" xr3:uid="{B9F4F19E-D90D-48BB-A96A-5BB373FC2FDC}" name="生物工学項目" dataDxfId="42"/>
    <tableColumn id="40" xr3:uid="{6F8115EF-75D7-4ED8-8A89-D89038924D23}" name="生物工学計算式" dataDxfId="41"/>
    <tableColumn id="39" xr3:uid="{9C70E381-A349-4E22-BB4A-813E42D66259}" name="生物工学" dataDxfId="40"/>
    <tableColumn id="44" xr3:uid="{87B8042F-40AD-42C6-AA95-DBB25F450ED3}" name="材料工学項目" dataDxfId="39"/>
    <tableColumn id="43" xr3:uid="{78608FB7-8DC3-48E1-BB24-9E1A449A738F}" name="材料工学計算式" dataDxfId="38"/>
    <tableColumn id="33" xr3:uid="{EDF98DD0-6D98-400F-B308-39133A852258}" name="材料工学" dataDxfId="37"/>
    <tableColumn id="47" xr3:uid="{267CBAA3-D7D2-470D-9EDB-4C9553862F0A}" name="土木工学項目" dataDxfId="36"/>
    <tableColumn id="46" xr3:uid="{988094BA-2EEF-4130-825F-648A9C10CC06}" name="土木工学計算式" dataDxfId="35"/>
    <tableColumn id="45" xr3:uid="{65B30C83-53B4-44E2-893C-F275B55EAE3B}" name="土木工学" dataDxfId="34"/>
    <tableColumn id="50" xr3:uid="{DA1E6BEE-7DDC-4A3F-87F1-7E911221254D}" name="建築学項目" dataDxfId="33"/>
    <tableColumn id="49" xr3:uid="{FB326AE9-4F38-4A4C-B98A-F0FA5904B8DA}" name="建築学計算式" dataDxfId="32"/>
    <tableColumn id="48" xr3:uid="{40C4829A-1449-4C4B-8C61-EFE5A82E1B6E}" name="建築学" dataDxfId="31"/>
    <tableColumn id="53" xr3:uid="{CE6EE471-AF9B-4FBC-965B-EC5281510F18}" name="社会システム工学項目" dataDxfId="30"/>
    <tableColumn id="52" xr3:uid="{B971D975-C1A3-4DD4-A81C-3955F0D70D80}" name="社会システム工学計算式" dataDxfId="29"/>
    <tableColumn id="51" xr3:uid="{A7796122-20CA-4BCF-9BB8-E60E80F06A29}" name="社会システム工学" dataDxfId="28"/>
    <tableColumn id="4" xr3:uid="{6D8CBDD9-6DED-43CE-9396-68651402C1A7}" name="商船学項目" dataDxfId="27"/>
    <tableColumn id="6" xr3:uid="{DDCF3A5C-F010-44DA-B4DC-51CAE2EE01C1}" name="商船学計算式" dataDxfId="26"/>
    <tableColumn id="2" xr3:uid="{DE6CBF32-F629-4CEB-8ABB-1866023F3DBC}" name="商船学" dataDxfId="25"/>
    <tableColumn id="61" xr3:uid="{84D3B6DA-7069-4AEE-9B4A-72BEA9BE25BC}" name="家政学項目" dataDxfId="24"/>
    <tableColumn id="58" xr3:uid="{5D230ADC-FCB5-4294-A8DF-BCC1E570585F}" name="家政学計算式" dataDxfId="23"/>
    <tableColumn id="54" xr3:uid="{2A5A959E-64C8-4CA3-B775-7FB5D7CCA857}" name="家政学" dataDxfId="22"/>
    <tableColumn id="57" xr3:uid="{536C5B83-26F4-405E-845E-C71F5F8A99D0}" name="音楽項目" dataDxfId="21"/>
    <tableColumn id="56" xr3:uid="{C956C2D8-3875-4E3F-B73D-5BAD03ECA867}" name="音楽計算式" dataDxfId="20"/>
    <tableColumn id="55" xr3:uid="{928A70E9-0009-4DF8-8A8A-BBFEEC631A47}" name="音楽" dataDxfId="19"/>
    <tableColumn id="60" xr3:uid="{21B6CC38-AA80-4EB7-A4A0-8EE30394DF2D}" name="美術項目" dataDxfId="18"/>
    <tableColumn id="59" xr3:uid="{DD0A6F29-F07D-4EE9-B2B5-0006C9E7B7BD}" name="美術計算式" dataDxfId="17"/>
    <tableColumn id="5" xr3:uid="{DBB0F0EC-7634-4BB8-AD91-C4C5FACD9158}" name="美術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J147"/>
  <sheetViews>
    <sheetView tabSelected="1" view="pageBreakPreview" topLeftCell="A11" zoomScale="116" zoomScaleNormal="100" zoomScaleSheetLayoutView="70" workbookViewId="0">
      <pane ySplit="20" topLeftCell="A133" activePane="bottomLeft" state="frozen"/>
      <selection activeCell="A11" sqref="A11"/>
      <selection pane="bottomLeft" activeCell="I139" sqref="I139"/>
    </sheetView>
  </sheetViews>
  <sheetFormatPr baseColWidth="10" defaultColWidth="8.83203125" defaultRowHeight="14"/>
  <cols>
    <col min="1" max="1" width="3.5" style="61" customWidth="1"/>
    <col min="2" max="2" width="12.83203125" style="61" customWidth="1"/>
    <col min="3" max="3" width="12.5" style="61" customWidth="1"/>
    <col min="4" max="9" width="5.6640625" style="61" customWidth="1"/>
    <col min="10" max="10" width="13.5" style="61" customWidth="1"/>
    <col min="11" max="11" width="10.1640625" style="61" customWidth="1"/>
    <col min="12" max="12" width="30.5" style="61" customWidth="1"/>
    <col min="13" max="13" width="12.6640625" style="61" customWidth="1"/>
    <col min="14" max="14" width="9.5" style="61" customWidth="1"/>
    <col min="15" max="15" width="9.5" style="61" bestFit="1" customWidth="1"/>
    <col min="16" max="16" width="6.83203125" style="61" customWidth="1"/>
    <col min="17" max="17" width="7" style="61" customWidth="1"/>
    <col min="18" max="18" width="7.33203125" style="61" customWidth="1"/>
    <col min="19" max="21" width="7" style="61" customWidth="1"/>
    <col min="22" max="22" width="14.83203125" style="61" customWidth="1"/>
    <col min="23" max="23" width="11.5" style="61" hidden="1" customWidth="1"/>
    <col min="24" max="24" width="6.83203125" style="62" hidden="1" customWidth="1"/>
    <col min="25" max="25" width="9" style="61" hidden="1" customWidth="1"/>
    <col min="26" max="27" width="9" style="61" customWidth="1"/>
    <col min="28" max="264" width="9" style="61"/>
    <col min="265" max="265" width="3.5" style="61" customWidth="1"/>
    <col min="266" max="266" width="12.5" style="61" customWidth="1"/>
    <col min="267" max="272" width="4.5" style="61" customWidth="1"/>
    <col min="273" max="273" width="13.5" style="61" customWidth="1"/>
    <col min="274" max="274" width="10.1640625" style="61" customWidth="1"/>
    <col min="275" max="275" width="30.5" style="61" customWidth="1"/>
    <col min="276" max="276" width="7.5" style="61" bestFit="1" customWidth="1"/>
    <col min="277" max="277" width="9.5" style="61" customWidth="1"/>
    <col min="278" max="278" width="9.5" style="61" bestFit="1" customWidth="1"/>
    <col min="279" max="280" width="6.83203125" style="61" customWidth="1"/>
    <col min="281" max="281" width="43.83203125" style="61" bestFit="1" customWidth="1"/>
    <col min="282" max="283" width="6.83203125" style="61" customWidth="1"/>
    <col min="284" max="520" width="9" style="61"/>
    <col min="521" max="521" width="3.5" style="61" customWidth="1"/>
    <col min="522" max="522" width="12.5" style="61" customWidth="1"/>
    <col min="523" max="528" width="4.5" style="61" customWidth="1"/>
    <col min="529" max="529" width="13.5" style="61" customWidth="1"/>
    <col min="530" max="530" width="10.1640625" style="61" customWidth="1"/>
    <col min="531" max="531" width="30.5" style="61" customWidth="1"/>
    <col min="532" max="532" width="7.5" style="61" bestFit="1" customWidth="1"/>
    <col min="533" max="533" width="9.5" style="61" customWidth="1"/>
    <col min="534" max="534" width="9.5" style="61" bestFit="1" customWidth="1"/>
    <col min="535" max="536" width="6.83203125" style="61" customWidth="1"/>
    <col min="537" max="537" width="43.83203125" style="61" bestFit="1" customWidth="1"/>
    <col min="538" max="539" width="6.83203125" style="61" customWidth="1"/>
    <col min="540" max="776" width="9" style="61"/>
    <col min="777" max="777" width="3.5" style="61" customWidth="1"/>
    <col min="778" max="778" width="12.5" style="61" customWidth="1"/>
    <col min="779" max="784" width="4.5" style="61" customWidth="1"/>
    <col min="785" max="785" width="13.5" style="61" customWidth="1"/>
    <col min="786" max="786" width="10.1640625" style="61" customWidth="1"/>
    <col min="787" max="787" width="30.5" style="61" customWidth="1"/>
    <col min="788" max="788" width="7.5" style="61" bestFit="1" customWidth="1"/>
    <col min="789" max="789" width="9.5" style="61" customWidth="1"/>
    <col min="790" max="790" width="9.5" style="61" bestFit="1" customWidth="1"/>
    <col min="791" max="792" width="6.83203125" style="61" customWidth="1"/>
    <col min="793" max="793" width="43.83203125" style="61" bestFit="1" customWidth="1"/>
    <col min="794" max="795" width="6.83203125" style="61" customWidth="1"/>
    <col min="796" max="1032" width="9" style="61"/>
    <col min="1033" max="1033" width="3.5" style="61" customWidth="1"/>
    <col min="1034" max="1034" width="12.5" style="61" customWidth="1"/>
    <col min="1035" max="1040" width="4.5" style="61" customWidth="1"/>
    <col min="1041" max="1041" width="13.5" style="61" customWidth="1"/>
    <col min="1042" max="1042" width="10.1640625" style="61" customWidth="1"/>
    <col min="1043" max="1043" width="30.5" style="61" customWidth="1"/>
    <col min="1044" max="1044" width="7.5" style="61" bestFit="1" customWidth="1"/>
    <col min="1045" max="1045" width="9.5" style="61" customWidth="1"/>
    <col min="1046" max="1046" width="9.5" style="61" bestFit="1" customWidth="1"/>
    <col min="1047" max="1048" width="6.83203125" style="61" customWidth="1"/>
    <col min="1049" max="1049" width="43.83203125" style="61" bestFit="1" customWidth="1"/>
    <col min="1050" max="1051" width="6.83203125" style="61" customWidth="1"/>
    <col min="1052" max="1288" width="9" style="61"/>
    <col min="1289" max="1289" width="3.5" style="61" customWidth="1"/>
    <col min="1290" max="1290" width="12.5" style="61" customWidth="1"/>
    <col min="1291" max="1296" width="4.5" style="61" customWidth="1"/>
    <col min="1297" max="1297" width="13.5" style="61" customWidth="1"/>
    <col min="1298" max="1298" width="10.1640625" style="61" customWidth="1"/>
    <col min="1299" max="1299" width="30.5" style="61" customWidth="1"/>
    <col min="1300" max="1300" width="7.5" style="61" bestFit="1" customWidth="1"/>
    <col min="1301" max="1301" width="9.5" style="61" customWidth="1"/>
    <col min="1302" max="1302" width="9.5" style="61" bestFit="1" customWidth="1"/>
    <col min="1303" max="1304" width="6.83203125" style="61" customWidth="1"/>
    <col min="1305" max="1305" width="43.83203125" style="61" bestFit="1" customWidth="1"/>
    <col min="1306" max="1307" width="6.83203125" style="61" customWidth="1"/>
    <col min="1308" max="1544" width="9" style="61"/>
    <col min="1545" max="1545" width="3.5" style="61" customWidth="1"/>
    <col min="1546" max="1546" width="12.5" style="61" customWidth="1"/>
    <col min="1547" max="1552" width="4.5" style="61" customWidth="1"/>
    <col min="1553" max="1553" width="13.5" style="61" customWidth="1"/>
    <col min="1554" max="1554" width="10.1640625" style="61" customWidth="1"/>
    <col min="1555" max="1555" width="30.5" style="61" customWidth="1"/>
    <col min="1556" max="1556" width="7.5" style="61" bestFit="1" customWidth="1"/>
    <col min="1557" max="1557" width="9.5" style="61" customWidth="1"/>
    <col min="1558" max="1558" width="9.5" style="61" bestFit="1" customWidth="1"/>
    <col min="1559" max="1560" width="6.83203125" style="61" customWidth="1"/>
    <col min="1561" max="1561" width="43.83203125" style="61" bestFit="1" customWidth="1"/>
    <col min="1562" max="1563" width="6.83203125" style="61" customWidth="1"/>
    <col min="1564" max="1800" width="9" style="61"/>
    <col min="1801" max="1801" width="3.5" style="61" customWidth="1"/>
    <col min="1802" max="1802" width="12.5" style="61" customWidth="1"/>
    <col min="1803" max="1808" width="4.5" style="61" customWidth="1"/>
    <col min="1809" max="1809" width="13.5" style="61" customWidth="1"/>
    <col min="1810" max="1810" width="10.1640625" style="61" customWidth="1"/>
    <col min="1811" max="1811" width="30.5" style="61" customWidth="1"/>
    <col min="1812" max="1812" width="7.5" style="61" bestFit="1" customWidth="1"/>
    <col min="1813" max="1813" width="9.5" style="61" customWidth="1"/>
    <col min="1814" max="1814" width="9.5" style="61" bestFit="1" customWidth="1"/>
    <col min="1815" max="1816" width="6.83203125" style="61" customWidth="1"/>
    <col min="1817" max="1817" width="43.83203125" style="61" bestFit="1" customWidth="1"/>
    <col min="1818" max="1819" width="6.83203125" style="61" customWidth="1"/>
    <col min="1820" max="2056" width="9" style="61"/>
    <col min="2057" max="2057" width="3.5" style="61" customWidth="1"/>
    <col min="2058" max="2058" width="12.5" style="61" customWidth="1"/>
    <col min="2059" max="2064" width="4.5" style="61" customWidth="1"/>
    <col min="2065" max="2065" width="13.5" style="61" customWidth="1"/>
    <col min="2066" max="2066" width="10.1640625" style="61" customWidth="1"/>
    <col min="2067" max="2067" width="30.5" style="61" customWidth="1"/>
    <col min="2068" max="2068" width="7.5" style="61" bestFit="1" customWidth="1"/>
    <col min="2069" max="2069" width="9.5" style="61" customWidth="1"/>
    <col min="2070" max="2070" width="9.5" style="61" bestFit="1" customWidth="1"/>
    <col min="2071" max="2072" width="6.83203125" style="61" customWidth="1"/>
    <col min="2073" max="2073" width="43.83203125" style="61" bestFit="1" customWidth="1"/>
    <col min="2074" max="2075" width="6.83203125" style="61" customWidth="1"/>
    <col min="2076" max="2312" width="9" style="61"/>
    <col min="2313" max="2313" width="3.5" style="61" customWidth="1"/>
    <col min="2314" max="2314" width="12.5" style="61" customWidth="1"/>
    <col min="2315" max="2320" width="4.5" style="61" customWidth="1"/>
    <col min="2321" max="2321" width="13.5" style="61" customWidth="1"/>
    <col min="2322" max="2322" width="10.1640625" style="61" customWidth="1"/>
    <col min="2323" max="2323" width="30.5" style="61" customWidth="1"/>
    <col min="2324" max="2324" width="7.5" style="61" bestFit="1" customWidth="1"/>
    <col min="2325" max="2325" width="9.5" style="61" customWidth="1"/>
    <col min="2326" max="2326" width="9.5" style="61" bestFit="1" customWidth="1"/>
    <col min="2327" max="2328" width="6.83203125" style="61" customWidth="1"/>
    <col min="2329" max="2329" width="43.83203125" style="61" bestFit="1" customWidth="1"/>
    <col min="2330" max="2331" width="6.83203125" style="61" customWidth="1"/>
    <col min="2332" max="2568" width="9" style="61"/>
    <col min="2569" max="2569" width="3.5" style="61" customWidth="1"/>
    <col min="2570" max="2570" width="12.5" style="61" customWidth="1"/>
    <col min="2571" max="2576" width="4.5" style="61" customWidth="1"/>
    <col min="2577" max="2577" width="13.5" style="61" customWidth="1"/>
    <col min="2578" max="2578" width="10.1640625" style="61" customWidth="1"/>
    <col min="2579" max="2579" width="30.5" style="61" customWidth="1"/>
    <col min="2580" max="2580" width="7.5" style="61" bestFit="1" customWidth="1"/>
    <col min="2581" max="2581" width="9.5" style="61" customWidth="1"/>
    <col min="2582" max="2582" width="9.5" style="61" bestFit="1" customWidth="1"/>
    <col min="2583" max="2584" width="6.83203125" style="61" customWidth="1"/>
    <col min="2585" max="2585" width="43.83203125" style="61" bestFit="1" customWidth="1"/>
    <col min="2586" max="2587" width="6.83203125" style="61" customWidth="1"/>
    <col min="2588" max="2824" width="9" style="61"/>
    <col min="2825" max="2825" width="3.5" style="61" customWidth="1"/>
    <col min="2826" max="2826" width="12.5" style="61" customWidth="1"/>
    <col min="2827" max="2832" width="4.5" style="61" customWidth="1"/>
    <col min="2833" max="2833" width="13.5" style="61" customWidth="1"/>
    <col min="2834" max="2834" width="10.1640625" style="61" customWidth="1"/>
    <col min="2835" max="2835" width="30.5" style="61" customWidth="1"/>
    <col min="2836" max="2836" width="7.5" style="61" bestFit="1" customWidth="1"/>
    <col min="2837" max="2837" width="9.5" style="61" customWidth="1"/>
    <col min="2838" max="2838" width="9.5" style="61" bestFit="1" customWidth="1"/>
    <col min="2839" max="2840" width="6.83203125" style="61" customWidth="1"/>
    <col min="2841" max="2841" width="43.83203125" style="61" bestFit="1" customWidth="1"/>
    <col min="2842" max="2843" width="6.83203125" style="61" customWidth="1"/>
    <col min="2844" max="3080" width="9" style="61"/>
    <col min="3081" max="3081" width="3.5" style="61" customWidth="1"/>
    <col min="3082" max="3082" width="12.5" style="61" customWidth="1"/>
    <col min="3083" max="3088" width="4.5" style="61" customWidth="1"/>
    <col min="3089" max="3089" width="13.5" style="61" customWidth="1"/>
    <col min="3090" max="3090" width="10.1640625" style="61" customWidth="1"/>
    <col min="3091" max="3091" width="30.5" style="61" customWidth="1"/>
    <col min="3092" max="3092" width="7.5" style="61" bestFit="1" customWidth="1"/>
    <col min="3093" max="3093" width="9.5" style="61" customWidth="1"/>
    <col min="3094" max="3094" width="9.5" style="61" bestFit="1" customWidth="1"/>
    <col min="3095" max="3096" width="6.83203125" style="61" customWidth="1"/>
    <col min="3097" max="3097" width="43.83203125" style="61" bestFit="1" customWidth="1"/>
    <col min="3098" max="3099" width="6.83203125" style="61" customWidth="1"/>
    <col min="3100" max="3336" width="9" style="61"/>
    <col min="3337" max="3337" width="3.5" style="61" customWidth="1"/>
    <col min="3338" max="3338" width="12.5" style="61" customWidth="1"/>
    <col min="3339" max="3344" width="4.5" style="61" customWidth="1"/>
    <col min="3345" max="3345" width="13.5" style="61" customWidth="1"/>
    <col min="3346" max="3346" width="10.1640625" style="61" customWidth="1"/>
    <col min="3347" max="3347" width="30.5" style="61" customWidth="1"/>
    <col min="3348" max="3348" width="7.5" style="61" bestFit="1" customWidth="1"/>
    <col min="3349" max="3349" width="9.5" style="61" customWidth="1"/>
    <col min="3350" max="3350" width="9.5" style="61" bestFit="1" customWidth="1"/>
    <col min="3351" max="3352" width="6.83203125" style="61" customWidth="1"/>
    <col min="3353" max="3353" width="43.83203125" style="61" bestFit="1" customWidth="1"/>
    <col min="3354" max="3355" width="6.83203125" style="61" customWidth="1"/>
    <col min="3356" max="3592" width="9" style="61"/>
    <col min="3593" max="3593" width="3.5" style="61" customWidth="1"/>
    <col min="3594" max="3594" width="12.5" style="61" customWidth="1"/>
    <col min="3595" max="3600" width="4.5" style="61" customWidth="1"/>
    <col min="3601" max="3601" width="13.5" style="61" customWidth="1"/>
    <col min="3602" max="3602" width="10.1640625" style="61" customWidth="1"/>
    <col min="3603" max="3603" width="30.5" style="61" customWidth="1"/>
    <col min="3604" max="3604" width="7.5" style="61" bestFit="1" customWidth="1"/>
    <col min="3605" max="3605" width="9.5" style="61" customWidth="1"/>
    <col min="3606" max="3606" width="9.5" style="61" bestFit="1" customWidth="1"/>
    <col min="3607" max="3608" width="6.83203125" style="61" customWidth="1"/>
    <col min="3609" max="3609" width="43.83203125" style="61" bestFit="1" customWidth="1"/>
    <col min="3610" max="3611" width="6.83203125" style="61" customWidth="1"/>
    <col min="3612" max="3848" width="9" style="61"/>
    <col min="3849" max="3849" width="3.5" style="61" customWidth="1"/>
    <col min="3850" max="3850" width="12.5" style="61" customWidth="1"/>
    <col min="3851" max="3856" width="4.5" style="61" customWidth="1"/>
    <col min="3857" max="3857" width="13.5" style="61" customWidth="1"/>
    <col min="3858" max="3858" width="10.1640625" style="61" customWidth="1"/>
    <col min="3859" max="3859" width="30.5" style="61" customWidth="1"/>
    <col min="3860" max="3860" width="7.5" style="61" bestFit="1" customWidth="1"/>
    <col min="3861" max="3861" width="9.5" style="61" customWidth="1"/>
    <col min="3862" max="3862" width="9.5" style="61" bestFit="1" customWidth="1"/>
    <col min="3863" max="3864" width="6.83203125" style="61" customWidth="1"/>
    <col min="3865" max="3865" width="43.83203125" style="61" bestFit="1" customWidth="1"/>
    <col min="3866" max="3867" width="6.83203125" style="61" customWidth="1"/>
    <col min="3868" max="4104" width="9" style="61"/>
    <col min="4105" max="4105" width="3.5" style="61" customWidth="1"/>
    <col min="4106" max="4106" width="12.5" style="61" customWidth="1"/>
    <col min="4107" max="4112" width="4.5" style="61" customWidth="1"/>
    <col min="4113" max="4113" width="13.5" style="61" customWidth="1"/>
    <col min="4114" max="4114" width="10.1640625" style="61" customWidth="1"/>
    <col min="4115" max="4115" width="30.5" style="61" customWidth="1"/>
    <col min="4116" max="4116" width="7.5" style="61" bestFit="1" customWidth="1"/>
    <col min="4117" max="4117" width="9.5" style="61" customWidth="1"/>
    <col min="4118" max="4118" width="9.5" style="61" bestFit="1" customWidth="1"/>
    <col min="4119" max="4120" width="6.83203125" style="61" customWidth="1"/>
    <col min="4121" max="4121" width="43.83203125" style="61" bestFit="1" customWidth="1"/>
    <col min="4122" max="4123" width="6.83203125" style="61" customWidth="1"/>
    <col min="4124" max="4360" width="9" style="61"/>
    <col min="4361" max="4361" width="3.5" style="61" customWidth="1"/>
    <col min="4362" max="4362" width="12.5" style="61" customWidth="1"/>
    <col min="4363" max="4368" width="4.5" style="61" customWidth="1"/>
    <col min="4369" max="4369" width="13.5" style="61" customWidth="1"/>
    <col min="4370" max="4370" width="10.1640625" style="61" customWidth="1"/>
    <col min="4371" max="4371" width="30.5" style="61" customWidth="1"/>
    <col min="4372" max="4372" width="7.5" style="61" bestFit="1" customWidth="1"/>
    <col min="4373" max="4373" width="9.5" style="61" customWidth="1"/>
    <col min="4374" max="4374" width="9.5" style="61" bestFit="1" customWidth="1"/>
    <col min="4375" max="4376" width="6.83203125" style="61" customWidth="1"/>
    <col min="4377" max="4377" width="43.83203125" style="61" bestFit="1" customWidth="1"/>
    <col min="4378" max="4379" width="6.83203125" style="61" customWidth="1"/>
    <col min="4380" max="4616" width="9" style="61"/>
    <col min="4617" max="4617" width="3.5" style="61" customWidth="1"/>
    <col min="4618" max="4618" width="12.5" style="61" customWidth="1"/>
    <col min="4619" max="4624" width="4.5" style="61" customWidth="1"/>
    <col min="4625" max="4625" width="13.5" style="61" customWidth="1"/>
    <col min="4626" max="4626" width="10.1640625" style="61" customWidth="1"/>
    <col min="4627" max="4627" width="30.5" style="61" customWidth="1"/>
    <col min="4628" max="4628" width="7.5" style="61" bestFit="1" customWidth="1"/>
    <col min="4629" max="4629" width="9.5" style="61" customWidth="1"/>
    <col min="4630" max="4630" width="9.5" style="61" bestFit="1" customWidth="1"/>
    <col min="4631" max="4632" width="6.83203125" style="61" customWidth="1"/>
    <col min="4633" max="4633" width="43.83203125" style="61" bestFit="1" customWidth="1"/>
    <col min="4634" max="4635" width="6.83203125" style="61" customWidth="1"/>
    <col min="4636" max="4872" width="9" style="61"/>
    <col min="4873" max="4873" width="3.5" style="61" customWidth="1"/>
    <col min="4874" max="4874" width="12.5" style="61" customWidth="1"/>
    <col min="4875" max="4880" width="4.5" style="61" customWidth="1"/>
    <col min="4881" max="4881" width="13.5" style="61" customWidth="1"/>
    <col min="4882" max="4882" width="10.1640625" style="61" customWidth="1"/>
    <col min="4883" max="4883" width="30.5" style="61" customWidth="1"/>
    <col min="4884" max="4884" width="7.5" style="61" bestFit="1" customWidth="1"/>
    <col min="4885" max="4885" width="9.5" style="61" customWidth="1"/>
    <col min="4886" max="4886" width="9.5" style="61" bestFit="1" customWidth="1"/>
    <col min="4887" max="4888" width="6.83203125" style="61" customWidth="1"/>
    <col min="4889" max="4889" width="43.83203125" style="61" bestFit="1" customWidth="1"/>
    <col min="4890" max="4891" width="6.83203125" style="61" customWidth="1"/>
    <col min="4892" max="5128" width="9" style="61"/>
    <col min="5129" max="5129" width="3.5" style="61" customWidth="1"/>
    <col min="5130" max="5130" width="12.5" style="61" customWidth="1"/>
    <col min="5131" max="5136" width="4.5" style="61" customWidth="1"/>
    <col min="5137" max="5137" width="13.5" style="61" customWidth="1"/>
    <col min="5138" max="5138" width="10.1640625" style="61" customWidth="1"/>
    <col min="5139" max="5139" width="30.5" style="61" customWidth="1"/>
    <col min="5140" max="5140" width="7.5" style="61" bestFit="1" customWidth="1"/>
    <col min="5141" max="5141" width="9.5" style="61" customWidth="1"/>
    <col min="5142" max="5142" width="9.5" style="61" bestFit="1" customWidth="1"/>
    <col min="5143" max="5144" width="6.83203125" style="61" customWidth="1"/>
    <col min="5145" max="5145" width="43.83203125" style="61" bestFit="1" customWidth="1"/>
    <col min="5146" max="5147" width="6.83203125" style="61" customWidth="1"/>
    <col min="5148" max="5384" width="9" style="61"/>
    <col min="5385" max="5385" width="3.5" style="61" customWidth="1"/>
    <col min="5386" max="5386" width="12.5" style="61" customWidth="1"/>
    <col min="5387" max="5392" width="4.5" style="61" customWidth="1"/>
    <col min="5393" max="5393" width="13.5" style="61" customWidth="1"/>
    <col min="5394" max="5394" width="10.1640625" style="61" customWidth="1"/>
    <col min="5395" max="5395" width="30.5" style="61" customWidth="1"/>
    <col min="5396" max="5396" width="7.5" style="61" bestFit="1" customWidth="1"/>
    <col min="5397" max="5397" width="9.5" style="61" customWidth="1"/>
    <col min="5398" max="5398" width="9.5" style="61" bestFit="1" customWidth="1"/>
    <col min="5399" max="5400" width="6.83203125" style="61" customWidth="1"/>
    <col min="5401" max="5401" width="43.83203125" style="61" bestFit="1" customWidth="1"/>
    <col min="5402" max="5403" width="6.83203125" style="61" customWidth="1"/>
    <col min="5404" max="5640" width="9" style="61"/>
    <col min="5641" max="5641" width="3.5" style="61" customWidth="1"/>
    <col min="5642" max="5642" width="12.5" style="61" customWidth="1"/>
    <col min="5643" max="5648" width="4.5" style="61" customWidth="1"/>
    <col min="5649" max="5649" width="13.5" style="61" customWidth="1"/>
    <col min="5650" max="5650" width="10.1640625" style="61" customWidth="1"/>
    <col min="5651" max="5651" width="30.5" style="61" customWidth="1"/>
    <col min="5652" max="5652" width="7.5" style="61" bestFit="1" customWidth="1"/>
    <col min="5653" max="5653" width="9.5" style="61" customWidth="1"/>
    <col min="5654" max="5654" width="9.5" style="61" bestFit="1" customWidth="1"/>
    <col min="5655" max="5656" width="6.83203125" style="61" customWidth="1"/>
    <col min="5657" max="5657" width="43.83203125" style="61" bestFit="1" customWidth="1"/>
    <col min="5658" max="5659" width="6.83203125" style="61" customWidth="1"/>
    <col min="5660" max="5896" width="9" style="61"/>
    <col min="5897" max="5897" width="3.5" style="61" customWidth="1"/>
    <col min="5898" max="5898" width="12.5" style="61" customWidth="1"/>
    <col min="5899" max="5904" width="4.5" style="61" customWidth="1"/>
    <col min="5905" max="5905" width="13.5" style="61" customWidth="1"/>
    <col min="5906" max="5906" width="10.1640625" style="61" customWidth="1"/>
    <col min="5907" max="5907" width="30.5" style="61" customWidth="1"/>
    <col min="5908" max="5908" width="7.5" style="61" bestFit="1" customWidth="1"/>
    <col min="5909" max="5909" width="9.5" style="61" customWidth="1"/>
    <col min="5910" max="5910" width="9.5" style="61" bestFit="1" customWidth="1"/>
    <col min="5911" max="5912" width="6.83203125" style="61" customWidth="1"/>
    <col min="5913" max="5913" width="43.83203125" style="61" bestFit="1" customWidth="1"/>
    <col min="5914" max="5915" width="6.83203125" style="61" customWidth="1"/>
    <col min="5916" max="6152" width="9" style="61"/>
    <col min="6153" max="6153" width="3.5" style="61" customWidth="1"/>
    <col min="6154" max="6154" width="12.5" style="61" customWidth="1"/>
    <col min="6155" max="6160" width="4.5" style="61" customWidth="1"/>
    <col min="6161" max="6161" width="13.5" style="61" customWidth="1"/>
    <col min="6162" max="6162" width="10.1640625" style="61" customWidth="1"/>
    <col min="6163" max="6163" width="30.5" style="61" customWidth="1"/>
    <col min="6164" max="6164" width="7.5" style="61" bestFit="1" customWidth="1"/>
    <col min="6165" max="6165" width="9.5" style="61" customWidth="1"/>
    <col min="6166" max="6166" width="9.5" style="61" bestFit="1" customWidth="1"/>
    <col min="6167" max="6168" width="6.83203125" style="61" customWidth="1"/>
    <col min="6169" max="6169" width="43.83203125" style="61" bestFit="1" customWidth="1"/>
    <col min="6170" max="6171" width="6.83203125" style="61" customWidth="1"/>
    <col min="6172" max="6408" width="9" style="61"/>
    <col min="6409" max="6409" width="3.5" style="61" customWidth="1"/>
    <col min="6410" max="6410" width="12.5" style="61" customWidth="1"/>
    <col min="6411" max="6416" width="4.5" style="61" customWidth="1"/>
    <col min="6417" max="6417" width="13.5" style="61" customWidth="1"/>
    <col min="6418" max="6418" width="10.1640625" style="61" customWidth="1"/>
    <col min="6419" max="6419" width="30.5" style="61" customWidth="1"/>
    <col min="6420" max="6420" width="7.5" style="61" bestFit="1" customWidth="1"/>
    <col min="6421" max="6421" width="9.5" style="61" customWidth="1"/>
    <col min="6422" max="6422" width="9.5" style="61" bestFit="1" customWidth="1"/>
    <col min="6423" max="6424" width="6.83203125" style="61" customWidth="1"/>
    <col min="6425" max="6425" width="43.83203125" style="61" bestFit="1" customWidth="1"/>
    <col min="6426" max="6427" width="6.83203125" style="61" customWidth="1"/>
    <col min="6428" max="6664" width="9" style="61"/>
    <col min="6665" max="6665" width="3.5" style="61" customWidth="1"/>
    <col min="6666" max="6666" width="12.5" style="61" customWidth="1"/>
    <col min="6667" max="6672" width="4.5" style="61" customWidth="1"/>
    <col min="6673" max="6673" width="13.5" style="61" customWidth="1"/>
    <col min="6674" max="6674" width="10.1640625" style="61" customWidth="1"/>
    <col min="6675" max="6675" width="30.5" style="61" customWidth="1"/>
    <col min="6676" max="6676" width="7.5" style="61" bestFit="1" customWidth="1"/>
    <col min="6677" max="6677" width="9.5" style="61" customWidth="1"/>
    <col min="6678" max="6678" width="9.5" style="61" bestFit="1" customWidth="1"/>
    <col min="6679" max="6680" width="6.83203125" style="61" customWidth="1"/>
    <col min="6681" max="6681" width="43.83203125" style="61" bestFit="1" customWidth="1"/>
    <col min="6682" max="6683" width="6.83203125" style="61" customWidth="1"/>
    <col min="6684" max="6920" width="9" style="61"/>
    <col min="6921" max="6921" width="3.5" style="61" customWidth="1"/>
    <col min="6922" max="6922" width="12.5" style="61" customWidth="1"/>
    <col min="6923" max="6928" width="4.5" style="61" customWidth="1"/>
    <col min="6929" max="6929" width="13.5" style="61" customWidth="1"/>
    <col min="6930" max="6930" width="10.1640625" style="61" customWidth="1"/>
    <col min="6931" max="6931" width="30.5" style="61" customWidth="1"/>
    <col min="6932" max="6932" width="7.5" style="61" bestFit="1" customWidth="1"/>
    <col min="6933" max="6933" width="9.5" style="61" customWidth="1"/>
    <col min="6934" max="6934" width="9.5" style="61" bestFit="1" customWidth="1"/>
    <col min="6935" max="6936" width="6.83203125" style="61" customWidth="1"/>
    <col min="6937" max="6937" width="43.83203125" style="61" bestFit="1" customWidth="1"/>
    <col min="6938" max="6939" width="6.83203125" style="61" customWidth="1"/>
    <col min="6940" max="7176" width="9" style="61"/>
    <col min="7177" max="7177" width="3.5" style="61" customWidth="1"/>
    <col min="7178" max="7178" width="12.5" style="61" customWidth="1"/>
    <col min="7179" max="7184" width="4.5" style="61" customWidth="1"/>
    <col min="7185" max="7185" width="13.5" style="61" customWidth="1"/>
    <col min="7186" max="7186" width="10.1640625" style="61" customWidth="1"/>
    <col min="7187" max="7187" width="30.5" style="61" customWidth="1"/>
    <col min="7188" max="7188" width="7.5" style="61" bestFit="1" customWidth="1"/>
    <col min="7189" max="7189" width="9.5" style="61" customWidth="1"/>
    <col min="7190" max="7190" width="9.5" style="61" bestFit="1" customWidth="1"/>
    <col min="7191" max="7192" width="6.83203125" style="61" customWidth="1"/>
    <col min="7193" max="7193" width="43.83203125" style="61" bestFit="1" customWidth="1"/>
    <col min="7194" max="7195" width="6.83203125" style="61" customWidth="1"/>
    <col min="7196" max="7432" width="9" style="61"/>
    <col min="7433" max="7433" width="3.5" style="61" customWidth="1"/>
    <col min="7434" max="7434" width="12.5" style="61" customWidth="1"/>
    <col min="7435" max="7440" width="4.5" style="61" customWidth="1"/>
    <col min="7441" max="7441" width="13.5" style="61" customWidth="1"/>
    <col min="7442" max="7442" width="10.1640625" style="61" customWidth="1"/>
    <col min="7443" max="7443" width="30.5" style="61" customWidth="1"/>
    <col min="7444" max="7444" width="7.5" style="61" bestFit="1" customWidth="1"/>
    <col min="7445" max="7445" width="9.5" style="61" customWidth="1"/>
    <col min="7446" max="7446" width="9.5" style="61" bestFit="1" customWidth="1"/>
    <col min="7447" max="7448" width="6.83203125" style="61" customWidth="1"/>
    <col min="7449" max="7449" width="43.83203125" style="61" bestFit="1" customWidth="1"/>
    <col min="7450" max="7451" width="6.83203125" style="61" customWidth="1"/>
    <col min="7452" max="7688" width="9" style="61"/>
    <col min="7689" max="7689" width="3.5" style="61" customWidth="1"/>
    <col min="7690" max="7690" width="12.5" style="61" customWidth="1"/>
    <col min="7691" max="7696" width="4.5" style="61" customWidth="1"/>
    <col min="7697" max="7697" width="13.5" style="61" customWidth="1"/>
    <col min="7698" max="7698" width="10.1640625" style="61" customWidth="1"/>
    <col min="7699" max="7699" width="30.5" style="61" customWidth="1"/>
    <col min="7700" max="7700" width="7.5" style="61" bestFit="1" customWidth="1"/>
    <col min="7701" max="7701" width="9.5" style="61" customWidth="1"/>
    <col min="7702" max="7702" width="9.5" style="61" bestFit="1" customWidth="1"/>
    <col min="7703" max="7704" width="6.83203125" style="61" customWidth="1"/>
    <col min="7705" max="7705" width="43.83203125" style="61" bestFit="1" customWidth="1"/>
    <col min="7706" max="7707" width="6.83203125" style="61" customWidth="1"/>
    <col min="7708" max="7944" width="9" style="61"/>
    <col min="7945" max="7945" width="3.5" style="61" customWidth="1"/>
    <col min="7946" max="7946" width="12.5" style="61" customWidth="1"/>
    <col min="7947" max="7952" width="4.5" style="61" customWidth="1"/>
    <col min="7953" max="7953" width="13.5" style="61" customWidth="1"/>
    <col min="7954" max="7954" width="10.1640625" style="61" customWidth="1"/>
    <col min="7955" max="7955" width="30.5" style="61" customWidth="1"/>
    <col min="7956" max="7956" width="7.5" style="61" bestFit="1" customWidth="1"/>
    <col min="7957" max="7957" width="9.5" style="61" customWidth="1"/>
    <col min="7958" max="7958" width="9.5" style="61" bestFit="1" customWidth="1"/>
    <col min="7959" max="7960" width="6.83203125" style="61" customWidth="1"/>
    <col min="7961" max="7961" width="43.83203125" style="61" bestFit="1" customWidth="1"/>
    <col min="7962" max="7963" width="6.83203125" style="61" customWidth="1"/>
    <col min="7964" max="8200" width="9" style="61"/>
    <col min="8201" max="8201" width="3.5" style="61" customWidth="1"/>
    <col min="8202" max="8202" width="12.5" style="61" customWidth="1"/>
    <col min="8203" max="8208" width="4.5" style="61" customWidth="1"/>
    <col min="8209" max="8209" width="13.5" style="61" customWidth="1"/>
    <col min="8210" max="8210" width="10.1640625" style="61" customWidth="1"/>
    <col min="8211" max="8211" width="30.5" style="61" customWidth="1"/>
    <col min="8212" max="8212" width="7.5" style="61" bestFit="1" customWidth="1"/>
    <col min="8213" max="8213" width="9.5" style="61" customWidth="1"/>
    <col min="8214" max="8214" width="9.5" style="61" bestFit="1" customWidth="1"/>
    <col min="8215" max="8216" width="6.83203125" style="61" customWidth="1"/>
    <col min="8217" max="8217" width="43.83203125" style="61" bestFit="1" customWidth="1"/>
    <col min="8218" max="8219" width="6.83203125" style="61" customWidth="1"/>
    <col min="8220" max="8456" width="9" style="61"/>
    <col min="8457" max="8457" width="3.5" style="61" customWidth="1"/>
    <col min="8458" max="8458" width="12.5" style="61" customWidth="1"/>
    <col min="8459" max="8464" width="4.5" style="61" customWidth="1"/>
    <col min="8465" max="8465" width="13.5" style="61" customWidth="1"/>
    <col min="8466" max="8466" width="10.1640625" style="61" customWidth="1"/>
    <col min="8467" max="8467" width="30.5" style="61" customWidth="1"/>
    <col min="8468" max="8468" width="7.5" style="61" bestFit="1" customWidth="1"/>
    <col min="8469" max="8469" width="9.5" style="61" customWidth="1"/>
    <col min="8470" max="8470" width="9.5" style="61" bestFit="1" customWidth="1"/>
    <col min="8471" max="8472" width="6.83203125" style="61" customWidth="1"/>
    <col min="8473" max="8473" width="43.83203125" style="61" bestFit="1" customWidth="1"/>
    <col min="8474" max="8475" width="6.83203125" style="61" customWidth="1"/>
    <col min="8476" max="8712" width="9" style="61"/>
    <col min="8713" max="8713" width="3.5" style="61" customWidth="1"/>
    <col min="8714" max="8714" width="12.5" style="61" customWidth="1"/>
    <col min="8715" max="8720" width="4.5" style="61" customWidth="1"/>
    <col min="8721" max="8721" width="13.5" style="61" customWidth="1"/>
    <col min="8722" max="8722" width="10.1640625" style="61" customWidth="1"/>
    <col min="8723" max="8723" width="30.5" style="61" customWidth="1"/>
    <col min="8724" max="8724" width="7.5" style="61" bestFit="1" customWidth="1"/>
    <col min="8725" max="8725" width="9.5" style="61" customWidth="1"/>
    <col min="8726" max="8726" width="9.5" style="61" bestFit="1" customWidth="1"/>
    <col min="8727" max="8728" width="6.83203125" style="61" customWidth="1"/>
    <col min="8729" max="8729" width="43.83203125" style="61" bestFit="1" customWidth="1"/>
    <col min="8730" max="8731" width="6.83203125" style="61" customWidth="1"/>
    <col min="8732" max="8968" width="9" style="61"/>
    <col min="8969" max="8969" width="3.5" style="61" customWidth="1"/>
    <col min="8970" max="8970" width="12.5" style="61" customWidth="1"/>
    <col min="8971" max="8976" width="4.5" style="61" customWidth="1"/>
    <col min="8977" max="8977" width="13.5" style="61" customWidth="1"/>
    <col min="8978" max="8978" width="10.1640625" style="61" customWidth="1"/>
    <col min="8979" max="8979" width="30.5" style="61" customWidth="1"/>
    <col min="8980" max="8980" width="7.5" style="61" bestFit="1" customWidth="1"/>
    <col min="8981" max="8981" width="9.5" style="61" customWidth="1"/>
    <col min="8982" max="8982" width="9.5" style="61" bestFit="1" customWidth="1"/>
    <col min="8983" max="8984" width="6.83203125" style="61" customWidth="1"/>
    <col min="8985" max="8985" width="43.83203125" style="61" bestFit="1" customWidth="1"/>
    <col min="8986" max="8987" width="6.83203125" style="61" customWidth="1"/>
    <col min="8988" max="9224" width="9" style="61"/>
    <col min="9225" max="9225" width="3.5" style="61" customWidth="1"/>
    <col min="9226" max="9226" width="12.5" style="61" customWidth="1"/>
    <col min="9227" max="9232" width="4.5" style="61" customWidth="1"/>
    <col min="9233" max="9233" width="13.5" style="61" customWidth="1"/>
    <col min="9234" max="9234" width="10.1640625" style="61" customWidth="1"/>
    <col min="9235" max="9235" width="30.5" style="61" customWidth="1"/>
    <col min="9236" max="9236" width="7.5" style="61" bestFit="1" customWidth="1"/>
    <col min="9237" max="9237" width="9.5" style="61" customWidth="1"/>
    <col min="9238" max="9238" width="9.5" style="61" bestFit="1" customWidth="1"/>
    <col min="9239" max="9240" width="6.83203125" style="61" customWidth="1"/>
    <col min="9241" max="9241" width="43.83203125" style="61" bestFit="1" customWidth="1"/>
    <col min="9242" max="9243" width="6.83203125" style="61" customWidth="1"/>
    <col min="9244" max="9480" width="9" style="61"/>
    <col min="9481" max="9481" width="3.5" style="61" customWidth="1"/>
    <col min="9482" max="9482" width="12.5" style="61" customWidth="1"/>
    <col min="9483" max="9488" width="4.5" style="61" customWidth="1"/>
    <col min="9489" max="9489" width="13.5" style="61" customWidth="1"/>
    <col min="9490" max="9490" width="10.1640625" style="61" customWidth="1"/>
    <col min="9491" max="9491" width="30.5" style="61" customWidth="1"/>
    <col min="9492" max="9492" width="7.5" style="61" bestFit="1" customWidth="1"/>
    <col min="9493" max="9493" width="9.5" style="61" customWidth="1"/>
    <col min="9494" max="9494" width="9.5" style="61" bestFit="1" customWidth="1"/>
    <col min="9495" max="9496" width="6.83203125" style="61" customWidth="1"/>
    <col min="9497" max="9497" width="43.83203125" style="61" bestFit="1" customWidth="1"/>
    <col min="9498" max="9499" width="6.83203125" style="61" customWidth="1"/>
    <col min="9500" max="9736" width="9" style="61"/>
    <col min="9737" max="9737" width="3.5" style="61" customWidth="1"/>
    <col min="9738" max="9738" width="12.5" style="61" customWidth="1"/>
    <col min="9739" max="9744" width="4.5" style="61" customWidth="1"/>
    <col min="9745" max="9745" width="13.5" style="61" customWidth="1"/>
    <col min="9746" max="9746" width="10.1640625" style="61" customWidth="1"/>
    <col min="9747" max="9747" width="30.5" style="61" customWidth="1"/>
    <col min="9748" max="9748" width="7.5" style="61" bestFit="1" customWidth="1"/>
    <col min="9749" max="9749" width="9.5" style="61" customWidth="1"/>
    <col min="9750" max="9750" width="9.5" style="61" bestFit="1" customWidth="1"/>
    <col min="9751" max="9752" width="6.83203125" style="61" customWidth="1"/>
    <col min="9753" max="9753" width="43.83203125" style="61" bestFit="1" customWidth="1"/>
    <col min="9754" max="9755" width="6.83203125" style="61" customWidth="1"/>
    <col min="9756" max="9992" width="9" style="61"/>
    <col min="9993" max="9993" width="3.5" style="61" customWidth="1"/>
    <col min="9994" max="9994" width="12.5" style="61" customWidth="1"/>
    <col min="9995" max="10000" width="4.5" style="61" customWidth="1"/>
    <col min="10001" max="10001" width="13.5" style="61" customWidth="1"/>
    <col min="10002" max="10002" width="10.1640625" style="61" customWidth="1"/>
    <col min="10003" max="10003" width="30.5" style="61" customWidth="1"/>
    <col min="10004" max="10004" width="7.5" style="61" bestFit="1" customWidth="1"/>
    <col min="10005" max="10005" width="9.5" style="61" customWidth="1"/>
    <col min="10006" max="10006" width="9.5" style="61" bestFit="1" customWidth="1"/>
    <col min="10007" max="10008" width="6.83203125" style="61" customWidth="1"/>
    <col min="10009" max="10009" width="43.83203125" style="61" bestFit="1" customWidth="1"/>
    <col min="10010" max="10011" width="6.83203125" style="61" customWidth="1"/>
    <col min="10012" max="10248" width="9" style="61"/>
    <col min="10249" max="10249" width="3.5" style="61" customWidth="1"/>
    <col min="10250" max="10250" width="12.5" style="61" customWidth="1"/>
    <col min="10251" max="10256" width="4.5" style="61" customWidth="1"/>
    <col min="10257" max="10257" width="13.5" style="61" customWidth="1"/>
    <col min="10258" max="10258" width="10.1640625" style="61" customWidth="1"/>
    <col min="10259" max="10259" width="30.5" style="61" customWidth="1"/>
    <col min="10260" max="10260" width="7.5" style="61" bestFit="1" customWidth="1"/>
    <col min="10261" max="10261" width="9.5" style="61" customWidth="1"/>
    <col min="10262" max="10262" width="9.5" style="61" bestFit="1" customWidth="1"/>
    <col min="10263" max="10264" width="6.83203125" style="61" customWidth="1"/>
    <col min="10265" max="10265" width="43.83203125" style="61" bestFit="1" customWidth="1"/>
    <col min="10266" max="10267" width="6.83203125" style="61" customWidth="1"/>
    <col min="10268" max="10504" width="9" style="61"/>
    <col min="10505" max="10505" width="3.5" style="61" customWidth="1"/>
    <col min="10506" max="10506" width="12.5" style="61" customWidth="1"/>
    <col min="10507" max="10512" width="4.5" style="61" customWidth="1"/>
    <col min="10513" max="10513" width="13.5" style="61" customWidth="1"/>
    <col min="10514" max="10514" width="10.1640625" style="61" customWidth="1"/>
    <col min="10515" max="10515" width="30.5" style="61" customWidth="1"/>
    <col min="10516" max="10516" width="7.5" style="61" bestFit="1" customWidth="1"/>
    <col min="10517" max="10517" width="9.5" style="61" customWidth="1"/>
    <col min="10518" max="10518" width="9.5" style="61" bestFit="1" customWidth="1"/>
    <col min="10519" max="10520" width="6.83203125" style="61" customWidth="1"/>
    <col min="10521" max="10521" width="43.83203125" style="61" bestFit="1" customWidth="1"/>
    <col min="10522" max="10523" width="6.83203125" style="61" customWidth="1"/>
    <col min="10524" max="10760" width="9" style="61"/>
    <col min="10761" max="10761" width="3.5" style="61" customWidth="1"/>
    <col min="10762" max="10762" width="12.5" style="61" customWidth="1"/>
    <col min="10763" max="10768" width="4.5" style="61" customWidth="1"/>
    <col min="10769" max="10769" width="13.5" style="61" customWidth="1"/>
    <col min="10770" max="10770" width="10.1640625" style="61" customWidth="1"/>
    <col min="10771" max="10771" width="30.5" style="61" customWidth="1"/>
    <col min="10772" max="10772" width="7.5" style="61" bestFit="1" customWidth="1"/>
    <col min="10773" max="10773" width="9.5" style="61" customWidth="1"/>
    <col min="10774" max="10774" width="9.5" style="61" bestFit="1" customWidth="1"/>
    <col min="10775" max="10776" width="6.83203125" style="61" customWidth="1"/>
    <col min="10777" max="10777" width="43.83203125" style="61" bestFit="1" customWidth="1"/>
    <col min="10778" max="10779" width="6.83203125" style="61" customWidth="1"/>
    <col min="10780" max="11016" width="9" style="61"/>
    <col min="11017" max="11017" width="3.5" style="61" customWidth="1"/>
    <col min="11018" max="11018" width="12.5" style="61" customWidth="1"/>
    <col min="11019" max="11024" width="4.5" style="61" customWidth="1"/>
    <col min="11025" max="11025" width="13.5" style="61" customWidth="1"/>
    <col min="11026" max="11026" width="10.1640625" style="61" customWidth="1"/>
    <col min="11027" max="11027" width="30.5" style="61" customWidth="1"/>
    <col min="11028" max="11028" width="7.5" style="61" bestFit="1" customWidth="1"/>
    <col min="11029" max="11029" width="9.5" style="61" customWidth="1"/>
    <col min="11030" max="11030" width="9.5" style="61" bestFit="1" customWidth="1"/>
    <col min="11031" max="11032" width="6.83203125" style="61" customWidth="1"/>
    <col min="11033" max="11033" width="43.83203125" style="61" bestFit="1" customWidth="1"/>
    <col min="11034" max="11035" width="6.83203125" style="61" customWidth="1"/>
    <col min="11036" max="11272" width="9" style="61"/>
    <col min="11273" max="11273" width="3.5" style="61" customWidth="1"/>
    <col min="11274" max="11274" width="12.5" style="61" customWidth="1"/>
    <col min="11275" max="11280" width="4.5" style="61" customWidth="1"/>
    <col min="11281" max="11281" width="13.5" style="61" customWidth="1"/>
    <col min="11282" max="11282" width="10.1640625" style="61" customWidth="1"/>
    <col min="11283" max="11283" width="30.5" style="61" customWidth="1"/>
    <col min="11284" max="11284" width="7.5" style="61" bestFit="1" customWidth="1"/>
    <col min="11285" max="11285" width="9.5" style="61" customWidth="1"/>
    <col min="11286" max="11286" width="9.5" style="61" bestFit="1" customWidth="1"/>
    <col min="11287" max="11288" width="6.83203125" style="61" customWidth="1"/>
    <col min="11289" max="11289" width="43.83203125" style="61" bestFit="1" customWidth="1"/>
    <col min="11290" max="11291" width="6.83203125" style="61" customWidth="1"/>
    <col min="11292" max="11528" width="9" style="61"/>
    <col min="11529" max="11529" width="3.5" style="61" customWidth="1"/>
    <col min="11530" max="11530" width="12.5" style="61" customWidth="1"/>
    <col min="11531" max="11536" width="4.5" style="61" customWidth="1"/>
    <col min="11537" max="11537" width="13.5" style="61" customWidth="1"/>
    <col min="11538" max="11538" width="10.1640625" style="61" customWidth="1"/>
    <col min="11539" max="11539" width="30.5" style="61" customWidth="1"/>
    <col min="11540" max="11540" width="7.5" style="61" bestFit="1" customWidth="1"/>
    <col min="11541" max="11541" width="9.5" style="61" customWidth="1"/>
    <col min="11542" max="11542" width="9.5" style="61" bestFit="1" customWidth="1"/>
    <col min="11543" max="11544" width="6.83203125" style="61" customWidth="1"/>
    <col min="11545" max="11545" width="43.83203125" style="61" bestFit="1" customWidth="1"/>
    <col min="11546" max="11547" width="6.83203125" style="61" customWidth="1"/>
    <col min="11548" max="11784" width="9" style="61"/>
    <col min="11785" max="11785" width="3.5" style="61" customWidth="1"/>
    <col min="11786" max="11786" width="12.5" style="61" customWidth="1"/>
    <col min="11787" max="11792" width="4.5" style="61" customWidth="1"/>
    <col min="11793" max="11793" width="13.5" style="61" customWidth="1"/>
    <col min="11794" max="11794" width="10.1640625" style="61" customWidth="1"/>
    <col min="11795" max="11795" width="30.5" style="61" customWidth="1"/>
    <col min="11796" max="11796" width="7.5" style="61" bestFit="1" customWidth="1"/>
    <col min="11797" max="11797" width="9.5" style="61" customWidth="1"/>
    <col min="11798" max="11798" width="9.5" style="61" bestFit="1" customWidth="1"/>
    <col min="11799" max="11800" width="6.83203125" style="61" customWidth="1"/>
    <col min="11801" max="11801" width="43.83203125" style="61" bestFit="1" customWidth="1"/>
    <col min="11802" max="11803" width="6.83203125" style="61" customWidth="1"/>
    <col min="11804" max="12040" width="9" style="61"/>
    <col min="12041" max="12041" width="3.5" style="61" customWidth="1"/>
    <col min="12042" max="12042" width="12.5" style="61" customWidth="1"/>
    <col min="12043" max="12048" width="4.5" style="61" customWidth="1"/>
    <col min="12049" max="12049" width="13.5" style="61" customWidth="1"/>
    <col min="12050" max="12050" width="10.1640625" style="61" customWidth="1"/>
    <col min="12051" max="12051" width="30.5" style="61" customWidth="1"/>
    <col min="12052" max="12052" width="7.5" style="61" bestFit="1" customWidth="1"/>
    <col min="12053" max="12053" width="9.5" style="61" customWidth="1"/>
    <col min="12054" max="12054" width="9.5" style="61" bestFit="1" customWidth="1"/>
    <col min="12055" max="12056" width="6.83203125" style="61" customWidth="1"/>
    <col min="12057" max="12057" width="43.83203125" style="61" bestFit="1" customWidth="1"/>
    <col min="12058" max="12059" width="6.83203125" style="61" customWidth="1"/>
    <col min="12060" max="12296" width="9" style="61"/>
    <col min="12297" max="12297" width="3.5" style="61" customWidth="1"/>
    <col min="12298" max="12298" width="12.5" style="61" customWidth="1"/>
    <col min="12299" max="12304" width="4.5" style="61" customWidth="1"/>
    <col min="12305" max="12305" width="13.5" style="61" customWidth="1"/>
    <col min="12306" max="12306" width="10.1640625" style="61" customWidth="1"/>
    <col min="12307" max="12307" width="30.5" style="61" customWidth="1"/>
    <col min="12308" max="12308" width="7.5" style="61" bestFit="1" customWidth="1"/>
    <col min="12309" max="12309" width="9.5" style="61" customWidth="1"/>
    <col min="12310" max="12310" width="9.5" style="61" bestFit="1" customWidth="1"/>
    <col min="12311" max="12312" width="6.83203125" style="61" customWidth="1"/>
    <col min="12313" max="12313" width="43.83203125" style="61" bestFit="1" customWidth="1"/>
    <col min="12314" max="12315" width="6.83203125" style="61" customWidth="1"/>
    <col min="12316" max="12552" width="9" style="61"/>
    <col min="12553" max="12553" width="3.5" style="61" customWidth="1"/>
    <col min="12554" max="12554" width="12.5" style="61" customWidth="1"/>
    <col min="12555" max="12560" width="4.5" style="61" customWidth="1"/>
    <col min="12561" max="12561" width="13.5" style="61" customWidth="1"/>
    <col min="12562" max="12562" width="10.1640625" style="61" customWidth="1"/>
    <col min="12563" max="12563" width="30.5" style="61" customWidth="1"/>
    <col min="12564" max="12564" width="7.5" style="61" bestFit="1" customWidth="1"/>
    <col min="12565" max="12565" width="9.5" style="61" customWidth="1"/>
    <col min="12566" max="12566" width="9.5" style="61" bestFit="1" customWidth="1"/>
    <col min="12567" max="12568" width="6.83203125" style="61" customWidth="1"/>
    <col min="12569" max="12569" width="43.83203125" style="61" bestFit="1" customWidth="1"/>
    <col min="12570" max="12571" width="6.83203125" style="61" customWidth="1"/>
    <col min="12572" max="12808" width="9" style="61"/>
    <col min="12809" max="12809" width="3.5" style="61" customWidth="1"/>
    <col min="12810" max="12810" width="12.5" style="61" customWidth="1"/>
    <col min="12811" max="12816" width="4.5" style="61" customWidth="1"/>
    <col min="12817" max="12817" width="13.5" style="61" customWidth="1"/>
    <col min="12818" max="12818" width="10.1640625" style="61" customWidth="1"/>
    <col min="12819" max="12819" width="30.5" style="61" customWidth="1"/>
    <col min="12820" max="12820" width="7.5" style="61" bestFit="1" customWidth="1"/>
    <col min="12821" max="12821" width="9.5" style="61" customWidth="1"/>
    <col min="12822" max="12822" width="9.5" style="61" bestFit="1" customWidth="1"/>
    <col min="12823" max="12824" width="6.83203125" style="61" customWidth="1"/>
    <col min="12825" max="12825" width="43.83203125" style="61" bestFit="1" customWidth="1"/>
    <col min="12826" max="12827" width="6.83203125" style="61" customWidth="1"/>
    <col min="12828" max="13064" width="9" style="61"/>
    <col min="13065" max="13065" width="3.5" style="61" customWidth="1"/>
    <col min="13066" max="13066" width="12.5" style="61" customWidth="1"/>
    <col min="13067" max="13072" width="4.5" style="61" customWidth="1"/>
    <col min="13073" max="13073" width="13.5" style="61" customWidth="1"/>
    <col min="13074" max="13074" width="10.1640625" style="61" customWidth="1"/>
    <col min="13075" max="13075" width="30.5" style="61" customWidth="1"/>
    <col min="13076" max="13076" width="7.5" style="61" bestFit="1" customWidth="1"/>
    <col min="13077" max="13077" width="9.5" style="61" customWidth="1"/>
    <col min="13078" max="13078" width="9.5" style="61" bestFit="1" customWidth="1"/>
    <col min="13079" max="13080" width="6.83203125" style="61" customWidth="1"/>
    <col min="13081" max="13081" width="43.83203125" style="61" bestFit="1" customWidth="1"/>
    <col min="13082" max="13083" width="6.83203125" style="61" customWidth="1"/>
    <col min="13084" max="13320" width="9" style="61"/>
    <col min="13321" max="13321" width="3.5" style="61" customWidth="1"/>
    <col min="13322" max="13322" width="12.5" style="61" customWidth="1"/>
    <col min="13323" max="13328" width="4.5" style="61" customWidth="1"/>
    <col min="13329" max="13329" width="13.5" style="61" customWidth="1"/>
    <col min="13330" max="13330" width="10.1640625" style="61" customWidth="1"/>
    <col min="13331" max="13331" width="30.5" style="61" customWidth="1"/>
    <col min="13332" max="13332" width="7.5" style="61" bestFit="1" customWidth="1"/>
    <col min="13333" max="13333" width="9.5" style="61" customWidth="1"/>
    <col min="13334" max="13334" width="9.5" style="61" bestFit="1" customWidth="1"/>
    <col min="13335" max="13336" width="6.83203125" style="61" customWidth="1"/>
    <col min="13337" max="13337" width="43.83203125" style="61" bestFit="1" customWidth="1"/>
    <col min="13338" max="13339" width="6.83203125" style="61" customWidth="1"/>
    <col min="13340" max="13576" width="9" style="61"/>
    <col min="13577" max="13577" width="3.5" style="61" customWidth="1"/>
    <col min="13578" max="13578" width="12.5" style="61" customWidth="1"/>
    <col min="13579" max="13584" width="4.5" style="61" customWidth="1"/>
    <col min="13585" max="13585" width="13.5" style="61" customWidth="1"/>
    <col min="13586" max="13586" width="10.1640625" style="61" customWidth="1"/>
    <col min="13587" max="13587" width="30.5" style="61" customWidth="1"/>
    <col min="13588" max="13588" width="7.5" style="61" bestFit="1" customWidth="1"/>
    <col min="13589" max="13589" width="9.5" style="61" customWidth="1"/>
    <col min="13590" max="13590" width="9.5" style="61" bestFit="1" customWidth="1"/>
    <col min="13591" max="13592" width="6.83203125" style="61" customWidth="1"/>
    <col min="13593" max="13593" width="43.83203125" style="61" bestFit="1" customWidth="1"/>
    <col min="13594" max="13595" width="6.83203125" style="61" customWidth="1"/>
    <col min="13596" max="13832" width="9" style="61"/>
    <col min="13833" max="13833" width="3.5" style="61" customWidth="1"/>
    <col min="13834" max="13834" width="12.5" style="61" customWidth="1"/>
    <col min="13835" max="13840" width="4.5" style="61" customWidth="1"/>
    <col min="13841" max="13841" width="13.5" style="61" customWidth="1"/>
    <col min="13842" max="13842" width="10.1640625" style="61" customWidth="1"/>
    <col min="13843" max="13843" width="30.5" style="61" customWidth="1"/>
    <col min="13844" max="13844" width="7.5" style="61" bestFit="1" customWidth="1"/>
    <col min="13845" max="13845" width="9.5" style="61" customWidth="1"/>
    <col min="13846" max="13846" width="9.5" style="61" bestFit="1" customWidth="1"/>
    <col min="13847" max="13848" width="6.83203125" style="61" customWidth="1"/>
    <col min="13849" max="13849" width="43.83203125" style="61" bestFit="1" customWidth="1"/>
    <col min="13850" max="13851" width="6.83203125" style="61" customWidth="1"/>
    <col min="13852" max="14088" width="9" style="61"/>
    <col min="14089" max="14089" width="3.5" style="61" customWidth="1"/>
    <col min="14090" max="14090" width="12.5" style="61" customWidth="1"/>
    <col min="14091" max="14096" width="4.5" style="61" customWidth="1"/>
    <col min="14097" max="14097" width="13.5" style="61" customWidth="1"/>
    <col min="14098" max="14098" width="10.1640625" style="61" customWidth="1"/>
    <col min="14099" max="14099" width="30.5" style="61" customWidth="1"/>
    <col min="14100" max="14100" width="7.5" style="61" bestFit="1" customWidth="1"/>
    <col min="14101" max="14101" width="9.5" style="61" customWidth="1"/>
    <col min="14102" max="14102" width="9.5" style="61" bestFit="1" customWidth="1"/>
    <col min="14103" max="14104" width="6.83203125" style="61" customWidth="1"/>
    <col min="14105" max="14105" width="43.83203125" style="61" bestFit="1" customWidth="1"/>
    <col min="14106" max="14107" width="6.83203125" style="61" customWidth="1"/>
    <col min="14108" max="14344" width="9" style="61"/>
    <col min="14345" max="14345" width="3.5" style="61" customWidth="1"/>
    <col min="14346" max="14346" width="12.5" style="61" customWidth="1"/>
    <col min="14347" max="14352" width="4.5" style="61" customWidth="1"/>
    <col min="14353" max="14353" width="13.5" style="61" customWidth="1"/>
    <col min="14354" max="14354" width="10.1640625" style="61" customWidth="1"/>
    <col min="14355" max="14355" width="30.5" style="61" customWidth="1"/>
    <col min="14356" max="14356" width="7.5" style="61" bestFit="1" customWidth="1"/>
    <col min="14357" max="14357" width="9.5" style="61" customWidth="1"/>
    <col min="14358" max="14358" width="9.5" style="61" bestFit="1" customWidth="1"/>
    <col min="14359" max="14360" width="6.83203125" style="61" customWidth="1"/>
    <col min="14361" max="14361" width="43.83203125" style="61" bestFit="1" customWidth="1"/>
    <col min="14362" max="14363" width="6.83203125" style="61" customWidth="1"/>
    <col min="14364" max="14600" width="9" style="61"/>
    <col min="14601" max="14601" width="3.5" style="61" customWidth="1"/>
    <col min="14602" max="14602" width="12.5" style="61" customWidth="1"/>
    <col min="14603" max="14608" width="4.5" style="61" customWidth="1"/>
    <col min="14609" max="14609" width="13.5" style="61" customWidth="1"/>
    <col min="14610" max="14610" width="10.1640625" style="61" customWidth="1"/>
    <col min="14611" max="14611" width="30.5" style="61" customWidth="1"/>
    <col min="14612" max="14612" width="7.5" style="61" bestFit="1" customWidth="1"/>
    <col min="14613" max="14613" width="9.5" style="61" customWidth="1"/>
    <col min="14614" max="14614" width="9.5" style="61" bestFit="1" customWidth="1"/>
    <col min="14615" max="14616" width="6.83203125" style="61" customWidth="1"/>
    <col min="14617" max="14617" width="43.83203125" style="61" bestFit="1" customWidth="1"/>
    <col min="14618" max="14619" width="6.83203125" style="61" customWidth="1"/>
    <col min="14620" max="14856" width="9" style="61"/>
    <col min="14857" max="14857" width="3.5" style="61" customWidth="1"/>
    <col min="14858" max="14858" width="12.5" style="61" customWidth="1"/>
    <col min="14859" max="14864" width="4.5" style="61" customWidth="1"/>
    <col min="14865" max="14865" width="13.5" style="61" customWidth="1"/>
    <col min="14866" max="14866" width="10.1640625" style="61" customWidth="1"/>
    <col min="14867" max="14867" width="30.5" style="61" customWidth="1"/>
    <col min="14868" max="14868" width="7.5" style="61" bestFit="1" customWidth="1"/>
    <col min="14869" max="14869" width="9.5" style="61" customWidth="1"/>
    <col min="14870" max="14870" width="9.5" style="61" bestFit="1" customWidth="1"/>
    <col min="14871" max="14872" width="6.83203125" style="61" customWidth="1"/>
    <col min="14873" max="14873" width="43.83203125" style="61" bestFit="1" customWidth="1"/>
    <col min="14874" max="14875" width="6.83203125" style="61" customWidth="1"/>
    <col min="14876" max="15112" width="9" style="61"/>
    <col min="15113" max="15113" width="3.5" style="61" customWidth="1"/>
    <col min="15114" max="15114" width="12.5" style="61" customWidth="1"/>
    <col min="15115" max="15120" width="4.5" style="61" customWidth="1"/>
    <col min="15121" max="15121" width="13.5" style="61" customWidth="1"/>
    <col min="15122" max="15122" width="10.1640625" style="61" customWidth="1"/>
    <col min="15123" max="15123" width="30.5" style="61" customWidth="1"/>
    <col min="15124" max="15124" width="7.5" style="61" bestFit="1" customWidth="1"/>
    <col min="15125" max="15125" width="9.5" style="61" customWidth="1"/>
    <col min="15126" max="15126" width="9.5" style="61" bestFit="1" customWidth="1"/>
    <col min="15127" max="15128" width="6.83203125" style="61" customWidth="1"/>
    <col min="15129" max="15129" width="43.83203125" style="61" bestFit="1" customWidth="1"/>
    <col min="15130" max="15131" width="6.83203125" style="61" customWidth="1"/>
    <col min="15132" max="15368" width="9" style="61"/>
    <col min="15369" max="15369" width="3.5" style="61" customWidth="1"/>
    <col min="15370" max="15370" width="12.5" style="61" customWidth="1"/>
    <col min="15371" max="15376" width="4.5" style="61" customWidth="1"/>
    <col min="15377" max="15377" width="13.5" style="61" customWidth="1"/>
    <col min="15378" max="15378" width="10.1640625" style="61" customWidth="1"/>
    <col min="15379" max="15379" width="30.5" style="61" customWidth="1"/>
    <col min="15380" max="15380" width="7.5" style="61" bestFit="1" customWidth="1"/>
    <col min="15381" max="15381" width="9.5" style="61" customWidth="1"/>
    <col min="15382" max="15382" width="9.5" style="61" bestFit="1" customWidth="1"/>
    <col min="15383" max="15384" width="6.83203125" style="61" customWidth="1"/>
    <col min="15385" max="15385" width="43.83203125" style="61" bestFit="1" customWidth="1"/>
    <col min="15386" max="15387" width="6.83203125" style="61" customWidth="1"/>
    <col min="15388" max="15624" width="9" style="61"/>
    <col min="15625" max="15625" width="3.5" style="61" customWidth="1"/>
    <col min="15626" max="15626" width="12.5" style="61" customWidth="1"/>
    <col min="15627" max="15632" width="4.5" style="61" customWidth="1"/>
    <col min="15633" max="15633" width="13.5" style="61" customWidth="1"/>
    <col min="15634" max="15634" width="10.1640625" style="61" customWidth="1"/>
    <col min="15635" max="15635" width="30.5" style="61" customWidth="1"/>
    <col min="15636" max="15636" width="7.5" style="61" bestFit="1" customWidth="1"/>
    <col min="15637" max="15637" width="9.5" style="61" customWidth="1"/>
    <col min="15638" max="15638" width="9.5" style="61" bestFit="1" customWidth="1"/>
    <col min="15639" max="15640" width="6.83203125" style="61" customWidth="1"/>
    <col min="15641" max="15641" width="43.83203125" style="61" bestFit="1" customWidth="1"/>
    <col min="15642" max="15643" width="6.83203125" style="61" customWidth="1"/>
    <col min="15644" max="15880" width="9" style="61"/>
    <col min="15881" max="15881" width="3.5" style="61" customWidth="1"/>
    <col min="15882" max="15882" width="12.5" style="61" customWidth="1"/>
    <col min="15883" max="15888" width="4.5" style="61" customWidth="1"/>
    <col min="15889" max="15889" width="13.5" style="61" customWidth="1"/>
    <col min="15890" max="15890" width="10.1640625" style="61" customWidth="1"/>
    <col min="15891" max="15891" width="30.5" style="61" customWidth="1"/>
    <col min="15892" max="15892" width="7.5" style="61" bestFit="1" customWidth="1"/>
    <col min="15893" max="15893" width="9.5" style="61" customWidth="1"/>
    <col min="15894" max="15894" width="9.5" style="61" bestFit="1" customWidth="1"/>
    <col min="15895" max="15896" width="6.83203125" style="61" customWidth="1"/>
    <col min="15897" max="15897" width="43.83203125" style="61" bestFit="1" customWidth="1"/>
    <col min="15898" max="15899" width="6.83203125" style="61" customWidth="1"/>
    <col min="15900" max="16136" width="9" style="61"/>
    <col min="16137" max="16137" width="3.5" style="61" customWidth="1"/>
    <col min="16138" max="16138" width="12.5" style="61" customWidth="1"/>
    <col min="16139" max="16144" width="4.5" style="61" customWidth="1"/>
    <col min="16145" max="16145" width="13.5" style="61" customWidth="1"/>
    <col min="16146" max="16146" width="10.1640625" style="61" customWidth="1"/>
    <col min="16147" max="16147" width="30.5" style="61" customWidth="1"/>
    <col min="16148" max="16148" width="7.5" style="61" bestFit="1" customWidth="1"/>
    <col min="16149" max="16149" width="9.5" style="61" customWidth="1"/>
    <col min="16150" max="16150" width="9.5" style="61" bestFit="1" customWidth="1"/>
    <col min="16151" max="16152" width="6.83203125" style="61" customWidth="1"/>
    <col min="16153" max="16153" width="43.83203125" style="61" bestFit="1" customWidth="1"/>
    <col min="16154" max="16155" width="6.83203125" style="61" customWidth="1"/>
    <col min="16156" max="16384" width="9" style="61"/>
  </cols>
  <sheetData>
    <row r="1" spans="1:88" ht="57" hidden="1">
      <c r="AB1" s="63" t="s">
        <v>31</v>
      </c>
      <c r="AC1" s="63" t="s">
        <v>80</v>
      </c>
      <c r="AD1" s="63" t="s">
        <v>112</v>
      </c>
      <c r="AE1" s="63" t="s">
        <v>81</v>
      </c>
      <c r="AF1" s="63" t="s">
        <v>82</v>
      </c>
      <c r="AG1" s="63" t="s">
        <v>108</v>
      </c>
      <c r="AH1" s="63" t="s">
        <v>109</v>
      </c>
      <c r="AI1" s="63" t="s">
        <v>83</v>
      </c>
      <c r="AJ1" s="63" t="s">
        <v>111</v>
      </c>
      <c r="AK1" s="63" t="s">
        <v>110</v>
      </c>
      <c r="AL1" s="63" t="s">
        <v>84</v>
      </c>
      <c r="AM1" s="63" t="s">
        <v>113</v>
      </c>
      <c r="AN1" s="63" t="s">
        <v>114</v>
      </c>
      <c r="AO1" s="63" t="s">
        <v>85</v>
      </c>
      <c r="AP1" s="63" t="s">
        <v>115</v>
      </c>
      <c r="AQ1" s="63" t="s">
        <v>118</v>
      </c>
      <c r="AR1" s="63" t="s">
        <v>86</v>
      </c>
      <c r="AS1" s="63" t="s">
        <v>117</v>
      </c>
      <c r="AT1" s="63" t="s">
        <v>116</v>
      </c>
      <c r="AU1" s="63" t="s">
        <v>87</v>
      </c>
      <c r="AV1" s="63" t="s">
        <v>119</v>
      </c>
      <c r="AW1" s="63" t="s">
        <v>88</v>
      </c>
      <c r="AX1" s="63" t="s">
        <v>90</v>
      </c>
      <c r="AY1" s="63" t="s">
        <v>120</v>
      </c>
      <c r="AZ1" s="63" t="s">
        <v>89</v>
      </c>
      <c r="BA1" s="63" t="s">
        <v>91</v>
      </c>
      <c r="BB1" s="63" t="s">
        <v>121</v>
      </c>
      <c r="BC1" s="63" t="s">
        <v>122</v>
      </c>
      <c r="BD1" s="63" t="s">
        <v>92</v>
      </c>
      <c r="BE1" s="63" t="s">
        <v>123</v>
      </c>
      <c r="BF1" s="63" t="s">
        <v>124</v>
      </c>
      <c r="BG1" s="63" t="s">
        <v>94</v>
      </c>
      <c r="BH1" s="63" t="s">
        <v>125</v>
      </c>
      <c r="BI1" s="63" t="s">
        <v>93</v>
      </c>
      <c r="BJ1" s="63" t="s">
        <v>95</v>
      </c>
      <c r="BK1" s="63" t="s">
        <v>126</v>
      </c>
      <c r="BL1" s="63" t="s">
        <v>127</v>
      </c>
      <c r="BM1" s="63" t="s">
        <v>96</v>
      </c>
      <c r="BN1" s="63" t="s">
        <v>128</v>
      </c>
      <c r="BO1" s="63" t="s">
        <v>129</v>
      </c>
      <c r="BP1" s="63" t="s">
        <v>98</v>
      </c>
      <c r="BQ1" s="63" t="s">
        <v>130</v>
      </c>
      <c r="BR1" s="63" t="s">
        <v>97</v>
      </c>
      <c r="BS1" s="63" t="s">
        <v>99</v>
      </c>
      <c r="BT1" s="63" t="s">
        <v>131</v>
      </c>
      <c r="BU1" s="63" t="s">
        <v>132</v>
      </c>
      <c r="BV1" s="63" t="s">
        <v>101</v>
      </c>
      <c r="BW1" s="63" t="s">
        <v>133</v>
      </c>
      <c r="BX1" s="63" t="s">
        <v>100</v>
      </c>
      <c r="BY1" s="63" t="s">
        <v>47</v>
      </c>
      <c r="BZ1" s="63" t="s">
        <v>143</v>
      </c>
      <c r="CA1" s="63" t="s">
        <v>107</v>
      </c>
      <c r="CB1" s="63" t="s">
        <v>188</v>
      </c>
      <c r="CC1" s="63" t="s">
        <v>189</v>
      </c>
      <c r="CD1" s="63" t="s">
        <v>190</v>
      </c>
      <c r="CE1" s="63" t="s">
        <v>103</v>
      </c>
      <c r="CF1" s="63" t="s">
        <v>134</v>
      </c>
      <c r="CG1" s="63" t="s">
        <v>102</v>
      </c>
      <c r="CH1" s="63" t="s">
        <v>104</v>
      </c>
      <c r="CI1" s="63" t="s">
        <v>135</v>
      </c>
      <c r="CJ1" s="63" t="s">
        <v>136</v>
      </c>
    </row>
    <row r="2" spans="1:88" ht="18" hidden="1">
      <c r="AB2" t="s">
        <v>67</v>
      </c>
      <c r="AC2" t="s">
        <v>137</v>
      </c>
      <c r="AD2">
        <f>SUMIFS(科目表[単位数],科目表[修得状況],"e",科目表[専攻科目＋関連科目],"○")</f>
        <v>117</v>
      </c>
      <c r="AE2">
        <v>62</v>
      </c>
      <c r="AF2" t="s">
        <v>137</v>
      </c>
      <c r="AG2">
        <f>SUMIFS(科目表[単位数],科目表[修得状況],"e",科目表[専攻科目＋関連科目],"○")</f>
        <v>117</v>
      </c>
      <c r="AH2">
        <v>62</v>
      </c>
      <c r="AI2" t="s">
        <v>137</v>
      </c>
      <c r="AJ2">
        <f>SUMIFS(科目表[単位数],科目表[修得状況],"e",科目表[専攻科目＋関連科目],"○")</f>
        <v>117</v>
      </c>
      <c r="AK2">
        <v>62</v>
      </c>
      <c r="AL2" t="s">
        <v>137</v>
      </c>
      <c r="AM2">
        <f>SUMIFS(科目表[単位数],科目表[修得状況],"e",科目表[専攻科目＋関連科目],"○")</f>
        <v>117</v>
      </c>
      <c r="AN2">
        <v>62</v>
      </c>
      <c r="AO2" t="s">
        <v>137</v>
      </c>
      <c r="AP2">
        <f>SUMIFS(科目表[単位数],科目表[修得状況],"e",科目表[専攻科目＋関連科目],"○")</f>
        <v>117</v>
      </c>
      <c r="AQ2">
        <v>62</v>
      </c>
      <c r="AR2" t="s">
        <v>137</v>
      </c>
      <c r="AS2">
        <f>SUMIFS(科目表[単位数],科目表[修得状況],"e",科目表[専攻科目＋関連科目],"○")</f>
        <v>117</v>
      </c>
      <c r="AT2">
        <v>62</v>
      </c>
      <c r="AU2" t="s">
        <v>137</v>
      </c>
      <c r="AV2">
        <f>SUMIFS(科目表[単位数],科目表[修得状況],"e",科目表[専攻科目＋関連科目],"○")</f>
        <v>117</v>
      </c>
      <c r="AW2">
        <v>62</v>
      </c>
      <c r="AX2" t="s">
        <v>137</v>
      </c>
      <c r="AY2">
        <f>SUMIFS(科目表[単位数],科目表[修得状況],"e",科目表[専攻科目＋関連科目],"○")</f>
        <v>117</v>
      </c>
      <c r="AZ2">
        <v>62</v>
      </c>
      <c r="BA2" t="s">
        <v>32</v>
      </c>
      <c r="BB2">
        <f>SUMIFS(科目表[単位数],科目表[修得状況],"e",科目表[専攻科目＋関連科目],"○")</f>
        <v>117</v>
      </c>
      <c r="BC2">
        <v>62</v>
      </c>
      <c r="BD2" t="s">
        <v>32</v>
      </c>
      <c r="BE2">
        <f>SUMIFS(科目表[単位数],科目表[修得状況],"e",科目表[専攻科目＋関連科目],"○")</f>
        <v>117</v>
      </c>
      <c r="BF2">
        <v>62</v>
      </c>
      <c r="BG2" t="s">
        <v>32</v>
      </c>
      <c r="BH2">
        <f>SUMIFS(科目表[単位数],科目表[修得状況],"e",科目表[専攻科目＋関連科目],"○")</f>
        <v>117</v>
      </c>
      <c r="BI2">
        <v>62</v>
      </c>
      <c r="BJ2" t="s">
        <v>32</v>
      </c>
      <c r="BK2">
        <f>SUMIFS(科目表[単位数],科目表[修得状況],"e",科目表[専攻科目＋関連科目],"○")</f>
        <v>117</v>
      </c>
      <c r="BL2">
        <v>62</v>
      </c>
      <c r="BM2" t="s">
        <v>32</v>
      </c>
      <c r="BN2">
        <f>SUMIFS(科目表[単位数],科目表[修得状況],"e",科目表[専攻科目＋関連科目],"○")</f>
        <v>117</v>
      </c>
      <c r="BO2">
        <v>62</v>
      </c>
      <c r="BP2" t="s">
        <v>32</v>
      </c>
      <c r="BQ2">
        <f>SUMIFS(科目表[単位数],科目表[修得状況],"e",科目表[専攻科目＋関連科目],"○")</f>
        <v>117</v>
      </c>
      <c r="BR2">
        <v>62</v>
      </c>
      <c r="BS2" t="s">
        <v>32</v>
      </c>
      <c r="BT2">
        <f>SUMIFS(科目表[単位数],科目表[修得状況],"e",科目表[専攻科目＋関連科目],"○")</f>
        <v>117</v>
      </c>
      <c r="BU2">
        <v>62</v>
      </c>
      <c r="BV2" t="s">
        <v>32</v>
      </c>
      <c r="BW2">
        <f>SUMIFS(科目表[単位数],科目表[修得状況],"e",科目表[専攻科目＋関連科目],"○")</f>
        <v>117</v>
      </c>
      <c r="BX2">
        <v>62</v>
      </c>
      <c r="BY2" t="s">
        <v>32</v>
      </c>
      <c r="BZ2" s="64">
        <f>SUMIFS(科目表[単位数],科目表[修得状況],"e",科目表[専攻科目＋関連科目],"○")</f>
        <v>117</v>
      </c>
      <c r="CA2">
        <v>62</v>
      </c>
      <c r="CB2" t="s">
        <v>32</v>
      </c>
      <c r="CC2">
        <f>SUMIFS(科目表[単位数],科目表[修得状況],"e",科目表[専攻科目＋関連科目],"○")</f>
        <v>117</v>
      </c>
      <c r="CD2">
        <v>62</v>
      </c>
      <c r="CE2" t="s">
        <v>32</v>
      </c>
      <c r="CF2">
        <f>SUMIFS(科目表[単位数],科目表[修得状況],"e",科目表[専攻科目＋関連科目],"○")</f>
        <v>117</v>
      </c>
      <c r="CG2">
        <v>62</v>
      </c>
      <c r="CH2" t="s">
        <v>32</v>
      </c>
      <c r="CI2">
        <f>SUMIFS(科目表[単位数],科目表[修得状況],"e",科目表[専攻科目＋関連科目],"○")</f>
        <v>117</v>
      </c>
      <c r="CJ2">
        <v>62</v>
      </c>
    </row>
    <row r="3" spans="1:88" ht="18" hidden="1">
      <c r="AB3" t="s">
        <v>68</v>
      </c>
      <c r="AC3" t="s">
        <v>33</v>
      </c>
      <c r="AD3">
        <f>SUMIFS(科目表[単位数],科目表[修得状況],"e",科目表[摘要],"専門")</f>
        <v>0</v>
      </c>
      <c r="AE3">
        <v>40</v>
      </c>
      <c r="AF3" t="s">
        <v>33</v>
      </c>
      <c r="AG3">
        <f>SUMIFS(科目表[単位数],科目表[修得状況],"e",科目表[摘要],"専門")</f>
        <v>0</v>
      </c>
      <c r="AH3">
        <v>40</v>
      </c>
      <c r="AI3" t="s">
        <v>33</v>
      </c>
      <c r="AJ3">
        <f>SUMIFS(科目表[単位数],科目表[修得状況],"e",科目表[摘要],"専門")</f>
        <v>0</v>
      </c>
      <c r="AK3">
        <v>40</v>
      </c>
      <c r="AL3" t="s">
        <v>33</v>
      </c>
      <c r="AM3">
        <f>SUMIFS(科目表[単位数],科目表[修得状況],"e",科目表[摘要],"A")+SUMIFS(科目表[単位数],科目表[修得状況],"e",科目表[摘要],"B")</f>
        <v>88</v>
      </c>
      <c r="AN3">
        <v>40</v>
      </c>
      <c r="AO3" t="s">
        <v>33</v>
      </c>
      <c r="AP3">
        <f>SUMIFS(科目表[単位数],科目表[修得状況],"e",科目表[摘要],"A")+SUMIFS(科目表[単位数],科目表[修得状況],"e",科目表[摘要],"B")</f>
        <v>88</v>
      </c>
      <c r="AQ3">
        <v>40</v>
      </c>
      <c r="AR3" t="s">
        <v>33</v>
      </c>
      <c r="AS3">
        <f>SUMIFS(科目表[単位数],科目表[修得状況],"e",科目表[摘要],"A")+SUMIFS(科目表[単位数],科目表[修得状況],"e",科目表[摘要],"B")</f>
        <v>88</v>
      </c>
      <c r="AT3">
        <v>40</v>
      </c>
      <c r="AU3" t="s">
        <v>33</v>
      </c>
      <c r="AV3">
        <f>SUMIFS(科目表[単位数],科目表[修得状況],"e",科目表[摘要],"A")+SUMIFS(科目表[単位数],科目表[修得状況],"e",科目表[摘要],"B")</f>
        <v>88</v>
      </c>
      <c r="AW3">
        <v>40</v>
      </c>
      <c r="AX3" t="s">
        <v>33</v>
      </c>
      <c r="AY3">
        <f>SUMIFS(科目表[単位数],科目表[修得状況],"e",科目表[摘要],"A")+SUMIFS(科目表[単位数],科目表[修得状況],"e",科目表[摘要],"B")</f>
        <v>88</v>
      </c>
      <c r="AZ3">
        <v>40</v>
      </c>
      <c r="BA3" t="s">
        <v>33</v>
      </c>
      <c r="BB3">
        <f>SUMIFS(科目表[単位数],科目表[修得状況],"e",科目表[摘要],"A")+SUMIFS(科目表[単位数],科目表[修得状況],"e",科目表[摘要],"B")</f>
        <v>88</v>
      </c>
      <c r="BC3">
        <v>40</v>
      </c>
      <c r="BD3" t="s">
        <v>33</v>
      </c>
      <c r="BE3">
        <f>SUMIFS(科目表[単位数],科目表[修得状況],"e",科目表[摘要],"A")+SUMIFS(科目表[単位数],科目表[修得状況],"e",科目表[摘要],"B")</f>
        <v>88</v>
      </c>
      <c r="BF3">
        <v>40</v>
      </c>
      <c r="BG3" t="s">
        <v>33</v>
      </c>
      <c r="BH3">
        <f>SUMIFS(科目表[単位数],科目表[修得状況],"e",科目表[摘要],"A-1")+SUMIFS(科目表[単位数],科目表[修得状況],"e",科目表[摘要],"A-2")+SUMIFS(科目表[単位数],科目表[修得状況],"e",科目表[摘要],"B")</f>
        <v>33</v>
      </c>
      <c r="BI3">
        <v>40</v>
      </c>
      <c r="BJ3" t="s">
        <v>33</v>
      </c>
      <c r="BK3">
        <f>SUMIFS(科目表[単位数],科目表[修得状況],"e",科目表[摘要],"A-1")+SUMIFS(科目表[単位数],科目表[修得状況],"e",科目表[摘要],"A-2")+SUMIFS(科目表[単位数],科目表[修得状況],"e",科目表[摘要],"B")</f>
        <v>33</v>
      </c>
      <c r="BL3">
        <v>40</v>
      </c>
      <c r="BM3" t="s">
        <v>33</v>
      </c>
      <c r="BN3">
        <f>SUMIFS(科目表[単位数],科目表[修得状況],"e",科目表[摘要],"A")+SUMIFS(科目表[単位数],科目表[修得状況],"e",科目表[摘要],"B")</f>
        <v>88</v>
      </c>
      <c r="BO3">
        <v>40</v>
      </c>
      <c r="BP3" t="s">
        <v>33</v>
      </c>
      <c r="BQ3">
        <f>SUMIFS(科目表[単位数],科目表[修得状況],"e",科目表[摘要],"A")+SUMIFS(科目表[単位数],科目表[修得状況],"e",科目表[摘要],"B")</f>
        <v>88</v>
      </c>
      <c r="BR3">
        <v>40</v>
      </c>
      <c r="BS3" t="s">
        <v>33</v>
      </c>
      <c r="BT3">
        <f>SUMIFS(科目表[単位数],科目表[修得状況],"e",科目表[摘要],"A")+SUMIFS(科目表[単位数],科目表[修得状況],"e",科目表[摘要],"B")</f>
        <v>88</v>
      </c>
      <c r="BU3">
        <v>48</v>
      </c>
      <c r="BV3" t="s">
        <v>34</v>
      </c>
      <c r="BW3">
        <f>SUMIFS(科目表[単位数],科目表[修得状況],"e",科目表[摘要],"A")</f>
        <v>55</v>
      </c>
      <c r="BX3">
        <v>30</v>
      </c>
      <c r="BY3" t="s">
        <v>33</v>
      </c>
      <c r="BZ3" s="64">
        <f>SUMIFS(科目表[単位数],科目表[修得状況],"e",科目表[摘要],"A")+SUMIFS(科目表[単位数],科目表[修得状況],"e",科目表[摘要],"B")</f>
        <v>88</v>
      </c>
      <c r="CA3">
        <v>40</v>
      </c>
      <c r="CB3" t="s">
        <v>33</v>
      </c>
      <c r="CC3">
        <f>SUMIFS(科目表[単位数],科目表[修得状況],"e",科目表[摘要],"A-1")+SUMIFS(科目表[単位数],科目表[修得状況],"e",科目表[摘要],"A-2")+SUMIFS(科目表[単位数],科目表[修得状況],"e",科目表[摘要],"B")</f>
        <v>33</v>
      </c>
      <c r="CD3">
        <v>40</v>
      </c>
      <c r="CE3" t="s">
        <v>33</v>
      </c>
      <c r="CF3">
        <f>SUMIFS(科目表[単位数],科目表[修得状況],"e",科目表[摘要],"専門")</f>
        <v>0</v>
      </c>
      <c r="CG3">
        <v>40</v>
      </c>
      <c r="CH3" t="s">
        <v>33</v>
      </c>
      <c r="CI3">
        <f>SUMIFS(科目表[単位数],科目表[修得状況],"e",科目表[摘要],"専門")</f>
        <v>0</v>
      </c>
      <c r="CJ3">
        <v>40</v>
      </c>
    </row>
    <row r="4" spans="1:88" ht="18" hidden="1">
      <c r="AB4" t="s">
        <v>69</v>
      </c>
      <c r="AC4" t="s">
        <v>139</v>
      </c>
      <c r="AD4">
        <f>IF(ROUND(SUMIF(科目表[修得状況],"e",科目表[専門科目種別カウント用]),0)-ABS(SUMIF(科目表[修得状況],"e",科目表[専門科目種別カウント用]))&lt;0.0001,ROUND(SUMIF(科目表[修得状況],"e",科目表[専門科目種別カウント用]),0), ABS(SUMIF(科目表[修得状況],"e",科目表[専門科目種別カウント用])))</f>
        <v>0</v>
      </c>
      <c r="AE4">
        <v>4</v>
      </c>
      <c r="AF4" t="s">
        <v>139</v>
      </c>
      <c r="AG4">
        <f>IF(ROUND(SUMIF(科目表[修得状況],"e",科目表[専門科目種別カウント用]),0)-ABS(SUMIF(科目表[修得状況],"e",科目表[専門科目種別カウント用]))&lt;0.0001,ROUND(SUMIF(科目表[修得状況],"e",科目表[専門科目種別カウント用]),0), ABS(SUMIF(科目表[修得状況],"e",科目表[専門科目種別カウント用])))</f>
        <v>0</v>
      </c>
      <c r="AH4">
        <v>2</v>
      </c>
      <c r="AI4" t="s">
        <v>139</v>
      </c>
      <c r="AJ4">
        <f>IF(ROUND(SUMIF(科目表[修得状況],"e",科目表[専門科目種別カウント用]),0)-ABS(SUMIF(科目表[修得状況],"e",科目表[専門科目種別カウント用]))&lt;0.0001,ROUND(SUMIF(科目表[修得状況],"e",科目表[専門科目種別カウント用]),0), ABS(SUMIF(科目表[修得状況],"e",科目表[専門科目種別カウント用])))</f>
        <v>0</v>
      </c>
      <c r="AK4">
        <v>4</v>
      </c>
      <c r="AL4" t="s">
        <v>34</v>
      </c>
      <c r="AM4">
        <f>SUMIFS(科目表[単位数],科目表[修得状況],"e",科目表[摘要],"A")</f>
        <v>55</v>
      </c>
      <c r="AN4">
        <v>16</v>
      </c>
      <c r="AO4" t="s">
        <v>34</v>
      </c>
      <c r="AP4">
        <f>SUMIFS(科目表[単位数],科目表[修得状況],"e",科目表[摘要],"A")</f>
        <v>55</v>
      </c>
      <c r="AQ4">
        <v>36</v>
      </c>
      <c r="AR4" t="s">
        <v>34</v>
      </c>
      <c r="AS4">
        <f>SUMIFS(科目表[単位数],科目表[修得状況],"e",科目表[摘要],"A")</f>
        <v>55</v>
      </c>
      <c r="AT4">
        <v>16</v>
      </c>
      <c r="AU4" t="s">
        <v>34</v>
      </c>
      <c r="AV4">
        <f>SUMIFS(科目表[単位数],科目表[修得状況],"e",科目表[摘要],"A")</f>
        <v>55</v>
      </c>
      <c r="AW4">
        <v>28</v>
      </c>
      <c r="AX4" t="s">
        <v>34</v>
      </c>
      <c r="AY4">
        <f>SUMIFS(科目表[単位数],科目表[修得状況],"e",科目表[摘要],"A")</f>
        <v>55</v>
      </c>
      <c r="AZ4">
        <v>30</v>
      </c>
      <c r="BA4" t="s">
        <v>34</v>
      </c>
      <c r="BB4">
        <f>SUMIFS(科目表[単位数],科目表[修得状況],"e",科目表[摘要],"A")</f>
        <v>55</v>
      </c>
      <c r="BC4">
        <v>30</v>
      </c>
      <c r="BD4" t="s">
        <v>34</v>
      </c>
      <c r="BE4">
        <f>SUMIFS(科目表[単位数],科目表[修得状況],"e",科目表[摘要],"A")</f>
        <v>55</v>
      </c>
      <c r="BF4">
        <v>30</v>
      </c>
      <c r="BG4" t="s">
        <v>146</v>
      </c>
      <c r="BH4">
        <f>SUMIFS(科目表[単位数],科目表[修得状況],"e",科目表[摘要],"A-1")</f>
        <v>0</v>
      </c>
      <c r="BI4">
        <v>20</v>
      </c>
      <c r="BJ4" t="s">
        <v>146</v>
      </c>
      <c r="BK4">
        <f>SUMIFS(科目表[単位数],科目表[修得状況],"e",科目表[摘要],"A-1")</f>
        <v>0</v>
      </c>
      <c r="BL4">
        <v>20</v>
      </c>
      <c r="BM4" t="s">
        <v>34</v>
      </c>
      <c r="BN4">
        <f>SUMIFS(科目表[単位数],科目表[修得状況],"e",科目表[摘要],"A")</f>
        <v>55</v>
      </c>
      <c r="BO4">
        <v>30</v>
      </c>
      <c r="BP4" t="s">
        <v>34</v>
      </c>
      <c r="BQ4">
        <f>SUMIFS(科目表[単位数],科目表[修得状況],"e",科目表[摘要],"A")-SUM(土木工学用[単位数])</f>
        <v>55</v>
      </c>
      <c r="BR4">
        <v>30</v>
      </c>
      <c r="BS4" t="s">
        <v>34</v>
      </c>
      <c r="BT4">
        <f>SUMIFS(科目表[単位数],科目表[修得状況],"e",科目表[摘要],"A")</f>
        <v>55</v>
      </c>
      <c r="BU4">
        <v>30</v>
      </c>
      <c r="BV4" t="s">
        <v>35</v>
      </c>
      <c r="BW4" t="str">
        <f>IF(COUNTIFS(科目表[摘要の種類],"応用数理・システムと情報に関する科目",科目表[修得状況],"e")&gt;0,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,"応用数理・システムと情報に関する科目が含まれていない")</f>
        <v>応用数理・システムと情報に関する科目が含まれていない</v>
      </c>
      <c r="BX4">
        <v>2</v>
      </c>
      <c r="BY4" t="s">
        <v>34</v>
      </c>
      <c r="BZ4" s="64">
        <f>SUMIFS(科目表[単位数],科目表[修得状況],"e",科目表[摘要],"A")</f>
        <v>55</v>
      </c>
      <c r="CA4">
        <v>30</v>
      </c>
      <c r="CB4" t="s">
        <v>146</v>
      </c>
      <c r="CC4">
        <f>SUMIFS(科目表[単位数],科目表[修得状況],"e",科目表[摘要],"A-1")</f>
        <v>0</v>
      </c>
      <c r="CD4">
        <v>6</v>
      </c>
      <c r="CE4" t="s">
        <v>172</v>
      </c>
      <c r="CF4">
        <f>IF(ROUND(SUMIF(科目表[修得状況],"e",科目表[専門科目種別カウント用]),0)-ABS(SUMIF(科目表[修得状況],"e",科目表[専門科目種別カウント用]))&lt;0.0001,ROUND(SUMIF(科目表[修得状況],"e",科目表[専門科目種別カウント用]),0), ABS(SUMIF(科目表[修得状況],"e",科目表[専門科目種別カウント用])))</f>
        <v>0</v>
      </c>
      <c r="CG4">
        <v>3</v>
      </c>
      <c r="CH4" t="s">
        <v>172</v>
      </c>
      <c r="CI4">
        <f>IF(ROUND(SUMIF(科目表[修得状況],"e",科目表[専門科目種別カウント用]),0)-ABS(SUMIF(科目表[修得状況],"e",科目表[専門科目種別カウント用]))&lt;0.0001,ROUND(SUMIF(科目表[修得状況],"e",科目表[専門科目種別カウント用]),0), ABS(SUMIF(科目表[修得状況],"e",科目表[専門科目種別カウント用])))</f>
        <v>0</v>
      </c>
      <c r="CJ4">
        <v>2</v>
      </c>
    </row>
    <row r="5" spans="1:88" ht="18" hidden="1">
      <c r="AB5" t="s">
        <v>70</v>
      </c>
      <c r="AC5" t="s">
        <v>140</v>
      </c>
      <c r="AD5">
        <f>SUMIFS(科目表[単位数],科目表[修得状況],"e",科目表[摘要],"関連")</f>
        <v>29</v>
      </c>
      <c r="AE5">
        <v>4</v>
      </c>
      <c r="AF5" t="s">
        <v>140</v>
      </c>
      <c r="AG5">
        <f>SUMIFS(科目表[単位数],科目表[修得状況],"e",科目表[摘要],"関連")</f>
        <v>29</v>
      </c>
      <c r="AH5">
        <v>4</v>
      </c>
      <c r="AI5" t="s">
        <v>140</v>
      </c>
      <c r="AJ5">
        <f>SUMIFS(科目表[単位数],科目表[修得状況],"e",科目表[摘要],"関連")</f>
        <v>29</v>
      </c>
      <c r="AK5">
        <v>4</v>
      </c>
      <c r="AL5" t="s">
        <v>142</v>
      </c>
      <c r="AM5">
        <f>IF(SUMIFS(科目表[単位数],科目表[修得状況],"e",科目表[摘要の種類],"基礎看護学に関する科目")&gt;0,1,0)+IF(SUMIFS(科目表[単位数],科目表[修得状況],"e",科目表[摘要の種類],"母性看護学に関する科目")&gt;0,1,0)+IF(SUMIFS(科目表[単位数],科目表[修得状況],"e",科目表[摘要の種類],"小児看護学に関する科目")&gt;0,1,0)+IF(SUMIFS(科目表[単位数],科目表[修得状況],"e",科目表[摘要の種類],"成人看護学に関する科目")&gt;0,1,0)</f>
        <v>0</v>
      </c>
      <c r="AN5">
        <v>4</v>
      </c>
      <c r="AO5" t="s">
        <v>35</v>
      </c>
      <c r="AP5">
        <f>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</f>
        <v>4</v>
      </c>
      <c r="AQ5">
        <v>4</v>
      </c>
      <c r="AR5" t="s">
        <v>142</v>
      </c>
      <c r="AS5" t="str">
        <f>IF(AND(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&gt;=5,COUNTIF(科目表[摘要の種類],"口腔保健衛生学概論に関する科目")&gt;0),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,IF(AND(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&gt;=5,COUNTIF(科目表[摘要の種類],"口腔保健衛生学概論に関する科目")=0),"必要区分なし","区分数がたりない"))</f>
        <v>区分数がたりない</v>
      </c>
      <c r="AT5">
        <v>5</v>
      </c>
      <c r="AU5" t="s">
        <v>36</v>
      </c>
      <c r="AV5">
        <f>SUMIFS(科目表[単位数],科目表[修得状況],"e",科目表[摘要],"B")</f>
        <v>33</v>
      </c>
      <c r="AW5">
        <v>6</v>
      </c>
      <c r="AX5" t="s">
        <v>35</v>
      </c>
      <c r="AY5">
        <f>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</f>
        <v>4</v>
      </c>
      <c r="AZ5">
        <v>4</v>
      </c>
      <c r="BA5" t="s">
        <v>145</v>
      </c>
      <c r="BB5">
        <f>SUMIFS(科目表[単位数],科目表[修得状況],"e",科目表[摘要の種類],"電気電子工学の基礎となる科目")</f>
        <v>0</v>
      </c>
      <c r="BC5">
        <v>4</v>
      </c>
      <c r="BD5" t="s">
        <v>145</v>
      </c>
      <c r="BE5">
        <f>IF(SUMIFS(科目表[単位数],科目表[修得状況],"e",科目表[摘要の種類],"情報工学の基盤となる科目")&gt;=4,1,0)+IF(SUMIFS(科目表[単位数],科目表[修得状況],"e",科目表[摘要の種類],"計算機システムに関する科目")&gt;=4,1,0)+IF(SUMIFS(科目表[単位数],科目表[修得状況],"e",科目表[摘要の種類],"情報処理に関する科目")&gt;=4,1,0)</f>
        <v>3</v>
      </c>
      <c r="BF5">
        <v>3</v>
      </c>
      <c r="BG5" t="s">
        <v>147</v>
      </c>
      <c r="BH5">
        <f>IF(ROUND(SUMIF(科目表[修得状況],"e",科目表[摘要の種類A-1群カウント用]),0)-ABS(SUMIF(科目表[修得状況],"e",科目表[摘要の種類A-1群カウント用]))&lt;0.0001, ROUND(SUMIF(科目表[修得状況],"e",科目表[摘要の種類A-1群カウント用]),0), ABS(SUMIF(科目表[修得状況],"e",科目表[摘要の種類A-1群カウント用])))</f>
        <v>0</v>
      </c>
      <c r="BI5">
        <v>4</v>
      </c>
      <c r="BJ5" t="s">
        <v>147</v>
      </c>
      <c r="BK5">
        <f>IF(ROUND(SUMIF(科目表[修得状況],"e",科目表[摘要の種類A-1群カウント用]),0)-ABS(SUMIF(科目表[修得状況],"e",科目表[摘要の種類A-1群カウント用]))&lt;0.0001, ROUND(SUMIF(科目表[修得状況],"e",科目表[摘要の種類A-1群カウント用]),0), ABS(SUMIF(科目表[修得状況],"e",科目表[摘要の種類A-1群カウント用])))</f>
        <v>0</v>
      </c>
      <c r="BL5">
        <v>3</v>
      </c>
      <c r="BM5" t="s">
        <v>35</v>
      </c>
      <c r="BN5">
        <f>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</f>
        <v>4</v>
      </c>
      <c r="BO5">
        <v>5</v>
      </c>
      <c r="BP5" t="s">
        <v>35</v>
      </c>
      <c r="BQ5">
        <f>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-IF(AND(SUMIFS(科目表[単位数],科目表[摘要の種類],"都市・景観に関する科目",科目表[修得状況],"e")&lt;&gt;0,SUMIFS(土木工学用[単位数],土木工学用[摘要の種類],"都市・景観に関する科目")=SUMIFS(科目表[単位数],科目表[摘要の種類],"都市・景観に関する科目",科目表[修得状況],"e")),1,0)</f>
        <v>4</v>
      </c>
      <c r="BR5">
        <v>3</v>
      </c>
      <c r="BS5" t="s">
        <v>165</v>
      </c>
      <c r="BT5">
        <f>SUMIFS(科目表[単位数],科目表[修得状況],"e",科目表[摘要の種類],"建築構造に関する科目")</f>
        <v>0</v>
      </c>
      <c r="BU5">
        <v>8</v>
      </c>
      <c r="BV5" t="s">
        <v>169</v>
      </c>
      <c r="BW5">
        <f>SUMIFS(科目表[単位数],科目表[修得状況],"e",科目表[摘要],"B-1")</f>
        <v>0</v>
      </c>
      <c r="BX5">
        <v>4</v>
      </c>
      <c r="BY5" t="s">
        <v>35</v>
      </c>
      <c r="BZ5" s="64">
        <f>IF(ROUND(SUMIF(科目表[修得状況],"e",科目表[摘要の種類A群カウント用]),0)-ABS(SUMIF(科目表[修得状況],"e",科目表[摘要の種類A群カウント用]))&lt;0.0001,ROUND(SUMIF(科目表[修得状況],"e",科目表[摘要の種類A群カウント用]),0),ABS(SUMIF(科目表[修得状況],"e",科目表[摘要の種類A群カウント用])))</f>
        <v>4</v>
      </c>
      <c r="CA5">
        <v>2</v>
      </c>
      <c r="CB5" t="s">
        <v>148</v>
      </c>
      <c r="CC5">
        <f>SUMIFS(科目表[単位数],科目表[修得状況],"e",科目表[摘要],"A-2")</f>
        <v>0</v>
      </c>
      <c r="CD5">
        <v>18</v>
      </c>
      <c r="CE5" t="s">
        <v>173</v>
      </c>
      <c r="CF5">
        <f>SUMIFS(科目表[単位数],科目表[修得状況],"e",科目表[摘要の種類],"演奏に関する科目")</f>
        <v>0</v>
      </c>
      <c r="CG5">
        <v>4</v>
      </c>
      <c r="CH5" t="s">
        <v>174</v>
      </c>
      <c r="CI5">
        <f>SUMIFS(科目表[単位数],科目表[修得状況],"e",科目表[摘要],"関連")</f>
        <v>29</v>
      </c>
      <c r="CJ5">
        <v>4</v>
      </c>
    </row>
    <row r="6" spans="1:88" ht="18" hidden="1">
      <c r="AB6" t="s">
        <v>71</v>
      </c>
      <c r="AC6"/>
      <c r="AD6"/>
      <c r="AE6"/>
      <c r="AF6"/>
      <c r="AG6"/>
      <c r="AH6"/>
      <c r="AI6"/>
      <c r="AJ6"/>
      <c r="AK6"/>
      <c r="AL6" t="s">
        <v>36</v>
      </c>
      <c r="AM6">
        <f>SUMIFS(科目表[単位数],科目表[修得状況],"e",科目表[摘要],"B")</f>
        <v>33</v>
      </c>
      <c r="AN6">
        <v>16</v>
      </c>
      <c r="AO6" t="s">
        <v>37</v>
      </c>
      <c r="AP6">
        <f>SUMIFS(科目表[単位数],科目表[修得状況],"e",科目表[摘要],"関連")</f>
        <v>29</v>
      </c>
      <c r="AQ6">
        <v>4</v>
      </c>
      <c r="AR6" t="s">
        <v>36</v>
      </c>
      <c r="AS6">
        <f>SUMIFS(科目表[単位数],科目表[修得状況],"e",科目表[摘要],"B")</f>
        <v>33</v>
      </c>
      <c r="AT6">
        <v>16</v>
      </c>
      <c r="AU6" t="s">
        <v>138</v>
      </c>
      <c r="AV6">
        <f>SUMIFS(科目表[単位数],科目表[修得状況],"e",科目表[摘要],"関連")</f>
        <v>29</v>
      </c>
      <c r="AW6">
        <v>4</v>
      </c>
      <c r="AX6" t="s">
        <v>36</v>
      </c>
      <c r="AY6">
        <f>SUMIFS(科目表[単位数],科目表[修得状況],"e",科目表[摘要],"B")</f>
        <v>33</v>
      </c>
      <c r="AZ6">
        <v>6</v>
      </c>
      <c r="BA6" t="s">
        <v>36</v>
      </c>
      <c r="BB6">
        <f>SUMIFS(科目表[単位数],科目表[修得状況],"e",科目表[摘要],"B")</f>
        <v>33</v>
      </c>
      <c r="BC6">
        <v>6</v>
      </c>
      <c r="BD6" t="s">
        <v>36</v>
      </c>
      <c r="BE6">
        <f>SUMIFS(科目表[単位数],科目表[修得状況],"e",科目表[摘要],"B")</f>
        <v>33</v>
      </c>
      <c r="BF6">
        <v>6</v>
      </c>
      <c r="BG6" t="s">
        <v>148</v>
      </c>
      <c r="BH6">
        <f>SUMIFS(科目表[単位数],科目表[修得状況],"e",科目表[摘要],"A-2")</f>
        <v>0</v>
      </c>
      <c r="BI6">
        <v>10</v>
      </c>
      <c r="BJ6" t="s">
        <v>148</v>
      </c>
      <c r="BK6">
        <f>SUMIFS(科目表[単位数],科目表[修得状況],"e",科目表[摘要],"A-2")</f>
        <v>0</v>
      </c>
      <c r="BL6">
        <v>10</v>
      </c>
      <c r="BM6" t="s">
        <v>36</v>
      </c>
      <c r="BN6">
        <f>SUMIFS(科目表[単位数],科目表[修得状況],"e",科目表[摘要],"B")</f>
        <v>33</v>
      </c>
      <c r="BO6">
        <v>6</v>
      </c>
      <c r="BP6" t="s">
        <v>36</v>
      </c>
      <c r="BQ6">
        <f>SUMIFS(科目表[単位数],科目表[修得状況],"e",科目表[摘要],"B")+SUM(土木工学用[単位数])</f>
        <v>33</v>
      </c>
      <c r="BR6">
        <v>6</v>
      </c>
      <c r="BS6" t="s">
        <v>166</v>
      </c>
      <c r="BT6">
        <f>SUMIFS(科目表[単位数],科目表[修得状況],"e",科目表[摘要の種類],"建築構法・材料・施工に関する科目")</f>
        <v>0</v>
      </c>
      <c r="BU6">
        <v>4</v>
      </c>
      <c r="BV6" t="s">
        <v>170</v>
      </c>
      <c r="BW6">
        <f>SUMIFS(科目表[単位数],科目表[修得状況],"e",科目表[摘要],"B-2")</f>
        <v>0</v>
      </c>
      <c r="BX6">
        <v>4</v>
      </c>
      <c r="BY6" t="s">
        <v>36</v>
      </c>
      <c r="BZ6" s="64">
        <f>SUMIFS(科目表[単位数],科目表[修得状況],"e",科目表[摘要],"B")</f>
        <v>33</v>
      </c>
      <c r="CA6">
        <v>6</v>
      </c>
      <c r="CB6" t="s">
        <v>36</v>
      </c>
      <c r="CC6">
        <f>SUMIFS(科目表[単位数],科目表[修得状況],"e",科目表[摘要],"B")</f>
        <v>33</v>
      </c>
      <c r="CD6">
        <v>6</v>
      </c>
      <c r="CE6" t="s">
        <v>174</v>
      </c>
      <c r="CF6">
        <f>SUMIFS(科目表[単位数],科目表[修得状況],"e",科目表[摘要],"関連")</f>
        <v>29</v>
      </c>
      <c r="CG6">
        <v>4</v>
      </c>
      <c r="CH6"/>
      <c r="CI6"/>
      <c r="CJ6"/>
    </row>
    <row r="7" spans="1:88" ht="18" hidden="1">
      <c r="AB7" t="s">
        <v>72</v>
      </c>
      <c r="AC7"/>
      <c r="AD7"/>
      <c r="AE7"/>
      <c r="AF7"/>
      <c r="AG7"/>
      <c r="AH7"/>
      <c r="AI7"/>
      <c r="AJ7"/>
      <c r="AK7"/>
      <c r="AL7" t="s">
        <v>37</v>
      </c>
      <c r="AM7">
        <f>SUMIFS(科目表[単位数],科目表[修得状況],"e",科目表[摘要],"関連")</f>
        <v>29</v>
      </c>
      <c r="AN7">
        <v>4</v>
      </c>
      <c r="AO7"/>
      <c r="AP7"/>
      <c r="AQ7"/>
      <c r="AR7" t="s">
        <v>144</v>
      </c>
      <c r="AS7">
        <f>SUMIFS(科目表[単位数],科目表[修得状況],"e",科目表[摘要],"関連")</f>
        <v>29</v>
      </c>
      <c r="AT7">
        <v>4</v>
      </c>
      <c r="AU7"/>
      <c r="AV7"/>
      <c r="AW7"/>
      <c r="AX7" t="s">
        <v>138</v>
      </c>
      <c r="AY7">
        <f>SUMIFS(科目表[単位数],科目表[修得状況],"e",科目表[摘要],"関連")</f>
        <v>29</v>
      </c>
      <c r="AZ7">
        <v>4</v>
      </c>
      <c r="BA7" t="s">
        <v>37</v>
      </c>
      <c r="BB7">
        <f>SUMIFS(科目表[単位数],科目表[修得状況],"e",科目表[摘要],"関連")</f>
        <v>29</v>
      </c>
      <c r="BC7">
        <v>4</v>
      </c>
      <c r="BD7" t="s">
        <v>37</v>
      </c>
      <c r="BE7">
        <f>SUMIFS(科目表[単位数],科目表[修得状況],"e",科目表[摘要],"関連")</f>
        <v>29</v>
      </c>
      <c r="BF7">
        <v>4</v>
      </c>
      <c r="BG7" t="s">
        <v>36</v>
      </c>
      <c r="BH7">
        <f>SUMIFS(科目表[単位数],科目表[修得状況],"e",科目表[摘要],"B")</f>
        <v>33</v>
      </c>
      <c r="BI7">
        <v>6</v>
      </c>
      <c r="BJ7" t="s">
        <v>36</v>
      </c>
      <c r="BK7">
        <f>SUMIFS(科目表[単位数],科目表[修得状況],"e",科目表[摘要],"B")</f>
        <v>33</v>
      </c>
      <c r="BL7">
        <v>6</v>
      </c>
      <c r="BM7" t="s">
        <v>37</v>
      </c>
      <c r="BN7">
        <f>SUMIFS(科目表[単位数],科目表[修得状況],"e",科目表[摘要],"関連")</f>
        <v>29</v>
      </c>
      <c r="BO7">
        <v>4</v>
      </c>
      <c r="BP7" t="s">
        <v>37</v>
      </c>
      <c r="BQ7">
        <f>SUMIFS(科目表[単位数],科目表[修得状況],"e",科目表[摘要],"関連")</f>
        <v>29</v>
      </c>
      <c r="BR7">
        <v>4</v>
      </c>
      <c r="BS7" t="s">
        <v>167</v>
      </c>
      <c r="BT7">
        <f>SUMIFS(科目表[単位数],科目表[修得状況],"e",科目表[摘要の種類],"建築環境工学に関する科目")</f>
        <v>0</v>
      </c>
      <c r="BU7">
        <v>2</v>
      </c>
      <c r="BV7" t="s">
        <v>171</v>
      </c>
      <c r="BW7">
        <f>SUMIFS(科目表[単位数],科目表[修得状況],"e",科目表[摘要],"C")</f>
        <v>0</v>
      </c>
      <c r="BX7">
        <v>6</v>
      </c>
      <c r="BY7" t="s">
        <v>37</v>
      </c>
      <c r="BZ7" s="64">
        <f>SUMIFS(科目表[単位数],科目表[修得状況],"e",科目表[摘要],"関連")</f>
        <v>29</v>
      </c>
      <c r="CA7">
        <v>4</v>
      </c>
      <c r="CB7" t="s">
        <v>149</v>
      </c>
      <c r="CC7">
        <f>SUMIFS(科目表[単位数],科目表[修得状況],"e",科目表[摘要],"関連")</f>
        <v>29</v>
      </c>
      <c r="CD7">
        <v>4</v>
      </c>
      <c r="CE7"/>
      <c r="CF7"/>
      <c r="CG7"/>
      <c r="CH7"/>
      <c r="CI7"/>
      <c r="CJ7"/>
    </row>
    <row r="8" spans="1:88" ht="18" hidden="1">
      <c r="AB8" t="s">
        <v>162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149</v>
      </c>
      <c r="BH8">
        <f>SUMIFS(科目表[単位数],科目表[修得状況],"e",科目表[摘要],"関連")</f>
        <v>29</v>
      </c>
      <c r="BI8">
        <v>4</v>
      </c>
      <c r="BJ8" t="s">
        <v>149</v>
      </c>
      <c r="BK8">
        <f>SUMIFS(科目表[単位数],科目表[修得状況],"e",科目表[摘要],"関連")</f>
        <v>29</v>
      </c>
      <c r="BL8">
        <v>4</v>
      </c>
      <c r="BM8"/>
      <c r="BN8"/>
      <c r="BO8"/>
      <c r="BP8"/>
      <c r="BQ8"/>
      <c r="BR8"/>
      <c r="BS8" t="s">
        <v>168</v>
      </c>
      <c r="BT8">
        <f>SUMIFS(科目表[単位数],科目表[修得状況],"e",科目表[摘要の種類],"建築計画に関する科目")</f>
        <v>0</v>
      </c>
      <c r="BU8">
        <v>4</v>
      </c>
      <c r="BV8" t="s">
        <v>37</v>
      </c>
      <c r="BW8">
        <f>SUMIFS(科目表[単位数],科目表[修得状況],"e",科目表[摘要],"関連")</f>
        <v>29</v>
      </c>
      <c r="BX8">
        <v>4</v>
      </c>
      <c r="BY8"/>
      <c r="BZ8"/>
      <c r="CA8"/>
      <c r="CB8"/>
      <c r="CC8"/>
      <c r="CD8"/>
      <c r="CE8"/>
      <c r="CF8"/>
      <c r="CG8"/>
      <c r="CH8"/>
      <c r="CI8"/>
      <c r="CJ8"/>
    </row>
    <row r="9" spans="1:88" ht="18" hidden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6"/>
      <c r="Q9" s="66"/>
      <c r="R9" s="66"/>
      <c r="S9" s="66"/>
      <c r="T9" s="66"/>
      <c r="U9" s="66"/>
      <c r="V9" s="67"/>
      <c r="W9" s="67"/>
      <c r="AB9" t="s">
        <v>163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s">
        <v>164</v>
      </c>
      <c r="BT9">
        <f>SUMIFS(科目表[単位数],科目表[修得状況],"e",科目表[摘要],"B")</f>
        <v>33</v>
      </c>
      <c r="BU9">
        <v>10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</row>
    <row r="10" spans="1:88" ht="15" hidden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6"/>
      <c r="Q10" s="66"/>
      <c r="R10" s="66"/>
      <c r="S10" s="66"/>
      <c r="T10" s="66"/>
      <c r="U10" s="66"/>
      <c r="V10" s="67"/>
      <c r="W10" s="67"/>
    </row>
    <row r="11" spans="1:88" ht="19" thickBot="1">
      <c r="A11" s="199" t="s">
        <v>203</v>
      </c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</row>
    <row r="12" spans="1:88" ht="19" thickBo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8" t="s">
        <v>105</v>
      </c>
      <c r="N12" s="65"/>
      <c r="O12" s="65"/>
      <c r="P12" s="66"/>
      <c r="Q12" s="66"/>
      <c r="R12" s="66"/>
      <c r="S12" s="66"/>
      <c r="T12" s="66"/>
      <c r="U12" s="66"/>
      <c r="V12" s="67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64"/>
      <c r="BX12"/>
      <c r="BY12"/>
      <c r="BZ12"/>
      <c r="CA12"/>
      <c r="CB12"/>
      <c r="CC12"/>
      <c r="CD12"/>
      <c r="CE12"/>
      <c r="CF12"/>
      <c r="CG12"/>
    </row>
    <row r="13" spans="1:88" ht="19" thickBot="1"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200" t="str">
        <f>IF(AND(P26="○",U26="○"),"満たす","満たさない")</f>
        <v>満たす</v>
      </c>
      <c r="N13" s="69"/>
      <c r="O13" s="69"/>
      <c r="P13" s="69"/>
      <c r="Q13" s="69"/>
      <c r="R13" s="69"/>
      <c r="S13" s="69"/>
      <c r="T13" s="69"/>
      <c r="U13" s="69"/>
      <c r="V13" s="69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64"/>
      <c r="BX13"/>
      <c r="BY13"/>
      <c r="BZ13"/>
      <c r="CA13"/>
      <c r="CB13"/>
      <c r="CC13"/>
      <c r="CD13"/>
      <c r="CE13"/>
      <c r="CF13"/>
      <c r="CG13"/>
    </row>
    <row r="14" spans="1:88" ht="19" thickBot="1">
      <c r="M14" s="200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64"/>
      <c r="BX14"/>
      <c r="BY14"/>
      <c r="BZ14"/>
      <c r="CA14"/>
      <c r="CB14"/>
      <c r="CC14"/>
      <c r="CD14"/>
      <c r="CE14"/>
      <c r="CF14"/>
      <c r="CG14"/>
    </row>
    <row r="15" spans="1:88" ht="19.5" customHeight="1">
      <c r="C15" s="173" t="s">
        <v>30</v>
      </c>
      <c r="D15" s="174"/>
      <c r="E15" s="189" t="s">
        <v>204</v>
      </c>
      <c r="F15" s="190"/>
      <c r="G15" s="190"/>
      <c r="H15" s="190"/>
      <c r="I15" s="190"/>
      <c r="J15" s="190"/>
      <c r="K15" s="190"/>
      <c r="L15" s="70"/>
      <c r="M15" s="211" t="s">
        <v>38</v>
      </c>
      <c r="N15" s="212"/>
      <c r="O15" s="72" t="s">
        <v>45</v>
      </c>
      <c r="P15" s="73" t="s">
        <v>106</v>
      </c>
      <c r="Q15" s="74" t="s">
        <v>39</v>
      </c>
      <c r="R15" s="75"/>
      <c r="S15" s="76"/>
      <c r="T15" s="72" t="s">
        <v>46</v>
      </c>
      <c r="U15" s="73" t="s">
        <v>106</v>
      </c>
      <c r="V15" s="77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64"/>
      <c r="BX15"/>
      <c r="BY15"/>
      <c r="BZ15"/>
      <c r="CA15"/>
      <c r="CB15"/>
      <c r="CC15"/>
      <c r="CD15"/>
      <c r="CE15"/>
      <c r="CF15"/>
      <c r="CG15"/>
    </row>
    <row r="16" spans="1:88" ht="19.5" customHeight="1">
      <c r="C16" s="201" t="s">
        <v>29</v>
      </c>
      <c r="D16" s="202"/>
      <c r="E16" s="183" t="s">
        <v>205</v>
      </c>
      <c r="F16" s="191"/>
      <c r="G16" s="191"/>
      <c r="H16" s="191"/>
      <c r="I16" s="191"/>
      <c r="J16" s="191"/>
      <c r="K16" s="192"/>
      <c r="L16" s="70"/>
      <c r="M16" s="203" t="s">
        <v>73</v>
      </c>
      <c r="N16" s="205"/>
      <c r="O16" s="213" t="str">
        <f>IF(COUNTIFS(科目表[認定専攻科で修得した全科目],"○",科目表[専攻科で修得した専門科目（総まとめを除く）＋関連科目],"",科目表[専攻科で修得した専門科目（総まとめを含む）],"○",科目表[専攻科目＋関連科目],"○",科目表[専攻科目],"",科目表[修得状況],"e")=1,"○","×")</f>
        <v>○</v>
      </c>
      <c r="P16" s="209" t="str">
        <f>IF(O16="○","○","×")</f>
        <v>○</v>
      </c>
      <c r="Q16" s="207" t="s">
        <v>74</v>
      </c>
      <c r="R16" s="208"/>
      <c r="S16" s="78">
        <f>IF(E20="2年次制",62,31)</f>
        <v>62</v>
      </c>
      <c r="T16" s="79">
        <f>SUMIFS(科目表[単位数],科目表[修得状況],"e",科目表[認定専攻科で修得した全科目],"○")</f>
        <v>63</v>
      </c>
      <c r="U16" s="80" t="str">
        <f t="shared" ref="U16:U21" si="0">IF(S16&lt;=T16,"○","×")</f>
        <v>○</v>
      </c>
      <c r="V16" s="77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64"/>
      <c r="BX16"/>
      <c r="BY16"/>
      <c r="BZ16"/>
      <c r="CA16"/>
      <c r="CB16"/>
      <c r="CC16"/>
      <c r="CD16"/>
      <c r="CE16"/>
      <c r="CF16"/>
      <c r="CG16"/>
    </row>
    <row r="17" spans="2:85" ht="19.5" customHeight="1">
      <c r="C17" s="201" t="s">
        <v>65</v>
      </c>
      <c r="D17" s="202"/>
      <c r="E17" s="193"/>
      <c r="F17" s="194"/>
      <c r="G17" s="194"/>
      <c r="H17" s="194"/>
      <c r="I17" s="194"/>
      <c r="J17" s="194"/>
      <c r="K17" s="195"/>
      <c r="L17" s="81"/>
      <c r="M17" s="204"/>
      <c r="N17" s="206"/>
      <c r="O17" s="214"/>
      <c r="P17" s="210"/>
      <c r="Q17" s="179" t="s">
        <v>40</v>
      </c>
      <c r="R17" s="180"/>
      <c r="S17" s="78">
        <f>IF(E20="2年次制",31,16)</f>
        <v>31</v>
      </c>
      <c r="T17" s="46">
        <f>SUMIFS(科目表[単位数],科目表[修得状況],"e",科目表[専攻科で修得した専門科目（総まとめを含む）],"○")</f>
        <v>36</v>
      </c>
      <c r="U17" s="82" t="str">
        <f t="shared" si="0"/>
        <v>○</v>
      </c>
      <c r="V17" s="7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64"/>
      <c r="BX17"/>
      <c r="BY17"/>
      <c r="BZ17"/>
      <c r="CA17"/>
      <c r="CB17"/>
      <c r="CC17"/>
      <c r="CD17"/>
      <c r="CE17"/>
      <c r="CF17"/>
      <c r="CG17"/>
    </row>
    <row r="18" spans="2:85" ht="19.5" customHeight="1">
      <c r="C18" s="196" t="s">
        <v>191</v>
      </c>
      <c r="D18" s="196"/>
      <c r="E18" s="197"/>
      <c r="F18" s="197"/>
      <c r="G18" s="197"/>
      <c r="H18" s="197"/>
      <c r="I18" s="197"/>
      <c r="J18" s="197"/>
      <c r="K18" s="197"/>
      <c r="L18"/>
      <c r="M18" s="83" t="str" cm="1">
        <f t="array" ref="M18">IF(INDEX(専攻区分と要件7[#All],2,MATCH('3660330cs'!$E$22,専攻区分と要件7[#Headers],0)-2)=0,"*",INDEX(専攻区分と要件7[#All],2,MATCH('3660330cs'!$E$22,専攻区分と要件7[#Headers],0)-2))</f>
        <v>専門＋関連</v>
      </c>
      <c r="N18" s="84">
        <f>IF(INDEX(専攻区分と要件7[#All],2,MATCH('3660330cs'!$E$22,専攻区分と要件7[#Headers],0))=0,"*",INDEX(専攻区分と要件7[#All],2,MATCH('3660330cs'!$E$22,専攻区分と要件7[#Headers],0)))</f>
        <v>62</v>
      </c>
      <c r="O18" s="85" cm="1">
        <f t="array" ref="O18">IF(INDEX(専攻区分と要件7[#All],2,MATCH('3660330cs'!$E$22,専攻区分と要件7[#Headers],0)-1)=0,"*",INDEX(専攻区分と要件7[#All],2,MATCH('3660330cs'!$E$22,専攻区分と要件7[#Headers],0)-1))</f>
        <v>117</v>
      </c>
      <c r="P18" s="82" t="str">
        <f>IF(N18="*","*",IF(AND(N18&lt;&gt;"*",O18="*"),"×",IF(N18&lt;=O18,"○","×")))</f>
        <v>○</v>
      </c>
      <c r="Q18" s="179" t="s">
        <v>41</v>
      </c>
      <c r="R18" s="180"/>
      <c r="S18" s="78">
        <f>IF(E20="2年次制",40,20)</f>
        <v>40</v>
      </c>
      <c r="T18" s="46">
        <f>SUMIFS(科目表[単位数],科目表[修得状況],"e",科目表[専攻科で修得した専門科目（総まとめを除く）＋関連科目],"○")</f>
        <v>49</v>
      </c>
      <c r="U18" s="82" t="str">
        <f t="shared" si="0"/>
        <v>○</v>
      </c>
      <c r="V18" s="77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</row>
    <row r="19" spans="2:85" ht="19.5" customHeight="1">
      <c r="C19" s="61" t="s">
        <v>192</v>
      </c>
      <c r="L19"/>
      <c r="M19" s="83" t="str" cm="1">
        <f t="array" ref="M19">IF(INDEX(専攻区分と要件7[#All],3,MATCH('3660330cs'!$E$22,専攻区分と要件7[#Headers],0)-2)=0,"*",INDEX(専攻区分と要件7[#All],3,MATCH('3660330cs'!$E$22,専攻区分と要件7[#Headers],0)-2))</f>
        <v>専門科目合計</v>
      </c>
      <c r="N19" s="84">
        <f>IF(INDEX(専攻区分と要件7[#All],3,MATCH('3660330cs'!$E$22,専攻区分と要件7[#Headers],0))=0,"*",INDEX(専攻区分と要件7[#All],3,MATCH('3660330cs'!$E$22,専攻区分と要件7[#Headers],0)))</f>
        <v>40</v>
      </c>
      <c r="O19" s="85" cm="1">
        <f t="array" ref="O19">IF(INDEX(専攻区分と要件7[#All],3,MATCH('3660330cs'!$E$22,専攻区分と要件7[#Headers],0)-1)=0,"*",INDEX(専攻区分と要件7[#All],3,MATCH('3660330cs'!$E$22,専攻区分と要件7[#Headers],0)-1))</f>
        <v>88</v>
      </c>
      <c r="P19" s="82" t="str">
        <f>IF(N19="*","*",IF(AND(N19&lt;&gt;"*",O19="*"),"×",IF(N19&lt;=O19,"○","×")))</f>
        <v>○</v>
      </c>
      <c r="Q19" s="179" t="s">
        <v>42</v>
      </c>
      <c r="R19" s="180"/>
      <c r="S19" s="78">
        <v>62</v>
      </c>
      <c r="T19" s="46">
        <f>SUMIFS(科目表[単位数],科目表[修得状況],"e",科目表[専攻科目＋関連科目],"○")</f>
        <v>117</v>
      </c>
      <c r="U19" s="82" t="str">
        <f t="shared" si="0"/>
        <v>○</v>
      </c>
      <c r="V19" s="77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</row>
    <row r="20" spans="2:85" ht="19.5" customHeight="1">
      <c r="C20" s="198" t="s">
        <v>186</v>
      </c>
      <c r="D20" s="198"/>
      <c r="E20" s="198" t="s">
        <v>187</v>
      </c>
      <c r="F20" s="198"/>
      <c r="G20" s="198"/>
      <c r="H20" s="198"/>
      <c r="I20" s="198"/>
      <c r="J20" s="198"/>
      <c r="K20" s="198"/>
      <c r="M20" s="83" t="str" cm="1">
        <f t="array" ref="M20">IF(INDEX(専攻区分と要件7[#All],4,MATCH('3660330cs'!$E$22,専攻区分と要件7[#Headers],0)-2)=0,"*",INDEX(専攻区分と要件7[#All],4,MATCH('3660330cs'!$E$22,専攻区分と要件7[#Headers],0)-2))</f>
        <v>うちA群</v>
      </c>
      <c r="N20" s="84">
        <f>IF(INDEX(専攻区分と要件7[#All],4,MATCH('3660330cs'!$E$22,専攻区分と要件7[#Headers],0))=0,"*",INDEX(専攻区分と要件7[#All],4,MATCH('3660330cs'!$E$22,専攻区分と要件7[#Headers],0)))</f>
        <v>30</v>
      </c>
      <c r="O20" s="85" cm="1">
        <f t="array" ref="O20">IF(INDEX(専攻区分と要件7[#All],4,MATCH('3660330cs'!$E$22,専攻区分と要件7[#Headers],0)-1)=0,"*",INDEX(専攻区分と要件7[#All],4,MATCH('3660330cs'!$E$22,専攻区分と要件7[#Headers],0)-1))</f>
        <v>55</v>
      </c>
      <c r="P20" s="82" t="str">
        <f>IF(N20="*","*",IF(AND(N20&lt;&gt;"*",O20="*"),"×",IF(O20="応用数理・システムと情報に関する科目が含まれていない","×",IF(N20&lt;=O20,"○","×"))))</f>
        <v>○</v>
      </c>
      <c r="Q20" s="179" t="s">
        <v>43</v>
      </c>
      <c r="R20" s="180"/>
      <c r="S20" s="78">
        <v>24</v>
      </c>
      <c r="T20" s="46">
        <f>SUMIFS(科目表[単位数],科目表[修得状況],"e",科目表[専攻科目],"○")</f>
        <v>45</v>
      </c>
      <c r="U20" s="82" t="str">
        <f t="shared" si="0"/>
        <v>○</v>
      </c>
      <c r="V20" s="77"/>
      <c r="W20" s="86"/>
      <c r="X20" s="61"/>
    </row>
    <row r="21" spans="2:85" ht="19.5" customHeight="1" thickBot="1">
      <c r="C21" s="173" t="s">
        <v>28</v>
      </c>
      <c r="D21" s="174"/>
      <c r="E21" s="183" t="s">
        <v>206</v>
      </c>
      <c r="F21" s="184"/>
      <c r="G21" s="184"/>
      <c r="H21" s="184"/>
      <c r="I21" s="184"/>
      <c r="J21" s="184"/>
      <c r="K21" s="185"/>
      <c r="L21" s="70"/>
      <c r="M21" s="83" t="str" cm="1">
        <f t="array" ref="M21">IF(INDEX(専攻区分と要件7[#All],5,MATCH('3660330cs'!$E$22,専攻区分と要件7[#Headers],0)-2)=0,"*",INDEX(専攻区分と要件7[#All],5,MATCH('3660330cs'!$E$22,専攻区分と要件7[#Headers],0)-2))</f>
        <v>　　特定科目</v>
      </c>
      <c r="N21" s="84">
        <f>IF(INDEX(専攻区分と要件7[#All],5,MATCH('3660330cs'!$E$22,専攻区分と要件7[#Headers],0))=0,"*",INDEX(専攻区分と要件7[#All],5,MATCH('3660330cs'!$E$22,専攻区分と要件7[#Headers],0)))</f>
        <v>3</v>
      </c>
      <c r="O21" s="85" cm="1">
        <f t="array" ref="O21">IF(INDEX(専攻区分と要件7[#All],5,MATCH('3660330cs'!$E$22,専攻区分と要件7[#Headers],0)-1)=0,"*",INDEX(専攻区分と要件7[#All],5,MATCH('3660330cs'!$E$22,専攻区分と要件7[#Headers],0)-1))</f>
        <v>3</v>
      </c>
      <c r="P21" s="82" t="str">
        <f>IF(N21="*","*",IF(AND(N21&lt;&gt;"*",O21="*"),"×",IF(LEN(O21)&gt;2,"×",IF(N21&lt;=O21,"○","×"))))</f>
        <v>○</v>
      </c>
      <c r="Q21" s="179" t="s">
        <v>44</v>
      </c>
      <c r="R21" s="180"/>
      <c r="S21" s="78">
        <v>1</v>
      </c>
      <c r="T21" s="46">
        <f>SUMIFS(科目表[単位数],科目表[修得状況],"e",科目表[外国語の科目],"○")</f>
        <v>10</v>
      </c>
      <c r="U21" s="87" t="str">
        <f t="shared" si="0"/>
        <v>○</v>
      </c>
      <c r="V21" s="77"/>
      <c r="W21" s="86"/>
      <c r="X21" s="61"/>
    </row>
    <row r="22" spans="2:85" ht="19.5" customHeight="1">
      <c r="C22" s="173" t="s">
        <v>27</v>
      </c>
      <c r="D22" s="174"/>
      <c r="E22" s="183" t="s">
        <v>207</v>
      </c>
      <c r="F22" s="184"/>
      <c r="G22" s="184"/>
      <c r="H22" s="184"/>
      <c r="I22" s="184"/>
      <c r="J22" s="184"/>
      <c r="K22" s="185"/>
      <c r="L22" s="70"/>
      <c r="M22" s="83" t="str" cm="1">
        <f t="array" ref="M22">IF(INDEX(専攻区分と要件7[#All],6,MATCH('3660330cs'!$E$22,専攻区分と要件7[#Headers],0)-2)=0,"*",INDEX(専攻区分と要件7[#All],6,MATCH('3660330cs'!$E$22,専攻区分と要件7[#Headers],0)-2))</f>
        <v>うちB群</v>
      </c>
      <c r="N22" s="84">
        <f>IF(INDEX(専攻区分と要件7[#All],6,MATCH('3660330cs'!$E$22,専攻区分と要件7[#Headers],0))=0,"*",INDEX(専攻区分と要件7[#All],6,MATCH('3660330cs'!$E$22,専攻区分と要件7[#Headers],0)))</f>
        <v>6</v>
      </c>
      <c r="O22" s="85" cm="1">
        <f t="array" ref="O22">IF(INDEX(専攻区分と要件7[#All],6,MATCH('3660330cs'!$E$22,専攻区分と要件7[#Headers],0)-1)=0,"*",INDEX(専攻区分と要件7[#All],6,MATCH('3660330cs'!$E$22,専攻区分と要件7[#Headers],0)-1))</f>
        <v>33</v>
      </c>
      <c r="P22" s="88" t="str">
        <f>IF(N22="*","*",IF(AND(N22&lt;&gt;"*",O22="*"),"×",IF(N22&lt;=O22,"○","×")))</f>
        <v>○</v>
      </c>
      <c r="Q22" s="181"/>
      <c r="R22" s="182"/>
      <c r="S22" s="89"/>
      <c r="T22" s="90"/>
      <c r="V22" s="86"/>
      <c r="W22" s="86"/>
      <c r="X22" s="61"/>
    </row>
    <row r="23" spans="2:85" ht="19.5" customHeight="1">
      <c r="C23" s="173" t="s">
        <v>26</v>
      </c>
      <c r="D23" s="174"/>
      <c r="E23" s="186">
        <v>5</v>
      </c>
      <c r="F23" s="187"/>
      <c r="G23" s="187"/>
      <c r="H23" s="187"/>
      <c r="I23" s="187"/>
      <c r="J23" s="187"/>
      <c r="K23" s="188"/>
      <c r="L23" s="70"/>
      <c r="M23" s="83" t="str" cm="1">
        <f t="array" ref="M23">IF(INDEX(専攻区分と要件7[#All],7,MATCH('3660330cs'!$E$22,専攻区分と要件7[#Headers],0)-2)=0,"*",INDEX(専攻区分と要件7[#All],7,MATCH('3660330cs'!$E$22,専攻区分と要件7[#Headers],0)-2))</f>
        <v>関連科目</v>
      </c>
      <c r="N23" s="84">
        <f>IF(INDEX(専攻区分と要件7[#All],7,MATCH('3660330cs'!$E$22,専攻区分と要件7[#Headers],0))=0,"*",INDEX(専攻区分と要件7[#All],7,MATCH('3660330cs'!$E$22,専攻区分と要件7[#Headers],0)))</f>
        <v>4</v>
      </c>
      <c r="O23" s="85" cm="1">
        <f t="array" ref="O23">IF(INDEX(専攻区分と要件7[#All],7,MATCH('3660330cs'!$E$22,専攻区分と要件7[#Headers],0)-1)=0,"*",INDEX(専攻区分と要件7[#All],7,MATCH('3660330cs'!$E$22,専攻区分と要件7[#Headers],0)-1))</f>
        <v>29</v>
      </c>
      <c r="P23" s="82" t="str">
        <f>IF(N23="*","*",IF(AND(N23&lt;&gt;"*",O23="*"),"×",IF(N23&lt;=O23,"○","×")))</f>
        <v>○</v>
      </c>
      <c r="X23" s="61"/>
    </row>
    <row r="24" spans="2:85" ht="19.5" customHeight="1">
      <c r="C24" s="91"/>
      <c r="D24" s="92"/>
      <c r="E24" s="93"/>
      <c r="F24" s="94"/>
      <c r="G24" s="94"/>
      <c r="H24" s="94"/>
      <c r="I24" s="94"/>
      <c r="J24" s="94"/>
      <c r="K24" s="94"/>
      <c r="L24"/>
      <c r="M24" s="83" t="str" cm="1">
        <f t="array" ref="M24">IF(INDEX(専攻区分と要件7[#All],8,MATCH('3660330cs'!$E$22,専攻区分と要件7[#Headers],0)-2)=0,"*",INDEX(専攻区分と要件7[#All],8,MATCH('3660330cs'!$E$22,専攻区分と要件7[#Headers],0)-2))</f>
        <v>*</v>
      </c>
      <c r="N24" s="84" t="str">
        <f>IF(INDEX(専攻区分と要件7[#All],8,MATCH('3660330cs'!$E$22,専攻区分と要件7[#Headers],0))=0,"*",INDEX(専攻区分と要件7[#All],8,MATCH('3660330cs'!$E$22,専攻区分と要件7[#Headers],0)))</f>
        <v>*</v>
      </c>
      <c r="O24" s="85" t="str" cm="1">
        <f t="array" ref="O24">IF(INDEX(専攻区分と要件7[#All],8,MATCH('3660330cs'!$E$22,専攻区分と要件7[#Headers],0)-1)=0,"*",INDEX(専攻区分と要件7[#All],8,MATCH('3660330cs'!$E$22,専攻区分と要件7[#Headers],0)-1))</f>
        <v>*</v>
      </c>
      <c r="P24" s="82" t="str">
        <f>IF(N24="*","*",IF(AND(N24&lt;&gt;"*",O24="*"),"×",IF(N24&lt;=O24,"○","×")))</f>
        <v>*</v>
      </c>
      <c r="X24" s="61"/>
    </row>
    <row r="25" spans="2:85" ht="19.5" customHeight="1" thickBot="1">
      <c r="C25" s="91"/>
      <c r="D25" s="92"/>
      <c r="E25" s="93"/>
      <c r="F25" s="94"/>
      <c r="G25" s="94"/>
      <c r="H25" s="94"/>
      <c r="I25" s="94"/>
      <c r="J25" s="94"/>
      <c r="K25" s="94"/>
      <c r="L25"/>
      <c r="M25" s="83" t="str" cm="1">
        <f t="array" ref="M25">IF(INDEX(専攻区分と要件7[#All],9,MATCH('3660330cs'!$E$22,専攻区分と要件7[#Headers],0)-2)=0,"*",INDEX(専攻区分と要件7[#All],9,MATCH('3660330cs'!$E$22,専攻区分と要件7[#Headers],0)-2))</f>
        <v>*</v>
      </c>
      <c r="N25" s="84" t="str">
        <f>IF(INDEX(専攻区分と要件7[#All],9,MATCH('3660330cs'!$E$22,専攻区分と要件7[#Headers],0))=0,"*",INDEX(専攻区分と要件7[#All],9,MATCH('3660330cs'!$E$22,専攻区分と要件7[#Headers],0)))</f>
        <v>*</v>
      </c>
      <c r="O25" s="85" t="str" cm="1">
        <f t="array" ref="O25">IF(INDEX(専攻区分と要件7[#All],9,MATCH('3660330cs'!$E$22,専攻区分と要件7[#Headers],0)-1)=0,"*",INDEX(専攻区分と要件7[#All],9,MATCH('3660330cs'!$E$22,専攻区分と要件7[#Headers],0)-1))</f>
        <v>*</v>
      </c>
      <c r="P25" s="87" t="str">
        <f>IF(N25="*","*",IF(AND(N25&lt;&gt;"*",O25="*"),"×",IF(N25&lt;=O25,"○","×")))</f>
        <v>*</v>
      </c>
      <c r="X25" s="61"/>
    </row>
    <row r="26" spans="2:85" ht="26.25" hidden="1" customHeight="1" thickBot="1">
      <c r="C26" s="91"/>
      <c r="D26" s="92"/>
      <c r="E26" s="93"/>
      <c r="F26" s="94"/>
      <c r="G26" s="94"/>
      <c r="H26" s="94"/>
      <c r="I26" s="94"/>
      <c r="J26" s="94"/>
      <c r="K26" s="94"/>
      <c r="L26"/>
      <c r="M26" s="95"/>
      <c r="N26" s="95"/>
      <c r="O26" s="86"/>
      <c r="P26" s="96" t="str">
        <f>IF(OR(P16="×",P18="×",P19="×",P20="×",P21="×",P22="×",P23="×",P24="×",P25="×"),"×","○")</f>
        <v>○</v>
      </c>
      <c r="U26" s="96" t="str">
        <f>IF(AND(U16="○",U17="○",U18="○",U19="○",U20="○",U21="○"),"○","×")</f>
        <v>○</v>
      </c>
      <c r="V26" s="86"/>
      <c r="W26" s="86"/>
      <c r="X26" s="61"/>
    </row>
    <row r="27" spans="2:85" ht="26.25" customHeight="1">
      <c r="C27" s="91"/>
      <c r="D27" s="92"/>
      <c r="E27" s="93"/>
      <c r="F27" s="94"/>
      <c r="G27" s="94"/>
      <c r="H27" s="94"/>
      <c r="I27" s="94"/>
      <c r="J27" s="94"/>
      <c r="K27" s="94"/>
      <c r="L27"/>
      <c r="M27" s="95"/>
      <c r="N27" s="95"/>
      <c r="O27" s="86"/>
      <c r="P27" s="86"/>
      <c r="U27" s="86"/>
      <c r="V27" s="86"/>
      <c r="W27" s="86"/>
      <c r="X27" s="61"/>
    </row>
    <row r="28" spans="2:85" ht="53.25" customHeight="1">
      <c r="B28" s="97" t="s">
        <v>79</v>
      </c>
      <c r="C28" s="98" t="s">
        <v>24</v>
      </c>
      <c r="D28" s="99"/>
      <c r="E28" s="99"/>
      <c r="F28" s="99"/>
      <c r="G28" s="99"/>
      <c r="H28" s="99"/>
      <c r="I28" s="99"/>
      <c r="J28" s="100" t="s">
        <v>23</v>
      </c>
      <c r="K28" s="101"/>
      <c r="L28" s="99"/>
      <c r="M28" s="102"/>
      <c r="N28" s="103" t="s">
        <v>22</v>
      </c>
      <c r="O28" s="104" t="s">
        <v>21</v>
      </c>
      <c r="P28" s="105" t="s">
        <v>20</v>
      </c>
      <c r="Q28" s="100" t="s">
        <v>19</v>
      </c>
      <c r="R28" s="101"/>
      <c r="S28" s="101"/>
      <c r="T28" s="101"/>
      <c r="U28" s="101"/>
      <c r="V28" s="106"/>
      <c r="W28" s="86"/>
      <c r="X28" s="61"/>
    </row>
    <row r="29" spans="2:85" ht="19.5" customHeight="1">
      <c r="B29" s="107"/>
      <c r="C29" s="31" t="s">
        <v>18</v>
      </c>
      <c r="D29" s="31" t="s">
        <v>11</v>
      </c>
      <c r="E29" s="31" t="s">
        <v>9</v>
      </c>
      <c r="F29" s="31" t="s">
        <v>7</v>
      </c>
      <c r="G29" s="31" t="s">
        <v>5</v>
      </c>
      <c r="H29" s="108" t="s">
        <v>3</v>
      </c>
      <c r="I29" s="108" t="s">
        <v>1</v>
      </c>
      <c r="J29" s="109" t="s">
        <v>17</v>
      </c>
      <c r="K29" s="110" t="s">
        <v>193</v>
      </c>
      <c r="L29" s="31" t="s">
        <v>16</v>
      </c>
      <c r="M29" s="31" t="s">
        <v>15</v>
      </c>
      <c r="N29" s="111"/>
      <c r="O29" s="112"/>
      <c r="P29" s="113"/>
      <c r="Q29" s="36"/>
      <c r="R29" s="114"/>
      <c r="S29" s="114"/>
      <c r="T29" s="114"/>
      <c r="U29" s="114"/>
      <c r="V29" s="115"/>
      <c r="W29" s="116"/>
    </row>
    <row r="30" spans="2:85" ht="13.5" customHeight="1">
      <c r="B30" s="117" t="s">
        <v>66</v>
      </c>
      <c r="C30" s="118" t="s">
        <v>49</v>
      </c>
      <c r="D30" s="119" t="s">
        <v>50</v>
      </c>
      <c r="E30" s="119" t="s">
        <v>51</v>
      </c>
      <c r="F30" s="119" t="s">
        <v>52</v>
      </c>
      <c r="G30" s="119" t="s">
        <v>53</v>
      </c>
      <c r="H30" s="119" t="s">
        <v>54</v>
      </c>
      <c r="I30" s="119" t="s">
        <v>55</v>
      </c>
      <c r="J30" s="120" t="s">
        <v>56</v>
      </c>
      <c r="K30" s="121" t="s">
        <v>194</v>
      </c>
      <c r="L30" s="119" t="s">
        <v>57</v>
      </c>
      <c r="M30" s="122" t="s">
        <v>58</v>
      </c>
      <c r="N30" s="71" t="s">
        <v>59</v>
      </c>
      <c r="O30" s="118" t="s">
        <v>60</v>
      </c>
      <c r="P30" s="123" t="s">
        <v>61</v>
      </c>
      <c r="Q30" s="124" t="s">
        <v>62</v>
      </c>
      <c r="R30" s="86" t="s">
        <v>63</v>
      </c>
      <c r="S30" s="86" t="s">
        <v>48</v>
      </c>
      <c r="T30" s="86" t="s">
        <v>64</v>
      </c>
      <c r="U30" s="86" t="s">
        <v>75</v>
      </c>
      <c r="V30" s="86" t="s">
        <v>25</v>
      </c>
      <c r="W30" s="86" t="s">
        <v>141</v>
      </c>
      <c r="X30" s="125" t="s">
        <v>76</v>
      </c>
      <c r="Y30" s="125" t="s">
        <v>150</v>
      </c>
      <c r="Z30" s="125" t="s">
        <v>195</v>
      </c>
      <c r="AA30" s="125"/>
    </row>
    <row r="31" spans="2:85" ht="14.25" customHeight="1">
      <c r="B31" s="1" t="s">
        <v>77</v>
      </c>
      <c r="C31" s="126" t="s">
        <v>175</v>
      </c>
      <c r="D31" s="15" t="str">
        <f>IF(LEFT(科目表[[#This Row],[履修年次]],1)="専","○","")</f>
        <v/>
      </c>
      <c r="E31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1" s="15" t="str">
        <f>IF(AND(LEFT(科目表[[#This Row],[履修年次]],1)="専",科目表[[#This Row],[摘要]]&lt;&gt;"",科目表[[#This Row],[摘要]]&lt;&gt;"関連"),"○","")</f>
        <v/>
      </c>
      <c r="G31" s="15" t="str">
        <f>IF(科目表[[#This Row],[摘要]]&lt;&gt;"","○","")</f>
        <v>○</v>
      </c>
      <c r="H31" s="16" t="str">
        <f>IF(OR(科目表[[#This Row],[摘要]]="",科目表[[#This Row],[摘要]]="関連"),"○","")</f>
        <v/>
      </c>
      <c r="I31" s="16"/>
      <c r="J31" s="127" t="s">
        <v>180</v>
      </c>
      <c r="K31" s="10"/>
      <c r="L31" s="27" t="s">
        <v>208</v>
      </c>
      <c r="M31" s="15" t="s">
        <v>209</v>
      </c>
      <c r="N31" s="15">
        <v>2</v>
      </c>
      <c r="O31" s="20" t="s">
        <v>210</v>
      </c>
      <c r="P31" s="21"/>
      <c r="Q31" s="22" t="s">
        <v>196</v>
      </c>
      <c r="R31" s="23" t="s">
        <v>211</v>
      </c>
      <c r="S31" s="114"/>
      <c r="T31" s="114"/>
      <c r="U31" s="114"/>
      <c r="V31" s="25"/>
      <c r="W31" s="26">
        <f>IFERROR(1/(COUNTIFS(科目表[修得状況],"e",科目表[摘要],"専門",科目表[摘要の種類],R31)),0)</f>
        <v>0</v>
      </c>
      <c r="X31" s="26">
        <f>IFERROR(1/(COUNTIFS(科目表[修得状況],"e",科目表[摘要],"A",科目表[摘要の種類],R31)),0)</f>
        <v>5.5555555555555552E-2</v>
      </c>
      <c r="Y31" s="26">
        <f>IFERROR(1/(COUNTIFS(科目表[修得状況],"e",科目表[摘要],"A-1",科目表[摘要の種類],R31)),0)</f>
        <v>0</v>
      </c>
      <c r="Z31" s="128">
        <v>1</v>
      </c>
    </row>
    <row r="32" spans="2:85">
      <c r="B32" s="5" t="s">
        <v>337</v>
      </c>
      <c r="C32" s="129"/>
      <c r="D32" s="15" t="str">
        <f>IF(LEFT(科目表[[#This Row],[履修年次]],1)="専","○","")</f>
        <v/>
      </c>
      <c r="E32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2" s="15" t="str">
        <f>IF(AND(LEFT(科目表[[#This Row],[履修年次]],1)="専",科目表[[#This Row],[摘要]]&lt;&gt;"",科目表[[#This Row],[摘要]]&lt;&gt;"関連"),"○","")</f>
        <v/>
      </c>
      <c r="G32" s="15" t="str">
        <f>IF(科目表[[#This Row],[摘要]]&lt;&gt;"","○","")</f>
        <v>○</v>
      </c>
      <c r="H32" s="16" t="str">
        <f>IF(OR(科目表[[#This Row],[摘要]]="",科目表[[#This Row],[摘要]]="関連"),"○","")</f>
        <v/>
      </c>
      <c r="I32" s="16"/>
      <c r="J32" s="17" t="s">
        <v>180</v>
      </c>
      <c r="K32" s="10"/>
      <c r="L32" s="18" t="s">
        <v>212</v>
      </c>
      <c r="M32" s="19" t="s">
        <v>209</v>
      </c>
      <c r="N32" s="15">
        <v>2</v>
      </c>
      <c r="O32" s="20" t="s">
        <v>210</v>
      </c>
      <c r="P32" s="21"/>
      <c r="Q32" s="22" t="s">
        <v>196</v>
      </c>
      <c r="R32" s="23" t="s">
        <v>211</v>
      </c>
      <c r="S32" s="24"/>
      <c r="T32" s="24"/>
      <c r="U32" s="24"/>
      <c r="V32" s="25"/>
      <c r="W32" s="26">
        <f>IFERROR(1/(COUNTIFS(科目表[修得状況],"e",科目表[摘要],"専門",科目表[摘要の種類],R32)),0)</f>
        <v>0</v>
      </c>
      <c r="X32" s="26">
        <f>IFERROR(1/(COUNTIFS(科目表[修得状況],"e",科目表[摘要],"A",科目表[摘要の種類],R32)),0)</f>
        <v>5.5555555555555552E-2</v>
      </c>
      <c r="Y32" s="26">
        <f>IFERROR(1/(COUNTIFS(科目表[修得状況],"e",科目表[摘要],"A-1",科目表[摘要の種類],R32)),0)</f>
        <v>0</v>
      </c>
      <c r="Z32" s="26">
        <v>2</v>
      </c>
    </row>
    <row r="33" spans="2:26">
      <c r="B33" s="6" t="s">
        <v>337</v>
      </c>
      <c r="C33" s="129"/>
      <c r="D33" s="15" t="str">
        <f>IF(LEFT(科目表[[#This Row],[履修年次]],1)="専","○","")</f>
        <v/>
      </c>
      <c r="E33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3" s="15" t="str">
        <f>IF(AND(LEFT(科目表[[#This Row],[履修年次]],1)="専",科目表[[#This Row],[摘要]]&lt;&gt;"",科目表[[#This Row],[摘要]]&lt;&gt;"関連"),"○","")</f>
        <v/>
      </c>
      <c r="G33" s="15" t="str">
        <f>IF(科目表[[#This Row],[摘要]]&lt;&gt;"","○","")</f>
        <v>○</v>
      </c>
      <c r="H33" s="16" t="str">
        <f>IF(OR(科目表[[#This Row],[摘要]]="",科目表[[#This Row],[摘要]]="関連"),"○","")</f>
        <v/>
      </c>
      <c r="I33" s="16"/>
      <c r="J33" s="17" t="s">
        <v>180</v>
      </c>
      <c r="K33" s="10"/>
      <c r="L33" s="27" t="s">
        <v>213</v>
      </c>
      <c r="M33" s="19" t="s">
        <v>209</v>
      </c>
      <c r="N33" s="15">
        <v>2</v>
      </c>
      <c r="O33" s="20" t="s">
        <v>210</v>
      </c>
      <c r="P33" s="21"/>
      <c r="Q33" s="22" t="s">
        <v>196</v>
      </c>
      <c r="R33" s="23" t="s">
        <v>211</v>
      </c>
      <c r="S33" s="24"/>
      <c r="T33" s="24"/>
      <c r="U33" s="24"/>
      <c r="V33" s="25"/>
      <c r="W33" s="26">
        <f>IFERROR(1/(COUNTIFS(科目表[修得状況],"e",科目表[摘要],"専門",科目表[摘要の種類],R33)),0)</f>
        <v>0</v>
      </c>
      <c r="X33" s="26">
        <f>IFERROR(1/(COUNTIFS(科目表[修得状況],"e",科目表[摘要],"A",科目表[摘要の種類],R33)),0)</f>
        <v>5.5555555555555552E-2</v>
      </c>
      <c r="Y33" s="26">
        <f>IFERROR(1/(COUNTIFS(科目表[修得状況],"e",科目表[摘要],"A-1",科目表[摘要の種類],R33)),0)</f>
        <v>0</v>
      </c>
      <c r="Z33" s="26">
        <v>3</v>
      </c>
    </row>
    <row r="34" spans="2:26">
      <c r="B34" s="6" t="s">
        <v>77</v>
      </c>
      <c r="C34" s="129"/>
      <c r="D34" s="15" t="str">
        <f>IF(LEFT(科目表[[#This Row],[履修年次]],1)="専","○","")</f>
        <v/>
      </c>
      <c r="E34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4" s="15" t="str">
        <f>IF(AND(LEFT(科目表[[#This Row],[履修年次]],1)="専",科目表[[#This Row],[摘要]]&lt;&gt;"",科目表[[#This Row],[摘要]]&lt;&gt;"関連"),"○","")</f>
        <v/>
      </c>
      <c r="G34" s="15" t="str">
        <f>IF(科目表[[#This Row],[摘要]]&lt;&gt;"","○","")</f>
        <v>○</v>
      </c>
      <c r="H34" s="16" t="str">
        <f>IF(OR(科目表[[#This Row],[摘要]]="",科目表[[#This Row],[摘要]]="関連"),"○","")</f>
        <v/>
      </c>
      <c r="I34" s="16"/>
      <c r="J34" s="17" t="s">
        <v>180</v>
      </c>
      <c r="K34" s="10"/>
      <c r="L34" s="27" t="s">
        <v>214</v>
      </c>
      <c r="M34" s="19" t="s">
        <v>209</v>
      </c>
      <c r="N34" s="15">
        <v>2</v>
      </c>
      <c r="O34" s="20" t="s">
        <v>210</v>
      </c>
      <c r="P34" s="21"/>
      <c r="Q34" s="22" t="s">
        <v>196</v>
      </c>
      <c r="R34" s="23" t="s">
        <v>211</v>
      </c>
      <c r="S34" s="24"/>
      <c r="T34" s="24"/>
      <c r="U34" s="24"/>
      <c r="V34" s="25"/>
      <c r="W34" s="26">
        <f>IFERROR(1/(COUNTIFS(科目表[修得状況],"e",科目表[摘要],"専門",科目表[摘要の種類],R34)),0)</f>
        <v>0</v>
      </c>
      <c r="X34" s="26">
        <f>IFERROR(1/(COUNTIFS(科目表[修得状況],"e",科目表[摘要],"A",科目表[摘要の種類],R34)),0)</f>
        <v>5.5555555555555552E-2</v>
      </c>
      <c r="Y34" s="26">
        <f>IFERROR(1/(COUNTIFS(科目表[修得状況],"e",科目表[摘要],"A-1",科目表[摘要の種類],R34)),0)</f>
        <v>0</v>
      </c>
      <c r="Z34" s="26">
        <v>4</v>
      </c>
    </row>
    <row r="35" spans="2:26">
      <c r="B35" s="6" t="s">
        <v>77</v>
      </c>
      <c r="C35" s="129"/>
      <c r="D35" s="15" t="str">
        <f>IF(LEFT(科目表[[#This Row],[履修年次]],1)="専","○","")</f>
        <v/>
      </c>
      <c r="E35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5" s="15" t="str">
        <f>IF(AND(LEFT(科目表[[#This Row],[履修年次]],1)="専",科目表[[#This Row],[摘要]]&lt;&gt;"",科目表[[#This Row],[摘要]]&lt;&gt;"関連"),"○","")</f>
        <v/>
      </c>
      <c r="G35" s="15" t="str">
        <f>IF(科目表[[#This Row],[摘要]]&lt;&gt;"","○","")</f>
        <v>○</v>
      </c>
      <c r="H35" s="16" t="str">
        <f>IF(OR(科目表[[#This Row],[摘要]]="",科目表[[#This Row],[摘要]]="関連"),"○","")</f>
        <v/>
      </c>
      <c r="I35" s="16"/>
      <c r="J35" s="17" t="s">
        <v>180</v>
      </c>
      <c r="K35" s="10"/>
      <c r="L35" s="18" t="s">
        <v>215</v>
      </c>
      <c r="M35" s="19" t="s">
        <v>209</v>
      </c>
      <c r="N35" s="15">
        <v>1</v>
      </c>
      <c r="O35" s="20" t="s">
        <v>210</v>
      </c>
      <c r="P35" s="21"/>
      <c r="Q35" s="22" t="s">
        <v>196</v>
      </c>
      <c r="R35" s="23" t="s">
        <v>211</v>
      </c>
      <c r="S35" s="24"/>
      <c r="T35" s="24"/>
      <c r="U35" s="24"/>
      <c r="V35" s="25"/>
      <c r="W35" s="26">
        <f>IFERROR(1/(COUNTIFS(科目表[修得状況],"e",科目表[摘要],"専門",科目表[摘要の種類],R35)),0)</f>
        <v>0</v>
      </c>
      <c r="X35" s="26">
        <f>IFERROR(1/(COUNTIFS(科目表[修得状況],"e",科目表[摘要],"A",科目表[摘要の種類],R35)),0)</f>
        <v>5.5555555555555552E-2</v>
      </c>
      <c r="Y35" s="26">
        <f>IFERROR(1/(COUNTIFS(科目表[修得状況],"e",科目表[摘要],"A-1",科目表[摘要の種類],R35)),0)</f>
        <v>0</v>
      </c>
      <c r="Z35" s="128">
        <v>5</v>
      </c>
    </row>
    <row r="36" spans="2:26">
      <c r="B36" s="6" t="s">
        <v>77</v>
      </c>
      <c r="C36" s="129"/>
      <c r="D36" s="15" t="str">
        <f>IF(LEFT(科目表[[#This Row],[履修年次]],1)="専","○","")</f>
        <v/>
      </c>
      <c r="E36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6" s="15" t="str">
        <f>IF(AND(LEFT(科目表[[#This Row],[履修年次]],1)="専",科目表[[#This Row],[摘要]]&lt;&gt;"",科目表[[#This Row],[摘要]]&lt;&gt;"関連"),"○","")</f>
        <v/>
      </c>
      <c r="G36" s="15" t="str">
        <f>IF(科目表[[#This Row],[摘要]]&lt;&gt;"","○","")</f>
        <v>○</v>
      </c>
      <c r="H36" s="16" t="str">
        <f>IF(OR(科目表[[#This Row],[摘要]]="",科目表[[#This Row],[摘要]]="関連"),"○","")</f>
        <v/>
      </c>
      <c r="I36" s="16"/>
      <c r="J36" s="17" t="s">
        <v>180</v>
      </c>
      <c r="K36" s="10"/>
      <c r="L36" s="18" t="s">
        <v>216</v>
      </c>
      <c r="M36" s="19" t="s">
        <v>209</v>
      </c>
      <c r="N36" s="15">
        <v>1</v>
      </c>
      <c r="O36" s="20" t="s">
        <v>210</v>
      </c>
      <c r="P36" s="21"/>
      <c r="Q36" s="22" t="s">
        <v>196</v>
      </c>
      <c r="R36" s="23" t="s">
        <v>211</v>
      </c>
      <c r="S36" s="24"/>
      <c r="T36" s="24"/>
      <c r="U36" s="24"/>
      <c r="V36" s="25"/>
      <c r="W36" s="26">
        <f>IFERROR(1/(COUNTIFS(科目表[修得状況],"e",科目表[摘要],"専門",科目表[摘要の種類],R36)),0)</f>
        <v>0</v>
      </c>
      <c r="X36" s="26">
        <f>IFERROR(1/(COUNTIFS(科目表[修得状況],"e",科目表[摘要],"A",科目表[摘要の種類],R36)),0)</f>
        <v>5.5555555555555552E-2</v>
      </c>
      <c r="Y36" s="26">
        <f>IFERROR(1/(COUNTIFS(科目表[修得状況],"e",科目表[摘要],"A-1",科目表[摘要の種類],R36)),0)</f>
        <v>0</v>
      </c>
      <c r="Z36" s="26">
        <v>6</v>
      </c>
    </row>
    <row r="37" spans="2:26">
      <c r="B37" s="6" t="s">
        <v>337</v>
      </c>
      <c r="C37" s="129"/>
      <c r="D37" s="15" t="str">
        <f>IF(LEFT(科目表[[#This Row],[履修年次]],1)="専","○","")</f>
        <v/>
      </c>
      <c r="E37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7" s="15" t="str">
        <f>IF(AND(LEFT(科目表[[#This Row],[履修年次]],1)="専",科目表[[#This Row],[摘要]]&lt;&gt;"",科目表[[#This Row],[摘要]]&lt;&gt;"関連"),"○","")</f>
        <v/>
      </c>
      <c r="G37" s="15" t="str">
        <f>IF(科目表[[#This Row],[摘要]]&lt;&gt;"","○","")</f>
        <v>○</v>
      </c>
      <c r="H37" s="16" t="str">
        <f>IF(OR(科目表[[#This Row],[摘要]]="",科目表[[#This Row],[摘要]]="関連"),"○","")</f>
        <v/>
      </c>
      <c r="I37" s="16"/>
      <c r="J37" s="17" t="s">
        <v>180</v>
      </c>
      <c r="K37" s="10"/>
      <c r="L37" s="18" t="s">
        <v>217</v>
      </c>
      <c r="M37" s="19" t="s">
        <v>209</v>
      </c>
      <c r="N37" s="15">
        <v>2</v>
      </c>
      <c r="O37" s="20" t="s">
        <v>210</v>
      </c>
      <c r="P37" s="21"/>
      <c r="Q37" s="22" t="s">
        <v>196</v>
      </c>
      <c r="R37" s="23" t="s">
        <v>211</v>
      </c>
      <c r="S37" s="24"/>
      <c r="T37" s="24"/>
      <c r="U37" s="24"/>
      <c r="V37" s="25"/>
      <c r="W37" s="26">
        <f>IFERROR(1/(COUNTIFS(科目表[修得状況],"e",科目表[摘要],"専門",科目表[摘要の種類],R37)),0)</f>
        <v>0</v>
      </c>
      <c r="X37" s="26">
        <f>IFERROR(1/(COUNTIFS(科目表[修得状況],"e",科目表[摘要],"A",科目表[摘要の種類],R37)),0)</f>
        <v>5.5555555555555552E-2</v>
      </c>
      <c r="Y37" s="26">
        <f>IFERROR(1/(COUNTIFS(科目表[修得状況],"e",科目表[摘要],"A-1",科目表[摘要の種類],R37)),0)</f>
        <v>0</v>
      </c>
      <c r="Z37" s="26">
        <v>7</v>
      </c>
    </row>
    <row r="38" spans="2:26">
      <c r="B38" s="6" t="s">
        <v>337</v>
      </c>
      <c r="C38" s="129"/>
      <c r="D38" s="15" t="str">
        <f>IF(LEFT(科目表[[#This Row],[履修年次]],1)="専","○","")</f>
        <v/>
      </c>
      <c r="E38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8" s="15" t="str">
        <f>IF(AND(LEFT(科目表[[#This Row],[履修年次]],1)="専",科目表[[#This Row],[摘要]]&lt;&gt;"",科目表[[#This Row],[摘要]]&lt;&gt;"関連"),"○","")</f>
        <v/>
      </c>
      <c r="G38" s="15" t="str">
        <f>IF(科目表[[#This Row],[摘要]]&lt;&gt;"","○","")</f>
        <v>○</v>
      </c>
      <c r="H38" s="16" t="str">
        <f>IF(OR(科目表[[#This Row],[摘要]]="",科目表[[#This Row],[摘要]]="関連"),"○","")</f>
        <v/>
      </c>
      <c r="I38" s="16"/>
      <c r="J38" s="17" t="s">
        <v>180</v>
      </c>
      <c r="K38" s="10"/>
      <c r="L38" s="130" t="s">
        <v>218</v>
      </c>
      <c r="M38" s="19" t="s">
        <v>209</v>
      </c>
      <c r="N38" s="15">
        <v>2</v>
      </c>
      <c r="O38" s="20" t="s">
        <v>210</v>
      </c>
      <c r="P38" s="21"/>
      <c r="Q38" s="22" t="s">
        <v>196</v>
      </c>
      <c r="R38" s="23" t="s">
        <v>219</v>
      </c>
      <c r="S38" s="24"/>
      <c r="T38" s="24"/>
      <c r="U38" s="24"/>
      <c r="V38" s="25"/>
      <c r="W38" s="26">
        <f>IFERROR(1/(COUNTIFS(科目表[修得状況],"e",科目表[摘要],"専門",科目表[摘要の種類],R38)),0)</f>
        <v>0</v>
      </c>
      <c r="X38" s="26">
        <f>IFERROR(1/(COUNTIFS(科目表[修得状況],"e",科目表[摘要],"A",科目表[摘要の種類],R38)),0)</f>
        <v>0.14285714285714285</v>
      </c>
      <c r="Y38" s="26">
        <f>IFERROR(1/(COUNTIFS(科目表[修得状況],"e",科目表[摘要],"A-1",科目表[摘要の種類],R38)),0)</f>
        <v>0</v>
      </c>
      <c r="Z38" s="26">
        <v>8</v>
      </c>
    </row>
    <row r="39" spans="2:26">
      <c r="B39" s="6" t="s">
        <v>337</v>
      </c>
      <c r="C39" s="129"/>
      <c r="D39" s="15" t="str">
        <f>IF(LEFT(科目表[[#This Row],[履修年次]],1)="専","○","")</f>
        <v/>
      </c>
      <c r="E39" s="15" t="str">
        <f>IF(科目表[[#This Row],[単位修得の要件による分類]]="学修総まとめ
科目","",IF(AND(LEFT(科目表[[#This Row],[履修年次]],1)="専",科目表[[#This Row],[摘要]]&lt;&gt;""),"○",""))</f>
        <v/>
      </c>
      <c r="F39" s="15" t="str">
        <f>IF(AND(LEFT(科目表[[#This Row],[履修年次]],1)="専",科目表[[#This Row],[摘要]]&lt;&gt;"",科目表[[#This Row],[摘要]]&lt;&gt;"関連"),"○","")</f>
        <v/>
      </c>
      <c r="G39" s="15" t="str">
        <f>IF(科目表[[#This Row],[摘要]]&lt;&gt;"","○","")</f>
        <v>○</v>
      </c>
      <c r="H39" s="16" t="str">
        <f>IF(OR(科目表[[#This Row],[摘要]]="",科目表[[#This Row],[摘要]]="関連"),"○","")</f>
        <v/>
      </c>
      <c r="I39" s="16"/>
      <c r="J39" s="17" t="s">
        <v>180</v>
      </c>
      <c r="K39" s="10"/>
      <c r="L39" s="18" t="s">
        <v>220</v>
      </c>
      <c r="M39" s="19" t="s">
        <v>209</v>
      </c>
      <c r="N39" s="15">
        <v>2</v>
      </c>
      <c r="O39" s="20" t="s">
        <v>210</v>
      </c>
      <c r="P39" s="21"/>
      <c r="Q39" s="22" t="s">
        <v>196</v>
      </c>
      <c r="R39" s="23" t="s">
        <v>211</v>
      </c>
      <c r="S39" s="24"/>
      <c r="T39" s="24"/>
      <c r="U39" s="24"/>
      <c r="V39" s="25"/>
      <c r="W39" s="26">
        <f>IFERROR(1/(COUNTIFS(科目表[修得状況],"e",科目表[摘要],"専門",科目表[摘要の種類],R39)),0)</f>
        <v>0</v>
      </c>
      <c r="X39" s="26">
        <f>IFERROR(1/(COUNTIFS(科目表[修得状況],"e",科目表[摘要],"A",科目表[摘要の種類],R39)),0)</f>
        <v>5.5555555555555552E-2</v>
      </c>
      <c r="Y39" s="26">
        <f>IFERROR(1/(COUNTIFS(科目表[修得状況],"e",科目表[摘要],"A-1",科目表[摘要の種類],R39)),0)</f>
        <v>0</v>
      </c>
      <c r="Z39" s="128">
        <v>9</v>
      </c>
    </row>
    <row r="40" spans="2:26">
      <c r="B40" s="9" t="s">
        <v>337</v>
      </c>
      <c r="C40" s="131"/>
      <c r="D40" s="15" t="str">
        <f>IF(LEFT(科目表[[#This Row],[履修年次]],1)="専","○","")</f>
        <v/>
      </c>
      <c r="E40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0" s="15" t="str">
        <f>IF(AND(LEFT(科目表[[#This Row],[履修年次]],1)="専",科目表[[#This Row],[摘要]]&lt;&gt;"",科目表[[#This Row],[摘要]]&lt;&gt;"関連"),"○","")</f>
        <v/>
      </c>
      <c r="G40" s="15" t="str">
        <f>IF(科目表[[#This Row],[摘要]]&lt;&gt;"","○","")</f>
        <v>○</v>
      </c>
      <c r="H40" s="16" t="str">
        <f>IF(OR(科目表[[#This Row],[摘要]]="",科目表[[#This Row],[摘要]]="関連"),"○","")</f>
        <v/>
      </c>
      <c r="I40" s="28"/>
      <c r="J40" s="29" t="s">
        <v>180</v>
      </c>
      <c r="K40" s="11"/>
      <c r="L40" s="30" t="s">
        <v>221</v>
      </c>
      <c r="M40" s="31" t="s">
        <v>209</v>
      </c>
      <c r="N40" s="31">
        <v>2</v>
      </c>
      <c r="O40" s="32" t="s">
        <v>210</v>
      </c>
      <c r="P40" s="33"/>
      <c r="Q40" s="34" t="s">
        <v>196</v>
      </c>
      <c r="R40" s="35" t="s">
        <v>211</v>
      </c>
      <c r="S40" s="24"/>
      <c r="T40" s="24"/>
      <c r="U40" s="24"/>
      <c r="V40" s="26"/>
      <c r="W40" s="26">
        <f>IFERROR(1/(COUNTIFS(科目表[修得状況],"e",科目表[摘要],"専門",科目表[摘要の種類],R40)),0)</f>
        <v>0</v>
      </c>
      <c r="X40" s="26">
        <f>IFERROR(1/(COUNTIFS(科目表[修得状況],"e",科目表[摘要],"A",科目表[摘要の種類],R40)),0)</f>
        <v>5.5555555555555552E-2</v>
      </c>
      <c r="Y40" s="26">
        <f>IFERROR(1/(COUNTIFS(科目表[修得状況],"e",科目表[摘要],"A-1",科目表[摘要の種類],R40)),0)</f>
        <v>0</v>
      </c>
      <c r="Z40" s="128">
        <v>10</v>
      </c>
    </row>
    <row r="41" spans="2:26">
      <c r="B41" s="9" t="s">
        <v>337</v>
      </c>
      <c r="C41" s="131"/>
      <c r="D41" s="15" t="str">
        <f>IF(LEFT(科目表[[#This Row],[履修年次]],1)="専","○","")</f>
        <v/>
      </c>
      <c r="E41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1" s="15" t="str">
        <f>IF(AND(LEFT(科目表[[#This Row],[履修年次]],1)="専",科目表[[#This Row],[摘要]]&lt;&gt;"",科目表[[#This Row],[摘要]]&lt;&gt;"関連"),"○","")</f>
        <v/>
      </c>
      <c r="G41" s="15" t="str">
        <f>IF(科目表[[#This Row],[摘要]]&lt;&gt;"","○","")</f>
        <v>○</v>
      </c>
      <c r="H41" s="16" t="str">
        <f>IF(OR(科目表[[#This Row],[摘要]]="",科目表[[#This Row],[摘要]]="関連"),"○","")</f>
        <v/>
      </c>
      <c r="I41" s="28"/>
      <c r="J41" s="29" t="s">
        <v>180</v>
      </c>
      <c r="K41" s="11"/>
      <c r="L41" s="30" t="s">
        <v>222</v>
      </c>
      <c r="M41" s="31" t="s">
        <v>209</v>
      </c>
      <c r="N41" s="31">
        <v>1</v>
      </c>
      <c r="O41" s="32" t="s">
        <v>210</v>
      </c>
      <c r="P41" s="33"/>
      <c r="Q41" s="34" t="s">
        <v>184</v>
      </c>
      <c r="R41" s="35" t="s">
        <v>223</v>
      </c>
      <c r="S41" s="24"/>
      <c r="T41" s="24"/>
      <c r="U41" s="24"/>
      <c r="V41" s="26"/>
      <c r="W41" s="26">
        <f>IFERROR(1/(COUNTIFS(科目表[修得状況],"e",科目表[摘要],"専門",科目表[摘要の種類],R41)),0)</f>
        <v>0</v>
      </c>
      <c r="X41" s="26">
        <f>IFERROR(1/(COUNTIFS(科目表[修得状況],"e",科目表[摘要],"A",科目表[摘要の種類],R41)),0)</f>
        <v>0</v>
      </c>
      <c r="Y41" s="26">
        <f>IFERROR(1/(COUNTIFS(科目表[修得状況],"e",科目表[摘要],"A-1",科目表[摘要の種類],R41)),0)</f>
        <v>0</v>
      </c>
      <c r="Z41" s="26">
        <v>11</v>
      </c>
    </row>
    <row r="42" spans="2:26">
      <c r="B42" s="9" t="s">
        <v>337</v>
      </c>
      <c r="C42" s="131"/>
      <c r="D42" s="15" t="str">
        <f>IF(LEFT(科目表[[#This Row],[履修年次]],1)="専","○","")</f>
        <v/>
      </c>
      <c r="E42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2" s="15" t="str">
        <f>IF(AND(LEFT(科目表[[#This Row],[履修年次]],1)="専",科目表[[#This Row],[摘要]]&lt;&gt;"",科目表[[#This Row],[摘要]]&lt;&gt;"関連"),"○","")</f>
        <v/>
      </c>
      <c r="G42" s="15" t="str">
        <f>IF(科目表[[#This Row],[摘要]]&lt;&gt;"","○","")</f>
        <v>○</v>
      </c>
      <c r="H42" s="16" t="str">
        <f>IF(OR(科目表[[#This Row],[摘要]]="",科目表[[#This Row],[摘要]]="関連"),"○","")</f>
        <v/>
      </c>
      <c r="I42" s="28"/>
      <c r="J42" s="29" t="s">
        <v>180</v>
      </c>
      <c r="K42" s="11"/>
      <c r="L42" s="30" t="s">
        <v>224</v>
      </c>
      <c r="M42" s="31" t="s">
        <v>209</v>
      </c>
      <c r="N42" s="31">
        <v>1</v>
      </c>
      <c r="O42" s="32" t="s">
        <v>210</v>
      </c>
      <c r="P42" s="33"/>
      <c r="Q42" s="34" t="s">
        <v>184</v>
      </c>
      <c r="R42" s="35" t="s">
        <v>223</v>
      </c>
      <c r="S42" s="24"/>
      <c r="T42" s="24"/>
      <c r="U42" s="24"/>
      <c r="V42" s="26"/>
      <c r="W42" s="26">
        <f>IFERROR(1/(COUNTIFS(科目表[修得状況],"e",科目表[摘要],"専門",科目表[摘要の種類],R42)),0)</f>
        <v>0</v>
      </c>
      <c r="X42" s="26">
        <f>IFERROR(1/(COUNTIFS(科目表[修得状況],"e",科目表[摘要],"A",科目表[摘要の種類],R42)),0)</f>
        <v>0</v>
      </c>
      <c r="Y42" s="26">
        <f>IFERROR(1/(COUNTIFS(科目表[修得状況],"e",科目表[摘要],"A-1",科目表[摘要の種類],R42)),0)</f>
        <v>0</v>
      </c>
      <c r="Z42" s="26">
        <v>12</v>
      </c>
    </row>
    <row r="43" spans="2:26">
      <c r="B43" s="9" t="s">
        <v>337</v>
      </c>
      <c r="C43" s="131"/>
      <c r="D43" s="15" t="str">
        <f>IF(LEFT(科目表[[#This Row],[履修年次]],1)="専","○","")</f>
        <v/>
      </c>
      <c r="E43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3" s="15" t="str">
        <f>IF(AND(LEFT(科目表[[#This Row],[履修年次]],1)="専",科目表[[#This Row],[摘要]]&lt;&gt;"",科目表[[#This Row],[摘要]]&lt;&gt;"関連"),"○","")</f>
        <v/>
      </c>
      <c r="G43" s="15" t="str">
        <f>IF(科目表[[#This Row],[摘要]]&lt;&gt;"","○","")</f>
        <v>○</v>
      </c>
      <c r="H43" s="16" t="str">
        <f>IF(OR(科目表[[#This Row],[摘要]]="",科目表[[#This Row],[摘要]]="関連"),"○","")</f>
        <v/>
      </c>
      <c r="I43" s="28"/>
      <c r="J43" s="29" t="s">
        <v>180</v>
      </c>
      <c r="K43" s="11"/>
      <c r="L43" s="30" t="s">
        <v>225</v>
      </c>
      <c r="M43" s="31" t="s">
        <v>209</v>
      </c>
      <c r="N43" s="31">
        <v>1</v>
      </c>
      <c r="O43" s="32" t="s">
        <v>210</v>
      </c>
      <c r="P43" s="33"/>
      <c r="Q43" s="34" t="s">
        <v>184</v>
      </c>
      <c r="R43" s="35" t="s">
        <v>223</v>
      </c>
      <c r="S43" s="24"/>
      <c r="T43" s="24"/>
      <c r="U43" s="24"/>
      <c r="V43" s="26"/>
      <c r="W43" s="26">
        <f>IFERROR(1/(COUNTIFS(科目表[修得状況],"e",科目表[摘要],"専門",科目表[摘要の種類],R43)),0)</f>
        <v>0</v>
      </c>
      <c r="X43" s="26">
        <f>IFERROR(1/(COUNTIFS(科目表[修得状況],"e",科目表[摘要],"A",科目表[摘要の種類],R43)),0)</f>
        <v>0</v>
      </c>
      <c r="Y43" s="26">
        <f>IFERROR(1/(COUNTIFS(科目表[修得状況],"e",科目表[摘要],"A-1",科目表[摘要の種類],R43)),0)</f>
        <v>0</v>
      </c>
      <c r="Z43" s="26">
        <v>13</v>
      </c>
    </row>
    <row r="44" spans="2:26">
      <c r="B44" s="9" t="s">
        <v>337</v>
      </c>
      <c r="C44" s="131"/>
      <c r="D44" s="15" t="str">
        <f>IF(LEFT(科目表[[#This Row],[履修年次]],1)="専","○","")</f>
        <v/>
      </c>
      <c r="E44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4" s="15" t="str">
        <f>IF(AND(LEFT(科目表[[#This Row],[履修年次]],1)="専",科目表[[#This Row],[摘要]]&lt;&gt;"",科目表[[#This Row],[摘要]]&lt;&gt;"関連"),"○","")</f>
        <v/>
      </c>
      <c r="G44" s="15" t="str">
        <f>IF(科目表[[#This Row],[摘要]]&lt;&gt;"","○","")</f>
        <v>○</v>
      </c>
      <c r="H44" s="16" t="str">
        <f>IF(OR(科目表[[#This Row],[摘要]]="",科目表[[#This Row],[摘要]]="関連"),"○","")</f>
        <v/>
      </c>
      <c r="I44" s="28"/>
      <c r="J44" s="29" t="s">
        <v>180</v>
      </c>
      <c r="K44" s="11"/>
      <c r="L44" s="30" t="s">
        <v>226</v>
      </c>
      <c r="M44" s="31" t="s">
        <v>209</v>
      </c>
      <c r="N44" s="31">
        <v>2</v>
      </c>
      <c r="O44" s="32" t="s">
        <v>197</v>
      </c>
      <c r="P44" s="33"/>
      <c r="Q44" s="34" t="s">
        <v>196</v>
      </c>
      <c r="R44" s="35" t="s">
        <v>211</v>
      </c>
      <c r="S44" s="24"/>
      <c r="T44" s="24"/>
      <c r="U44" s="24"/>
      <c r="V44" s="26"/>
      <c r="W44" s="26">
        <f>IFERROR(1/(COUNTIFS(科目表[修得状況],"e",科目表[摘要],"専門",科目表[摘要の種類],R44)),0)</f>
        <v>0</v>
      </c>
      <c r="X44" s="26">
        <f>IFERROR(1/(COUNTIFS(科目表[修得状況],"e",科目表[摘要],"A",科目表[摘要の種類],R44)),0)</f>
        <v>5.5555555555555552E-2</v>
      </c>
      <c r="Y44" s="26">
        <f>IFERROR(1/(COUNTIFS(科目表[修得状況],"e",科目表[摘要],"A-1",科目表[摘要の種類],R44)),0)</f>
        <v>0</v>
      </c>
      <c r="Z44" s="128">
        <v>14</v>
      </c>
    </row>
    <row r="45" spans="2:26">
      <c r="B45" s="9" t="s">
        <v>337</v>
      </c>
      <c r="C45" s="131"/>
      <c r="D45" s="15" t="str">
        <f>IF(LEFT(科目表[[#This Row],[履修年次]],1)="専","○","")</f>
        <v/>
      </c>
      <c r="E45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5" s="15" t="str">
        <f>IF(AND(LEFT(科目表[[#This Row],[履修年次]],1)="専",科目表[[#This Row],[摘要]]&lt;&gt;"",科目表[[#This Row],[摘要]]&lt;&gt;"関連"),"○","")</f>
        <v/>
      </c>
      <c r="G45" s="15" t="str">
        <f>IF(科目表[[#This Row],[摘要]]&lt;&gt;"","○","")</f>
        <v>○</v>
      </c>
      <c r="H45" s="16" t="str">
        <f>IF(OR(科目表[[#This Row],[摘要]]="",科目表[[#This Row],[摘要]]="関連"),"○","")</f>
        <v/>
      </c>
      <c r="I45" s="28"/>
      <c r="J45" s="29" t="s">
        <v>180</v>
      </c>
      <c r="K45" s="11"/>
      <c r="L45" s="30" t="s">
        <v>227</v>
      </c>
      <c r="M45" s="31" t="s">
        <v>209</v>
      </c>
      <c r="N45" s="31">
        <v>2</v>
      </c>
      <c r="O45" s="32" t="s">
        <v>197</v>
      </c>
      <c r="P45" s="33"/>
      <c r="Q45" s="34" t="s">
        <v>196</v>
      </c>
      <c r="R45" s="35" t="s">
        <v>211</v>
      </c>
      <c r="S45" s="24"/>
      <c r="T45" s="24"/>
      <c r="U45" s="24"/>
      <c r="V45" s="26"/>
      <c r="W45" s="26">
        <f>IFERROR(1/(COUNTIFS(科目表[修得状況],"e",科目表[摘要],"専門",科目表[摘要の種類],R45)),0)</f>
        <v>0</v>
      </c>
      <c r="X45" s="26">
        <f>IFERROR(1/(COUNTIFS(科目表[修得状況],"e",科目表[摘要],"A",科目表[摘要の種類],R45)),0)</f>
        <v>5.5555555555555552E-2</v>
      </c>
      <c r="Y45" s="26">
        <f>IFERROR(1/(COUNTIFS(科目表[修得状況],"e",科目表[摘要],"A-1",科目表[摘要の種類],R45)),0)</f>
        <v>0</v>
      </c>
      <c r="Z45" s="128">
        <v>15</v>
      </c>
    </row>
    <row r="46" spans="2:26">
      <c r="B46" s="9" t="s">
        <v>337</v>
      </c>
      <c r="C46" s="131"/>
      <c r="D46" s="15" t="str">
        <f>IF(LEFT(科目表[[#This Row],[履修年次]],1)="専","○","")</f>
        <v/>
      </c>
      <c r="E46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6" s="15" t="str">
        <f>IF(AND(LEFT(科目表[[#This Row],[履修年次]],1)="専",科目表[[#This Row],[摘要]]&lt;&gt;"",科目表[[#This Row],[摘要]]&lt;&gt;"関連"),"○","")</f>
        <v/>
      </c>
      <c r="G46" s="15" t="str">
        <f>IF(科目表[[#This Row],[摘要]]&lt;&gt;"","○","")</f>
        <v>○</v>
      </c>
      <c r="H46" s="16" t="str">
        <f>IF(OR(科目表[[#This Row],[摘要]]="",科目表[[#This Row],[摘要]]="関連"),"○","")</f>
        <v/>
      </c>
      <c r="I46" s="28"/>
      <c r="J46" s="29" t="s">
        <v>180</v>
      </c>
      <c r="K46" s="11"/>
      <c r="L46" s="30" t="s">
        <v>228</v>
      </c>
      <c r="M46" s="31" t="s">
        <v>209</v>
      </c>
      <c r="N46" s="31">
        <v>2</v>
      </c>
      <c r="O46" s="32" t="s">
        <v>210</v>
      </c>
      <c r="P46" s="33"/>
      <c r="Q46" s="34" t="s">
        <v>184</v>
      </c>
      <c r="R46" s="35" t="s">
        <v>223</v>
      </c>
      <c r="S46" s="24"/>
      <c r="T46" s="24"/>
      <c r="U46" s="24"/>
      <c r="V46" s="26"/>
      <c r="W46" s="26">
        <f>IFERROR(1/(COUNTIFS(科目表[修得状況],"e",科目表[摘要],"専門",科目表[摘要の種類],R46)),0)</f>
        <v>0</v>
      </c>
      <c r="X46" s="26">
        <f>IFERROR(1/(COUNTIFS(科目表[修得状況],"e",科目表[摘要],"A",科目表[摘要の種類],R46)),0)</f>
        <v>0</v>
      </c>
      <c r="Y46" s="26">
        <f>IFERROR(1/(COUNTIFS(科目表[修得状況],"e",科目表[摘要],"A-1",科目表[摘要の種類],R46)),0)</f>
        <v>0</v>
      </c>
      <c r="Z46" s="128">
        <v>16</v>
      </c>
    </row>
    <row r="47" spans="2:26">
      <c r="B47" s="6"/>
      <c r="C47" s="129"/>
      <c r="D47" s="15" t="str">
        <f>IF(LEFT(科目表[[#This Row],[履修年次]],1)="専","○","")</f>
        <v/>
      </c>
      <c r="E47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7" s="15" t="str">
        <f>IF(AND(LEFT(科目表[[#This Row],[履修年次]],1)="専",科目表[[#This Row],[摘要]]&lt;&gt;"",科目表[[#This Row],[摘要]]&lt;&gt;"関連"),"○","")</f>
        <v/>
      </c>
      <c r="G47" s="15" t="str">
        <f>IF(科目表[[#This Row],[摘要]]&lt;&gt;"","○","")</f>
        <v>○</v>
      </c>
      <c r="H47" s="15" t="str">
        <f>IF(OR(科目表[[#This Row],[摘要]]="",科目表[[#This Row],[摘要]]="関連"),"○","")</f>
        <v/>
      </c>
      <c r="I47" s="172"/>
      <c r="J47" s="29" t="s">
        <v>180</v>
      </c>
      <c r="K47" s="11"/>
      <c r="L47" s="30" t="s">
        <v>335</v>
      </c>
      <c r="M47" s="31" t="s">
        <v>185</v>
      </c>
      <c r="N47" s="31">
        <v>1</v>
      </c>
      <c r="O47" s="32" t="s">
        <v>197</v>
      </c>
      <c r="P47" s="33"/>
      <c r="Q47" s="34" t="s">
        <v>184</v>
      </c>
      <c r="R47" s="35" t="s">
        <v>336</v>
      </c>
      <c r="S47" s="24"/>
      <c r="T47" s="24"/>
      <c r="U47" s="24"/>
      <c r="V47" s="26"/>
      <c r="W47" s="26">
        <f>IFERROR(1/(COUNTIFS(科目表[修得状況],"e",科目表[摘要],"専門",科目表[摘要の種類],R47)),0)</f>
        <v>0</v>
      </c>
      <c r="X47" s="26">
        <f>IFERROR(1/(COUNTIFS(科目表[修得状況],"e",科目表[摘要],"A",科目表[摘要の種類],R47)),0)</f>
        <v>0</v>
      </c>
      <c r="Y47" s="26">
        <f>IFERROR(1/(COUNTIFS(科目表[修得状況],"e",科目表[摘要],"A-1",科目表[摘要の種類],R47)),0)</f>
        <v>0</v>
      </c>
      <c r="Z47" s="26">
        <v>17</v>
      </c>
    </row>
    <row r="48" spans="2:26">
      <c r="B48" s="9"/>
      <c r="C48" s="131"/>
      <c r="D48" s="15" t="str">
        <f>IF(LEFT(科目表[[#This Row],[履修年次]],1)="専","○","")</f>
        <v/>
      </c>
      <c r="E48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8" s="15" t="str">
        <f>IF(AND(LEFT(科目表[[#This Row],[履修年次]],1)="専",科目表[[#This Row],[摘要]]&lt;&gt;"",科目表[[#This Row],[摘要]]&lt;&gt;"関連"),"○","")</f>
        <v/>
      </c>
      <c r="G48" s="15" t="str">
        <f>IF(科目表[[#This Row],[摘要]]&lt;&gt;"","○","")</f>
        <v>○</v>
      </c>
      <c r="H48" s="16" t="str">
        <f>IF(OR(科目表[[#This Row],[摘要]]="",科目表[[#This Row],[摘要]]="関連"),"○","")</f>
        <v/>
      </c>
      <c r="I48" s="28"/>
      <c r="J48" s="29" t="s">
        <v>180</v>
      </c>
      <c r="K48" s="11"/>
      <c r="L48" s="30" t="s">
        <v>229</v>
      </c>
      <c r="M48" s="31" t="s">
        <v>230</v>
      </c>
      <c r="N48" s="31">
        <v>2</v>
      </c>
      <c r="O48" s="32" t="s">
        <v>231</v>
      </c>
      <c r="P48" s="33"/>
      <c r="Q48" s="34" t="s">
        <v>184</v>
      </c>
      <c r="R48" s="35" t="s">
        <v>223</v>
      </c>
      <c r="S48" s="24"/>
      <c r="T48" s="24"/>
      <c r="U48" s="24"/>
      <c r="V48" s="26"/>
      <c r="W48" s="26">
        <f>IFERROR(1/(COUNTIFS(科目表[修得状況],"e",科目表[摘要],"専門",科目表[摘要の種類],R48)),0)</f>
        <v>0</v>
      </c>
      <c r="X48" s="26">
        <f>IFERROR(1/(COUNTIFS(科目表[修得状況],"e",科目表[摘要],"A",科目表[摘要の種類],R48)),0)</f>
        <v>0</v>
      </c>
      <c r="Y48" s="26">
        <f>IFERROR(1/(COUNTIFS(科目表[修得状況],"e",科目表[摘要],"A-1",科目表[摘要の種類],R48)),0)</f>
        <v>0</v>
      </c>
      <c r="Z48" s="26">
        <v>18</v>
      </c>
    </row>
    <row r="49" spans="2:26">
      <c r="B49" s="9" t="s">
        <v>337</v>
      </c>
      <c r="C49" s="131"/>
      <c r="D49" s="15" t="str">
        <f>IF(LEFT(科目表[[#This Row],[履修年次]],1)="専","○","")</f>
        <v/>
      </c>
      <c r="E49" s="15" t="str">
        <f>IF(科目表[[#This Row],[単位修得の要件による分類]]="学修総まとめ
科目","",IF(AND(LEFT(科目表[[#This Row],[履修年次]],1)="専",科目表[[#This Row],[摘要]]&lt;&gt;""),"○",""))</f>
        <v/>
      </c>
      <c r="F49" s="15" t="str">
        <f>IF(AND(LEFT(科目表[[#This Row],[履修年次]],1)="専",科目表[[#This Row],[摘要]]&lt;&gt;"",科目表[[#This Row],[摘要]]&lt;&gt;"関連"),"○","")</f>
        <v/>
      </c>
      <c r="G49" s="15" t="str">
        <f>IF(科目表[[#This Row],[摘要]]&lt;&gt;"","○","")</f>
        <v>○</v>
      </c>
      <c r="H49" s="16" t="str">
        <f>IF(OR(科目表[[#This Row],[摘要]]="",科目表[[#This Row],[摘要]]="関連"),"○","")</f>
        <v/>
      </c>
      <c r="I49" s="28"/>
      <c r="J49" s="29" t="s">
        <v>180</v>
      </c>
      <c r="K49" s="11"/>
      <c r="L49" s="30" t="s">
        <v>232</v>
      </c>
      <c r="M49" s="31" t="s">
        <v>233</v>
      </c>
      <c r="N49" s="31">
        <v>1</v>
      </c>
      <c r="O49" s="32" t="s">
        <v>234</v>
      </c>
      <c r="P49" s="33"/>
      <c r="Q49" s="34" t="s">
        <v>196</v>
      </c>
      <c r="R49" s="35" t="s">
        <v>235</v>
      </c>
      <c r="S49" s="24"/>
      <c r="T49" s="24"/>
      <c r="U49" s="24"/>
      <c r="V49" s="26"/>
      <c r="W49" s="26">
        <f>IFERROR(1/(COUNTIFS(科目表[修得状況],"e",科目表[摘要],"専門",科目表[摘要の種類],R49)),0)</f>
        <v>0</v>
      </c>
      <c r="X49" s="26">
        <f>IFERROR(1/(COUNTIFS(科目表[修得状況],"e",科目表[摘要],"A",科目表[摘要の種類],R49)),0)</f>
        <v>0.25</v>
      </c>
      <c r="Y49" s="26">
        <f>IFERROR(1/(COUNTIFS(科目表[修得状況],"e",科目表[摘要],"A-1",科目表[摘要の種類],R49)),0)</f>
        <v>0</v>
      </c>
      <c r="Z49" s="26">
        <v>19</v>
      </c>
    </row>
    <row r="50" spans="2:26">
      <c r="B50" s="9" t="s">
        <v>337</v>
      </c>
      <c r="C50" s="131"/>
      <c r="D50" s="15" t="str">
        <f>IF(LEFT(科目表[[#This Row],[履修年次]],1)="専","○","")</f>
        <v/>
      </c>
      <c r="E50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0" s="15" t="str">
        <f>IF(AND(LEFT(科目表[[#This Row],[履修年次]],1)="専",科目表[[#This Row],[摘要]]&lt;&gt;"",科目表[[#This Row],[摘要]]&lt;&gt;"関連"),"○","")</f>
        <v/>
      </c>
      <c r="G50" s="15" t="str">
        <f>IF(科目表[[#This Row],[摘要]]&lt;&gt;"","○","")</f>
        <v>○</v>
      </c>
      <c r="H50" s="16" t="str">
        <f>IF(OR(科目表[[#This Row],[摘要]]="",科目表[[#This Row],[摘要]]="関連"),"○","")</f>
        <v/>
      </c>
      <c r="I50" s="28"/>
      <c r="J50" s="29" t="s">
        <v>180</v>
      </c>
      <c r="K50" s="11"/>
      <c r="L50" s="30" t="s">
        <v>236</v>
      </c>
      <c r="M50" s="31" t="s">
        <v>209</v>
      </c>
      <c r="N50" s="31">
        <v>2</v>
      </c>
      <c r="O50" s="32" t="s">
        <v>237</v>
      </c>
      <c r="P50" s="33"/>
      <c r="Q50" s="34" t="s">
        <v>196</v>
      </c>
      <c r="R50" s="35" t="s">
        <v>211</v>
      </c>
      <c r="S50" s="24"/>
      <c r="T50" s="24"/>
      <c r="U50" s="24"/>
      <c r="V50" s="26"/>
      <c r="W50" s="26">
        <f>IFERROR(1/(COUNTIFS(科目表[修得状況],"e",科目表[摘要],"専門",科目表[摘要の種類],R50)),0)</f>
        <v>0</v>
      </c>
      <c r="X50" s="26">
        <f>IFERROR(1/(COUNTIFS(科目表[修得状況],"e",科目表[摘要],"A",科目表[摘要の種類],R50)),0)</f>
        <v>5.5555555555555552E-2</v>
      </c>
      <c r="Y50" s="26">
        <f>IFERROR(1/(COUNTIFS(科目表[修得状況],"e",科目表[摘要],"A-1",科目表[摘要の種類],R50)),0)</f>
        <v>0</v>
      </c>
      <c r="Z50" s="128">
        <v>20</v>
      </c>
    </row>
    <row r="51" spans="2:26">
      <c r="B51" s="9" t="s">
        <v>337</v>
      </c>
      <c r="C51" s="131"/>
      <c r="D51" s="15" t="str">
        <f>IF(LEFT(科目表[[#This Row],[履修年次]],1)="専","○","")</f>
        <v/>
      </c>
      <c r="E51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1" s="15" t="str">
        <f>IF(AND(LEFT(科目表[[#This Row],[履修年次]],1)="専",科目表[[#This Row],[摘要]]&lt;&gt;"",科目表[[#This Row],[摘要]]&lt;&gt;"関連"),"○","")</f>
        <v/>
      </c>
      <c r="G51" s="15" t="str">
        <f>IF(科目表[[#This Row],[摘要]]&lt;&gt;"","○","")</f>
        <v>○</v>
      </c>
      <c r="H51" s="16" t="str">
        <f>IF(OR(科目表[[#This Row],[摘要]]="",科目表[[#This Row],[摘要]]="関連"),"○","")</f>
        <v/>
      </c>
      <c r="I51" s="28"/>
      <c r="J51" s="29" t="s">
        <v>180</v>
      </c>
      <c r="K51" s="11"/>
      <c r="L51" s="30" t="s">
        <v>238</v>
      </c>
      <c r="M51" s="31" t="s">
        <v>209</v>
      </c>
      <c r="N51" s="31">
        <v>2</v>
      </c>
      <c r="O51" s="32" t="s">
        <v>237</v>
      </c>
      <c r="P51" s="33"/>
      <c r="Q51" s="34" t="s">
        <v>196</v>
      </c>
      <c r="R51" s="35" t="s">
        <v>211</v>
      </c>
      <c r="S51" s="24"/>
      <c r="T51" s="24"/>
      <c r="U51" s="24"/>
      <c r="V51" s="26"/>
      <c r="W51" s="26">
        <f>IFERROR(1/(COUNTIFS(科目表[修得状況],"e",科目表[摘要],"専門",科目表[摘要の種類],R51)),0)</f>
        <v>0</v>
      </c>
      <c r="X51" s="26">
        <f>IFERROR(1/(COUNTIFS(科目表[修得状況],"e",科目表[摘要],"A",科目表[摘要の種類],R51)),0)</f>
        <v>5.5555555555555552E-2</v>
      </c>
      <c r="Y51" s="26">
        <f>IFERROR(1/(COUNTIFS(科目表[修得状況],"e",科目表[摘要],"A-1",科目表[摘要の種類],R51)),0)</f>
        <v>0</v>
      </c>
      <c r="Z51" s="128">
        <v>21</v>
      </c>
    </row>
    <row r="52" spans="2:26">
      <c r="B52" s="9" t="s">
        <v>337</v>
      </c>
      <c r="C52" s="131"/>
      <c r="D52" s="15" t="str">
        <f>IF(LEFT(科目表[[#This Row],[履修年次]],1)="専","○","")</f>
        <v/>
      </c>
      <c r="E52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2" s="15" t="str">
        <f>IF(AND(LEFT(科目表[[#This Row],[履修年次]],1)="専",科目表[[#This Row],[摘要]]&lt;&gt;"",科目表[[#This Row],[摘要]]&lt;&gt;"関連"),"○","")</f>
        <v/>
      </c>
      <c r="G52" s="15" t="str">
        <f>IF(科目表[[#This Row],[摘要]]&lt;&gt;"","○","")</f>
        <v>○</v>
      </c>
      <c r="H52" s="16" t="str">
        <f>IF(OR(科目表[[#This Row],[摘要]]="",科目表[[#This Row],[摘要]]="関連"),"○","")</f>
        <v/>
      </c>
      <c r="I52" s="28"/>
      <c r="J52" s="29" t="s">
        <v>180</v>
      </c>
      <c r="K52" s="11"/>
      <c r="L52" s="30" t="s">
        <v>239</v>
      </c>
      <c r="M52" s="31" t="s">
        <v>209</v>
      </c>
      <c r="N52" s="31">
        <v>2</v>
      </c>
      <c r="O52" s="32" t="s">
        <v>237</v>
      </c>
      <c r="P52" s="33"/>
      <c r="Q52" s="34" t="s">
        <v>196</v>
      </c>
      <c r="R52" s="35" t="s">
        <v>219</v>
      </c>
      <c r="S52" s="24"/>
      <c r="T52" s="24"/>
      <c r="U52" s="24"/>
      <c r="V52" s="26"/>
      <c r="W52" s="26">
        <f>IFERROR(1/(COUNTIFS(科目表[修得状況],"e",科目表[摘要],"専門",科目表[摘要の種類],R52)),0)</f>
        <v>0</v>
      </c>
      <c r="X52" s="26">
        <f>IFERROR(1/(COUNTIFS(科目表[修得状況],"e",科目表[摘要],"A",科目表[摘要の種類],R52)),0)</f>
        <v>0.14285714285714285</v>
      </c>
      <c r="Y52" s="26">
        <f>IFERROR(1/(COUNTIFS(科目表[修得状況],"e",科目表[摘要],"A-1",科目表[摘要の種類],R52)),0)</f>
        <v>0</v>
      </c>
      <c r="Z52" s="128">
        <v>22</v>
      </c>
    </row>
    <row r="53" spans="2:26">
      <c r="B53" s="9" t="s">
        <v>337</v>
      </c>
      <c r="C53" s="131"/>
      <c r="D53" s="15" t="str">
        <f>IF(LEFT(科目表[[#This Row],[履修年次]],1)="専","○","")</f>
        <v/>
      </c>
      <c r="E53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3" s="15" t="str">
        <f>IF(AND(LEFT(科目表[[#This Row],[履修年次]],1)="専",科目表[[#This Row],[摘要]]&lt;&gt;"",科目表[[#This Row],[摘要]]&lt;&gt;"関連"),"○","")</f>
        <v/>
      </c>
      <c r="G53" s="15" t="str">
        <f>IF(科目表[[#This Row],[摘要]]&lt;&gt;"","○","")</f>
        <v>○</v>
      </c>
      <c r="H53" s="16" t="str">
        <f>IF(OR(科目表[[#This Row],[摘要]]="",科目表[[#This Row],[摘要]]="関連"),"○","")</f>
        <v/>
      </c>
      <c r="I53" s="28"/>
      <c r="J53" s="29" t="s">
        <v>180</v>
      </c>
      <c r="K53" s="11"/>
      <c r="L53" s="30" t="s">
        <v>240</v>
      </c>
      <c r="M53" s="31" t="s">
        <v>209</v>
      </c>
      <c r="N53" s="31">
        <v>1</v>
      </c>
      <c r="O53" s="32" t="s">
        <v>237</v>
      </c>
      <c r="P53" s="33"/>
      <c r="Q53" s="34" t="s">
        <v>196</v>
      </c>
      <c r="R53" s="35" t="s">
        <v>241</v>
      </c>
      <c r="S53" s="24"/>
      <c r="T53" s="24"/>
      <c r="U53" s="24"/>
      <c r="V53" s="26"/>
      <c r="W53" s="26">
        <f>IFERROR(1/(COUNTIFS(科目表[修得状況],"e",科目表[摘要],"専門",科目表[摘要の種類],R53)),0)</f>
        <v>0</v>
      </c>
      <c r="X53" s="26">
        <f>IFERROR(1/(COUNTIFS(科目表[修得状況],"e",科目表[摘要],"A",科目表[摘要の種類],R53)),0)</f>
        <v>0.33333333333333331</v>
      </c>
      <c r="Y53" s="26">
        <f>IFERROR(1/(COUNTIFS(科目表[修得状況],"e",科目表[摘要],"A-1",科目表[摘要の種類],R53)),0)</f>
        <v>0</v>
      </c>
      <c r="Z53" s="26">
        <v>23</v>
      </c>
    </row>
    <row r="54" spans="2:26">
      <c r="B54" s="9" t="s">
        <v>337</v>
      </c>
      <c r="C54" s="131"/>
      <c r="D54" s="15" t="str">
        <f>IF(LEFT(科目表[[#This Row],[履修年次]],1)="専","○","")</f>
        <v/>
      </c>
      <c r="E54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4" s="15" t="str">
        <f>IF(AND(LEFT(科目表[[#This Row],[履修年次]],1)="専",科目表[[#This Row],[摘要]]&lt;&gt;"",科目表[[#This Row],[摘要]]&lt;&gt;"関連"),"○","")</f>
        <v/>
      </c>
      <c r="G54" s="15" t="str">
        <f>IF(科目表[[#This Row],[摘要]]&lt;&gt;"","○","")</f>
        <v>○</v>
      </c>
      <c r="H54" s="16" t="str">
        <f>IF(OR(科目表[[#This Row],[摘要]]="",科目表[[#This Row],[摘要]]="関連"),"○","")</f>
        <v/>
      </c>
      <c r="I54" s="28"/>
      <c r="J54" s="29" t="s">
        <v>180</v>
      </c>
      <c r="K54" s="11"/>
      <c r="L54" s="30" t="s">
        <v>242</v>
      </c>
      <c r="M54" s="31" t="s">
        <v>209</v>
      </c>
      <c r="N54" s="31">
        <v>1</v>
      </c>
      <c r="O54" s="32" t="s">
        <v>237</v>
      </c>
      <c r="P54" s="33"/>
      <c r="Q54" s="34" t="s">
        <v>196</v>
      </c>
      <c r="R54" s="35" t="s">
        <v>241</v>
      </c>
      <c r="S54" s="24"/>
      <c r="T54" s="24"/>
      <c r="U54" s="24"/>
      <c r="V54" s="26"/>
      <c r="W54" s="26">
        <f>IFERROR(1/(COUNTIFS(科目表[修得状況],"e",科目表[摘要],"専門",科目表[摘要の種類],R54)),0)</f>
        <v>0</v>
      </c>
      <c r="X54" s="26">
        <f>IFERROR(1/(COUNTIFS(科目表[修得状況],"e",科目表[摘要],"A",科目表[摘要の種類],R54)),0)</f>
        <v>0.33333333333333331</v>
      </c>
      <c r="Y54" s="26">
        <f>IFERROR(1/(COUNTIFS(科目表[修得状況],"e",科目表[摘要],"A-1",科目表[摘要の種類],R54)),0)</f>
        <v>0</v>
      </c>
      <c r="Z54" s="26">
        <v>24</v>
      </c>
    </row>
    <row r="55" spans="2:26">
      <c r="B55" s="9" t="s">
        <v>337</v>
      </c>
      <c r="C55" s="131"/>
      <c r="D55" s="15" t="str">
        <f>IF(LEFT(科目表[[#This Row],[履修年次]],1)="専","○","")</f>
        <v/>
      </c>
      <c r="E55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5" s="15" t="str">
        <f>IF(AND(LEFT(科目表[[#This Row],[履修年次]],1)="専",科目表[[#This Row],[摘要]]&lt;&gt;"",科目表[[#This Row],[摘要]]&lt;&gt;"関連"),"○","")</f>
        <v/>
      </c>
      <c r="G55" s="15" t="str">
        <f>IF(科目表[[#This Row],[摘要]]&lt;&gt;"","○","")</f>
        <v>○</v>
      </c>
      <c r="H55" s="16" t="str">
        <f>IF(OR(科目表[[#This Row],[摘要]]="",科目表[[#This Row],[摘要]]="関連"),"○","")</f>
        <v/>
      </c>
      <c r="I55" s="28"/>
      <c r="J55" s="29" t="s">
        <v>180</v>
      </c>
      <c r="K55" s="11"/>
      <c r="L55" s="30" t="s">
        <v>243</v>
      </c>
      <c r="M55" s="31" t="s">
        <v>209</v>
      </c>
      <c r="N55" s="31">
        <v>2</v>
      </c>
      <c r="O55" s="32" t="s">
        <v>237</v>
      </c>
      <c r="P55" s="33"/>
      <c r="Q55" s="34" t="s">
        <v>196</v>
      </c>
      <c r="R55" s="35" t="s">
        <v>211</v>
      </c>
      <c r="S55" s="24"/>
      <c r="T55" s="24"/>
      <c r="U55" s="24"/>
      <c r="V55" s="26"/>
      <c r="W55" s="26">
        <f>IFERROR(1/(COUNTIFS(科目表[修得状況],"e",科目表[摘要],"専門",科目表[摘要の種類],R55)),0)</f>
        <v>0</v>
      </c>
      <c r="X55" s="26">
        <f>IFERROR(1/(COUNTIFS(科目表[修得状況],"e",科目表[摘要],"A",科目表[摘要の種類],R55)),0)</f>
        <v>5.5555555555555552E-2</v>
      </c>
      <c r="Y55" s="26">
        <f>IFERROR(1/(COUNTIFS(科目表[修得状況],"e",科目表[摘要],"A-1",科目表[摘要の種類],R55)),0)</f>
        <v>0</v>
      </c>
      <c r="Z55" s="26">
        <v>25</v>
      </c>
    </row>
    <row r="56" spans="2:26">
      <c r="B56" s="9" t="s">
        <v>337</v>
      </c>
      <c r="C56" s="131"/>
      <c r="D56" s="15" t="str">
        <f>IF(LEFT(科目表[[#This Row],[履修年次]],1)="専","○","")</f>
        <v/>
      </c>
      <c r="E56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6" s="15" t="str">
        <f>IF(AND(LEFT(科目表[[#This Row],[履修年次]],1)="専",科目表[[#This Row],[摘要]]&lt;&gt;"",科目表[[#This Row],[摘要]]&lt;&gt;"関連"),"○","")</f>
        <v/>
      </c>
      <c r="G56" s="15" t="str">
        <f>IF(科目表[[#This Row],[摘要]]&lt;&gt;"","○","")</f>
        <v>○</v>
      </c>
      <c r="H56" s="16" t="str">
        <f>IF(OR(科目表[[#This Row],[摘要]]="",科目表[[#This Row],[摘要]]="関連"),"○","")</f>
        <v/>
      </c>
      <c r="I56" s="28"/>
      <c r="J56" s="29" t="s">
        <v>180</v>
      </c>
      <c r="K56" s="11"/>
      <c r="L56" s="30" t="s">
        <v>244</v>
      </c>
      <c r="M56" s="31" t="s">
        <v>209</v>
      </c>
      <c r="N56" s="31">
        <v>2</v>
      </c>
      <c r="O56" s="32" t="s">
        <v>237</v>
      </c>
      <c r="P56" s="33"/>
      <c r="Q56" s="34" t="s">
        <v>196</v>
      </c>
      <c r="R56" s="35" t="s">
        <v>211</v>
      </c>
      <c r="S56" s="24"/>
      <c r="T56" s="24"/>
      <c r="U56" s="24"/>
      <c r="V56" s="26"/>
      <c r="W56" s="26">
        <f>IFERROR(1/(COUNTIFS(科目表[修得状況],"e",科目表[摘要],"専門",科目表[摘要の種類],R56)),0)</f>
        <v>0</v>
      </c>
      <c r="X56" s="26">
        <f>IFERROR(1/(COUNTIFS(科目表[修得状況],"e",科目表[摘要],"A",科目表[摘要の種類],R56)),0)</f>
        <v>5.5555555555555552E-2</v>
      </c>
      <c r="Y56" s="26">
        <f>IFERROR(1/(COUNTIFS(科目表[修得状況],"e",科目表[摘要],"A-1",科目表[摘要の種類],R56)),0)</f>
        <v>0</v>
      </c>
      <c r="Z56" s="128">
        <v>26</v>
      </c>
    </row>
    <row r="57" spans="2:26">
      <c r="B57" s="9" t="s">
        <v>337</v>
      </c>
      <c r="C57" s="131"/>
      <c r="D57" s="15" t="str">
        <f>IF(LEFT(科目表[[#This Row],[履修年次]],1)="専","○","")</f>
        <v/>
      </c>
      <c r="E57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7" s="15" t="str">
        <f>IF(AND(LEFT(科目表[[#This Row],[履修年次]],1)="専",科目表[[#This Row],[摘要]]&lt;&gt;"",科目表[[#This Row],[摘要]]&lt;&gt;"関連"),"○","")</f>
        <v/>
      </c>
      <c r="G57" s="15" t="str">
        <f>IF(科目表[[#This Row],[摘要]]&lt;&gt;"","○","")</f>
        <v>○</v>
      </c>
      <c r="H57" s="16" t="str">
        <f>IF(OR(科目表[[#This Row],[摘要]]="",科目表[[#This Row],[摘要]]="関連"),"○","")</f>
        <v/>
      </c>
      <c r="I57" s="28"/>
      <c r="J57" s="29" t="s">
        <v>180</v>
      </c>
      <c r="K57" s="11"/>
      <c r="L57" s="30" t="s">
        <v>245</v>
      </c>
      <c r="M57" s="31" t="s">
        <v>209</v>
      </c>
      <c r="N57" s="31">
        <v>8</v>
      </c>
      <c r="O57" s="32" t="s">
        <v>237</v>
      </c>
      <c r="P57" s="33"/>
      <c r="Q57" s="34" t="s">
        <v>184</v>
      </c>
      <c r="R57" s="35" t="s">
        <v>223</v>
      </c>
      <c r="S57" s="24"/>
      <c r="T57" s="24"/>
      <c r="U57" s="24"/>
      <c r="V57" s="26"/>
      <c r="W57" s="26">
        <f>IFERROR(1/(COUNTIFS(科目表[修得状況],"e",科目表[摘要],"専門",科目表[摘要の種類],R57)),0)</f>
        <v>0</v>
      </c>
      <c r="X57" s="26">
        <f>IFERROR(1/(COUNTIFS(科目表[修得状況],"e",科目表[摘要],"A",科目表[摘要の種類],R57)),0)</f>
        <v>0</v>
      </c>
      <c r="Y57" s="26">
        <f>IFERROR(1/(COUNTIFS(科目表[修得状況],"e",科目表[摘要],"A-1",科目表[摘要の種類],R57)),0)</f>
        <v>0</v>
      </c>
      <c r="Z57" s="128">
        <v>27</v>
      </c>
    </row>
    <row r="58" spans="2:26">
      <c r="B58" s="9" t="s">
        <v>337</v>
      </c>
      <c r="C58" s="131"/>
      <c r="D58" s="15" t="str">
        <f>IF(LEFT(科目表[[#This Row],[履修年次]],1)="専","○","")</f>
        <v/>
      </c>
      <c r="E58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8" s="15" t="str">
        <f>IF(AND(LEFT(科目表[[#This Row],[履修年次]],1)="専",科目表[[#This Row],[摘要]]&lt;&gt;"",科目表[[#This Row],[摘要]]&lt;&gt;"関連"),"○","")</f>
        <v/>
      </c>
      <c r="G58" s="15" t="str">
        <f>IF(科目表[[#This Row],[摘要]]&lt;&gt;"","○","")</f>
        <v>○</v>
      </c>
      <c r="H58" s="16" t="str">
        <f>IF(OR(科目表[[#This Row],[摘要]]="",科目表[[#This Row],[摘要]]="関連"),"○","")</f>
        <v/>
      </c>
      <c r="I58" s="28"/>
      <c r="J58" s="29" t="s">
        <v>180</v>
      </c>
      <c r="K58" s="11"/>
      <c r="L58" s="30" t="s">
        <v>246</v>
      </c>
      <c r="M58" s="31" t="s">
        <v>233</v>
      </c>
      <c r="N58" s="31">
        <v>1</v>
      </c>
      <c r="O58" s="32" t="s">
        <v>237</v>
      </c>
      <c r="P58" s="33"/>
      <c r="Q58" s="34" t="s">
        <v>196</v>
      </c>
      <c r="R58" s="35" t="s">
        <v>219</v>
      </c>
      <c r="S58" s="24"/>
      <c r="T58" s="24"/>
      <c r="U58" s="24"/>
      <c r="V58" s="26"/>
      <c r="W58" s="26">
        <f>IFERROR(1/(COUNTIFS(科目表[修得状況],"e",科目表[摘要],"専門",科目表[摘要の種類],R58)),0)</f>
        <v>0</v>
      </c>
      <c r="X58" s="26">
        <f>IFERROR(1/(COUNTIFS(科目表[修得状況],"e",科目表[摘要],"A",科目表[摘要の種類],R58)),0)</f>
        <v>0.14285714285714285</v>
      </c>
      <c r="Y58" s="26">
        <f>IFERROR(1/(COUNTIFS(科目表[修得状況],"e",科目表[摘要],"A-1",科目表[摘要の種類],R58)),0)</f>
        <v>0</v>
      </c>
      <c r="Z58" s="128">
        <v>28</v>
      </c>
    </row>
    <row r="59" spans="2:26">
      <c r="B59" s="9"/>
      <c r="C59" s="131"/>
      <c r="D59" s="15" t="str">
        <f>IF(LEFT(科目表[[#This Row],[履修年次]],1)="専","○","")</f>
        <v/>
      </c>
      <c r="E59" s="15" t="str">
        <f>IF(科目表[[#This Row],[単位修得の要件による分類]]="学修総まとめ
科目","",IF(AND(LEFT(科目表[[#This Row],[履修年次]],1)="専",科目表[[#This Row],[摘要]]&lt;&gt;""),"○",""))</f>
        <v/>
      </c>
      <c r="F59" s="15" t="str">
        <f>IF(AND(LEFT(科目表[[#This Row],[履修年次]],1)="専",科目表[[#This Row],[摘要]]&lt;&gt;"",科目表[[#This Row],[摘要]]&lt;&gt;"関連"),"○","")</f>
        <v/>
      </c>
      <c r="G59" s="15" t="str">
        <f>IF(科目表[[#This Row],[摘要]]&lt;&gt;"","○","")</f>
        <v>○</v>
      </c>
      <c r="H59" s="16" t="str">
        <f>IF(OR(科目表[[#This Row],[摘要]]="",科目表[[#This Row],[摘要]]="関連"),"○","")</f>
        <v/>
      </c>
      <c r="I59" s="28"/>
      <c r="J59" s="29" t="s">
        <v>180</v>
      </c>
      <c r="K59" s="11"/>
      <c r="L59" s="30" t="s">
        <v>247</v>
      </c>
      <c r="M59" s="31" t="s">
        <v>233</v>
      </c>
      <c r="N59" s="31">
        <v>1</v>
      </c>
      <c r="O59" s="32" t="s">
        <v>237</v>
      </c>
      <c r="P59" s="33"/>
      <c r="Q59" s="34" t="s">
        <v>196</v>
      </c>
      <c r="R59" s="35" t="s">
        <v>241</v>
      </c>
      <c r="S59" s="24"/>
      <c r="T59" s="24"/>
      <c r="U59" s="24"/>
      <c r="V59" s="26"/>
      <c r="W59" s="26">
        <f>IFERROR(1/(COUNTIFS(科目表[修得状況],"e",科目表[摘要],"専門",科目表[摘要の種類],R59)),0)</f>
        <v>0</v>
      </c>
      <c r="X59" s="26">
        <f>IFERROR(1/(COUNTIFS(科目表[修得状況],"e",科目表[摘要],"A",科目表[摘要の種類],R59)),0)</f>
        <v>0.33333333333333331</v>
      </c>
      <c r="Y59" s="26">
        <f>IFERROR(1/(COUNTIFS(科目表[修得状況],"e",科目表[摘要],"A-1",科目表[摘要の種類],R59)),0)</f>
        <v>0</v>
      </c>
      <c r="Z59" s="26">
        <v>29</v>
      </c>
    </row>
    <row r="60" spans="2:26">
      <c r="B60" s="9" t="s">
        <v>337</v>
      </c>
      <c r="C60" s="131"/>
      <c r="D60" s="15" t="str">
        <f>IF(LEFT(科目表[[#This Row],[履修年次]],1)="専","○","")</f>
        <v/>
      </c>
      <c r="E60" s="15" t="str">
        <f>IF(科目表[[#This Row],[単位修得の要件による分類]]="学修総まとめ
科目","",IF(AND(LEFT(科目表[[#This Row],[履修年次]],1)="専",科目表[[#This Row],[摘要]]&lt;&gt;""),"○",""))</f>
        <v/>
      </c>
      <c r="F60" s="15" t="str">
        <f>IF(AND(LEFT(科目表[[#This Row],[履修年次]],1)="専",科目表[[#This Row],[摘要]]&lt;&gt;"",科目表[[#This Row],[摘要]]&lt;&gt;"関連"),"○","")</f>
        <v/>
      </c>
      <c r="G60" s="15" t="str">
        <f>IF(科目表[[#This Row],[摘要]]&lt;&gt;"","○","")</f>
        <v>○</v>
      </c>
      <c r="H60" s="16" t="str">
        <f>IF(OR(科目表[[#This Row],[摘要]]="",科目表[[#This Row],[摘要]]="関連"),"○","")</f>
        <v/>
      </c>
      <c r="I60" s="28"/>
      <c r="J60" s="29" t="s">
        <v>180</v>
      </c>
      <c r="K60" s="11"/>
      <c r="L60" s="30" t="s">
        <v>248</v>
      </c>
      <c r="M60" s="31" t="s">
        <v>233</v>
      </c>
      <c r="N60" s="31">
        <v>1</v>
      </c>
      <c r="O60" s="32" t="s">
        <v>237</v>
      </c>
      <c r="P60" s="33"/>
      <c r="Q60" s="34" t="s">
        <v>196</v>
      </c>
      <c r="R60" s="35" t="s">
        <v>219</v>
      </c>
      <c r="S60" s="24"/>
      <c r="T60" s="24"/>
      <c r="U60" s="24"/>
      <c r="V60" s="26"/>
      <c r="W60" s="26">
        <f>IFERROR(1/(COUNTIFS(科目表[修得状況],"e",科目表[摘要],"専門",科目表[摘要の種類],R60)),0)</f>
        <v>0</v>
      </c>
      <c r="X60" s="26">
        <f>IFERROR(1/(COUNTIFS(科目表[修得状況],"e",科目表[摘要],"A",科目表[摘要の種類],R60)),0)</f>
        <v>0.14285714285714285</v>
      </c>
      <c r="Y60" s="26">
        <f>IFERROR(1/(COUNTIFS(科目表[修得状況],"e",科目表[摘要],"A-1",科目表[摘要の種類],R60)),0)</f>
        <v>0</v>
      </c>
      <c r="Z60" s="26">
        <v>30</v>
      </c>
    </row>
    <row r="61" spans="2:26">
      <c r="B61" s="9" t="s">
        <v>337</v>
      </c>
      <c r="C61" s="131"/>
      <c r="D61" s="15" t="str">
        <f>IF(LEFT(科目表[[#This Row],[履修年次]],1)="専","○","")</f>
        <v/>
      </c>
      <c r="E61" s="15" t="str">
        <f>IF(科目表[[#This Row],[単位修得の要件による分類]]="学修総まとめ
科目","",IF(AND(LEFT(科目表[[#This Row],[履修年次]],1)="専",科目表[[#This Row],[摘要]]&lt;&gt;""),"○",""))</f>
        <v/>
      </c>
      <c r="F61" s="15" t="str">
        <f>IF(AND(LEFT(科目表[[#This Row],[履修年次]],1)="専",科目表[[#This Row],[摘要]]&lt;&gt;"",科目表[[#This Row],[摘要]]&lt;&gt;"関連"),"○","")</f>
        <v/>
      </c>
      <c r="G61" s="15" t="str">
        <f>IF(科目表[[#This Row],[摘要]]&lt;&gt;"","○","")</f>
        <v>○</v>
      </c>
      <c r="H61" s="16" t="str">
        <f>IF(OR(科目表[[#This Row],[摘要]]="",科目表[[#This Row],[摘要]]="関連"),"○","")</f>
        <v/>
      </c>
      <c r="I61" s="28"/>
      <c r="J61" s="29" t="s">
        <v>180</v>
      </c>
      <c r="K61" s="11"/>
      <c r="L61" s="30" t="s">
        <v>249</v>
      </c>
      <c r="M61" s="31" t="s">
        <v>233</v>
      </c>
      <c r="N61" s="31">
        <v>1</v>
      </c>
      <c r="O61" s="32" t="s">
        <v>237</v>
      </c>
      <c r="P61" s="33"/>
      <c r="Q61" s="34" t="s">
        <v>196</v>
      </c>
      <c r="R61" s="35" t="s">
        <v>219</v>
      </c>
      <c r="S61" s="24"/>
      <c r="T61" s="24"/>
      <c r="U61" s="24"/>
      <c r="V61" s="26"/>
      <c r="W61" s="26">
        <f>IFERROR(1/(COUNTIFS(科目表[修得状況],"e",科目表[摘要],"専門",科目表[摘要の種類],R61)),0)</f>
        <v>0</v>
      </c>
      <c r="X61" s="26">
        <f>IFERROR(1/(COUNTIFS(科目表[修得状況],"e",科目表[摘要],"A",科目表[摘要の種類],R61)),0)</f>
        <v>0.14285714285714285</v>
      </c>
      <c r="Y61" s="26">
        <f>IFERROR(1/(COUNTIFS(科目表[修得状況],"e",科目表[摘要],"A-1",科目表[摘要の種類],R61)),0)</f>
        <v>0</v>
      </c>
      <c r="Z61" s="26">
        <v>31</v>
      </c>
    </row>
    <row r="62" spans="2:26">
      <c r="B62" s="9" t="s">
        <v>337</v>
      </c>
      <c r="C62" s="131"/>
      <c r="D62" s="15" t="str">
        <f>IF(LEFT(科目表[[#This Row],[履修年次]],1)="専","○","")</f>
        <v/>
      </c>
      <c r="E62" s="15" t="str">
        <f>IF(科目表[[#This Row],[単位修得の要件による分類]]="学修総まとめ
科目","",IF(AND(LEFT(科目表[[#This Row],[履修年次]],1)="専",科目表[[#This Row],[摘要]]&lt;&gt;""),"○",""))</f>
        <v/>
      </c>
      <c r="F62" s="15" t="str">
        <f>IF(AND(LEFT(科目表[[#This Row],[履修年次]],1)="専",科目表[[#This Row],[摘要]]&lt;&gt;"",科目表[[#This Row],[摘要]]&lt;&gt;"関連"),"○","")</f>
        <v/>
      </c>
      <c r="G62" s="15" t="str">
        <f>IF(科目表[[#This Row],[摘要]]&lt;&gt;"","○","")</f>
        <v>○</v>
      </c>
      <c r="H62" s="16" t="str">
        <f>IF(OR(科目表[[#This Row],[摘要]]="",科目表[[#This Row],[摘要]]="関連"),"○","")</f>
        <v/>
      </c>
      <c r="I62" s="28"/>
      <c r="J62" s="29" t="s">
        <v>180</v>
      </c>
      <c r="K62" s="11"/>
      <c r="L62" s="30" t="s">
        <v>250</v>
      </c>
      <c r="M62" s="31" t="s">
        <v>233</v>
      </c>
      <c r="N62" s="31">
        <v>1</v>
      </c>
      <c r="O62" s="32" t="s">
        <v>237</v>
      </c>
      <c r="P62" s="33"/>
      <c r="Q62" s="34" t="s">
        <v>196</v>
      </c>
      <c r="R62" s="35" t="s">
        <v>219</v>
      </c>
      <c r="S62" s="24"/>
      <c r="T62" s="24"/>
      <c r="U62" s="24"/>
      <c r="V62" s="26"/>
      <c r="W62" s="26">
        <f>IFERROR(1/(COUNTIFS(科目表[修得状況],"e",科目表[摘要],"専門",科目表[摘要の種類],R62)),0)</f>
        <v>0</v>
      </c>
      <c r="X62" s="26">
        <f>IFERROR(1/(COUNTIFS(科目表[修得状況],"e",科目表[摘要],"A",科目表[摘要の種類],R62)),0)</f>
        <v>0.14285714285714285</v>
      </c>
      <c r="Y62" s="26">
        <f>IFERROR(1/(COUNTIFS(科目表[修得状況],"e",科目表[摘要],"A-1",科目表[摘要の種類],R62)),0)</f>
        <v>0</v>
      </c>
      <c r="Z62" s="128">
        <v>32</v>
      </c>
    </row>
    <row r="63" spans="2:26">
      <c r="B63" s="9"/>
      <c r="C63" s="131"/>
      <c r="D63" s="15" t="str">
        <f>IF(LEFT(科目表[[#This Row],[履修年次]],1)="専","○","")</f>
        <v/>
      </c>
      <c r="E63" s="15" t="str">
        <f>IF(科目表[[#This Row],[単位修得の要件による分類]]="学修総まとめ
科目","",IF(AND(LEFT(科目表[[#This Row],[履修年次]],1)="専",科目表[[#This Row],[摘要]]&lt;&gt;""),"○",""))</f>
        <v/>
      </c>
      <c r="F63" s="15" t="str">
        <f>IF(AND(LEFT(科目表[[#This Row],[履修年次]],1)="専",科目表[[#This Row],[摘要]]&lt;&gt;"",科目表[[#This Row],[摘要]]&lt;&gt;"関連"),"○","")</f>
        <v/>
      </c>
      <c r="G63" s="15" t="str">
        <f>IF(科目表[[#This Row],[摘要]]&lt;&gt;"","○","")</f>
        <v>○</v>
      </c>
      <c r="H63" s="16" t="str">
        <f>IF(OR(科目表[[#This Row],[摘要]]="",科目表[[#This Row],[摘要]]="関連"),"○","")</f>
        <v/>
      </c>
      <c r="I63" s="28"/>
      <c r="J63" s="29" t="s">
        <v>180</v>
      </c>
      <c r="K63" s="11"/>
      <c r="L63" s="30" t="s">
        <v>251</v>
      </c>
      <c r="M63" s="31" t="s">
        <v>233</v>
      </c>
      <c r="N63" s="31">
        <v>1</v>
      </c>
      <c r="O63" s="32" t="s">
        <v>237</v>
      </c>
      <c r="P63" s="33"/>
      <c r="Q63" s="34" t="s">
        <v>196</v>
      </c>
      <c r="R63" s="35" t="s">
        <v>219</v>
      </c>
      <c r="S63" s="24"/>
      <c r="T63" s="24"/>
      <c r="U63" s="24"/>
      <c r="V63" s="26"/>
      <c r="W63" s="26">
        <f>IFERROR(1/(COUNTIFS(科目表[修得状況],"e",科目表[摘要],"専門",科目表[摘要の種類],R63)),0)</f>
        <v>0</v>
      </c>
      <c r="X63" s="26">
        <f>IFERROR(1/(COUNTIFS(科目表[修得状況],"e",科目表[摘要],"A",科目表[摘要の種類],R63)),0)</f>
        <v>0.14285714285714285</v>
      </c>
      <c r="Y63" s="26">
        <f>IFERROR(1/(COUNTIFS(科目表[修得状況],"e",科目表[摘要],"A-1",科目表[摘要の種類],R63)),0)</f>
        <v>0</v>
      </c>
      <c r="Z63" s="128">
        <v>33</v>
      </c>
    </row>
    <row r="64" spans="2:26">
      <c r="B64" s="9"/>
      <c r="C64" s="131"/>
      <c r="D64" s="15" t="str">
        <f>IF(LEFT(科目表[[#This Row],[履修年次]],1)="専","○","")</f>
        <v/>
      </c>
      <c r="E64" s="15" t="str">
        <f>IF(科目表[[#This Row],[単位修得の要件による分類]]="学修総まとめ
科目","",IF(AND(LEFT(科目表[[#This Row],[履修年次]],1)="専",科目表[[#This Row],[摘要]]&lt;&gt;""),"○",""))</f>
        <v/>
      </c>
      <c r="F64" s="15" t="str">
        <f>IF(AND(LEFT(科目表[[#This Row],[履修年次]],1)="専",科目表[[#This Row],[摘要]]&lt;&gt;"",科目表[[#This Row],[摘要]]&lt;&gt;"関連"),"○","")</f>
        <v/>
      </c>
      <c r="G64" s="15" t="str">
        <f>IF(科目表[[#This Row],[摘要]]&lt;&gt;"","○","")</f>
        <v>○</v>
      </c>
      <c r="H64" s="16" t="str">
        <f>IF(OR(科目表[[#This Row],[摘要]]="",科目表[[#This Row],[摘要]]="関連"),"○","")</f>
        <v/>
      </c>
      <c r="I64" s="28"/>
      <c r="J64" s="29" t="s">
        <v>180</v>
      </c>
      <c r="K64" s="11"/>
      <c r="L64" s="30" t="s">
        <v>252</v>
      </c>
      <c r="M64" s="31" t="s">
        <v>233</v>
      </c>
      <c r="N64" s="31">
        <v>1</v>
      </c>
      <c r="O64" s="31" t="s">
        <v>237</v>
      </c>
      <c r="P64" s="28"/>
      <c r="Q64" s="36" t="s">
        <v>196</v>
      </c>
      <c r="R64" s="35" t="s">
        <v>219</v>
      </c>
      <c r="S64" s="24"/>
      <c r="T64" s="24"/>
      <c r="U64" s="24"/>
      <c r="V64" s="25"/>
      <c r="W64" s="26">
        <f>IFERROR(1/(COUNTIFS(科目表[修得状況],"e",科目表[摘要],"専門",科目表[摘要の種類],R64)),0)</f>
        <v>0</v>
      </c>
      <c r="X64" s="26">
        <f>IFERROR(1/(COUNTIFS(科目表[修得状況],"e",科目表[摘要],"A",科目表[摘要の種類],R64)),0)</f>
        <v>0.14285714285714285</v>
      </c>
      <c r="Y64" s="26">
        <f>IFERROR(1/(COUNTIFS(科目表[修得状況],"e",科目表[摘要],"A-1",科目表[摘要の種類],R64)),0)</f>
        <v>0</v>
      </c>
      <c r="Z64" s="128">
        <v>34</v>
      </c>
    </row>
    <row r="65" spans="2:26">
      <c r="B65" s="9"/>
      <c r="C65" s="131"/>
      <c r="D65" s="15" t="str">
        <f>IF(LEFT(科目表[[#This Row],[履修年次]],1)="専","○","")</f>
        <v/>
      </c>
      <c r="E65" s="15" t="str">
        <f>IF(科目表[[#This Row],[単位修得の要件による分類]]="学修総まとめ
科目","",IF(AND(LEFT(科目表[[#This Row],[履修年次]],1)="専",科目表[[#This Row],[摘要]]&lt;&gt;""),"○",""))</f>
        <v/>
      </c>
      <c r="F65" s="15" t="str">
        <f>IF(AND(LEFT(科目表[[#This Row],[履修年次]],1)="専",科目表[[#This Row],[摘要]]&lt;&gt;"",科目表[[#This Row],[摘要]]&lt;&gt;"関連"),"○","")</f>
        <v/>
      </c>
      <c r="G65" s="15" t="str">
        <f>IF(科目表[[#This Row],[摘要]]&lt;&gt;"","○","")</f>
        <v>○</v>
      </c>
      <c r="H65" s="16" t="str">
        <f>IF(OR(科目表[[#This Row],[摘要]]="",科目表[[#This Row],[摘要]]="関連"),"○","")</f>
        <v/>
      </c>
      <c r="I65" s="28"/>
      <c r="J65" s="29" t="s">
        <v>180</v>
      </c>
      <c r="K65" s="11"/>
      <c r="L65" s="30" t="s">
        <v>253</v>
      </c>
      <c r="M65" s="31" t="s">
        <v>233</v>
      </c>
      <c r="N65" s="31">
        <v>1</v>
      </c>
      <c r="O65" s="31" t="s">
        <v>237</v>
      </c>
      <c r="P65" s="28"/>
      <c r="Q65" s="36" t="s">
        <v>196</v>
      </c>
      <c r="R65" s="35" t="s">
        <v>211</v>
      </c>
      <c r="S65" s="24"/>
      <c r="T65" s="24"/>
      <c r="U65" s="24"/>
      <c r="V65" s="25"/>
      <c r="W65" s="26">
        <f>IFERROR(1/(COUNTIFS(科目表[修得状況],"e",科目表[摘要],"専門",科目表[摘要の種類],R65)),0)</f>
        <v>0</v>
      </c>
      <c r="X65" s="26">
        <f>IFERROR(1/(COUNTIFS(科目表[修得状況],"e",科目表[摘要],"A",科目表[摘要の種類],R65)),0)</f>
        <v>5.5555555555555552E-2</v>
      </c>
      <c r="Y65" s="26">
        <f>IFERROR(1/(COUNTIFS(科目表[修得状況],"e",科目表[摘要],"A-1",科目表[摘要の種類],R65)),0)</f>
        <v>0</v>
      </c>
      <c r="Z65" s="26">
        <v>35</v>
      </c>
    </row>
    <row r="66" spans="2:26">
      <c r="B66" s="9" t="s">
        <v>337</v>
      </c>
      <c r="C66" s="131"/>
      <c r="D66" s="15" t="str">
        <f>IF(LEFT(科目表[[#This Row],[履修年次]],1)="専","○","")</f>
        <v>○</v>
      </c>
      <c r="E66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66" s="15" t="str">
        <f>IF(AND(LEFT(科目表[[#This Row],[履修年次]],1)="専",科目表[[#This Row],[摘要]]&lt;&gt;"",科目表[[#This Row],[摘要]]&lt;&gt;"関連"),"○","")</f>
        <v>○</v>
      </c>
      <c r="G66" s="15" t="str">
        <f>IF(科目表[[#This Row],[摘要]]&lt;&gt;"","○","")</f>
        <v>○</v>
      </c>
      <c r="H66" s="16" t="str">
        <f>IF(OR(科目表[[#This Row],[摘要]]="",科目表[[#This Row],[摘要]]="関連"),"○","")</f>
        <v/>
      </c>
      <c r="I66" s="28"/>
      <c r="J66" s="29" t="s">
        <v>180</v>
      </c>
      <c r="K66" s="11"/>
      <c r="L66" s="30" t="s">
        <v>254</v>
      </c>
      <c r="M66" s="31" t="s">
        <v>255</v>
      </c>
      <c r="N66" s="31">
        <v>6</v>
      </c>
      <c r="O66" s="31" t="s">
        <v>256</v>
      </c>
      <c r="P66" s="28"/>
      <c r="Q66" s="36" t="s">
        <v>184</v>
      </c>
      <c r="R66" s="35" t="s">
        <v>223</v>
      </c>
      <c r="S66" s="24"/>
      <c r="T66" s="24"/>
      <c r="U66" s="24"/>
      <c r="V66" s="25"/>
      <c r="W66" s="26">
        <f>IFERROR(1/(COUNTIFS(科目表[修得状況],"e",科目表[摘要],"専門",科目表[摘要の種類],R66)),0)</f>
        <v>0</v>
      </c>
      <c r="X66" s="26">
        <f>IFERROR(1/(COUNTIFS(科目表[修得状況],"e",科目表[摘要],"A",科目表[摘要の種類],R66)),0)</f>
        <v>0</v>
      </c>
      <c r="Y66" s="26">
        <f>IFERROR(1/(COUNTIFS(科目表[修得状況],"e",科目表[摘要],"A-1",科目表[摘要の種類],R66)),0)</f>
        <v>0</v>
      </c>
      <c r="Z66" s="26">
        <v>36</v>
      </c>
    </row>
    <row r="67" spans="2:26">
      <c r="B67" s="9" t="s">
        <v>337</v>
      </c>
      <c r="C67" s="131"/>
      <c r="D67" s="15" t="str">
        <f>IF(LEFT(科目表[[#This Row],[履修年次]],1)="専","○","")</f>
        <v>○</v>
      </c>
      <c r="E67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67" s="15" t="str">
        <f>IF(AND(LEFT(科目表[[#This Row],[履修年次]],1)="専",科目表[[#This Row],[摘要]]&lt;&gt;"",科目表[[#This Row],[摘要]]&lt;&gt;"関連"),"○","")</f>
        <v>○</v>
      </c>
      <c r="G67" s="15" t="str">
        <f>IF(科目表[[#This Row],[摘要]]&lt;&gt;"","○","")</f>
        <v>○</v>
      </c>
      <c r="H67" s="16" t="str">
        <f>IF(OR(科目表[[#This Row],[摘要]]="",科目表[[#This Row],[摘要]]="関連"),"○","")</f>
        <v/>
      </c>
      <c r="I67" s="28"/>
      <c r="J67" s="29" t="s">
        <v>180</v>
      </c>
      <c r="K67" s="11"/>
      <c r="L67" s="30" t="s">
        <v>257</v>
      </c>
      <c r="M67" s="31" t="s">
        <v>255</v>
      </c>
      <c r="N67" s="31">
        <v>2</v>
      </c>
      <c r="O67" s="31" t="s">
        <v>256</v>
      </c>
      <c r="P67" s="28"/>
      <c r="Q67" s="36" t="s">
        <v>184</v>
      </c>
      <c r="R67" s="35" t="s">
        <v>223</v>
      </c>
      <c r="S67" s="24"/>
      <c r="T67" s="24"/>
      <c r="U67" s="24"/>
      <c r="V67" s="25"/>
      <c r="W67" s="26">
        <f>IFERROR(1/(COUNTIFS(科目表[修得状況],"e",科目表[摘要],"専門",科目表[摘要の種類],R67)),0)</f>
        <v>0</v>
      </c>
      <c r="X67" s="26">
        <f>IFERROR(1/(COUNTIFS(科目表[修得状況],"e",科目表[摘要],"A",科目表[摘要の種類],R67)),0)</f>
        <v>0</v>
      </c>
      <c r="Y67" s="26">
        <f>IFERROR(1/(COUNTIFS(科目表[修得状況],"e",科目表[摘要],"A-1",科目表[摘要の種類],R67)),0)</f>
        <v>0</v>
      </c>
      <c r="Z67" s="26">
        <v>37</v>
      </c>
    </row>
    <row r="68" spans="2:26">
      <c r="B68" s="9" t="s">
        <v>337</v>
      </c>
      <c r="C68" s="131"/>
      <c r="D68" s="15" t="str">
        <f>IF(LEFT(科目表[[#This Row],[履修年次]],1)="専","○","")</f>
        <v>○</v>
      </c>
      <c r="E68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68" s="15" t="str">
        <f>IF(AND(LEFT(科目表[[#This Row],[履修年次]],1)="専",科目表[[#This Row],[摘要]]&lt;&gt;"",科目表[[#This Row],[摘要]]&lt;&gt;"関連"),"○","")</f>
        <v>○</v>
      </c>
      <c r="G68" s="15" t="str">
        <f>IF(科目表[[#This Row],[摘要]]&lt;&gt;"","○","")</f>
        <v>○</v>
      </c>
      <c r="H68" s="16" t="str">
        <f>IF(OR(科目表[[#This Row],[摘要]]="",科目表[[#This Row],[摘要]]="関連"),"○","")</f>
        <v/>
      </c>
      <c r="I68" s="28"/>
      <c r="J68" s="29" t="s">
        <v>180</v>
      </c>
      <c r="K68" s="11"/>
      <c r="L68" s="30" t="s">
        <v>258</v>
      </c>
      <c r="M68" s="31" t="s">
        <v>255</v>
      </c>
      <c r="N68" s="31">
        <v>2</v>
      </c>
      <c r="O68" s="31" t="s">
        <v>256</v>
      </c>
      <c r="P68" s="28"/>
      <c r="Q68" s="36" t="s">
        <v>184</v>
      </c>
      <c r="R68" s="35" t="s">
        <v>223</v>
      </c>
      <c r="S68" s="24"/>
      <c r="T68" s="24"/>
      <c r="U68" s="24"/>
      <c r="V68" s="25"/>
      <c r="W68" s="26">
        <f>IFERROR(1/(COUNTIFS(科目表[修得状況],"e",科目表[摘要],"専門",科目表[摘要の種類],R68)),0)</f>
        <v>0</v>
      </c>
      <c r="X68" s="26">
        <f>IFERROR(1/(COUNTIFS(科目表[修得状況],"e",科目表[摘要],"A",科目表[摘要の種類],R68)),0)</f>
        <v>0</v>
      </c>
      <c r="Y68" s="26">
        <f>IFERROR(1/(COUNTIFS(科目表[修得状況],"e",科目表[摘要],"A-1",科目表[摘要の種類],R68)),0)</f>
        <v>0</v>
      </c>
      <c r="Z68" s="128">
        <v>38</v>
      </c>
    </row>
    <row r="69" spans="2:26">
      <c r="B69" s="9" t="s">
        <v>337</v>
      </c>
      <c r="C69" s="131"/>
      <c r="D69" s="15" t="str">
        <f>IF(LEFT(科目表[[#This Row],[履修年次]],1)="専","○","")</f>
        <v>○</v>
      </c>
      <c r="E69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69" s="15" t="str">
        <f>IF(AND(LEFT(科目表[[#This Row],[履修年次]],1)="専",科目表[[#This Row],[摘要]]&lt;&gt;"",科目表[[#This Row],[摘要]]&lt;&gt;"関連"),"○","")</f>
        <v>○</v>
      </c>
      <c r="G69" s="15" t="str">
        <f>IF(科目表[[#This Row],[摘要]]&lt;&gt;"","○","")</f>
        <v>○</v>
      </c>
      <c r="H69" s="16" t="str">
        <f>IF(OR(科目表[[#This Row],[摘要]]="",科目表[[#This Row],[摘要]]="関連"),"○","")</f>
        <v/>
      </c>
      <c r="I69" s="28"/>
      <c r="J69" s="29" t="s">
        <v>259</v>
      </c>
      <c r="K69" s="11"/>
      <c r="L69" s="30" t="s">
        <v>260</v>
      </c>
      <c r="M69" s="31" t="s">
        <v>255</v>
      </c>
      <c r="N69" s="31">
        <v>2</v>
      </c>
      <c r="O69" s="31" t="s">
        <v>256</v>
      </c>
      <c r="P69" s="28"/>
      <c r="Q69" s="36" t="s">
        <v>196</v>
      </c>
      <c r="R69" s="35" t="s">
        <v>211</v>
      </c>
      <c r="S69" s="24"/>
      <c r="T69" s="24"/>
      <c r="U69" s="24"/>
      <c r="V69" s="25"/>
      <c r="W69" s="26">
        <f>IFERROR(1/(COUNTIFS(科目表[修得状況],"e",科目表[摘要],"専門",科目表[摘要の種類],R69)),0)</f>
        <v>0</v>
      </c>
      <c r="X69" s="26">
        <f>IFERROR(1/(COUNTIFS(科目表[修得状況],"e",科目表[摘要],"A",科目表[摘要の種類],R69)),0)</f>
        <v>5.5555555555555552E-2</v>
      </c>
      <c r="Y69" s="26">
        <f>IFERROR(1/(COUNTIFS(科目表[修得状況],"e",科目表[摘要],"A-1",科目表[摘要の種類],R69)),0)</f>
        <v>0</v>
      </c>
      <c r="Z69" s="128">
        <v>39</v>
      </c>
    </row>
    <row r="70" spans="2:26">
      <c r="B70" s="9" t="s">
        <v>337</v>
      </c>
      <c r="C70" s="131"/>
      <c r="D70" s="15" t="str">
        <f>IF(LEFT(科目表[[#This Row],[履修年次]],1)="専","○","")</f>
        <v>○</v>
      </c>
      <c r="E70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0" s="15" t="str">
        <f>IF(AND(LEFT(科目表[[#This Row],[履修年次]],1)="専",科目表[[#This Row],[摘要]]&lt;&gt;"",科目表[[#This Row],[摘要]]&lt;&gt;"関連"),"○","")</f>
        <v>○</v>
      </c>
      <c r="G70" s="15" t="str">
        <f>IF(科目表[[#This Row],[摘要]]&lt;&gt;"","○","")</f>
        <v>○</v>
      </c>
      <c r="H70" s="16" t="str">
        <f>IF(OR(科目表[[#This Row],[摘要]]="",科目表[[#This Row],[摘要]]="関連"),"○","")</f>
        <v/>
      </c>
      <c r="I70" s="28"/>
      <c r="J70" s="29" t="s">
        <v>180</v>
      </c>
      <c r="K70" s="11"/>
      <c r="L70" s="30" t="s">
        <v>261</v>
      </c>
      <c r="M70" s="31" t="s">
        <v>262</v>
      </c>
      <c r="N70" s="31">
        <v>2</v>
      </c>
      <c r="O70" s="31" t="s">
        <v>256</v>
      </c>
      <c r="P70" s="28"/>
      <c r="Q70" s="36" t="s">
        <v>196</v>
      </c>
      <c r="R70" s="35" t="s">
        <v>235</v>
      </c>
      <c r="S70" s="24"/>
      <c r="T70" s="24"/>
      <c r="U70" s="24"/>
      <c r="V70" s="25"/>
      <c r="W70" s="26">
        <f>IFERROR(1/(COUNTIFS(科目表[修得状況],"e",科目表[摘要],"専門",科目表[摘要の種類],R70)),0)</f>
        <v>0</v>
      </c>
      <c r="X70" s="26">
        <f>IFERROR(1/(COUNTIFS(科目表[修得状況],"e",科目表[摘要],"A",科目表[摘要の種類],R70)),0)</f>
        <v>0.25</v>
      </c>
      <c r="Y70" s="26">
        <f>IFERROR(1/(COUNTIFS(科目表[修得状況],"e",科目表[摘要],"A-1",科目表[摘要の種類],R70)),0)</f>
        <v>0</v>
      </c>
      <c r="Z70" s="128">
        <v>40</v>
      </c>
    </row>
    <row r="71" spans="2:26">
      <c r="B71" s="9" t="s">
        <v>337</v>
      </c>
      <c r="C71" s="131"/>
      <c r="D71" s="15" t="str">
        <f>IF(LEFT(科目表[[#This Row],[履修年次]],1)="専","○","")</f>
        <v>○</v>
      </c>
      <c r="E71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1" s="15" t="str">
        <f>IF(AND(LEFT(科目表[[#This Row],[履修年次]],1)="専",科目表[[#This Row],[摘要]]&lt;&gt;"",科目表[[#This Row],[摘要]]&lt;&gt;"関連"),"○","")</f>
        <v>○</v>
      </c>
      <c r="G71" s="15" t="str">
        <f>IF(科目表[[#This Row],[摘要]]&lt;&gt;"","○","")</f>
        <v>○</v>
      </c>
      <c r="H71" s="16" t="str">
        <f>IF(OR(科目表[[#This Row],[摘要]]="",科目表[[#This Row],[摘要]]="関連"),"○","")</f>
        <v/>
      </c>
      <c r="I71" s="28"/>
      <c r="J71" s="29" t="s">
        <v>180</v>
      </c>
      <c r="K71" s="11"/>
      <c r="L71" s="30" t="s">
        <v>263</v>
      </c>
      <c r="M71" s="31" t="s">
        <v>264</v>
      </c>
      <c r="N71" s="31">
        <v>2</v>
      </c>
      <c r="O71" s="31" t="s">
        <v>256</v>
      </c>
      <c r="P71" s="28"/>
      <c r="Q71" s="36" t="s">
        <v>196</v>
      </c>
      <c r="R71" s="35" t="s">
        <v>235</v>
      </c>
      <c r="S71" s="24"/>
      <c r="T71" s="24"/>
      <c r="U71" s="24"/>
      <c r="V71" s="25"/>
      <c r="W71" s="26">
        <f>IFERROR(1/(COUNTIFS(科目表[修得状況],"e",科目表[摘要],"専門",科目表[摘要の種類],R71)),0)</f>
        <v>0</v>
      </c>
      <c r="X71" s="26">
        <f>IFERROR(1/(COUNTIFS(科目表[修得状況],"e",科目表[摘要],"A",科目表[摘要の種類],R71)),0)</f>
        <v>0.25</v>
      </c>
      <c r="Y71" s="26">
        <f>IFERROR(1/(COUNTIFS(科目表[修得状況],"e",科目表[摘要],"A-1",科目表[摘要の種類],R71)),0)</f>
        <v>0</v>
      </c>
      <c r="Z71" s="26">
        <v>41</v>
      </c>
    </row>
    <row r="72" spans="2:26">
      <c r="B72" s="9" t="s">
        <v>337</v>
      </c>
      <c r="C72" s="131"/>
      <c r="D72" s="15" t="str">
        <f>IF(LEFT(科目表[[#This Row],[履修年次]],1)="専","○","")</f>
        <v>○</v>
      </c>
      <c r="E72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2" s="15" t="str">
        <f>IF(AND(LEFT(科目表[[#This Row],[履修年次]],1)="専",科目表[[#This Row],[摘要]]&lt;&gt;"",科目表[[#This Row],[摘要]]&lt;&gt;"関連"),"○","")</f>
        <v>○</v>
      </c>
      <c r="G72" s="15" t="str">
        <f>IF(科目表[[#This Row],[摘要]]&lt;&gt;"","○","")</f>
        <v>○</v>
      </c>
      <c r="H72" s="16" t="str">
        <f>IF(OR(科目表[[#This Row],[摘要]]="",科目表[[#This Row],[摘要]]="関連"),"○","")</f>
        <v/>
      </c>
      <c r="I72" s="28"/>
      <c r="J72" s="29" t="s">
        <v>180</v>
      </c>
      <c r="K72" s="11"/>
      <c r="L72" s="30" t="s">
        <v>265</v>
      </c>
      <c r="M72" s="31" t="s">
        <v>264</v>
      </c>
      <c r="N72" s="31">
        <v>2</v>
      </c>
      <c r="O72" s="31" t="s">
        <v>256</v>
      </c>
      <c r="P72" s="28"/>
      <c r="Q72" s="36" t="s">
        <v>196</v>
      </c>
      <c r="R72" s="35" t="s">
        <v>235</v>
      </c>
      <c r="S72" s="24"/>
      <c r="T72" s="24"/>
      <c r="U72" s="24"/>
      <c r="V72" s="25"/>
      <c r="W72" s="26">
        <f>IFERROR(1/(COUNTIFS(科目表[修得状況],"e",科目表[摘要],"専門",科目表[摘要の種類],R72)),0)</f>
        <v>0</v>
      </c>
      <c r="X72" s="26">
        <f>IFERROR(1/(COUNTIFS(科目表[修得状況],"e",科目表[摘要],"A",科目表[摘要の種類],R72)),0)</f>
        <v>0.25</v>
      </c>
      <c r="Y72" s="26">
        <f>IFERROR(1/(COUNTIFS(科目表[修得状況],"e",科目表[摘要],"A-1",科目表[摘要の種類],R72)),0)</f>
        <v>0</v>
      </c>
      <c r="Z72" s="26">
        <v>42</v>
      </c>
    </row>
    <row r="73" spans="2:26">
      <c r="B73" s="9" t="s">
        <v>337</v>
      </c>
      <c r="C73" s="131"/>
      <c r="D73" s="15" t="str">
        <f>IF(LEFT(科目表[[#This Row],[履修年次]],1)="専","○","")</f>
        <v>○</v>
      </c>
      <c r="E73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3" s="15" t="str">
        <f>IF(AND(LEFT(科目表[[#This Row],[履修年次]],1)="専",科目表[[#This Row],[摘要]]&lt;&gt;"",科目表[[#This Row],[摘要]]&lt;&gt;"関連"),"○","")</f>
        <v>○</v>
      </c>
      <c r="G73" s="15" t="str">
        <f>IF(科目表[[#This Row],[摘要]]&lt;&gt;"","○","")</f>
        <v>○</v>
      </c>
      <c r="H73" s="16" t="str">
        <f>IF(OR(科目表[[#This Row],[摘要]]="",科目表[[#This Row],[摘要]]="関連"),"○","")</f>
        <v/>
      </c>
      <c r="I73" s="28"/>
      <c r="J73" s="29" t="s">
        <v>180</v>
      </c>
      <c r="K73" s="11"/>
      <c r="L73" s="30" t="s">
        <v>266</v>
      </c>
      <c r="M73" s="31" t="s">
        <v>264</v>
      </c>
      <c r="N73" s="31">
        <v>2</v>
      </c>
      <c r="O73" s="31" t="s">
        <v>256</v>
      </c>
      <c r="P73" s="28"/>
      <c r="Q73" s="36" t="s">
        <v>196</v>
      </c>
      <c r="R73" s="35" t="s">
        <v>241</v>
      </c>
      <c r="S73" s="24"/>
      <c r="T73" s="24"/>
      <c r="U73" s="24"/>
      <c r="V73" s="25"/>
      <c r="W73" s="26">
        <f>IFERROR(1/(COUNTIFS(科目表[修得状況],"e",科目表[摘要],"専門",科目表[摘要の種類],R73)),0)</f>
        <v>0</v>
      </c>
      <c r="X73" s="26">
        <f>IFERROR(1/(COUNTIFS(科目表[修得状況],"e",科目表[摘要],"A",科目表[摘要の種類],R73)),0)</f>
        <v>0.33333333333333331</v>
      </c>
      <c r="Y73" s="26">
        <f>IFERROR(1/(COUNTIFS(科目表[修得状況],"e",科目表[摘要],"A-1",科目表[摘要の種類],R73)),0)</f>
        <v>0</v>
      </c>
      <c r="Z73" s="26">
        <v>43</v>
      </c>
    </row>
    <row r="74" spans="2:26">
      <c r="B74" s="9" t="s">
        <v>337</v>
      </c>
      <c r="C74" s="131"/>
      <c r="D74" s="15" t="str">
        <f>IF(LEFT(科目表[[#This Row],[履修年次]],1)="専","○","")</f>
        <v>○</v>
      </c>
      <c r="E74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4" s="15" t="str">
        <f>IF(AND(LEFT(科目表[[#This Row],[履修年次]],1)="専",科目表[[#This Row],[摘要]]&lt;&gt;"",科目表[[#This Row],[摘要]]&lt;&gt;"関連"),"○","")</f>
        <v>○</v>
      </c>
      <c r="G74" s="15" t="str">
        <f>IF(科目表[[#This Row],[摘要]]&lt;&gt;"","○","")</f>
        <v>○</v>
      </c>
      <c r="H74" s="16" t="str">
        <f>IF(OR(科目表[[#This Row],[摘要]]="",科目表[[#This Row],[摘要]]="関連"),"○","")</f>
        <v/>
      </c>
      <c r="I74" s="28"/>
      <c r="J74" s="29" t="s">
        <v>180</v>
      </c>
      <c r="K74" s="11"/>
      <c r="L74" s="30" t="s">
        <v>267</v>
      </c>
      <c r="M74" s="31" t="s">
        <v>264</v>
      </c>
      <c r="N74" s="31">
        <v>2</v>
      </c>
      <c r="O74" s="31" t="s">
        <v>256</v>
      </c>
      <c r="P74" s="28"/>
      <c r="Q74" s="36" t="s">
        <v>196</v>
      </c>
      <c r="R74" s="35" t="s">
        <v>211</v>
      </c>
      <c r="S74" s="24"/>
      <c r="T74" s="24"/>
      <c r="U74" s="24"/>
      <c r="V74" s="25"/>
      <c r="W74" s="26">
        <f>IFERROR(1/(COUNTIFS(科目表[修得状況],"e",科目表[摘要],"専門",科目表[摘要の種類],R74)),0)</f>
        <v>0</v>
      </c>
      <c r="X74" s="26">
        <f>IFERROR(1/(COUNTIFS(科目表[修得状況],"e",科目表[摘要],"A",科目表[摘要の種類],R74)),0)</f>
        <v>5.5555555555555552E-2</v>
      </c>
      <c r="Y74" s="26">
        <f>IFERROR(1/(COUNTIFS(科目表[修得状況],"e",科目表[摘要],"A-1",科目表[摘要の種類],R74)),0)</f>
        <v>0</v>
      </c>
      <c r="Z74" s="128">
        <v>44</v>
      </c>
    </row>
    <row r="75" spans="2:26">
      <c r="B75" s="9" t="s">
        <v>337</v>
      </c>
      <c r="C75" s="131"/>
      <c r="D75" s="15" t="str">
        <f>IF(LEFT(科目表[[#This Row],[履修年次]],1)="専","○","")</f>
        <v>○</v>
      </c>
      <c r="E75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5" s="15" t="str">
        <f>IF(AND(LEFT(科目表[[#This Row],[履修年次]],1)="専",科目表[[#This Row],[摘要]]&lt;&gt;"",科目表[[#This Row],[摘要]]&lt;&gt;"関連"),"○","")</f>
        <v>○</v>
      </c>
      <c r="G75" s="15" t="str">
        <f>IF(科目表[[#This Row],[摘要]]&lt;&gt;"","○","")</f>
        <v>○</v>
      </c>
      <c r="H75" s="16" t="str">
        <f>IF(OR(科目表[[#This Row],[摘要]]="",科目表[[#This Row],[摘要]]="関連"),"○","")</f>
        <v/>
      </c>
      <c r="I75" s="28"/>
      <c r="J75" s="29" t="s">
        <v>180</v>
      </c>
      <c r="K75" s="11"/>
      <c r="L75" s="30" t="s">
        <v>268</v>
      </c>
      <c r="M75" s="31" t="s">
        <v>264</v>
      </c>
      <c r="N75" s="31">
        <v>2</v>
      </c>
      <c r="O75" s="31" t="s">
        <v>256</v>
      </c>
      <c r="P75" s="28"/>
      <c r="Q75" s="36" t="s">
        <v>196</v>
      </c>
      <c r="R75" s="35" t="s">
        <v>219</v>
      </c>
      <c r="S75" s="24"/>
      <c r="T75" s="24"/>
      <c r="U75" s="24"/>
      <c r="V75" s="25"/>
      <c r="W75" s="26">
        <f>IFERROR(1/(COUNTIFS(科目表[修得状況],"e",科目表[摘要],"専門",科目表[摘要の種類],R75)),0)</f>
        <v>0</v>
      </c>
      <c r="X75" s="26">
        <f>IFERROR(1/(COUNTIFS(科目表[修得状況],"e",科目表[摘要],"A",科目表[摘要の種類],R75)),0)</f>
        <v>0.14285714285714285</v>
      </c>
      <c r="Y75" s="26">
        <f>IFERROR(1/(COUNTIFS(科目表[修得状況],"e",科目表[摘要],"A-1",科目表[摘要の種類],R75)),0)</f>
        <v>0</v>
      </c>
      <c r="Z75" s="128">
        <v>45</v>
      </c>
    </row>
    <row r="76" spans="2:26">
      <c r="B76" s="9" t="s">
        <v>337</v>
      </c>
      <c r="C76" s="131"/>
      <c r="D76" s="15" t="str">
        <f>IF(LEFT(科目表[[#This Row],[履修年次]],1)="専","○","")</f>
        <v>○</v>
      </c>
      <c r="E76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6" s="15" t="str">
        <f>IF(AND(LEFT(科目表[[#This Row],[履修年次]],1)="専",科目表[[#This Row],[摘要]]&lt;&gt;"",科目表[[#This Row],[摘要]]&lt;&gt;"関連"),"○","")</f>
        <v>○</v>
      </c>
      <c r="G76" s="15" t="str">
        <f>IF(科目表[[#This Row],[摘要]]&lt;&gt;"","○","")</f>
        <v>○</v>
      </c>
      <c r="H76" s="16" t="str">
        <f>IF(OR(科目表[[#This Row],[摘要]]="",科目表[[#This Row],[摘要]]="関連"),"○","")</f>
        <v/>
      </c>
      <c r="I76" s="28"/>
      <c r="J76" s="29" t="s">
        <v>180</v>
      </c>
      <c r="K76" s="11"/>
      <c r="L76" s="30" t="s">
        <v>269</v>
      </c>
      <c r="M76" s="31" t="s">
        <v>255</v>
      </c>
      <c r="N76" s="31">
        <v>2</v>
      </c>
      <c r="O76" s="31" t="s">
        <v>270</v>
      </c>
      <c r="P76" s="28"/>
      <c r="Q76" s="36" t="s">
        <v>184</v>
      </c>
      <c r="R76" s="35" t="s">
        <v>223</v>
      </c>
      <c r="S76" s="24"/>
      <c r="T76" s="24"/>
      <c r="U76" s="24"/>
      <c r="V76" s="25"/>
      <c r="W76" s="26">
        <f>IFERROR(1/(COUNTIFS(科目表[修得状況],"e",科目表[摘要],"専門",科目表[摘要の種類],R76)),0)</f>
        <v>0</v>
      </c>
      <c r="X76" s="26">
        <f>IFERROR(1/(COUNTIFS(科目表[修得状況],"e",科目表[摘要],"A",科目表[摘要の種類],R76)),0)</f>
        <v>0</v>
      </c>
      <c r="Y76" s="26">
        <f>IFERROR(1/(COUNTIFS(科目表[修得状況],"e",科目表[摘要],"A-1",科目表[摘要の種類],R76)),0)</f>
        <v>0</v>
      </c>
      <c r="Z76" s="128">
        <v>46</v>
      </c>
    </row>
    <row r="77" spans="2:26">
      <c r="B77" s="9"/>
      <c r="C77" s="131"/>
      <c r="D77" s="15" t="str">
        <f>IF(LEFT(科目表[[#This Row],[履修年次]],1)="専","○","")</f>
        <v>○</v>
      </c>
      <c r="E77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7" s="15" t="str">
        <f>IF(AND(LEFT(科目表[[#This Row],[履修年次]],1)="専",科目表[[#This Row],[摘要]]&lt;&gt;"",科目表[[#This Row],[摘要]]&lt;&gt;"関連"),"○","")</f>
        <v>○</v>
      </c>
      <c r="G77" s="15" t="str">
        <f>IF(科目表[[#This Row],[摘要]]&lt;&gt;"","○","")</f>
        <v>○</v>
      </c>
      <c r="H77" s="16" t="str">
        <f>IF(OR(科目表[[#This Row],[摘要]]="",科目表[[#This Row],[摘要]]="関連"),"○","")</f>
        <v/>
      </c>
      <c r="I77" s="28"/>
      <c r="J77" s="29" t="s">
        <v>180</v>
      </c>
      <c r="K77" s="11"/>
      <c r="L77" s="30" t="s">
        <v>271</v>
      </c>
      <c r="M77" s="31" t="s">
        <v>264</v>
      </c>
      <c r="N77" s="31">
        <v>2</v>
      </c>
      <c r="O77" s="31" t="s">
        <v>270</v>
      </c>
      <c r="P77" s="28"/>
      <c r="Q77" s="36" t="s">
        <v>196</v>
      </c>
      <c r="R77" s="35" t="s">
        <v>272</v>
      </c>
      <c r="S77" s="24"/>
      <c r="T77" s="24"/>
      <c r="U77" s="24"/>
      <c r="V77" s="25"/>
      <c r="W77" s="26">
        <f>IFERROR(1/(COUNTIFS(科目表[修得状況],"e",科目表[摘要],"専門",科目表[摘要の種類],R77)),0)</f>
        <v>0</v>
      </c>
      <c r="X77" s="26">
        <f>IFERROR(1/(COUNTIFS(科目表[修得状況],"e",科目表[摘要],"A",科目表[摘要の種類],R77)),0)</f>
        <v>0.14285714285714285</v>
      </c>
      <c r="Y77" s="26">
        <f>IFERROR(1/(COUNTIFS(科目表[修得状況],"e",科目表[摘要],"A-1",科目表[摘要の種類],R77)),0)</f>
        <v>0</v>
      </c>
      <c r="Z77" s="26">
        <v>47</v>
      </c>
    </row>
    <row r="78" spans="2:26">
      <c r="B78" s="9"/>
      <c r="C78" s="131"/>
      <c r="D78" s="15" t="str">
        <f>IF(LEFT(科目表[[#This Row],[履修年次]],1)="専","○","")</f>
        <v>○</v>
      </c>
      <c r="E78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8" s="15" t="str">
        <f>IF(AND(LEFT(科目表[[#This Row],[履修年次]],1)="専",科目表[[#This Row],[摘要]]&lt;&gt;"",科目表[[#This Row],[摘要]]&lt;&gt;"関連"),"○","")</f>
        <v>○</v>
      </c>
      <c r="G78" s="15" t="str">
        <f>IF(科目表[[#This Row],[摘要]]&lt;&gt;"","○","")</f>
        <v>○</v>
      </c>
      <c r="H78" s="16" t="str">
        <f>IF(OR(科目表[[#This Row],[摘要]]="",科目表[[#This Row],[摘要]]="関連"),"○","")</f>
        <v/>
      </c>
      <c r="I78" s="28"/>
      <c r="J78" s="29" t="s">
        <v>180</v>
      </c>
      <c r="K78" s="11"/>
      <c r="L78" s="30" t="s">
        <v>273</v>
      </c>
      <c r="M78" s="31" t="s">
        <v>264</v>
      </c>
      <c r="N78" s="31">
        <v>2</v>
      </c>
      <c r="O78" s="31" t="s">
        <v>270</v>
      </c>
      <c r="P78" s="28"/>
      <c r="Q78" s="36" t="s">
        <v>196</v>
      </c>
      <c r="R78" s="35" t="s">
        <v>235</v>
      </c>
      <c r="S78" s="24"/>
      <c r="T78" s="24"/>
      <c r="U78" s="24"/>
      <c r="V78" s="25"/>
      <c r="W78" s="26">
        <f>IFERROR(1/(COUNTIFS(科目表[修得状況],"e",科目表[摘要],"専門",科目表[摘要の種類],R78)),0)</f>
        <v>0</v>
      </c>
      <c r="X78" s="26">
        <f>IFERROR(1/(COUNTIFS(科目表[修得状況],"e",科目表[摘要],"A",科目表[摘要の種類],R78)),0)</f>
        <v>0.25</v>
      </c>
      <c r="Y78" s="26">
        <f>IFERROR(1/(COUNTIFS(科目表[修得状況],"e",科目表[摘要],"A-1",科目表[摘要の種類],R78)),0)</f>
        <v>0</v>
      </c>
      <c r="Z78" s="26">
        <v>48</v>
      </c>
    </row>
    <row r="79" spans="2:26">
      <c r="B79" s="9"/>
      <c r="C79" s="131"/>
      <c r="D79" s="15" t="str">
        <f>IF(LEFT(科目表[[#This Row],[履修年次]],1)="専","○","")</f>
        <v>○</v>
      </c>
      <c r="E79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79" s="15" t="str">
        <f>IF(AND(LEFT(科目表[[#This Row],[履修年次]],1)="専",科目表[[#This Row],[摘要]]&lt;&gt;"",科目表[[#This Row],[摘要]]&lt;&gt;"関連"),"○","")</f>
        <v>○</v>
      </c>
      <c r="G79" s="15" t="str">
        <f>IF(科目表[[#This Row],[摘要]]&lt;&gt;"","○","")</f>
        <v>○</v>
      </c>
      <c r="H79" s="16" t="str">
        <f>IF(OR(科目表[[#This Row],[摘要]]="",科目表[[#This Row],[摘要]]="関連"),"○","")</f>
        <v/>
      </c>
      <c r="I79" s="28"/>
      <c r="J79" s="29" t="s">
        <v>180</v>
      </c>
      <c r="K79" s="11"/>
      <c r="L79" s="30" t="s">
        <v>274</v>
      </c>
      <c r="M79" s="31" t="s">
        <v>264</v>
      </c>
      <c r="N79" s="31">
        <v>2</v>
      </c>
      <c r="O79" s="31" t="s">
        <v>270</v>
      </c>
      <c r="P79" s="28"/>
      <c r="Q79" s="36" t="s">
        <v>196</v>
      </c>
      <c r="R79" s="35" t="s">
        <v>235</v>
      </c>
      <c r="S79" s="24"/>
      <c r="T79" s="24"/>
      <c r="U79" s="24"/>
      <c r="V79" s="25"/>
      <c r="W79" s="26">
        <f>IFERROR(1/(COUNTIFS(科目表[修得状況],"e",科目表[摘要],"専門",科目表[摘要の種類],R79)),0)</f>
        <v>0</v>
      </c>
      <c r="X79" s="26">
        <f>IFERROR(1/(COUNTIFS(科目表[修得状況],"e",科目表[摘要],"A",科目表[摘要の種類],R79)),0)</f>
        <v>0.25</v>
      </c>
      <c r="Y79" s="26">
        <f>IFERROR(1/(COUNTIFS(科目表[修得状況],"e",科目表[摘要],"A-1",科目表[摘要の種類],R79)),0)</f>
        <v>0</v>
      </c>
      <c r="Z79" s="26">
        <v>49</v>
      </c>
    </row>
    <row r="80" spans="2:26">
      <c r="B80" s="9" t="s">
        <v>77</v>
      </c>
      <c r="C80" s="131"/>
      <c r="D80" s="15" t="str">
        <f>IF(LEFT(科目表[[#This Row],[履修年次]],1)="専","○","")</f>
        <v>○</v>
      </c>
      <c r="E80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80" s="15" t="str">
        <f>IF(AND(LEFT(科目表[[#This Row],[履修年次]],1)="専",科目表[[#This Row],[摘要]]&lt;&gt;"",科目表[[#This Row],[摘要]]&lt;&gt;"関連"),"○","")</f>
        <v>○</v>
      </c>
      <c r="G80" s="15" t="str">
        <f>IF(科目表[[#This Row],[摘要]]&lt;&gt;"","○","")</f>
        <v>○</v>
      </c>
      <c r="H80" s="16" t="str">
        <f>IF(OR(科目表[[#This Row],[摘要]]="",科目表[[#This Row],[摘要]]="関連"),"○","")</f>
        <v/>
      </c>
      <c r="I80" s="28"/>
      <c r="J80" s="29" t="s">
        <v>180</v>
      </c>
      <c r="K80" s="11"/>
      <c r="L80" s="30" t="s">
        <v>275</v>
      </c>
      <c r="M80" s="31" t="s">
        <v>264</v>
      </c>
      <c r="N80" s="31">
        <v>2</v>
      </c>
      <c r="O80" s="31" t="s">
        <v>270</v>
      </c>
      <c r="P80" s="28"/>
      <c r="Q80" s="36" t="s">
        <v>196</v>
      </c>
      <c r="R80" s="35" t="s">
        <v>211</v>
      </c>
      <c r="S80" s="24"/>
      <c r="T80" s="24"/>
      <c r="U80" s="24"/>
      <c r="V80" s="25"/>
      <c r="W80" s="26">
        <f>IFERROR(1/(COUNTIFS(科目表[修得状況],"e",科目表[摘要],"専門",科目表[摘要の種類],R80)),0)</f>
        <v>0</v>
      </c>
      <c r="X80" s="26">
        <f>IFERROR(1/(COUNTIFS(科目表[修得状況],"e",科目表[摘要],"A",科目表[摘要の種類],R80)),0)</f>
        <v>5.5555555555555552E-2</v>
      </c>
      <c r="Y80" s="26">
        <f>IFERROR(1/(COUNTIFS(科目表[修得状況],"e",科目表[摘要],"A-1",科目表[摘要の種類],R80)),0)</f>
        <v>0</v>
      </c>
      <c r="Z80" s="128">
        <v>50</v>
      </c>
    </row>
    <row r="81" spans="2:26">
      <c r="B81" s="9"/>
      <c r="C81" s="131"/>
      <c r="D81" s="15" t="str">
        <f>IF(LEFT(科目表[[#This Row],[履修年次]],1)="専","○","")</f>
        <v>○</v>
      </c>
      <c r="E81" s="15" t="str">
        <f>IF(科目表[[#This Row],[単位修得の要件による分類]]="学修総まとめ
科目","",IF(AND(LEFT(科目表[[#This Row],[履修年次]],1)="専",科目表[[#This Row],[摘要]]&lt;&gt;""),"○",""))</f>
        <v>○</v>
      </c>
      <c r="F81" s="15" t="str">
        <f>IF(AND(LEFT(科目表[[#This Row],[履修年次]],1)="専",科目表[[#This Row],[摘要]]&lt;&gt;"",科目表[[#This Row],[摘要]]&lt;&gt;"関連"),"○","")</f>
        <v>○</v>
      </c>
      <c r="G81" s="15" t="str">
        <f>IF(科目表[[#This Row],[摘要]]&lt;&gt;"","○","")</f>
        <v>○</v>
      </c>
      <c r="H81" s="16" t="str">
        <f>IF(OR(科目表[[#This Row],[摘要]]="",科目表[[#This Row],[摘要]]="関連"),"○","")</f>
        <v/>
      </c>
      <c r="I81" s="28"/>
      <c r="J81" s="29" t="s">
        <v>180</v>
      </c>
      <c r="K81" s="11"/>
      <c r="L81" s="30" t="s">
        <v>276</v>
      </c>
      <c r="M81" s="31" t="s">
        <v>264</v>
      </c>
      <c r="N81" s="31">
        <v>2</v>
      </c>
      <c r="O81" s="31" t="s">
        <v>270</v>
      </c>
      <c r="P81" s="28"/>
      <c r="Q81" s="36" t="s">
        <v>196</v>
      </c>
      <c r="R81" s="35" t="s">
        <v>241</v>
      </c>
      <c r="S81" s="24"/>
      <c r="T81" s="24"/>
      <c r="U81" s="24"/>
      <c r="V81" s="25"/>
      <c r="W81" s="26">
        <f>IFERROR(1/(COUNTIFS(科目表[修得状況],"e",科目表[摘要],"専門",科目表[摘要の種類],R81)),0)</f>
        <v>0</v>
      </c>
      <c r="X81" s="26">
        <f>IFERROR(1/(COUNTIFS(科目表[修得状況],"e",科目表[摘要],"A",科目表[摘要の種類],R81)),0)</f>
        <v>0.33333333333333331</v>
      </c>
      <c r="Y81" s="26">
        <f>IFERROR(1/(COUNTIFS(科目表[修得状況],"e",科目表[摘要],"A-1",科目表[摘要の種類],R81)),0)</f>
        <v>0</v>
      </c>
      <c r="Z81" s="128">
        <v>51</v>
      </c>
    </row>
    <row r="82" spans="2:26" ht="19" thickBot="1">
      <c r="B82" s="2"/>
      <c r="C82" s="132" t="s">
        <v>13</v>
      </c>
      <c r="D82" s="49">
        <f>SUMIFS(N31:N81,D31:D81,"○")</f>
        <v>36</v>
      </c>
      <c r="E82" s="49">
        <f>SUMIFS(N31:N81,E31:E81,"○")</f>
        <v>36</v>
      </c>
      <c r="F82" s="49">
        <f>SUMIFS(N31:N81,F31:F81,"○")</f>
        <v>36</v>
      </c>
      <c r="G82" s="49">
        <f>SUMIFS(N31:N81,G31:G81,"○")</f>
        <v>95</v>
      </c>
      <c r="H82" s="49">
        <f>SUMIFS(N31:N81,H31:H81,"○")</f>
        <v>0</v>
      </c>
      <c r="I82" s="49">
        <f>SUMIFS(N31:N81,I31:I81,"○")</f>
        <v>0</v>
      </c>
      <c r="J82" s="50"/>
      <c r="K82" s="12"/>
      <c r="L82" s="51"/>
      <c r="M82" s="49"/>
      <c r="N82" s="49"/>
      <c r="O82" s="52"/>
      <c r="P82" s="53"/>
      <c r="Q82" s="54"/>
      <c r="R82" s="55"/>
      <c r="S82" s="56"/>
      <c r="T82" s="56"/>
      <c r="U82" s="56"/>
      <c r="V82" s="57"/>
      <c r="W82" s="26">
        <f>IFERROR(1/(COUNTIFS(科目表[修得状況],"e",科目表[摘要],"専門",科目表[摘要の種類],R82)),0)</f>
        <v>0</v>
      </c>
      <c r="X82" s="26">
        <f>IFERROR(1/(COUNTIFS(科目表[修得状況],"e",科目表[摘要],"A",科目表[摘要の種類],R82)),0)</f>
        <v>0</v>
      </c>
      <c r="Y82" s="26">
        <f>IFERROR(1/(COUNTIFS(科目表[修得状況],"e",科目表[摘要],"A-1",科目表[摘要の種類],R82)),0)</f>
        <v>0</v>
      </c>
      <c r="Z82" s="128">
        <v>52</v>
      </c>
    </row>
    <row r="83" spans="2:26" ht="15" thickTop="1">
      <c r="B83" s="3" t="s">
        <v>78</v>
      </c>
      <c r="C83" s="131" t="s">
        <v>176</v>
      </c>
      <c r="D83" s="133" t="str">
        <f>IF(LEFT(科目表[[#This Row],[履修年次]],1)="専","○","")</f>
        <v/>
      </c>
      <c r="E83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83" s="133" t="str">
        <f>IF(AND(LEFT(科目表[[#This Row],[履修年次]],1)="専",科目表[[#This Row],[摘要]]&lt;&gt;"",科目表[[#This Row],[摘要]]&lt;&gt;"関連"),"○","")</f>
        <v/>
      </c>
      <c r="G83" s="133" t="str">
        <f>IF(科目表[[#This Row],[摘要]]&lt;&gt;"","○","")</f>
        <v>○</v>
      </c>
      <c r="H83" s="133" t="str">
        <f>IF(OR(科目表[[#This Row],[摘要]]="",科目表[[#This Row],[摘要]]="関連"),"○","")</f>
        <v>○</v>
      </c>
      <c r="I83" s="134" t="s">
        <v>178</v>
      </c>
      <c r="J83" s="135" t="s">
        <v>180</v>
      </c>
      <c r="K83" s="13"/>
      <c r="L83" s="136" t="s">
        <v>201</v>
      </c>
      <c r="M83" s="137" t="s">
        <v>277</v>
      </c>
      <c r="N83" s="133">
        <v>1</v>
      </c>
      <c r="O83" s="138" t="s">
        <v>231</v>
      </c>
      <c r="P83" s="139"/>
      <c r="Q83" s="120" t="s">
        <v>278</v>
      </c>
      <c r="R83" s="140" t="s">
        <v>279</v>
      </c>
      <c r="S83" s="121"/>
      <c r="T83" s="121"/>
      <c r="U83" s="121"/>
      <c r="V83" s="141"/>
      <c r="W83" s="26">
        <f>IFERROR(1/(COUNTIFS(科目表[修得状況],"e",科目表[摘要],"専門",科目表[摘要の種類],R83)),0)</f>
        <v>0</v>
      </c>
      <c r="X83" s="26">
        <f>IFERROR(1/(COUNTIFS(科目表[修得状況],"e",科目表[摘要],"A",科目表[摘要の種類],R83)),0)</f>
        <v>0</v>
      </c>
      <c r="Y83" s="26">
        <f>IFERROR(1/(COUNTIFS(科目表[修得状況],"e",科目表[摘要],"A-1",科目表[摘要の種類],R83)),0)</f>
        <v>0</v>
      </c>
      <c r="Z83" s="26">
        <v>53</v>
      </c>
    </row>
    <row r="84" spans="2:26">
      <c r="B84" s="9" t="s">
        <v>337</v>
      </c>
      <c r="C84" s="131"/>
      <c r="D84" s="133" t="str">
        <f>IF(LEFT(科目表[[#This Row],[履修年次]],1)="専","○","")</f>
        <v/>
      </c>
      <c r="E84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84" s="133" t="str">
        <f>IF(AND(LEFT(科目表[[#This Row],[履修年次]],1)="専",科目表[[#This Row],[摘要]]&lt;&gt;"",科目表[[#This Row],[摘要]]&lt;&gt;"関連"),"○","")</f>
        <v/>
      </c>
      <c r="G84" s="133" t="str">
        <f>IF(科目表[[#This Row],[摘要]]&lt;&gt;"","○","")</f>
        <v>○</v>
      </c>
      <c r="H84" s="133" t="str">
        <f>IF(OR(科目表[[#This Row],[摘要]]="",科目表[[#This Row],[摘要]]="関連"),"○","")</f>
        <v>○</v>
      </c>
      <c r="I84" s="28"/>
      <c r="J84" s="29" t="s">
        <v>180</v>
      </c>
      <c r="K84" s="11"/>
      <c r="L84" s="30" t="s">
        <v>280</v>
      </c>
      <c r="M84" s="31" t="s">
        <v>277</v>
      </c>
      <c r="N84" s="31">
        <v>1</v>
      </c>
      <c r="O84" s="31" t="s">
        <v>231</v>
      </c>
      <c r="P84" s="28"/>
      <c r="Q84" s="36" t="s">
        <v>281</v>
      </c>
      <c r="R84" s="35" t="s">
        <v>279</v>
      </c>
      <c r="S84" s="35"/>
      <c r="T84" s="24"/>
      <c r="U84" s="24"/>
      <c r="V84" s="25"/>
      <c r="W84" s="26">
        <f>IFERROR(1/(COUNTIFS(科目表[修得状況],"e",科目表[摘要],"専門",科目表[摘要の種類],R84)),0)</f>
        <v>0</v>
      </c>
      <c r="X84" s="26">
        <f>IFERROR(1/(COUNTIFS(科目表[修得状況],"e",科目表[摘要],"A",科目表[摘要の種類],R84)),0)</f>
        <v>0</v>
      </c>
      <c r="Y84" s="26">
        <f>IFERROR(1/(COUNTIFS(科目表[修得状況],"e",科目表[摘要],"A-1",科目表[摘要の種類],R84)),0)</f>
        <v>0</v>
      </c>
      <c r="Z84" s="26">
        <v>54</v>
      </c>
    </row>
    <row r="85" spans="2:26">
      <c r="B85" s="9" t="s">
        <v>337</v>
      </c>
      <c r="C85" s="131"/>
      <c r="D85" s="133" t="str">
        <f>IF(LEFT(科目表[[#This Row],[履修年次]],1)="専","○","")</f>
        <v/>
      </c>
      <c r="E85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85" s="133" t="str">
        <f>IF(AND(LEFT(科目表[[#This Row],[履修年次]],1)="専",科目表[[#This Row],[摘要]]&lt;&gt;"",科目表[[#This Row],[摘要]]&lt;&gt;"関連"),"○","")</f>
        <v/>
      </c>
      <c r="G85" s="133" t="str">
        <f>IF(科目表[[#This Row],[摘要]]&lt;&gt;"","○","")</f>
        <v>○</v>
      </c>
      <c r="H85" s="133" t="str">
        <f>IF(OR(科目表[[#This Row],[摘要]]="",科目表[[#This Row],[摘要]]="関連"),"○","")</f>
        <v>○</v>
      </c>
      <c r="I85" s="28"/>
      <c r="J85" s="29" t="s">
        <v>180</v>
      </c>
      <c r="K85" s="11"/>
      <c r="L85" s="30" t="s">
        <v>282</v>
      </c>
      <c r="M85" s="31" t="s">
        <v>283</v>
      </c>
      <c r="N85" s="31">
        <v>2</v>
      </c>
      <c r="O85" s="31" t="s">
        <v>231</v>
      </c>
      <c r="P85" s="28"/>
      <c r="Q85" s="36" t="s">
        <v>281</v>
      </c>
      <c r="R85" s="35" t="s">
        <v>284</v>
      </c>
      <c r="S85" s="35"/>
      <c r="T85" s="24"/>
      <c r="U85" s="24"/>
      <c r="V85" s="25"/>
      <c r="W85" s="26">
        <f>IFERROR(1/(COUNTIFS(科目表[修得状況],"e",科目表[摘要],"専門",科目表[摘要の種類],R85)),0)</f>
        <v>0</v>
      </c>
      <c r="X85" s="26">
        <f>IFERROR(1/(COUNTIFS(科目表[修得状況],"e",科目表[摘要],"A",科目表[摘要の種類],R85)),0)</f>
        <v>0</v>
      </c>
      <c r="Y85" s="26">
        <f>IFERROR(1/(COUNTIFS(科目表[修得状況],"e",科目表[摘要],"A-1",科目表[摘要の種類],R85)),0)</f>
        <v>0</v>
      </c>
      <c r="Z85" s="26">
        <v>55</v>
      </c>
    </row>
    <row r="86" spans="2:26">
      <c r="B86" s="9" t="s">
        <v>337</v>
      </c>
      <c r="C86" s="131"/>
      <c r="D86" s="133" t="str">
        <f>IF(LEFT(科目表[[#This Row],[履修年次]],1)="専","○","")</f>
        <v/>
      </c>
      <c r="E86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86" s="133" t="str">
        <f>IF(AND(LEFT(科目表[[#This Row],[履修年次]],1)="専",科目表[[#This Row],[摘要]]&lt;&gt;"",科目表[[#This Row],[摘要]]&lt;&gt;"関連"),"○","")</f>
        <v/>
      </c>
      <c r="G86" s="133" t="str">
        <f>IF(科目表[[#This Row],[摘要]]&lt;&gt;"","○","")</f>
        <v>○</v>
      </c>
      <c r="H86" s="133" t="str">
        <f>IF(OR(科目表[[#This Row],[摘要]]="",科目表[[#This Row],[摘要]]="関連"),"○","")</f>
        <v>○</v>
      </c>
      <c r="I86" s="28"/>
      <c r="J86" s="29" t="s">
        <v>180</v>
      </c>
      <c r="K86" s="11"/>
      <c r="L86" s="30" t="s">
        <v>285</v>
      </c>
      <c r="M86" s="31" t="s">
        <v>286</v>
      </c>
      <c r="N86" s="31">
        <v>2</v>
      </c>
      <c r="O86" s="31" t="s">
        <v>231</v>
      </c>
      <c r="P86" s="28"/>
      <c r="Q86" s="36" t="s">
        <v>281</v>
      </c>
      <c r="R86" s="35" t="s">
        <v>284</v>
      </c>
      <c r="S86" s="35"/>
      <c r="T86" s="24"/>
      <c r="U86" s="24"/>
      <c r="V86" s="25"/>
      <c r="W86" s="26">
        <f>IFERROR(1/(COUNTIFS(科目表[修得状況],"e",科目表[摘要],"専門",科目表[摘要の種類],R86)),0)</f>
        <v>0</v>
      </c>
      <c r="X86" s="26">
        <f>IFERROR(1/(COUNTIFS(科目表[修得状況],"e",科目表[摘要],"A",科目表[摘要の種類],R86)),0)</f>
        <v>0</v>
      </c>
      <c r="Y86" s="26">
        <f>IFERROR(1/(COUNTIFS(科目表[修得状況],"e",科目表[摘要],"A-1",科目表[摘要の種類],R86)),0)</f>
        <v>0</v>
      </c>
      <c r="Z86" s="128">
        <v>56</v>
      </c>
    </row>
    <row r="87" spans="2:26">
      <c r="B87" s="9" t="s">
        <v>337</v>
      </c>
      <c r="C87" s="131"/>
      <c r="D87" s="133" t="str">
        <f>IF(LEFT(科目表[[#This Row],[履修年次]],1)="専","○","")</f>
        <v/>
      </c>
      <c r="E87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87" s="133" t="str">
        <f>IF(AND(LEFT(科目表[[#This Row],[履修年次]],1)="専",科目表[[#This Row],[摘要]]&lt;&gt;"",科目表[[#This Row],[摘要]]&lt;&gt;"関連"),"○","")</f>
        <v/>
      </c>
      <c r="G87" s="133" t="str">
        <f>IF(科目表[[#This Row],[摘要]]&lt;&gt;"","○","")</f>
        <v>○</v>
      </c>
      <c r="H87" s="133" t="str">
        <f>IF(OR(科目表[[#This Row],[摘要]]="",科目表[[#This Row],[摘要]]="関連"),"○","")</f>
        <v>○</v>
      </c>
      <c r="I87" s="28"/>
      <c r="J87" s="29" t="s">
        <v>180</v>
      </c>
      <c r="K87" s="11"/>
      <c r="L87" s="30" t="s">
        <v>287</v>
      </c>
      <c r="M87" s="31" t="s">
        <v>286</v>
      </c>
      <c r="N87" s="31">
        <v>2</v>
      </c>
      <c r="O87" s="31" t="s">
        <v>231</v>
      </c>
      <c r="P87" s="28"/>
      <c r="Q87" s="36" t="s">
        <v>281</v>
      </c>
      <c r="R87" s="35" t="s">
        <v>284</v>
      </c>
      <c r="S87" s="35"/>
      <c r="T87" s="24"/>
      <c r="U87" s="24"/>
      <c r="V87" s="25"/>
      <c r="W87" s="26">
        <f>IFERROR(1/(COUNTIFS(科目表[修得状況],"e",科目表[摘要],"専門",科目表[摘要の種類],R87)),0)</f>
        <v>0</v>
      </c>
      <c r="X87" s="26">
        <f>IFERROR(1/(COUNTIFS(科目表[修得状況],"e",科目表[摘要],"A",科目表[摘要の種類],R87)),0)</f>
        <v>0</v>
      </c>
      <c r="Y87" s="26">
        <f>IFERROR(1/(COUNTIFS(科目表[修得状況],"e",科目表[摘要],"A-1",科目表[摘要の種類],R87)),0)</f>
        <v>0</v>
      </c>
      <c r="Z87" s="128">
        <v>57</v>
      </c>
    </row>
    <row r="88" spans="2:26">
      <c r="B88" s="9"/>
      <c r="C88" s="131"/>
      <c r="D88" s="133" t="str">
        <f>IF(LEFT(科目表[[#This Row],[履修年次]],1)="専","○","")</f>
        <v/>
      </c>
      <c r="E88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88" s="133" t="str">
        <f>IF(AND(LEFT(科目表[[#This Row],[履修年次]],1)="専",科目表[[#This Row],[摘要]]&lt;&gt;"",科目表[[#This Row],[摘要]]&lt;&gt;"関連"),"○","")</f>
        <v/>
      </c>
      <c r="G88" s="133" t="str">
        <f>IF(科目表[[#This Row],[摘要]]&lt;&gt;"","○","")</f>
        <v>○</v>
      </c>
      <c r="H88" s="133" t="str">
        <f>IF(OR(科目表[[#This Row],[摘要]]="",科目表[[#This Row],[摘要]]="関連"),"○","")</f>
        <v>○</v>
      </c>
      <c r="I88" s="28"/>
      <c r="J88" s="29" t="s">
        <v>180</v>
      </c>
      <c r="K88" s="11"/>
      <c r="L88" s="30" t="s">
        <v>288</v>
      </c>
      <c r="M88" s="31" t="s">
        <v>233</v>
      </c>
      <c r="N88" s="31">
        <v>1</v>
      </c>
      <c r="O88" s="31" t="s">
        <v>237</v>
      </c>
      <c r="P88" s="28"/>
      <c r="Q88" s="36" t="s">
        <v>281</v>
      </c>
      <c r="R88" s="35" t="s">
        <v>289</v>
      </c>
      <c r="S88" s="35"/>
      <c r="T88" s="24"/>
      <c r="U88" s="24"/>
      <c r="V88" s="25"/>
      <c r="W88" s="26">
        <f>IFERROR(1/(COUNTIFS(科目表[修得状況],"e",科目表[摘要],"専門",科目表[摘要の種類],R88)),0)</f>
        <v>0</v>
      </c>
      <c r="X88" s="26">
        <f>IFERROR(1/(COUNTIFS(科目表[修得状況],"e",科目表[摘要],"A",科目表[摘要の種類],R88)),0)</f>
        <v>0</v>
      </c>
      <c r="Y88" s="26">
        <f>IFERROR(1/(COUNTIFS(科目表[修得状況],"e",科目表[摘要],"A-1",科目表[摘要の種類],R88)),0)</f>
        <v>0</v>
      </c>
      <c r="Z88" s="128">
        <v>58</v>
      </c>
    </row>
    <row r="89" spans="2:26">
      <c r="B89" s="9" t="s">
        <v>337</v>
      </c>
      <c r="C89" s="131"/>
      <c r="D89" s="133" t="str">
        <f>IF(LEFT(科目表[[#This Row],[履修年次]],1)="専","○","")</f>
        <v>○</v>
      </c>
      <c r="E89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89" s="133" t="str">
        <f>IF(AND(LEFT(科目表[[#This Row],[履修年次]],1)="専",科目表[[#This Row],[摘要]]&lt;&gt;"",科目表[[#This Row],[摘要]]&lt;&gt;"関連"),"○","")</f>
        <v/>
      </c>
      <c r="G89" s="133" t="str">
        <f>IF(科目表[[#This Row],[摘要]]&lt;&gt;"","○","")</f>
        <v>○</v>
      </c>
      <c r="H89" s="133" t="str">
        <f>IF(OR(科目表[[#This Row],[摘要]]="",科目表[[#This Row],[摘要]]="関連"),"○","")</f>
        <v>○</v>
      </c>
      <c r="I89" s="28" t="s">
        <v>178</v>
      </c>
      <c r="J89" s="29" t="s">
        <v>180</v>
      </c>
      <c r="K89" s="11"/>
      <c r="L89" s="30" t="s">
        <v>290</v>
      </c>
      <c r="M89" s="31" t="s">
        <v>255</v>
      </c>
      <c r="N89" s="31">
        <v>2</v>
      </c>
      <c r="O89" s="31" t="s">
        <v>256</v>
      </c>
      <c r="P89" s="28"/>
      <c r="Q89" s="36" t="s">
        <v>281</v>
      </c>
      <c r="R89" s="35" t="s">
        <v>284</v>
      </c>
      <c r="S89" s="35"/>
      <c r="T89" s="24"/>
      <c r="U89" s="24"/>
      <c r="V89" s="25"/>
      <c r="W89" s="26">
        <f>IFERROR(1/(COUNTIFS(科目表[修得状況],"e",科目表[摘要],"専門",科目表[摘要の種類],R89)),0)</f>
        <v>0</v>
      </c>
      <c r="X89" s="26">
        <f>IFERROR(1/(COUNTIFS(科目表[修得状況],"e",科目表[摘要],"A",科目表[摘要の種類],R89)),0)</f>
        <v>0</v>
      </c>
      <c r="Y89" s="26">
        <f>IFERROR(1/(COUNTIFS(科目表[修得状況],"e",科目表[摘要],"A-1",科目表[摘要の種類],R89)),0)</f>
        <v>0</v>
      </c>
      <c r="Z89" s="26">
        <v>59</v>
      </c>
    </row>
    <row r="90" spans="2:26">
      <c r="B90" s="9" t="s">
        <v>337</v>
      </c>
      <c r="C90" s="131"/>
      <c r="D90" s="133" t="str">
        <f>IF(LEFT(科目表[[#This Row],[履修年次]],1)="専","○","")</f>
        <v>○</v>
      </c>
      <c r="E90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0" s="133" t="str">
        <f>IF(AND(LEFT(科目表[[#This Row],[履修年次]],1)="専",科目表[[#This Row],[摘要]]&lt;&gt;"",科目表[[#This Row],[摘要]]&lt;&gt;"関連"),"○","")</f>
        <v/>
      </c>
      <c r="G90" s="133" t="str">
        <f>IF(科目表[[#This Row],[摘要]]&lt;&gt;"","○","")</f>
        <v>○</v>
      </c>
      <c r="H90" s="133" t="str">
        <f>IF(OR(科目表[[#This Row],[摘要]]="",科目表[[#This Row],[摘要]]="関連"),"○","")</f>
        <v>○</v>
      </c>
      <c r="I90" s="28"/>
      <c r="J90" s="29" t="s">
        <v>180</v>
      </c>
      <c r="K90" s="11"/>
      <c r="L90" s="30" t="s">
        <v>291</v>
      </c>
      <c r="M90" s="31" t="s">
        <v>255</v>
      </c>
      <c r="N90" s="31">
        <v>2</v>
      </c>
      <c r="O90" s="31" t="s">
        <v>256</v>
      </c>
      <c r="P90" s="28"/>
      <c r="Q90" s="36" t="s">
        <v>281</v>
      </c>
      <c r="R90" s="35" t="s">
        <v>289</v>
      </c>
      <c r="S90" s="35"/>
      <c r="T90" s="24"/>
      <c r="U90" s="24"/>
      <c r="V90" s="25"/>
      <c r="W90" s="26">
        <f>IFERROR(1/(COUNTIFS(科目表[修得状況],"e",科目表[摘要],"専門",科目表[摘要の種類],R90)),0)</f>
        <v>0</v>
      </c>
      <c r="X90" s="26">
        <f>IFERROR(1/(COUNTIFS(科目表[修得状況],"e",科目表[摘要],"A",科目表[摘要の種類],R90)),0)</f>
        <v>0</v>
      </c>
      <c r="Y90" s="26">
        <f>IFERROR(1/(COUNTIFS(科目表[修得状況],"e",科目表[摘要],"A-1",科目表[摘要の種類],R90)),0)</f>
        <v>0</v>
      </c>
      <c r="Z90" s="26">
        <v>60</v>
      </c>
    </row>
    <row r="91" spans="2:26">
      <c r="B91" s="9" t="s">
        <v>337</v>
      </c>
      <c r="C91" s="131"/>
      <c r="D91" s="133" t="str">
        <f>IF(LEFT(科目表[[#This Row],[履修年次]],1)="専","○","")</f>
        <v>○</v>
      </c>
      <c r="E91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1" s="133" t="str">
        <f>IF(AND(LEFT(科目表[[#This Row],[履修年次]],1)="専",科目表[[#This Row],[摘要]]&lt;&gt;"",科目表[[#This Row],[摘要]]&lt;&gt;"関連"),"○","")</f>
        <v/>
      </c>
      <c r="G91" s="133" t="str">
        <f>IF(科目表[[#This Row],[摘要]]&lt;&gt;"","○","")</f>
        <v>○</v>
      </c>
      <c r="H91" s="133" t="str">
        <f>IF(OR(科目表[[#This Row],[摘要]]="",科目表[[#This Row],[摘要]]="関連"),"○","")</f>
        <v>○</v>
      </c>
      <c r="I91" s="28"/>
      <c r="J91" s="29" t="s">
        <v>180</v>
      </c>
      <c r="K91" s="11"/>
      <c r="L91" s="30" t="s">
        <v>292</v>
      </c>
      <c r="M91" s="31" t="s">
        <v>255</v>
      </c>
      <c r="N91" s="31">
        <v>1</v>
      </c>
      <c r="O91" s="31" t="s">
        <v>256</v>
      </c>
      <c r="P91" s="28"/>
      <c r="Q91" s="36" t="s">
        <v>281</v>
      </c>
      <c r="R91" s="35" t="s">
        <v>289</v>
      </c>
      <c r="S91" s="35"/>
      <c r="T91" s="24"/>
      <c r="U91" s="24"/>
      <c r="V91" s="25"/>
      <c r="W91" s="26">
        <f>IFERROR(1/(COUNTIFS(科目表[修得状況],"e",科目表[摘要],"専門",科目表[摘要の種類],R91)),0)</f>
        <v>0</v>
      </c>
      <c r="X91" s="26">
        <f>IFERROR(1/(COUNTIFS(科目表[修得状況],"e",科目表[摘要],"A",科目表[摘要の種類],R91)),0)</f>
        <v>0</v>
      </c>
      <c r="Y91" s="26">
        <f>IFERROR(1/(COUNTIFS(科目表[修得状況],"e",科目表[摘要],"A-1",科目表[摘要の種類],R91)),0)</f>
        <v>0</v>
      </c>
      <c r="Z91" s="26">
        <v>61</v>
      </c>
    </row>
    <row r="92" spans="2:26">
      <c r="B92" s="9" t="s">
        <v>337</v>
      </c>
      <c r="C92" s="131"/>
      <c r="D92" s="133" t="str">
        <f>IF(LEFT(科目表[[#This Row],[履修年次]],1)="専","○","")</f>
        <v>○</v>
      </c>
      <c r="E92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2" s="133" t="str">
        <f>IF(AND(LEFT(科目表[[#This Row],[履修年次]],1)="専",科目表[[#This Row],[摘要]]&lt;&gt;"",科目表[[#This Row],[摘要]]&lt;&gt;"関連"),"○","")</f>
        <v/>
      </c>
      <c r="G92" s="133" t="str">
        <f>IF(科目表[[#This Row],[摘要]]&lt;&gt;"","○","")</f>
        <v>○</v>
      </c>
      <c r="H92" s="133" t="str">
        <f>IF(OR(科目表[[#This Row],[摘要]]="",科目表[[#This Row],[摘要]]="関連"),"○","")</f>
        <v>○</v>
      </c>
      <c r="I92" s="28"/>
      <c r="J92" s="29" t="s">
        <v>180</v>
      </c>
      <c r="K92" s="11"/>
      <c r="L92" s="30" t="s">
        <v>293</v>
      </c>
      <c r="M92" s="31" t="s">
        <v>262</v>
      </c>
      <c r="N92" s="31">
        <v>2</v>
      </c>
      <c r="O92" s="31" t="s">
        <v>256</v>
      </c>
      <c r="P92" s="28"/>
      <c r="Q92" s="36" t="s">
        <v>281</v>
      </c>
      <c r="R92" s="35" t="s">
        <v>284</v>
      </c>
      <c r="S92" s="35"/>
      <c r="T92" s="24"/>
      <c r="U92" s="24"/>
      <c r="V92" s="25"/>
      <c r="W92" s="26">
        <f>IFERROR(1/(COUNTIFS(科目表[修得状況],"e",科目表[摘要],"専門",科目表[摘要の種類],R92)),0)</f>
        <v>0</v>
      </c>
      <c r="X92" s="26">
        <f>IFERROR(1/(COUNTIFS(科目表[修得状況],"e",科目表[摘要],"A",科目表[摘要の種類],R92)),0)</f>
        <v>0</v>
      </c>
      <c r="Y92" s="26">
        <f>IFERROR(1/(COUNTIFS(科目表[修得状況],"e",科目表[摘要],"A-1",科目表[摘要の種類],R92)),0)</f>
        <v>0</v>
      </c>
      <c r="Z92" s="128">
        <v>62</v>
      </c>
    </row>
    <row r="93" spans="2:26">
      <c r="B93" s="9" t="s">
        <v>337</v>
      </c>
      <c r="C93" s="131"/>
      <c r="D93" s="133" t="str">
        <f>IF(LEFT(科目表[[#This Row],[履修年次]],1)="専","○","")</f>
        <v>○</v>
      </c>
      <c r="E93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3" s="133" t="str">
        <f>IF(AND(LEFT(科目表[[#This Row],[履修年次]],1)="専",科目表[[#This Row],[摘要]]&lt;&gt;"",科目表[[#This Row],[摘要]]&lt;&gt;"関連"),"○","")</f>
        <v/>
      </c>
      <c r="G93" s="133" t="str">
        <f>IF(科目表[[#This Row],[摘要]]&lt;&gt;"","○","")</f>
        <v>○</v>
      </c>
      <c r="H93" s="133" t="str">
        <f>IF(OR(科目表[[#This Row],[摘要]]="",科目表[[#This Row],[摘要]]="関連"),"○","")</f>
        <v>○</v>
      </c>
      <c r="I93" s="28"/>
      <c r="J93" s="29" t="s">
        <v>180</v>
      </c>
      <c r="K93" s="11"/>
      <c r="L93" s="30" t="s">
        <v>294</v>
      </c>
      <c r="M93" s="31" t="s">
        <v>262</v>
      </c>
      <c r="N93" s="31">
        <v>2</v>
      </c>
      <c r="O93" s="31" t="s">
        <v>256</v>
      </c>
      <c r="P93" s="28"/>
      <c r="Q93" s="36" t="s">
        <v>281</v>
      </c>
      <c r="R93" s="35" t="s">
        <v>284</v>
      </c>
      <c r="S93" s="35"/>
      <c r="T93" s="24"/>
      <c r="U93" s="24"/>
      <c r="V93" s="25"/>
      <c r="W93" s="26">
        <f>IFERROR(1/(COUNTIFS(科目表[修得状況],"e",科目表[摘要],"専門",科目表[摘要の種類],R93)),0)</f>
        <v>0</v>
      </c>
      <c r="X93" s="26">
        <f>IFERROR(1/(COUNTIFS(科目表[修得状況],"e",科目表[摘要],"A",科目表[摘要の種類],R93)),0)</f>
        <v>0</v>
      </c>
      <c r="Y93" s="26">
        <f>IFERROR(1/(COUNTIFS(科目表[修得状況],"e",科目表[摘要],"A-1",科目表[摘要の種類],R93)),0)</f>
        <v>0</v>
      </c>
      <c r="Z93" s="128">
        <v>63</v>
      </c>
    </row>
    <row r="94" spans="2:26">
      <c r="B94" s="9"/>
      <c r="C94" s="131"/>
      <c r="D94" s="133" t="str">
        <f>IF(LEFT(科目表[[#This Row],[履修年次]],1)="専","○","")</f>
        <v>○</v>
      </c>
      <c r="E94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4" s="133" t="str">
        <f>IF(AND(LEFT(科目表[[#This Row],[履修年次]],1)="専",科目表[[#This Row],[摘要]]&lt;&gt;"",科目表[[#This Row],[摘要]]&lt;&gt;"関連"),"○","")</f>
        <v/>
      </c>
      <c r="G94" s="133" t="str">
        <f>IF(科目表[[#This Row],[摘要]]&lt;&gt;"","○","")</f>
        <v>○</v>
      </c>
      <c r="H94" s="133" t="str">
        <f>IF(OR(科目表[[#This Row],[摘要]]="",科目表[[#This Row],[摘要]]="関連"),"○","")</f>
        <v>○</v>
      </c>
      <c r="I94" s="28"/>
      <c r="J94" s="29" t="s">
        <v>180</v>
      </c>
      <c r="K94" s="11"/>
      <c r="L94" s="30" t="s">
        <v>295</v>
      </c>
      <c r="M94" s="31" t="s">
        <v>262</v>
      </c>
      <c r="N94" s="31">
        <v>2</v>
      </c>
      <c r="O94" s="31" t="s">
        <v>256</v>
      </c>
      <c r="P94" s="28"/>
      <c r="Q94" s="36" t="s">
        <v>281</v>
      </c>
      <c r="R94" s="35" t="s">
        <v>289</v>
      </c>
      <c r="S94" s="35"/>
      <c r="T94" s="24"/>
      <c r="U94" s="24"/>
      <c r="V94" s="25"/>
      <c r="W94" s="26">
        <f>IFERROR(1/(COUNTIFS(科目表[修得状況],"e",科目表[摘要],"専門",科目表[摘要の種類],R94)),0)</f>
        <v>0</v>
      </c>
      <c r="X94" s="26">
        <f>IFERROR(1/(COUNTIFS(科目表[修得状況],"e",科目表[摘要],"A",科目表[摘要の種類],R94)),0)</f>
        <v>0</v>
      </c>
      <c r="Y94" s="26">
        <f>IFERROR(1/(COUNTIFS(科目表[修得状況],"e",科目表[摘要],"A-1",科目表[摘要の種類],R94)),0)</f>
        <v>0</v>
      </c>
      <c r="Z94" s="128">
        <v>64</v>
      </c>
    </row>
    <row r="95" spans="2:26">
      <c r="B95" s="9" t="s">
        <v>337</v>
      </c>
      <c r="C95" s="131"/>
      <c r="D95" s="133" t="str">
        <f>IF(LEFT(科目表[[#This Row],[履修年次]],1)="専","○","")</f>
        <v>○</v>
      </c>
      <c r="E95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5" s="133" t="str">
        <f>IF(AND(LEFT(科目表[[#This Row],[履修年次]],1)="専",科目表[[#This Row],[摘要]]&lt;&gt;"",科目表[[#This Row],[摘要]]&lt;&gt;"関連"),"○","")</f>
        <v/>
      </c>
      <c r="G95" s="133" t="str">
        <f>IF(科目表[[#This Row],[摘要]]&lt;&gt;"","○","")</f>
        <v>○</v>
      </c>
      <c r="H95" s="133" t="str">
        <f>IF(OR(科目表[[#This Row],[摘要]]="",科目表[[#This Row],[摘要]]="関連"),"○","")</f>
        <v>○</v>
      </c>
      <c r="I95" s="28"/>
      <c r="J95" s="29" t="s">
        <v>180</v>
      </c>
      <c r="K95" s="11"/>
      <c r="L95" s="30" t="s">
        <v>296</v>
      </c>
      <c r="M95" s="31" t="s">
        <v>262</v>
      </c>
      <c r="N95" s="31">
        <v>2</v>
      </c>
      <c r="O95" s="31" t="s">
        <v>256</v>
      </c>
      <c r="P95" s="28"/>
      <c r="Q95" s="36" t="s">
        <v>281</v>
      </c>
      <c r="R95" s="35" t="s">
        <v>289</v>
      </c>
      <c r="S95" s="35"/>
      <c r="T95" s="24"/>
      <c r="U95" s="24"/>
      <c r="V95" s="25"/>
      <c r="W95" s="26">
        <f>IFERROR(1/(COUNTIFS(科目表[修得状況],"e",科目表[摘要],"専門",科目表[摘要の種類],R95)),0)</f>
        <v>0</v>
      </c>
      <c r="X95" s="26">
        <f>IFERROR(1/(COUNTIFS(科目表[修得状況],"e",科目表[摘要],"A",科目表[摘要の種類],R95)),0)</f>
        <v>0</v>
      </c>
      <c r="Y95" s="26">
        <f>IFERROR(1/(COUNTIFS(科目表[修得状況],"e",科目表[摘要],"A-1",科目表[摘要の種類],R95)),0)</f>
        <v>0</v>
      </c>
      <c r="Z95" s="26">
        <v>65</v>
      </c>
    </row>
    <row r="96" spans="2:26">
      <c r="B96" s="9" t="s">
        <v>337</v>
      </c>
      <c r="C96" s="131"/>
      <c r="D96" s="133" t="str">
        <f>IF(LEFT(科目表[[#This Row],[履修年次]],1)="専","○","")</f>
        <v>○</v>
      </c>
      <c r="E96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6" s="133" t="str">
        <f>IF(AND(LEFT(科目表[[#This Row],[履修年次]],1)="専",科目表[[#This Row],[摘要]]&lt;&gt;"",科目表[[#This Row],[摘要]]&lt;&gt;"関連"),"○","")</f>
        <v/>
      </c>
      <c r="G96" s="133" t="str">
        <f>IF(科目表[[#This Row],[摘要]]&lt;&gt;"","○","")</f>
        <v>○</v>
      </c>
      <c r="H96" s="133" t="str">
        <f>IF(OR(科目表[[#This Row],[摘要]]="",科目表[[#This Row],[摘要]]="関連"),"○","")</f>
        <v>○</v>
      </c>
      <c r="I96" s="28"/>
      <c r="J96" s="29" t="s">
        <v>180</v>
      </c>
      <c r="K96" s="11"/>
      <c r="L96" s="30" t="s">
        <v>297</v>
      </c>
      <c r="M96" s="31" t="s">
        <v>262</v>
      </c>
      <c r="N96" s="31">
        <v>2</v>
      </c>
      <c r="O96" s="31" t="s">
        <v>256</v>
      </c>
      <c r="P96" s="28"/>
      <c r="Q96" s="36" t="s">
        <v>281</v>
      </c>
      <c r="R96" s="35" t="s">
        <v>284</v>
      </c>
      <c r="S96" s="35"/>
      <c r="T96" s="24"/>
      <c r="U96" s="24"/>
      <c r="V96" s="25"/>
      <c r="W96" s="26">
        <f>IFERROR(1/(COUNTIFS(科目表[修得状況],"e",科目表[摘要],"専門",科目表[摘要の種類],R96)),0)</f>
        <v>0</v>
      </c>
      <c r="X96" s="26">
        <f>IFERROR(1/(COUNTIFS(科目表[修得状況],"e",科目表[摘要],"A",科目表[摘要の種類],R96)),0)</f>
        <v>0</v>
      </c>
      <c r="Y96" s="26">
        <f>IFERROR(1/(COUNTIFS(科目表[修得状況],"e",科目表[摘要],"A-1",科目表[摘要の種類],R96)),0)</f>
        <v>0</v>
      </c>
      <c r="Z96" s="26">
        <v>66</v>
      </c>
    </row>
    <row r="97" spans="2:26">
      <c r="B97" s="9" t="s">
        <v>337</v>
      </c>
      <c r="C97" s="131"/>
      <c r="D97" s="133" t="str">
        <f>IF(LEFT(科目表[[#This Row],[履修年次]],1)="専","○","")</f>
        <v>○</v>
      </c>
      <c r="E97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7" s="133" t="str">
        <f>IF(AND(LEFT(科目表[[#This Row],[履修年次]],1)="専",科目表[[#This Row],[摘要]]&lt;&gt;"",科目表[[#This Row],[摘要]]&lt;&gt;"関連"),"○","")</f>
        <v/>
      </c>
      <c r="G97" s="133" t="str">
        <f>IF(科目表[[#This Row],[摘要]]&lt;&gt;"","○","")</f>
        <v>○</v>
      </c>
      <c r="H97" s="133" t="str">
        <f>IF(OR(科目表[[#This Row],[摘要]]="",科目表[[#This Row],[摘要]]="関連"),"○","")</f>
        <v>○</v>
      </c>
      <c r="I97" s="28"/>
      <c r="J97" s="29" t="s">
        <v>259</v>
      </c>
      <c r="K97" s="11"/>
      <c r="L97" s="30" t="s">
        <v>179</v>
      </c>
      <c r="M97" s="31" t="s">
        <v>264</v>
      </c>
      <c r="N97" s="31">
        <v>2</v>
      </c>
      <c r="O97" s="31" t="s">
        <v>256</v>
      </c>
      <c r="P97" s="28"/>
      <c r="Q97" s="36" t="s">
        <v>281</v>
      </c>
      <c r="R97" s="35" t="s">
        <v>289</v>
      </c>
      <c r="S97" s="35"/>
      <c r="T97" s="24"/>
      <c r="U97" s="24"/>
      <c r="V97" s="25"/>
      <c r="W97" s="26">
        <f>IFERROR(1/(COUNTIFS(科目表[修得状況],"e",科目表[摘要],"専門",科目表[摘要の種類],R97)),0)</f>
        <v>0</v>
      </c>
      <c r="X97" s="26">
        <f>IFERROR(1/(COUNTIFS(科目表[修得状況],"e",科目表[摘要],"A",科目表[摘要の種類],R97)),0)</f>
        <v>0</v>
      </c>
      <c r="Y97" s="26">
        <f>IFERROR(1/(COUNTIFS(科目表[修得状況],"e",科目表[摘要],"A-1",科目表[摘要の種類],R97)),0)</f>
        <v>0</v>
      </c>
      <c r="Z97" s="26">
        <v>67</v>
      </c>
    </row>
    <row r="98" spans="2:26">
      <c r="B98" s="9" t="s">
        <v>337</v>
      </c>
      <c r="C98" s="131"/>
      <c r="D98" s="133" t="str">
        <f>IF(LEFT(科目表[[#This Row],[履修年次]],1)="専","○","")</f>
        <v>○</v>
      </c>
      <c r="E98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8" s="133" t="str">
        <f>IF(AND(LEFT(科目表[[#This Row],[履修年次]],1)="専",科目表[[#This Row],[摘要]]&lt;&gt;"",科目表[[#This Row],[摘要]]&lt;&gt;"関連"),"○","")</f>
        <v/>
      </c>
      <c r="G98" s="133" t="str">
        <f>IF(科目表[[#This Row],[摘要]]&lt;&gt;"","○","")</f>
        <v>○</v>
      </c>
      <c r="H98" s="133" t="str">
        <f>IF(OR(科目表[[#This Row],[摘要]]="",科目表[[#This Row],[摘要]]="関連"),"○","")</f>
        <v>○</v>
      </c>
      <c r="I98" s="28"/>
      <c r="J98" s="29" t="s">
        <v>181</v>
      </c>
      <c r="K98" s="11"/>
      <c r="L98" s="30" t="s">
        <v>298</v>
      </c>
      <c r="M98" s="31" t="s">
        <v>255</v>
      </c>
      <c r="N98" s="31">
        <v>2</v>
      </c>
      <c r="O98" s="31" t="s">
        <v>270</v>
      </c>
      <c r="P98" s="28"/>
      <c r="Q98" s="36" t="s">
        <v>281</v>
      </c>
      <c r="R98" s="35" t="s">
        <v>284</v>
      </c>
      <c r="S98" s="35"/>
      <c r="T98" s="24"/>
      <c r="U98" s="24"/>
      <c r="V98" s="25"/>
      <c r="W98" s="26">
        <f>IFERROR(1/(COUNTIFS(科目表[修得状況],"e",科目表[摘要],"専門",科目表[摘要の種類],R98)),0)</f>
        <v>0</v>
      </c>
      <c r="X98" s="26">
        <f>IFERROR(1/(COUNTIFS(科目表[修得状況],"e",科目表[摘要],"A",科目表[摘要の種類],R98)),0)</f>
        <v>0</v>
      </c>
      <c r="Y98" s="26">
        <f>IFERROR(1/(COUNTIFS(科目表[修得状況],"e",科目表[摘要],"A-1",科目表[摘要の種類],R98)),0)</f>
        <v>0</v>
      </c>
      <c r="Z98" s="128">
        <v>68</v>
      </c>
    </row>
    <row r="99" spans="2:26">
      <c r="B99" s="9" t="s">
        <v>337</v>
      </c>
      <c r="C99" s="131"/>
      <c r="D99" s="133" t="str">
        <f>IF(LEFT(科目表[[#This Row],[履修年次]],1)="専","○","")</f>
        <v>○</v>
      </c>
      <c r="E99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99" s="133" t="str">
        <f>IF(AND(LEFT(科目表[[#This Row],[履修年次]],1)="専",科目表[[#This Row],[摘要]]&lt;&gt;"",科目表[[#This Row],[摘要]]&lt;&gt;"関連"),"○","")</f>
        <v/>
      </c>
      <c r="G99" s="133" t="str">
        <f>IF(科目表[[#This Row],[摘要]]&lt;&gt;"","○","")</f>
        <v>○</v>
      </c>
      <c r="H99" s="133" t="str">
        <f>IF(OR(科目表[[#This Row],[摘要]]="",科目表[[#This Row],[摘要]]="関連"),"○","")</f>
        <v>○</v>
      </c>
      <c r="I99" s="28" t="s">
        <v>178</v>
      </c>
      <c r="J99" s="29" t="s">
        <v>180</v>
      </c>
      <c r="K99" s="11"/>
      <c r="L99" s="30" t="s">
        <v>299</v>
      </c>
      <c r="M99" s="31" t="s">
        <v>255</v>
      </c>
      <c r="N99" s="31">
        <v>2</v>
      </c>
      <c r="O99" s="31" t="s">
        <v>270</v>
      </c>
      <c r="P99" s="28"/>
      <c r="Q99" s="36" t="s">
        <v>281</v>
      </c>
      <c r="R99" s="35" t="s">
        <v>284</v>
      </c>
      <c r="S99" s="35"/>
      <c r="T99" s="24"/>
      <c r="U99" s="24"/>
      <c r="V99" s="25"/>
      <c r="W99" s="26">
        <f>IFERROR(1/(COUNTIFS(科目表[修得状況],"e",科目表[摘要],"専門",科目表[摘要の種類],R99)),0)</f>
        <v>0</v>
      </c>
      <c r="X99" s="26">
        <f>IFERROR(1/(COUNTIFS(科目表[修得状況],"e",科目表[摘要],"A",科目表[摘要の種類],R99)),0)</f>
        <v>0</v>
      </c>
      <c r="Y99" s="26">
        <f>IFERROR(1/(COUNTIFS(科目表[修得状況],"e",科目表[摘要],"A-1",科目表[摘要の種類],R99)),0)</f>
        <v>0</v>
      </c>
      <c r="Z99" s="128">
        <v>69</v>
      </c>
    </row>
    <row r="100" spans="2:26">
      <c r="B100" s="9" t="s">
        <v>337</v>
      </c>
      <c r="C100" s="131"/>
      <c r="D100" s="133" t="str">
        <f>IF(LEFT(科目表[[#This Row],[履修年次]],1)="専","○","")</f>
        <v>○</v>
      </c>
      <c r="E100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100" s="133" t="str">
        <f>IF(AND(LEFT(科目表[[#This Row],[履修年次]],1)="専",科目表[[#This Row],[摘要]]&lt;&gt;"",科目表[[#This Row],[摘要]]&lt;&gt;"関連"),"○","")</f>
        <v/>
      </c>
      <c r="G100" s="133" t="str">
        <f>IF(科目表[[#This Row],[摘要]]&lt;&gt;"","○","")</f>
        <v>○</v>
      </c>
      <c r="H100" s="133" t="str">
        <f>IF(OR(科目表[[#This Row],[摘要]]="",科目表[[#This Row],[摘要]]="関連"),"○","")</f>
        <v>○</v>
      </c>
      <c r="I100" s="28"/>
      <c r="J100" s="29" t="s">
        <v>180</v>
      </c>
      <c r="K100" s="11"/>
      <c r="L100" s="30" t="s">
        <v>300</v>
      </c>
      <c r="M100" s="31" t="s">
        <v>255</v>
      </c>
      <c r="N100" s="31">
        <v>2</v>
      </c>
      <c r="O100" s="31" t="s">
        <v>270</v>
      </c>
      <c r="P100" s="28"/>
      <c r="Q100" s="36" t="s">
        <v>281</v>
      </c>
      <c r="R100" s="35" t="s">
        <v>289</v>
      </c>
      <c r="S100" s="35"/>
      <c r="T100" s="24"/>
      <c r="U100" s="24"/>
      <c r="V100" s="25"/>
      <c r="W100" s="26">
        <f>IFERROR(1/(COUNTIFS(科目表[修得状況],"e",科目表[摘要],"専門",科目表[摘要の種類],R100)),0)</f>
        <v>0</v>
      </c>
      <c r="X100" s="26">
        <f>IFERROR(1/(COUNTIFS(科目表[修得状況],"e",科目表[摘要],"A",科目表[摘要の種類],R100)),0)</f>
        <v>0</v>
      </c>
      <c r="Y100" s="26">
        <f>IFERROR(1/(COUNTIFS(科目表[修得状況],"e",科目表[摘要],"A-1",科目表[摘要の種類],R100)),0)</f>
        <v>0</v>
      </c>
      <c r="Z100" s="128">
        <v>70</v>
      </c>
    </row>
    <row r="101" spans="2:26">
      <c r="B101" s="9"/>
      <c r="C101" s="131"/>
      <c r="D101" s="133" t="str">
        <f>IF(LEFT(科目表[[#This Row],[履修年次]],1)="専","○","")</f>
        <v>○</v>
      </c>
      <c r="E101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101" s="133" t="str">
        <f>IF(AND(LEFT(科目表[[#This Row],[履修年次]],1)="専",科目表[[#This Row],[摘要]]&lt;&gt;"",科目表[[#This Row],[摘要]]&lt;&gt;"関連"),"○","")</f>
        <v/>
      </c>
      <c r="G101" s="133" t="str">
        <f>IF(科目表[[#This Row],[摘要]]&lt;&gt;"","○","")</f>
        <v>○</v>
      </c>
      <c r="H101" s="133" t="str">
        <f>IF(OR(科目表[[#This Row],[摘要]]="",科目表[[#This Row],[摘要]]="関連"),"○","")</f>
        <v>○</v>
      </c>
      <c r="I101" s="28"/>
      <c r="J101" s="29" t="s">
        <v>180</v>
      </c>
      <c r="K101" s="11"/>
      <c r="L101" s="30" t="s">
        <v>301</v>
      </c>
      <c r="M101" s="31" t="s">
        <v>262</v>
      </c>
      <c r="N101" s="31">
        <v>2</v>
      </c>
      <c r="O101" s="31" t="s">
        <v>270</v>
      </c>
      <c r="P101" s="28"/>
      <c r="Q101" s="36" t="s">
        <v>281</v>
      </c>
      <c r="R101" s="35" t="s">
        <v>289</v>
      </c>
      <c r="S101" s="35"/>
      <c r="T101" s="24"/>
      <c r="U101" s="24"/>
      <c r="V101" s="25"/>
      <c r="W101" s="26">
        <f>IFERROR(1/(COUNTIFS(科目表[修得状況],"e",科目表[摘要],"専門",科目表[摘要の種類],R101)),0)</f>
        <v>0</v>
      </c>
      <c r="X101" s="26">
        <f>IFERROR(1/(COUNTIFS(科目表[修得状況],"e",科目表[摘要],"A",科目表[摘要の種類],R101)),0)</f>
        <v>0</v>
      </c>
      <c r="Y101" s="26">
        <f>IFERROR(1/(COUNTIFS(科目表[修得状況],"e",科目表[摘要],"A-1",科目表[摘要の種類],R101)),0)</f>
        <v>0</v>
      </c>
      <c r="Z101" s="26">
        <v>71</v>
      </c>
    </row>
    <row r="102" spans="2:26">
      <c r="B102" s="9"/>
      <c r="C102" s="131"/>
      <c r="D102" s="133" t="str">
        <f>IF(LEFT(科目表[[#This Row],[履修年次]],1)="専","○","")</f>
        <v>○</v>
      </c>
      <c r="E102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102" s="133" t="str">
        <f>IF(AND(LEFT(科目表[[#This Row],[履修年次]],1)="専",科目表[[#This Row],[摘要]]&lt;&gt;"",科目表[[#This Row],[摘要]]&lt;&gt;"関連"),"○","")</f>
        <v/>
      </c>
      <c r="G102" s="133" t="str">
        <f>IF(科目表[[#This Row],[摘要]]&lt;&gt;"","○","")</f>
        <v>○</v>
      </c>
      <c r="H102" s="133" t="str">
        <f>IF(OR(科目表[[#This Row],[摘要]]="",科目表[[#This Row],[摘要]]="関連"),"○","")</f>
        <v>○</v>
      </c>
      <c r="I102" s="28"/>
      <c r="J102" s="29" t="s">
        <v>180</v>
      </c>
      <c r="K102" s="11"/>
      <c r="L102" s="30" t="s">
        <v>302</v>
      </c>
      <c r="M102" s="31" t="s">
        <v>262</v>
      </c>
      <c r="N102" s="31">
        <v>2</v>
      </c>
      <c r="O102" s="31" t="s">
        <v>270</v>
      </c>
      <c r="P102" s="28"/>
      <c r="Q102" s="36" t="s">
        <v>281</v>
      </c>
      <c r="R102" s="35" t="s">
        <v>289</v>
      </c>
      <c r="S102" s="35"/>
      <c r="T102" s="24"/>
      <c r="U102" s="24"/>
      <c r="V102" s="25"/>
      <c r="W102" s="26">
        <f>IFERROR(1/(COUNTIFS(科目表[修得状況],"e",科目表[摘要],"専門",科目表[摘要の種類],R102)),0)</f>
        <v>0</v>
      </c>
      <c r="X102" s="26">
        <f>IFERROR(1/(COUNTIFS(科目表[修得状況],"e",科目表[摘要],"A",科目表[摘要の種類],R102)),0)</f>
        <v>0</v>
      </c>
      <c r="Y102" s="26">
        <f>IFERROR(1/(COUNTIFS(科目表[修得状況],"e",科目表[摘要],"A-1",科目表[摘要の種類],R102)),0)</f>
        <v>0</v>
      </c>
      <c r="Z102" s="26">
        <v>72</v>
      </c>
    </row>
    <row r="103" spans="2:26">
      <c r="B103" s="9"/>
      <c r="C103" s="131"/>
      <c r="D103" s="133" t="str">
        <f>IF(LEFT(科目表[[#This Row],[履修年次]],1)="専","○","")</f>
        <v>○</v>
      </c>
      <c r="E103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103" s="133" t="str">
        <f>IF(AND(LEFT(科目表[[#This Row],[履修年次]],1)="専",科目表[[#This Row],[摘要]]&lt;&gt;"",科目表[[#This Row],[摘要]]&lt;&gt;"関連"),"○","")</f>
        <v/>
      </c>
      <c r="G103" s="133" t="str">
        <f>IF(科目表[[#This Row],[摘要]]&lt;&gt;"","○","")</f>
        <v>○</v>
      </c>
      <c r="H103" s="133" t="str">
        <f>IF(OR(科目表[[#This Row],[摘要]]="",科目表[[#This Row],[摘要]]="関連"),"○","")</f>
        <v>○</v>
      </c>
      <c r="I103" s="28"/>
      <c r="J103" s="29" t="s">
        <v>180</v>
      </c>
      <c r="K103" s="11"/>
      <c r="L103" s="30" t="s">
        <v>303</v>
      </c>
      <c r="M103" s="31" t="s">
        <v>262</v>
      </c>
      <c r="N103" s="31">
        <v>2</v>
      </c>
      <c r="O103" s="31" t="s">
        <v>270</v>
      </c>
      <c r="P103" s="28"/>
      <c r="Q103" s="36" t="s">
        <v>281</v>
      </c>
      <c r="R103" s="35" t="s">
        <v>289</v>
      </c>
      <c r="S103" s="35"/>
      <c r="T103" s="24"/>
      <c r="U103" s="24"/>
      <c r="V103" s="25"/>
      <c r="W103" s="26">
        <f>IFERROR(1/(COUNTIFS(科目表[修得状況],"e",科目表[摘要],"専門",科目表[摘要の種類],R103)),0)</f>
        <v>0</v>
      </c>
      <c r="X103" s="26">
        <f>IFERROR(1/(COUNTIFS(科目表[修得状況],"e",科目表[摘要],"A",科目表[摘要の種類],R103)),0)</f>
        <v>0</v>
      </c>
      <c r="Y103" s="26">
        <f>IFERROR(1/(COUNTIFS(科目表[修得状況],"e",科目表[摘要],"A-1",科目表[摘要の種類],R103)),0)</f>
        <v>0</v>
      </c>
      <c r="Z103" s="26">
        <v>73</v>
      </c>
    </row>
    <row r="104" spans="2:26">
      <c r="B104" s="9"/>
      <c r="C104" s="131"/>
      <c r="D104" s="133" t="str">
        <f>IF(LEFT(科目表[[#This Row],[履修年次]],1)="専","○","")</f>
        <v>○</v>
      </c>
      <c r="E104" s="133" t="str">
        <f>IF(科目表[[#This Row],[単位修得の要件による分類]]="学修総まとめ
科目","",IF(AND(LEFT(科目表[[#This Row],[履修年次]],1)="専",科目表[[#This Row],[摘要]]&lt;&gt;""),"○",""))</f>
        <v>○</v>
      </c>
      <c r="F104" s="133" t="str">
        <f>IF(AND(LEFT(科目表[[#This Row],[履修年次]],1)="専",科目表[[#This Row],[摘要]]&lt;&gt;"",科目表[[#This Row],[摘要]]&lt;&gt;"関連"),"○","")</f>
        <v/>
      </c>
      <c r="G104" s="133" t="str">
        <f>IF(科目表[[#This Row],[摘要]]&lt;&gt;"","○","")</f>
        <v>○</v>
      </c>
      <c r="H104" s="133" t="str">
        <f>IF(OR(科目表[[#This Row],[摘要]]="",科目表[[#This Row],[摘要]]="関連"),"○","")</f>
        <v>○</v>
      </c>
      <c r="I104" s="28"/>
      <c r="J104" s="29" t="s">
        <v>180</v>
      </c>
      <c r="K104" s="11"/>
      <c r="L104" s="30" t="s">
        <v>304</v>
      </c>
      <c r="M104" s="31" t="s">
        <v>264</v>
      </c>
      <c r="N104" s="31">
        <v>1</v>
      </c>
      <c r="O104" s="31" t="s">
        <v>270</v>
      </c>
      <c r="P104" s="28"/>
      <c r="Q104" s="36" t="s">
        <v>281</v>
      </c>
      <c r="R104" s="35" t="s">
        <v>284</v>
      </c>
      <c r="S104" s="114"/>
      <c r="T104" s="24"/>
      <c r="U104" s="24"/>
      <c r="V104" s="25"/>
      <c r="W104" s="26">
        <f>IFERROR(1/(COUNTIFS(科目表[修得状況],"e",科目表[摘要],"専門",科目表[摘要の種類],R104)),0)</f>
        <v>0</v>
      </c>
      <c r="X104" s="26">
        <f>IFERROR(1/(COUNTIFS(科目表[修得状況],"e",科目表[摘要],"A",科目表[摘要の種類],R104)),0)</f>
        <v>0</v>
      </c>
      <c r="Y104" s="26">
        <f>IFERROR(1/(COUNTIFS(科目表[修得状況],"e",科目表[摘要],"A-1",科目表[摘要の種類],R104)),0)</f>
        <v>0</v>
      </c>
      <c r="Z104" s="128">
        <v>74</v>
      </c>
    </row>
    <row r="105" spans="2:26" ht="19" thickBot="1">
      <c r="B105" s="2"/>
      <c r="C105" s="132" t="s">
        <v>13</v>
      </c>
      <c r="D105" s="49">
        <f>SUMIFS(N83:N104,D83:D104,"○")</f>
        <v>30</v>
      </c>
      <c r="E105" s="49">
        <f>SUMIFS(N83:N104,E83:E104,"○")</f>
        <v>30</v>
      </c>
      <c r="F105" s="49">
        <f>SUMIFS(N83:N104,F83:F104,"○")</f>
        <v>0</v>
      </c>
      <c r="G105" s="49">
        <f>SUMIFS(N83:N104,G83:G104,"○")</f>
        <v>39</v>
      </c>
      <c r="H105" s="49">
        <f>SUMIFS(N83:N104,H83:H104,"○")</f>
        <v>39</v>
      </c>
      <c r="I105" s="49">
        <f>SUMIFS(N83:N104,I83:I104,"○")</f>
        <v>5</v>
      </c>
      <c r="J105" s="50"/>
      <c r="K105" s="12"/>
      <c r="L105" s="51"/>
      <c r="M105" s="49"/>
      <c r="N105" s="49"/>
      <c r="O105" s="52"/>
      <c r="P105" s="53"/>
      <c r="Q105" s="54"/>
      <c r="R105" s="55"/>
      <c r="S105" s="56"/>
      <c r="T105" s="56"/>
      <c r="U105" s="56"/>
      <c r="V105" s="57"/>
      <c r="W105" s="128">
        <f>IFERROR(1/(COUNTIFS(科目表[修得状況],"e",科目表[摘要],"専門",科目表[摘要の種類],R105)),0)</f>
        <v>0</v>
      </c>
      <c r="X105" s="26">
        <f>IFERROR(1/(COUNTIFS(科目表[修得状況],"e",科目表[摘要],"A",科目表[摘要の種類],R105)),0)</f>
        <v>0</v>
      </c>
      <c r="Y105" s="26">
        <f>IFERROR(1/(COUNTIFS(科目表[修得状況],"e",科目表[摘要],"A-1",科目表[摘要の種類],R105)),0)</f>
        <v>0</v>
      </c>
      <c r="Z105" s="128">
        <v>75</v>
      </c>
    </row>
    <row r="106" spans="2:26" ht="39" thickTop="1">
      <c r="B106" s="4" t="s">
        <v>77</v>
      </c>
      <c r="C106" s="142" t="s">
        <v>14</v>
      </c>
      <c r="D106" s="133" t="str">
        <f>IF(LEFT(科目表[[#This Row],[履修年次]],1)="専","○","")</f>
        <v>○</v>
      </c>
      <c r="E106" s="133" t="str">
        <f>IF(科目表[[#This Row],[単位修得の要件による分類]]="学修総まとめ
科目","",IF(AND(LEFT(科目表[[#This Row],[履修年次]],1)="専",科目表[[#This Row],[摘要]]&lt;&gt;""),"○",""))</f>
        <v/>
      </c>
      <c r="F106" s="133" t="str">
        <f>IF(AND(LEFT(科目表[[#This Row],[履修年次]],1)="専",科目表[[#This Row],[摘要]]&lt;&gt;"",科目表[[#This Row],[摘要]]&lt;&gt;"関連"),"○","")</f>
        <v>○</v>
      </c>
      <c r="G106" s="133" t="str">
        <f>IF(科目表[[#This Row],[摘要]]&lt;&gt;"","○","")</f>
        <v>○</v>
      </c>
      <c r="H106" s="134" t="str">
        <f>IF(OR(科目表[[#This Row],[摘要]]="",科目表[[#This Row],[摘要]]="関連"),"○","")</f>
        <v/>
      </c>
      <c r="I106" s="143"/>
      <c r="J106" s="135" t="s">
        <v>305</v>
      </c>
      <c r="K106" s="13"/>
      <c r="L106" s="144" t="s">
        <v>306</v>
      </c>
      <c r="M106" s="137" t="s">
        <v>202</v>
      </c>
      <c r="N106" s="133">
        <v>8</v>
      </c>
      <c r="O106" s="138" t="s">
        <v>307</v>
      </c>
      <c r="P106" s="139"/>
      <c r="Q106" s="145" t="s">
        <v>184</v>
      </c>
      <c r="R106" s="146" t="s">
        <v>308</v>
      </c>
      <c r="S106" s="147"/>
      <c r="T106" s="147"/>
      <c r="U106" s="147"/>
      <c r="V106" s="148"/>
      <c r="W106" s="128">
        <f>IFERROR(1/(COUNTIFS(科目表[修得状況],"e",科目表[摘要],"専門",科目表[摘要の種類],R106)),0)</f>
        <v>0</v>
      </c>
      <c r="X106" s="26">
        <f>IFERROR(1/(COUNTIFS(科目表[修得状況],"e",科目表[摘要],"A",科目表[摘要の種類],R106)),0)</f>
        <v>0</v>
      </c>
      <c r="Y106" s="26">
        <f>IFERROR(1/(COUNTIFS(科目表[修得状況],"e",科目表[摘要],"A-1",科目表[摘要の種類],R106)),0)</f>
        <v>0</v>
      </c>
      <c r="Z106" s="128">
        <v>76</v>
      </c>
    </row>
    <row r="107" spans="2:26" ht="20" thickBot="1">
      <c r="B107" s="2"/>
      <c r="C107" s="149" t="s">
        <v>13</v>
      </c>
      <c r="D107" s="49">
        <f>SUMIFS(N106,D106,"○")</f>
        <v>8</v>
      </c>
      <c r="E107" s="49">
        <f>SUMIFS(N106,E106,"○")</f>
        <v>0</v>
      </c>
      <c r="F107" s="49">
        <f>SUMIFS(N106,F106,"○")</f>
        <v>8</v>
      </c>
      <c r="G107" s="49">
        <f>SUMIFS(N106,G106,"○")</f>
        <v>8</v>
      </c>
      <c r="H107" s="49">
        <f>SUMIFS(N106,H106,"○")</f>
        <v>0</v>
      </c>
      <c r="I107" s="49">
        <f>SUMIFS(N106,I106,"○")</f>
        <v>0</v>
      </c>
      <c r="J107" s="50"/>
      <c r="K107" s="12"/>
      <c r="L107" s="51"/>
      <c r="M107" s="49"/>
      <c r="N107" s="49"/>
      <c r="O107" s="52"/>
      <c r="P107" s="53"/>
      <c r="Q107" s="54"/>
      <c r="R107" s="55"/>
      <c r="S107" s="56"/>
      <c r="T107" s="56"/>
      <c r="U107" s="56"/>
      <c r="V107" s="57"/>
      <c r="W107" s="128">
        <f>IFERROR(1/(COUNTIFS(科目表[修得状況],"e",科目表[摘要],"専門",科目表[摘要の種類],R107)),0)</f>
        <v>0</v>
      </c>
      <c r="X107" s="26">
        <f>IFERROR(1/(COUNTIFS(科目表[修得状況],"e",科目表[摘要],"A",科目表[摘要の種類],R107)),0)</f>
        <v>0</v>
      </c>
      <c r="Y107" s="26">
        <f>IFERROR(1/(COUNTIFS(科目表[修得状況],"e",科目表[摘要],"A-1",科目表[摘要の種類],R107)),0)</f>
        <v>0</v>
      </c>
      <c r="Z107" s="26">
        <v>77</v>
      </c>
    </row>
    <row r="108" spans="2:26" ht="15" thickTop="1">
      <c r="B108" s="7" t="s">
        <v>78</v>
      </c>
      <c r="C108" s="129" t="s">
        <v>177</v>
      </c>
      <c r="D108" s="37" t="str">
        <f>IF(LEFT(科目表[[#This Row],[履修年次]],1)="専","○","")</f>
        <v/>
      </c>
      <c r="E108" s="38" t="str">
        <f>IF(科目表[[#This Row],[単位修得の要件による分類]]="学修総まとめ
科目","",IF(AND(LEFT(科目表[[#This Row],[履修年次]],1)="専",科目表[[#This Row],[摘要]]&lt;&gt;""),"○",""))</f>
        <v/>
      </c>
      <c r="F108" s="38" t="str">
        <f>IF(AND(LEFT(科目表[[#This Row],[履修年次]],1)="専",科目表[[#This Row],[摘要]]&lt;&gt;"",科目表[[#This Row],[摘要]]&lt;&gt;"関連"),"○","")</f>
        <v/>
      </c>
      <c r="G108" s="38" t="str">
        <f>IF(科目表[[#This Row],[摘要]]&lt;&gt;"","○","")</f>
        <v/>
      </c>
      <c r="H108" s="39" t="str">
        <f>IF(OR(科目表[[#This Row],[摘要]]="",科目表[[#This Row],[摘要]]="関連"),"○","")</f>
        <v>○</v>
      </c>
      <c r="I108" s="39" t="s">
        <v>178</v>
      </c>
      <c r="J108" s="40" t="s">
        <v>309</v>
      </c>
      <c r="K108" s="14"/>
      <c r="L108" s="41" t="s">
        <v>310</v>
      </c>
      <c r="M108" s="37" t="s">
        <v>311</v>
      </c>
      <c r="N108" s="38">
        <v>1</v>
      </c>
      <c r="O108" s="39" t="s">
        <v>197</v>
      </c>
      <c r="P108" s="42"/>
      <c r="Q108" s="43"/>
      <c r="R108" s="44" t="s">
        <v>312</v>
      </c>
      <c r="S108" s="150"/>
      <c r="T108" s="150"/>
      <c r="U108" s="150"/>
      <c r="V108" s="141"/>
      <c r="W108" s="128">
        <f>IFERROR(1/(COUNTIFS(科目表[修得状況],"e",科目表[摘要],"専門",科目表[摘要の種類],R108)),0)</f>
        <v>0</v>
      </c>
      <c r="X108" s="26">
        <f>IFERROR(1/(COUNTIFS(科目表[修得状況],"e",科目表[摘要],"A",科目表[摘要の種類],R108)),0)</f>
        <v>0</v>
      </c>
      <c r="Y108" s="26">
        <f>IFERROR(1/(COUNTIFS(科目表[修得状況],"e",科目表[摘要],"A-1",科目表[摘要の種類],R108)),0)</f>
        <v>0</v>
      </c>
      <c r="Z108" s="26">
        <v>78</v>
      </c>
    </row>
    <row r="109" spans="2:26">
      <c r="B109" s="9" t="s">
        <v>337</v>
      </c>
      <c r="C109" s="131"/>
      <c r="D109" s="133" t="str">
        <f>IF(LEFT(科目表[[#This Row],[履修年次]],1)="専","○","")</f>
        <v/>
      </c>
      <c r="E109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09" s="31" t="str">
        <f>IF(AND(LEFT(科目表[[#This Row],[履修年次]],1)="専",科目表[[#This Row],[摘要]]&lt;&gt;"",科目表[[#This Row],[摘要]]&lt;&gt;"関連"),"○","")</f>
        <v/>
      </c>
      <c r="G109" s="31" t="str">
        <f>IF(科目表[[#This Row],[摘要]]&lt;&gt;"","○","")</f>
        <v/>
      </c>
      <c r="H109" s="31" t="str">
        <f>IF(OR(科目表[[#This Row],[摘要]]="",科目表[[#This Row],[摘要]]="関連"),"○","")</f>
        <v>○</v>
      </c>
      <c r="I109" s="28" t="s">
        <v>178</v>
      </c>
      <c r="J109" s="29" t="s">
        <v>309</v>
      </c>
      <c r="K109" s="11"/>
      <c r="L109" s="30" t="s">
        <v>313</v>
      </c>
      <c r="M109" s="31" t="s">
        <v>311</v>
      </c>
      <c r="N109" s="31">
        <v>1</v>
      </c>
      <c r="O109" s="31" t="s">
        <v>314</v>
      </c>
      <c r="P109" s="28"/>
      <c r="Q109" s="36"/>
      <c r="R109" s="35" t="s">
        <v>312</v>
      </c>
      <c r="S109" s="24"/>
      <c r="T109" s="24"/>
      <c r="U109" s="24"/>
      <c r="V109" s="25"/>
      <c r="W109" s="26">
        <f>IFERROR(1/(COUNTIFS(科目表[修得状況],"e",科目表[摘要],"専門",科目表[摘要の種類],R109)),0)</f>
        <v>0</v>
      </c>
      <c r="X109" s="26">
        <f>IFERROR(1/(COUNTIFS(科目表[修得状況],"e",科目表[摘要],"A",科目表[摘要の種類],R109)),0)</f>
        <v>0</v>
      </c>
      <c r="Y109" s="26">
        <f>IFERROR(1/(COUNTIFS(科目表[修得状況],"e",科目表[摘要],"A-1",科目表[摘要の種類],R109)),0)</f>
        <v>0</v>
      </c>
      <c r="Z109" s="26">
        <v>79</v>
      </c>
    </row>
    <row r="110" spans="2:26">
      <c r="B110" s="9"/>
      <c r="C110" s="131"/>
      <c r="D110" s="31" t="str">
        <f>IF(LEFT(科目表[[#This Row],[履修年次]],1)="専","○","")</f>
        <v/>
      </c>
      <c r="E110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0" s="31" t="str">
        <f>IF(AND(LEFT(科目表[[#This Row],[履修年次]],1)="専",科目表[[#This Row],[摘要]]&lt;&gt;"",科目表[[#This Row],[摘要]]&lt;&gt;"関連"),"○","")</f>
        <v/>
      </c>
      <c r="G110" s="31" t="str">
        <f>IF(科目表[[#This Row],[摘要]]&lt;&gt;"","○","")</f>
        <v/>
      </c>
      <c r="H110" s="31" t="str">
        <f>IF(OR(科目表[[#This Row],[摘要]]="",科目表[[#This Row],[摘要]]="関連"),"○","")</f>
        <v>○</v>
      </c>
      <c r="I110" s="28" t="s">
        <v>178</v>
      </c>
      <c r="J110" s="29" t="s">
        <v>181</v>
      </c>
      <c r="K110" s="11"/>
      <c r="L110" s="30" t="s">
        <v>315</v>
      </c>
      <c r="M110" s="31" t="s">
        <v>311</v>
      </c>
      <c r="N110" s="31">
        <v>1</v>
      </c>
      <c r="O110" s="31" t="s">
        <v>197</v>
      </c>
      <c r="P110" s="28"/>
      <c r="Q110" s="36"/>
      <c r="R110" s="35" t="s">
        <v>182</v>
      </c>
      <c r="S110" s="24"/>
      <c r="T110" s="24"/>
      <c r="U110" s="24"/>
      <c r="V110" s="25"/>
      <c r="W110" s="26">
        <f>IFERROR(1/(COUNTIFS(科目表[修得状況],"e",科目表[摘要],"専門",科目表[摘要の種類],R110)),0)</f>
        <v>0</v>
      </c>
      <c r="X110" s="26">
        <f>IFERROR(1/(COUNTIFS(科目表[修得状況],"e",科目表[摘要],"A",科目表[摘要の種類],R110)),0)</f>
        <v>0</v>
      </c>
      <c r="Y110" s="26">
        <f>IFERROR(1/(COUNTIFS(科目表[修得状況],"e",科目表[摘要],"A-1",科目表[摘要の種類],R110)),0)</f>
        <v>0</v>
      </c>
      <c r="Z110" s="128">
        <v>80</v>
      </c>
    </row>
    <row r="111" spans="2:26">
      <c r="B111" s="9"/>
      <c r="C111" s="131"/>
      <c r="D111" s="31" t="str">
        <f>IF(LEFT(科目表[[#This Row],[履修年次]],1)="専","○","")</f>
        <v/>
      </c>
      <c r="E111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1" s="31" t="str">
        <f>IF(AND(LEFT(科目表[[#This Row],[履修年次]],1)="専",科目表[[#This Row],[摘要]]&lt;&gt;"",科目表[[#This Row],[摘要]]&lt;&gt;"関連"),"○","")</f>
        <v/>
      </c>
      <c r="G111" s="31" t="str">
        <f>IF(科目表[[#This Row],[摘要]]&lt;&gt;"","○","")</f>
        <v/>
      </c>
      <c r="H111" s="31" t="str">
        <f>IF(OR(科目表[[#This Row],[摘要]]="",科目表[[#This Row],[摘要]]="関連"),"○","")</f>
        <v>○</v>
      </c>
      <c r="I111" s="28" t="s">
        <v>178</v>
      </c>
      <c r="J111" s="29" t="s">
        <v>309</v>
      </c>
      <c r="K111" s="11"/>
      <c r="L111" s="30" t="s">
        <v>316</v>
      </c>
      <c r="M111" s="31" t="s">
        <v>317</v>
      </c>
      <c r="N111" s="31">
        <v>1</v>
      </c>
      <c r="O111" s="31" t="s">
        <v>314</v>
      </c>
      <c r="P111" s="28"/>
      <c r="Q111" s="36"/>
      <c r="R111" s="35" t="s">
        <v>312</v>
      </c>
      <c r="S111" s="24"/>
      <c r="T111" s="24"/>
      <c r="U111" s="24"/>
      <c r="V111" s="25"/>
      <c r="W111" s="26">
        <f>IFERROR(1/(COUNTIFS(科目表[修得状況],"e",科目表[摘要],"専門",科目表[摘要の種類],R111)),0)</f>
        <v>0</v>
      </c>
      <c r="X111" s="26">
        <f>IFERROR(1/(COUNTIFS(科目表[修得状況],"e",科目表[摘要],"A",科目表[摘要の種類],R111)),0)</f>
        <v>0</v>
      </c>
      <c r="Y111" s="26">
        <f>IFERROR(1/(COUNTIFS(科目表[修得状況],"e",科目表[摘要],"A-1",科目表[摘要の種類],R111)),0)</f>
        <v>0</v>
      </c>
      <c r="Z111" s="128">
        <v>81</v>
      </c>
    </row>
    <row r="112" spans="2:26">
      <c r="B112" s="9" t="s">
        <v>337</v>
      </c>
      <c r="C112" s="131"/>
      <c r="D112" s="31" t="str">
        <f>IF(LEFT(科目表[[#This Row],[履修年次]],1)="専","○","")</f>
        <v/>
      </c>
      <c r="E112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2" s="31" t="str">
        <f>IF(AND(LEFT(科目表[[#This Row],[履修年次]],1)="専",科目表[[#This Row],[摘要]]&lt;&gt;"",科目表[[#This Row],[摘要]]&lt;&gt;"関連"),"○","")</f>
        <v/>
      </c>
      <c r="G112" s="31" t="str">
        <f>IF(科目表[[#This Row],[摘要]]&lt;&gt;"","○","")</f>
        <v/>
      </c>
      <c r="H112" s="31" t="str">
        <f>IF(OR(科目表[[#This Row],[摘要]]="",科目表[[#This Row],[摘要]]="関連"),"○","")</f>
        <v>○</v>
      </c>
      <c r="I112" s="28"/>
      <c r="J112" s="29" t="s">
        <v>309</v>
      </c>
      <c r="K112" s="11"/>
      <c r="L112" s="30" t="s">
        <v>318</v>
      </c>
      <c r="M112" s="31" t="s">
        <v>183</v>
      </c>
      <c r="N112" s="31">
        <v>1</v>
      </c>
      <c r="O112" s="31" t="s">
        <v>197</v>
      </c>
      <c r="P112" s="28"/>
      <c r="Q112" s="36"/>
      <c r="R112" s="35" t="s">
        <v>312</v>
      </c>
      <c r="S112" s="24"/>
      <c r="T112" s="24"/>
      <c r="U112" s="24"/>
      <c r="V112" s="25"/>
      <c r="W112" s="26">
        <f>IFERROR(1/(COUNTIFS(科目表[修得状況],"e",科目表[摘要],"専門",科目表[摘要の種類],R112)),0)</f>
        <v>0</v>
      </c>
      <c r="X112" s="26">
        <f>IFERROR(1/(COUNTIFS(科目表[修得状況],"e",科目表[摘要],"A",科目表[摘要の種類],R112)),0)</f>
        <v>0</v>
      </c>
      <c r="Y112" s="26">
        <f>IFERROR(1/(COUNTIFS(科目表[修得状況],"e",科目表[摘要],"A-1",科目表[摘要の種類],R112)),0)</f>
        <v>0</v>
      </c>
      <c r="Z112" s="128">
        <v>82</v>
      </c>
    </row>
    <row r="113" spans="2:26">
      <c r="B113" s="9" t="s">
        <v>337</v>
      </c>
      <c r="C113" s="131"/>
      <c r="D113" s="31" t="str">
        <f>IF(LEFT(科目表[[#This Row],[履修年次]],1)="専","○","")</f>
        <v/>
      </c>
      <c r="E113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3" s="31" t="str">
        <f>IF(AND(LEFT(科目表[[#This Row],[履修年次]],1)="専",科目表[[#This Row],[摘要]]&lt;&gt;"",科目表[[#This Row],[摘要]]&lt;&gt;"関連"),"○","")</f>
        <v/>
      </c>
      <c r="G113" s="31" t="str">
        <f>IF(科目表[[#This Row],[摘要]]&lt;&gt;"","○","")</f>
        <v/>
      </c>
      <c r="H113" s="31" t="str">
        <f>IF(OR(科目表[[#This Row],[摘要]]="",科目表[[#This Row],[摘要]]="関連"),"○","")</f>
        <v>○</v>
      </c>
      <c r="I113" s="28"/>
      <c r="J113" s="29" t="s">
        <v>181</v>
      </c>
      <c r="K113" s="11"/>
      <c r="L113" s="30" t="s">
        <v>319</v>
      </c>
      <c r="M113" s="31" t="s">
        <v>183</v>
      </c>
      <c r="N113" s="31">
        <v>1</v>
      </c>
      <c r="O113" s="31" t="s">
        <v>197</v>
      </c>
      <c r="P113" s="28"/>
      <c r="Q113" s="36"/>
      <c r="R113" s="35" t="s">
        <v>182</v>
      </c>
      <c r="S113" s="24"/>
      <c r="T113" s="24"/>
      <c r="U113" s="24"/>
      <c r="V113" s="25"/>
      <c r="W113" s="26">
        <f>IFERROR(1/(COUNTIFS(科目表[修得状況],"e",科目表[摘要],"専門",科目表[摘要の種類],R113)),0)</f>
        <v>0</v>
      </c>
      <c r="X113" s="26">
        <f>IFERROR(1/(COUNTIFS(科目表[修得状況],"e",科目表[摘要],"A",科目表[摘要の種類],R113)),0)</f>
        <v>0</v>
      </c>
      <c r="Y113" s="26">
        <f>IFERROR(1/(COUNTIFS(科目表[修得状況],"e",科目表[摘要],"A-1",科目表[摘要の種類],R113)),0)</f>
        <v>0</v>
      </c>
      <c r="Z113" s="26">
        <v>83</v>
      </c>
    </row>
    <row r="114" spans="2:26">
      <c r="B114" s="9"/>
      <c r="C114" s="131"/>
      <c r="D114" s="31" t="str">
        <f>IF(LEFT(科目表[[#This Row],[履修年次]],1)="専","○","")</f>
        <v/>
      </c>
      <c r="E114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4" s="31" t="str">
        <f>IF(AND(LEFT(科目表[[#This Row],[履修年次]],1)="専",科目表[[#This Row],[摘要]]&lt;&gt;"",科目表[[#This Row],[摘要]]&lt;&gt;"関連"),"○","")</f>
        <v/>
      </c>
      <c r="G114" s="31" t="str">
        <f>IF(科目表[[#This Row],[摘要]]&lt;&gt;"","○","")</f>
        <v/>
      </c>
      <c r="H114" s="31" t="str">
        <f>IF(OR(科目表[[#This Row],[摘要]]="",科目表[[#This Row],[摘要]]="関連"),"○","")</f>
        <v>○</v>
      </c>
      <c r="I114" s="28"/>
      <c r="J114" s="29" t="s">
        <v>309</v>
      </c>
      <c r="K114" s="11"/>
      <c r="L114" s="30" t="s">
        <v>320</v>
      </c>
      <c r="M114" s="31" t="s">
        <v>311</v>
      </c>
      <c r="N114" s="31">
        <v>2</v>
      </c>
      <c r="O114" s="31" t="s">
        <v>197</v>
      </c>
      <c r="P114" s="28"/>
      <c r="Q114" s="36"/>
      <c r="R114" s="35" t="s">
        <v>312</v>
      </c>
      <c r="S114" s="24"/>
      <c r="T114" s="24"/>
      <c r="U114" s="24"/>
      <c r="V114" s="25"/>
      <c r="W114" s="26">
        <f>IFERROR(1/(COUNTIFS(科目表[修得状況],"e",科目表[摘要],"専門",科目表[摘要の種類],R114)),0)</f>
        <v>0</v>
      </c>
      <c r="X114" s="26">
        <f>IFERROR(1/(COUNTIFS(科目表[修得状況],"e",科目表[摘要],"A",科目表[摘要の種類],R114)),0)</f>
        <v>0</v>
      </c>
      <c r="Y114" s="26">
        <f>IFERROR(1/(COUNTIFS(科目表[修得状況],"e",科目表[摘要],"A-1",科目表[摘要の種類],R114)),0)</f>
        <v>0</v>
      </c>
      <c r="Z114" s="26">
        <v>84</v>
      </c>
    </row>
    <row r="115" spans="2:26">
      <c r="B115" s="9"/>
      <c r="C115" s="131"/>
      <c r="D115" s="31" t="str">
        <f>IF(LEFT(科目表[[#This Row],[履修年次]],1)="専","○","")</f>
        <v/>
      </c>
      <c r="E115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5" s="31" t="str">
        <f>IF(AND(LEFT(科目表[[#This Row],[履修年次]],1)="専",科目表[[#This Row],[摘要]]&lt;&gt;"",科目表[[#This Row],[摘要]]&lt;&gt;"関連"),"○","")</f>
        <v/>
      </c>
      <c r="G115" s="31" t="str">
        <f>IF(科目表[[#This Row],[摘要]]&lt;&gt;"","○","")</f>
        <v/>
      </c>
      <c r="H115" s="31" t="str">
        <f>IF(OR(科目表[[#This Row],[摘要]]="",科目表[[#This Row],[摘要]]="関連"),"○","")</f>
        <v>○</v>
      </c>
      <c r="I115" s="28"/>
      <c r="J115" s="29" t="s">
        <v>309</v>
      </c>
      <c r="K115" s="11"/>
      <c r="L115" s="30" t="s">
        <v>321</v>
      </c>
      <c r="M115" s="31" t="s">
        <v>317</v>
      </c>
      <c r="N115" s="31">
        <v>2</v>
      </c>
      <c r="O115" s="31" t="s">
        <v>314</v>
      </c>
      <c r="P115" s="28"/>
      <c r="Q115" s="36"/>
      <c r="R115" s="35" t="s">
        <v>312</v>
      </c>
      <c r="S115" s="24"/>
      <c r="T115" s="24"/>
      <c r="U115" s="24"/>
      <c r="V115" s="25"/>
      <c r="W115" s="26">
        <f>IFERROR(1/(COUNTIFS(科目表[修得状況],"e",科目表[摘要],"専門",科目表[摘要の種類],R115)),0)</f>
        <v>0</v>
      </c>
      <c r="X115" s="26">
        <f>IFERROR(1/(COUNTIFS(科目表[修得状況],"e",科目表[摘要],"A",科目表[摘要の種類],R115)),0)</f>
        <v>0</v>
      </c>
      <c r="Y115" s="26">
        <f>IFERROR(1/(COUNTIFS(科目表[修得状況],"e",科目表[摘要],"A-1",科目表[摘要の種類],R115)),0)</f>
        <v>0</v>
      </c>
      <c r="Z115" s="26">
        <v>85</v>
      </c>
    </row>
    <row r="116" spans="2:26">
      <c r="B116" s="9"/>
      <c r="C116" s="131"/>
      <c r="D116" s="31" t="str">
        <f>IF(LEFT(科目表[[#This Row],[履修年次]],1)="専","○","")</f>
        <v/>
      </c>
      <c r="E116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6" s="31" t="str">
        <f>IF(AND(LEFT(科目表[[#This Row],[履修年次]],1)="専",科目表[[#This Row],[摘要]]&lt;&gt;"",科目表[[#This Row],[摘要]]&lt;&gt;"関連"),"○","")</f>
        <v/>
      </c>
      <c r="G116" s="31" t="str">
        <f>IF(科目表[[#This Row],[摘要]]&lt;&gt;"","○","")</f>
        <v/>
      </c>
      <c r="H116" s="31" t="str">
        <f>IF(OR(科目表[[#This Row],[摘要]]="",科目表[[#This Row],[摘要]]="関連"),"○","")</f>
        <v>○</v>
      </c>
      <c r="I116" s="28"/>
      <c r="J116" s="29" t="s">
        <v>181</v>
      </c>
      <c r="K116" s="11"/>
      <c r="L116" s="30" t="s">
        <v>322</v>
      </c>
      <c r="M116" s="31" t="s">
        <v>311</v>
      </c>
      <c r="N116" s="31">
        <v>2</v>
      </c>
      <c r="O116" s="31" t="s">
        <v>197</v>
      </c>
      <c r="P116" s="28"/>
      <c r="Q116" s="36"/>
      <c r="R116" s="35" t="s">
        <v>182</v>
      </c>
      <c r="S116" s="24"/>
      <c r="T116" s="24"/>
      <c r="U116" s="24"/>
      <c r="V116" s="25"/>
      <c r="W116" s="26">
        <f>IFERROR(1/(COUNTIFS(科目表[修得状況],"e",科目表[摘要],"専門",科目表[摘要の種類],R116)),0)</f>
        <v>0</v>
      </c>
      <c r="X116" s="26">
        <f>IFERROR(1/(COUNTIFS(科目表[修得状況],"e",科目表[摘要],"A",科目表[摘要の種類],R116)),0)</f>
        <v>0</v>
      </c>
      <c r="Y116" s="26">
        <f>IFERROR(1/(COUNTIFS(科目表[修得状況],"e",科目表[摘要],"A-1",科目表[摘要の種類],R116)),0)</f>
        <v>0</v>
      </c>
      <c r="Z116" s="128">
        <v>86</v>
      </c>
    </row>
    <row r="117" spans="2:26">
      <c r="B117" s="9" t="s">
        <v>337</v>
      </c>
      <c r="C117" s="131"/>
      <c r="D117" s="31" t="str">
        <f>IF(LEFT(科目表[[#This Row],[履修年次]],1)="専","○","")</f>
        <v/>
      </c>
      <c r="E117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7" s="31" t="str">
        <f>IF(AND(LEFT(科目表[[#This Row],[履修年次]],1)="専",科目表[[#This Row],[摘要]]&lt;&gt;"",科目表[[#This Row],[摘要]]&lt;&gt;"関連"),"○","")</f>
        <v/>
      </c>
      <c r="G117" s="31" t="str">
        <f>IF(科目表[[#This Row],[摘要]]&lt;&gt;"","○","")</f>
        <v/>
      </c>
      <c r="H117" s="31" t="str">
        <f>IF(OR(科目表[[#This Row],[摘要]]="",科目表[[#This Row],[摘要]]="関連"),"○","")</f>
        <v>○</v>
      </c>
      <c r="I117" s="28"/>
      <c r="J117" s="29" t="s">
        <v>309</v>
      </c>
      <c r="K117" s="11"/>
      <c r="L117" s="30" t="s">
        <v>323</v>
      </c>
      <c r="M117" s="31" t="s">
        <v>317</v>
      </c>
      <c r="N117" s="31">
        <v>2</v>
      </c>
      <c r="O117" s="31" t="s">
        <v>314</v>
      </c>
      <c r="P117" s="28"/>
      <c r="Q117" s="36"/>
      <c r="R117" s="35" t="s">
        <v>312</v>
      </c>
      <c r="S117" s="24"/>
      <c r="T117" s="24"/>
      <c r="U117" s="24"/>
      <c r="V117" s="25"/>
      <c r="W117" s="26">
        <f>IFERROR(1/(COUNTIFS(科目表[修得状況],"e",科目表[摘要],"専門",科目表[摘要の種類],R117)),0)</f>
        <v>0</v>
      </c>
      <c r="X117" s="26">
        <f>IFERROR(1/(COUNTIFS(科目表[修得状況],"e",科目表[摘要],"A",科目表[摘要の種類],R117)),0)</f>
        <v>0</v>
      </c>
      <c r="Y117" s="26">
        <f>IFERROR(1/(COUNTIFS(科目表[修得状況],"e",科目表[摘要],"A-1",科目表[摘要の種類],R117)),0)</f>
        <v>0</v>
      </c>
      <c r="Z117" s="128">
        <v>87</v>
      </c>
    </row>
    <row r="118" spans="2:26">
      <c r="B118" s="9" t="s">
        <v>337</v>
      </c>
      <c r="C118" s="131"/>
      <c r="D118" s="31" t="str">
        <f>IF(LEFT(科目表[[#This Row],[履修年次]],1)="専","○","")</f>
        <v/>
      </c>
      <c r="E118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8" s="31" t="str">
        <f>IF(AND(LEFT(科目表[[#This Row],[履修年次]],1)="専",科目表[[#This Row],[摘要]]&lt;&gt;"",科目表[[#This Row],[摘要]]&lt;&gt;"関連"),"○","")</f>
        <v/>
      </c>
      <c r="G118" s="31" t="str">
        <f>IF(科目表[[#This Row],[摘要]]&lt;&gt;"","○","")</f>
        <v/>
      </c>
      <c r="H118" s="31" t="str">
        <f>IF(OR(科目表[[#This Row],[摘要]]="",科目表[[#This Row],[摘要]]="関連"),"○","")</f>
        <v>○</v>
      </c>
      <c r="I118" s="28"/>
      <c r="J118" s="29" t="s">
        <v>309</v>
      </c>
      <c r="K118" s="11"/>
      <c r="L118" s="30" t="s">
        <v>324</v>
      </c>
      <c r="M118" s="31" t="s">
        <v>311</v>
      </c>
      <c r="N118" s="31">
        <v>2</v>
      </c>
      <c r="O118" s="31" t="s">
        <v>197</v>
      </c>
      <c r="P118" s="28"/>
      <c r="Q118" s="36"/>
      <c r="R118" s="35" t="s">
        <v>312</v>
      </c>
      <c r="S118" s="24"/>
      <c r="T118" s="24"/>
      <c r="U118" s="24"/>
      <c r="V118" s="25"/>
      <c r="W118" s="26">
        <f>IFERROR(1/(COUNTIFS(科目表[修得状況],"e",科目表[摘要],"専門",科目表[摘要の種類],R118)),0)</f>
        <v>0</v>
      </c>
      <c r="X118" s="26">
        <f>IFERROR(1/(COUNTIFS(科目表[修得状況],"e",科目表[摘要],"A",科目表[摘要の種類],R118)),0)</f>
        <v>0</v>
      </c>
      <c r="Y118" s="26">
        <f>IFERROR(1/(COUNTIFS(科目表[修得状況],"e",科目表[摘要],"A-1",科目表[摘要の種類],R118)),0)</f>
        <v>0</v>
      </c>
      <c r="Z118" s="128">
        <v>88</v>
      </c>
    </row>
    <row r="119" spans="2:26">
      <c r="B119" s="9"/>
      <c r="C119" s="131"/>
      <c r="D119" s="31" t="str">
        <f>IF(LEFT(科目表[[#This Row],[履修年次]],1)="専","○","")</f>
        <v/>
      </c>
      <c r="E119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19" s="31" t="str">
        <f>IF(AND(LEFT(科目表[[#This Row],[履修年次]],1)="専",科目表[[#This Row],[摘要]]&lt;&gt;"",科目表[[#This Row],[摘要]]&lt;&gt;"関連"),"○","")</f>
        <v/>
      </c>
      <c r="G119" s="31" t="str">
        <f>IF(科目表[[#This Row],[摘要]]&lt;&gt;"","○","")</f>
        <v/>
      </c>
      <c r="H119" s="31" t="str">
        <f>IF(OR(科目表[[#This Row],[摘要]]="",科目表[[#This Row],[摘要]]="関連"),"○","")</f>
        <v>○</v>
      </c>
      <c r="I119" s="28"/>
      <c r="J119" s="29" t="s">
        <v>309</v>
      </c>
      <c r="K119" s="11"/>
      <c r="L119" s="30" t="s">
        <v>325</v>
      </c>
      <c r="M119" s="31" t="s">
        <v>317</v>
      </c>
      <c r="N119" s="31">
        <v>2</v>
      </c>
      <c r="O119" s="31" t="s">
        <v>314</v>
      </c>
      <c r="P119" s="28"/>
      <c r="Q119" s="36"/>
      <c r="R119" s="35" t="s">
        <v>312</v>
      </c>
      <c r="S119" s="24"/>
      <c r="T119" s="24"/>
      <c r="U119" s="24"/>
      <c r="V119" s="25"/>
      <c r="W119" s="26">
        <f>IFERROR(1/(COUNTIFS(科目表[修得状況],"e",科目表[摘要],"専門",科目表[摘要の種類],R119)),0)</f>
        <v>0</v>
      </c>
      <c r="X119" s="26">
        <f>IFERROR(1/(COUNTIFS(科目表[修得状況],"e",科目表[摘要],"A",科目表[摘要の種類],R119)),0)</f>
        <v>0</v>
      </c>
      <c r="Y119" s="26">
        <f>IFERROR(1/(COUNTIFS(科目表[修得状況],"e",科目表[摘要],"A-1",科目表[摘要の種類],R119)),0)</f>
        <v>0</v>
      </c>
      <c r="Z119" s="26">
        <v>89</v>
      </c>
    </row>
    <row r="120" spans="2:26">
      <c r="B120" s="9" t="s">
        <v>337</v>
      </c>
      <c r="C120" s="131"/>
      <c r="D120" s="31" t="str">
        <f>IF(LEFT(科目表[[#This Row],[履修年次]],1)="専","○","")</f>
        <v/>
      </c>
      <c r="E120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0" s="31" t="str">
        <f>IF(AND(LEFT(科目表[[#This Row],[履修年次]],1)="専",科目表[[#This Row],[摘要]]&lt;&gt;"",科目表[[#This Row],[摘要]]&lt;&gt;"関連"),"○","")</f>
        <v/>
      </c>
      <c r="G120" s="31" t="str">
        <f>IF(科目表[[#This Row],[摘要]]&lt;&gt;"","○","")</f>
        <v/>
      </c>
      <c r="H120" s="31" t="str">
        <f>IF(OR(科目表[[#This Row],[摘要]]="",科目表[[#This Row],[摘要]]="関連"),"○","")</f>
        <v>○</v>
      </c>
      <c r="I120" s="28"/>
      <c r="J120" s="29" t="s">
        <v>181</v>
      </c>
      <c r="K120" s="11"/>
      <c r="L120" s="30" t="s">
        <v>326</v>
      </c>
      <c r="M120" s="31" t="s">
        <v>183</v>
      </c>
      <c r="N120" s="31">
        <v>1</v>
      </c>
      <c r="O120" s="31" t="s">
        <v>198</v>
      </c>
      <c r="P120" s="28"/>
      <c r="Q120" s="36"/>
      <c r="R120" s="35" t="s">
        <v>182</v>
      </c>
      <c r="S120" s="24"/>
      <c r="T120" s="24"/>
      <c r="U120" s="24"/>
      <c r="V120" s="25"/>
      <c r="W120" s="26">
        <f>IFERROR(1/(COUNTIFS(科目表[修得状況],"e",科目表[摘要],"専門",科目表[摘要の種類],R120)),0)</f>
        <v>0</v>
      </c>
      <c r="X120" s="26">
        <f>IFERROR(1/(COUNTIFS(科目表[修得状況],"e",科目表[摘要],"A",科目表[摘要の種類],R120)),0)</f>
        <v>0</v>
      </c>
      <c r="Y120" s="26">
        <f>IFERROR(1/(COUNTIFS(科目表[修得状況],"e",科目表[摘要],"A-1",科目表[摘要の種類],R120)),0)</f>
        <v>0</v>
      </c>
      <c r="Z120" s="26">
        <v>90</v>
      </c>
    </row>
    <row r="121" spans="2:26">
      <c r="B121" s="9" t="s">
        <v>337</v>
      </c>
      <c r="C121" s="131"/>
      <c r="D121" s="31" t="str">
        <f>IF(LEFT(科目表[[#This Row],[履修年次]],1)="専","○","")</f>
        <v/>
      </c>
      <c r="E121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1" s="31" t="str">
        <f>IF(AND(LEFT(科目表[[#This Row],[履修年次]],1)="専",科目表[[#This Row],[摘要]]&lt;&gt;"",科目表[[#This Row],[摘要]]&lt;&gt;"関連"),"○","")</f>
        <v/>
      </c>
      <c r="G121" s="31" t="str">
        <f>IF(科目表[[#This Row],[摘要]]&lt;&gt;"","○","")</f>
        <v/>
      </c>
      <c r="H121" s="31" t="str">
        <f>IF(OR(科目表[[#This Row],[摘要]]="",科目表[[#This Row],[摘要]]="関連"),"○","")</f>
        <v>○</v>
      </c>
      <c r="I121" s="28" t="s">
        <v>178</v>
      </c>
      <c r="J121" s="29" t="s">
        <v>309</v>
      </c>
      <c r="K121" s="11"/>
      <c r="L121" s="30" t="s">
        <v>327</v>
      </c>
      <c r="M121" s="31" t="s">
        <v>311</v>
      </c>
      <c r="N121" s="31">
        <v>1</v>
      </c>
      <c r="O121" s="31" t="s">
        <v>198</v>
      </c>
      <c r="P121" s="28"/>
      <c r="Q121" s="36"/>
      <c r="R121" s="35" t="s">
        <v>312</v>
      </c>
      <c r="S121" s="24"/>
      <c r="T121" s="24"/>
      <c r="U121" s="24"/>
      <c r="V121" s="25"/>
      <c r="W121" s="26">
        <f>IFERROR(1/(COUNTIFS(科目表[修得状況],"e",科目表[摘要],"専門",科目表[摘要の種類],R121)),0)</f>
        <v>0</v>
      </c>
      <c r="X121" s="26">
        <f>IFERROR(1/(COUNTIFS(科目表[修得状況],"e",科目表[摘要],"A",科目表[摘要の種類],R121)),0)</f>
        <v>0</v>
      </c>
      <c r="Y121" s="26">
        <f>IFERROR(1/(COUNTIFS(科目表[修得状況],"e",科目表[摘要],"A-1",科目表[摘要の種類],R121)),0)</f>
        <v>0</v>
      </c>
      <c r="Z121" s="26">
        <v>91</v>
      </c>
    </row>
    <row r="122" spans="2:26">
      <c r="B122" s="9"/>
      <c r="C122" s="131"/>
      <c r="D122" s="31" t="str">
        <f>IF(LEFT(科目表[[#This Row],[履修年次]],1)="専","○","")</f>
        <v/>
      </c>
      <c r="E122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2" s="31" t="str">
        <f>IF(AND(LEFT(科目表[[#This Row],[履修年次]],1)="専",科目表[[#This Row],[摘要]]&lt;&gt;"",科目表[[#This Row],[摘要]]&lt;&gt;"関連"),"○","")</f>
        <v/>
      </c>
      <c r="G122" s="31" t="str">
        <f>IF(科目表[[#This Row],[摘要]]&lt;&gt;"","○","")</f>
        <v/>
      </c>
      <c r="H122" s="31" t="str">
        <f>IF(OR(科目表[[#This Row],[摘要]]="",科目表[[#This Row],[摘要]]="関連"),"○","")</f>
        <v>○</v>
      </c>
      <c r="I122" s="28" t="s">
        <v>178</v>
      </c>
      <c r="J122" s="29" t="s">
        <v>181</v>
      </c>
      <c r="K122" s="11"/>
      <c r="L122" s="30" t="s">
        <v>328</v>
      </c>
      <c r="M122" s="31" t="s">
        <v>311</v>
      </c>
      <c r="N122" s="31">
        <v>1</v>
      </c>
      <c r="O122" s="31" t="s">
        <v>198</v>
      </c>
      <c r="P122" s="28"/>
      <c r="Q122" s="36"/>
      <c r="R122" s="35" t="s">
        <v>182</v>
      </c>
      <c r="S122" s="24"/>
      <c r="T122" s="24"/>
      <c r="U122" s="24"/>
      <c r="V122" s="25"/>
      <c r="W122" s="26">
        <f>IFERROR(1/(COUNTIFS(科目表[修得状況],"e",科目表[摘要],"専門",科目表[摘要の種類],R122)),0)</f>
        <v>0</v>
      </c>
      <c r="X122" s="26">
        <f>IFERROR(1/(COUNTIFS(科目表[修得状況],"e",科目表[摘要],"A",科目表[摘要の種類],R122)),0)</f>
        <v>0</v>
      </c>
      <c r="Y122" s="26">
        <f>IFERROR(1/(COUNTIFS(科目表[修得状況],"e",科目表[摘要],"A-1",科目表[摘要の種類],R122)),0)</f>
        <v>0</v>
      </c>
      <c r="Z122" s="128">
        <v>92</v>
      </c>
    </row>
    <row r="123" spans="2:26">
      <c r="B123" s="9"/>
      <c r="C123" s="131"/>
      <c r="D123" s="31" t="str">
        <f>IF(LEFT(科目表[[#This Row],[履修年次]],1)="専","○","")</f>
        <v/>
      </c>
      <c r="E123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3" s="31" t="str">
        <f>IF(AND(LEFT(科目表[[#This Row],[履修年次]],1)="専",科目表[[#This Row],[摘要]]&lt;&gt;"",科目表[[#This Row],[摘要]]&lt;&gt;"関連"),"○","")</f>
        <v/>
      </c>
      <c r="G123" s="31" t="str">
        <f>IF(科目表[[#This Row],[摘要]]&lt;&gt;"","○","")</f>
        <v/>
      </c>
      <c r="H123" s="31" t="str">
        <f>IF(OR(科目表[[#This Row],[摘要]]="",科目表[[#This Row],[摘要]]="関連"),"○","")</f>
        <v>○</v>
      </c>
      <c r="I123" s="28"/>
      <c r="J123" s="29" t="s">
        <v>309</v>
      </c>
      <c r="K123" s="11"/>
      <c r="L123" s="30" t="s">
        <v>329</v>
      </c>
      <c r="M123" s="31" t="s">
        <v>185</v>
      </c>
      <c r="N123" s="31">
        <v>1</v>
      </c>
      <c r="O123" s="31" t="s">
        <v>198</v>
      </c>
      <c r="P123" s="28"/>
      <c r="Q123" s="36"/>
      <c r="R123" s="35" t="s">
        <v>312</v>
      </c>
      <c r="S123" s="24"/>
      <c r="T123" s="24"/>
      <c r="U123" s="24"/>
      <c r="V123" s="25"/>
      <c r="W123" s="26">
        <f>IFERROR(1/(COUNTIFS(科目表[修得状況],"e",科目表[摘要],"専門",科目表[摘要の種類],R123)),0)</f>
        <v>0</v>
      </c>
      <c r="X123" s="26">
        <f>IFERROR(1/(COUNTIFS(科目表[修得状況],"e",科目表[摘要],"A",科目表[摘要の種類],R123)),0)</f>
        <v>0</v>
      </c>
      <c r="Y123" s="26">
        <f>IFERROR(1/(COUNTIFS(科目表[修得状況],"e",科目表[摘要],"A-1",科目表[摘要の種類],R123)),0)</f>
        <v>0</v>
      </c>
      <c r="Z123" s="128">
        <v>93</v>
      </c>
    </row>
    <row r="124" spans="2:26" ht="14.25" customHeight="1">
      <c r="B124" s="9" t="s">
        <v>337</v>
      </c>
      <c r="C124" s="131"/>
      <c r="D124" s="31" t="str">
        <f>IF(LEFT(科目表[[#This Row],[履修年次]],1)="専","○","")</f>
        <v>○</v>
      </c>
      <c r="E124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4" s="31" t="str">
        <f>IF(AND(LEFT(科目表[[#This Row],[履修年次]],1)="専",科目表[[#This Row],[摘要]]&lt;&gt;"",科目表[[#This Row],[摘要]]&lt;&gt;"関連"),"○","")</f>
        <v/>
      </c>
      <c r="G124" s="31" t="str">
        <f>IF(科目表[[#This Row],[摘要]]&lt;&gt;"","○","")</f>
        <v/>
      </c>
      <c r="H124" s="31" t="str">
        <f>IF(OR(科目表[[#This Row],[摘要]]="",科目表[[#This Row],[摘要]]="関連"),"○","")</f>
        <v>○</v>
      </c>
      <c r="I124" s="28" t="s">
        <v>178</v>
      </c>
      <c r="J124" s="29" t="s">
        <v>181</v>
      </c>
      <c r="K124" s="11"/>
      <c r="L124" s="30" t="s">
        <v>330</v>
      </c>
      <c r="M124" s="31" t="s">
        <v>183</v>
      </c>
      <c r="N124" s="31">
        <v>2</v>
      </c>
      <c r="O124" s="31" t="s">
        <v>199</v>
      </c>
      <c r="P124" s="28"/>
      <c r="Q124" s="36"/>
      <c r="R124" s="35" t="s">
        <v>182</v>
      </c>
      <c r="S124" s="24"/>
      <c r="T124" s="24"/>
      <c r="U124" s="24"/>
      <c r="V124" s="25"/>
      <c r="W124" s="26">
        <f>IFERROR(1/(COUNTIFS(科目表[修得状況],"e",科目表[摘要],"専門",科目表[摘要の種類],R124)),0)</f>
        <v>0</v>
      </c>
      <c r="X124" s="26">
        <f>IFERROR(1/(COUNTIFS(科目表[修得状況],"e",科目表[摘要],"A",科目表[摘要の種類],R124)),0)</f>
        <v>0</v>
      </c>
      <c r="Y124" s="26">
        <f>IFERROR(1/(COUNTIFS(科目表[修得状況],"e",科目表[摘要],"A-1",科目表[摘要の種類],R124)),0)</f>
        <v>0</v>
      </c>
      <c r="Z124" s="128">
        <v>94</v>
      </c>
    </row>
    <row r="125" spans="2:26" ht="14.25" customHeight="1">
      <c r="B125" s="9" t="s">
        <v>337</v>
      </c>
      <c r="C125" s="131"/>
      <c r="D125" s="31" t="str">
        <f>IF(LEFT(科目表[[#This Row],[履修年次]],1)="専","○","")</f>
        <v>○</v>
      </c>
      <c r="E125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5" s="31" t="str">
        <f>IF(AND(LEFT(科目表[[#This Row],[履修年次]],1)="専",科目表[[#This Row],[摘要]]&lt;&gt;"",科目表[[#This Row],[摘要]]&lt;&gt;"関連"),"○","")</f>
        <v/>
      </c>
      <c r="G125" s="31" t="str">
        <f>IF(科目表[[#This Row],[摘要]]&lt;&gt;"","○","")</f>
        <v/>
      </c>
      <c r="H125" s="31" t="str">
        <f>IF(OR(科目表[[#This Row],[摘要]]="",科目表[[#This Row],[摘要]]="関連"),"○","")</f>
        <v>○</v>
      </c>
      <c r="I125" s="28"/>
      <c r="J125" s="29" t="s">
        <v>309</v>
      </c>
      <c r="K125" s="11"/>
      <c r="L125" s="30" t="s">
        <v>331</v>
      </c>
      <c r="M125" s="31" t="s">
        <v>183</v>
      </c>
      <c r="N125" s="31">
        <v>2</v>
      </c>
      <c r="O125" s="31" t="s">
        <v>199</v>
      </c>
      <c r="P125" s="28"/>
      <c r="Q125" s="36"/>
      <c r="R125" s="35" t="s">
        <v>312</v>
      </c>
      <c r="S125" s="24"/>
      <c r="T125" s="24"/>
      <c r="U125" s="24"/>
      <c r="V125" s="25"/>
      <c r="W125" s="26">
        <f>IFERROR(1/(COUNTIFS(科目表[修得状況],"e",科目表[摘要],"専門",科目表[摘要の種類],R125)),0)</f>
        <v>0</v>
      </c>
      <c r="X125" s="26">
        <f>IFERROR(1/(COUNTIFS(科目表[修得状況],"e",科目表[摘要],"A",科目表[摘要の種類],R125)),0)</f>
        <v>0</v>
      </c>
      <c r="Y125" s="26">
        <f>IFERROR(1/(COUNTIFS(科目表[修得状況],"e",科目表[摘要],"A-1",科目表[摘要の種類],R125)),0)</f>
        <v>0</v>
      </c>
      <c r="Z125" s="26">
        <v>95</v>
      </c>
    </row>
    <row r="126" spans="2:26" ht="14.25" customHeight="1">
      <c r="B126" s="9"/>
      <c r="C126" s="131"/>
      <c r="D126" s="31" t="str">
        <f>IF(LEFT(科目表[[#This Row],[履修年次]],1)="専","○","")</f>
        <v>○</v>
      </c>
      <c r="E126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6" s="31" t="str">
        <f>IF(AND(LEFT(科目表[[#This Row],[履修年次]],1)="専",科目表[[#This Row],[摘要]]&lt;&gt;"",科目表[[#This Row],[摘要]]&lt;&gt;"関連"),"○","")</f>
        <v/>
      </c>
      <c r="G126" s="31" t="str">
        <f>IF(科目表[[#This Row],[摘要]]&lt;&gt;"","○","")</f>
        <v/>
      </c>
      <c r="H126" s="31" t="str">
        <f>IF(OR(科目表[[#This Row],[摘要]]="",科目表[[#This Row],[摘要]]="関連"),"○","")</f>
        <v>○</v>
      </c>
      <c r="I126" s="28" t="s">
        <v>178</v>
      </c>
      <c r="J126" s="29" t="s">
        <v>181</v>
      </c>
      <c r="K126" s="11"/>
      <c r="L126" s="30" t="s">
        <v>332</v>
      </c>
      <c r="M126" s="31" t="s">
        <v>185</v>
      </c>
      <c r="N126" s="31">
        <v>1</v>
      </c>
      <c r="O126" s="31" t="s">
        <v>199</v>
      </c>
      <c r="P126" s="28"/>
      <c r="Q126" s="36"/>
      <c r="R126" s="35" t="s">
        <v>182</v>
      </c>
      <c r="S126" s="24"/>
      <c r="T126" s="24"/>
      <c r="U126" s="24"/>
      <c r="V126" s="25"/>
      <c r="W126" s="26">
        <f>IFERROR(1/(COUNTIFS(科目表[修得状況],"e",科目表[摘要],"専門",科目表[摘要の種類],R126)),0)</f>
        <v>0</v>
      </c>
      <c r="X126" s="26">
        <f>IFERROR(1/(COUNTIFS(科目表[修得状況],"e",科目表[摘要],"A",科目表[摘要の種類],R126)),0)</f>
        <v>0</v>
      </c>
      <c r="Y126" s="26">
        <f>IFERROR(1/(COUNTIFS(科目表[修得状況],"e",科目表[摘要],"A-1",科目表[摘要の種類],R126)),0)</f>
        <v>0</v>
      </c>
      <c r="Z126" s="26">
        <v>96</v>
      </c>
    </row>
    <row r="127" spans="2:26" ht="14.25" customHeight="1">
      <c r="B127" s="9"/>
      <c r="C127" s="131"/>
      <c r="D127" s="31" t="str">
        <f>IF(LEFT(科目表[[#This Row],[履修年次]],1)="専","○","")</f>
        <v>○</v>
      </c>
      <c r="E127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7" s="31" t="str">
        <f>IF(AND(LEFT(科目表[[#This Row],[履修年次]],1)="専",科目表[[#This Row],[摘要]]&lt;&gt;"",科目表[[#This Row],[摘要]]&lt;&gt;"関連"),"○","")</f>
        <v/>
      </c>
      <c r="G127" s="31" t="str">
        <f>IF(科目表[[#This Row],[摘要]]&lt;&gt;"","○","")</f>
        <v/>
      </c>
      <c r="H127" s="31" t="str">
        <f>IF(OR(科目表[[#This Row],[摘要]]="",科目表[[#This Row],[摘要]]="関連"),"○","")</f>
        <v>○</v>
      </c>
      <c r="I127" s="28" t="s">
        <v>178</v>
      </c>
      <c r="J127" s="29" t="s">
        <v>309</v>
      </c>
      <c r="K127" s="11"/>
      <c r="L127" s="30" t="s">
        <v>333</v>
      </c>
      <c r="M127" s="31" t="s">
        <v>185</v>
      </c>
      <c r="N127" s="31">
        <v>1</v>
      </c>
      <c r="O127" s="31" t="s">
        <v>199</v>
      </c>
      <c r="P127" s="28"/>
      <c r="Q127" s="36"/>
      <c r="R127" s="35" t="s">
        <v>312</v>
      </c>
      <c r="S127" s="24"/>
      <c r="T127" s="24"/>
      <c r="U127" s="24"/>
      <c r="V127" s="25"/>
      <c r="W127" s="26">
        <f>IFERROR(1/(COUNTIFS(科目表[修得状況],"e",科目表[摘要],"専門",科目表[摘要の種類],R127)),0)</f>
        <v>0</v>
      </c>
      <c r="X127" s="26">
        <f>IFERROR(1/(COUNTIFS(科目表[修得状況],"e",科目表[摘要],"A",科目表[摘要の種類],R127)),0)</f>
        <v>0</v>
      </c>
      <c r="Y127" s="26">
        <f>IFERROR(1/(COUNTIFS(科目表[修得状況],"e",科目表[摘要],"A-1",科目表[摘要の種類],R127)),0)</f>
        <v>0</v>
      </c>
      <c r="Z127" s="26">
        <v>97</v>
      </c>
    </row>
    <row r="128" spans="2:26" ht="14.25" customHeight="1">
      <c r="B128" s="9" t="s">
        <v>337</v>
      </c>
      <c r="C128" s="131"/>
      <c r="D128" s="31" t="str">
        <f>IF(LEFT(科目表[[#This Row],[履修年次]],1)="専","○","")</f>
        <v>○</v>
      </c>
      <c r="E128" s="31" t="str">
        <f>IF(科目表[[#This Row],[単位修得の要件による分類]]="学修総まとめ
科目","",IF(AND(LEFT(科目表[[#This Row],[履修年次]],1)="専",科目表[[#This Row],[摘要]]&lt;&gt;""),"○",""))</f>
        <v/>
      </c>
      <c r="F128" s="31" t="str">
        <f>IF(AND(LEFT(科目表[[#This Row],[履修年次]],1)="専",科目表[[#This Row],[摘要]]&lt;&gt;"",科目表[[#This Row],[摘要]]&lt;&gt;"関連"),"○","")</f>
        <v/>
      </c>
      <c r="G128" s="31" t="str">
        <f>IF(科目表[[#This Row],[摘要]]&lt;&gt;"","○","")</f>
        <v/>
      </c>
      <c r="H128" s="31" t="str">
        <f>IF(OR(科目表[[#This Row],[摘要]]="",科目表[[#This Row],[摘要]]="関連"),"○","")</f>
        <v>○</v>
      </c>
      <c r="I128" s="28"/>
      <c r="J128" s="29" t="s">
        <v>181</v>
      </c>
      <c r="K128" s="11"/>
      <c r="L128" s="30" t="s">
        <v>334</v>
      </c>
      <c r="M128" s="31" t="s">
        <v>183</v>
      </c>
      <c r="N128" s="31">
        <v>2</v>
      </c>
      <c r="O128" s="31" t="s">
        <v>200</v>
      </c>
      <c r="P128" s="28"/>
      <c r="Q128" s="36"/>
      <c r="R128" s="35" t="s">
        <v>182</v>
      </c>
      <c r="S128" s="24"/>
      <c r="T128" s="24"/>
      <c r="U128" s="24"/>
      <c r="V128" s="25"/>
      <c r="W128" s="26">
        <f>IFERROR(1/(COUNTIFS(科目表[修得状況],"e",科目表[摘要],"専門",科目表[摘要の種類],R128)),0)</f>
        <v>0</v>
      </c>
      <c r="X128" s="26">
        <f>IFERROR(1/(COUNTIFS(科目表[修得状況],"e",科目表[摘要],"A",科目表[摘要の種類],R128)),0)</f>
        <v>0</v>
      </c>
      <c r="Y128" s="26">
        <f>IFERROR(1/(COUNTIFS(科目表[修得状況],"e",科目表[摘要],"A-1",科目表[摘要の種類],R128)),0)</f>
        <v>0</v>
      </c>
      <c r="Z128" s="128">
        <v>98</v>
      </c>
    </row>
    <row r="129" spans="2:26" ht="18">
      <c r="B129" s="3"/>
      <c r="C129" s="151" t="s">
        <v>13</v>
      </c>
      <c r="D129" s="31">
        <f>SUMIFS(N108:N128,D108:D128,"○")</f>
        <v>8</v>
      </c>
      <c r="E129" s="31">
        <f>SUMIFS(N108:N128,E108:E128,"○")</f>
        <v>0</v>
      </c>
      <c r="F129" s="31">
        <f>SUMIFS(N108:N128,F108:F128,"○")</f>
        <v>0</v>
      </c>
      <c r="G129" s="31">
        <f>SUMIFS(N108:N128,G108:G128,"○")</f>
        <v>0</v>
      </c>
      <c r="H129" s="31">
        <f>SUMIFS(N108:N128,H108:H128,"○")</f>
        <v>30</v>
      </c>
      <c r="I129" s="31">
        <f>SUMIFS(N108:N128,I108:I128,"○")</f>
        <v>10</v>
      </c>
      <c r="J129" s="45"/>
      <c r="K129" s="8"/>
      <c r="L129" s="30"/>
      <c r="M129" s="30"/>
      <c r="N129" s="30"/>
      <c r="O129" s="46"/>
      <c r="P129" s="47"/>
      <c r="Q129" s="48"/>
      <c r="R129" s="35"/>
      <c r="S129" s="26"/>
      <c r="T129" s="26"/>
      <c r="U129" s="26"/>
      <c r="V129" s="25"/>
      <c r="W129" s="26">
        <f>IFERROR(1/(COUNTIFS(科目表[修得状況],"e",科目表[摘要],"専門",科目表[摘要の種類],R129)),0)</f>
        <v>0</v>
      </c>
      <c r="X129" s="26">
        <f>IFERROR(1/(COUNTIFS(科目表[修得状況],"e",科目表[摘要],"A",科目表[摘要の種類],R129)),0)</f>
        <v>0</v>
      </c>
      <c r="Y129" s="26">
        <f>IFERROR(1/(COUNTIFS(科目表[修得状況],"e",科目表[摘要],"A-1",科目表[摘要の種類],R129)),0)</f>
        <v>0</v>
      </c>
      <c r="Z129" s="128">
        <v>99</v>
      </c>
    </row>
    <row r="130" spans="2:26" ht="18">
      <c r="C130" s="177" t="s">
        <v>12</v>
      </c>
      <c r="D130" s="178"/>
      <c r="E130" s="178"/>
      <c r="F130" s="178"/>
    </row>
    <row r="131" spans="2:26">
      <c r="C131" s="153" t="s">
        <v>11</v>
      </c>
      <c r="D131" s="61" t="s">
        <v>10</v>
      </c>
    </row>
    <row r="132" spans="2:26">
      <c r="C132" s="153" t="s">
        <v>9</v>
      </c>
      <c r="D132" s="61" t="s">
        <v>8</v>
      </c>
    </row>
    <row r="133" spans="2:26" ht="15.75" customHeight="1">
      <c r="C133" s="153" t="s">
        <v>7</v>
      </c>
      <c r="D133" s="61" t="s">
        <v>6</v>
      </c>
    </row>
    <row r="134" spans="2:26" ht="15.75" customHeight="1">
      <c r="C134" s="153" t="s">
        <v>5</v>
      </c>
      <c r="D134" s="61" t="s">
        <v>4</v>
      </c>
    </row>
    <row r="135" spans="2:26" ht="15.75" customHeight="1">
      <c r="C135" s="153" t="s">
        <v>3</v>
      </c>
      <c r="D135" s="61" t="s">
        <v>2</v>
      </c>
    </row>
    <row r="136" spans="2:26" ht="15.75" customHeight="1">
      <c r="C136" s="153" t="s">
        <v>1</v>
      </c>
      <c r="D136" s="61" t="s">
        <v>0</v>
      </c>
    </row>
    <row r="137" spans="2:26" ht="15.75" customHeight="1"/>
    <row r="138" spans="2:26" ht="15.75" customHeight="1">
      <c r="C138" s="152"/>
      <c r="X138" s="154"/>
    </row>
    <row r="139" spans="2:26" ht="20.25" customHeight="1"/>
    <row r="140" spans="2:26" ht="20.25" customHeight="1">
      <c r="L140" s="155" t="s">
        <v>157</v>
      </c>
      <c r="M140" s="156" t="s">
        <v>158</v>
      </c>
      <c r="N140" s="156" t="s">
        <v>159</v>
      </c>
      <c r="O140" s="157" t="s">
        <v>160</v>
      </c>
      <c r="P140" s="158" t="s">
        <v>161</v>
      </c>
      <c r="Q140" s="159" t="s">
        <v>152</v>
      </c>
      <c r="R140" s="159" t="s">
        <v>153</v>
      </c>
      <c r="S140" s="159" t="s">
        <v>154</v>
      </c>
      <c r="T140" s="159" t="s">
        <v>155</v>
      </c>
      <c r="V140" s="62"/>
      <c r="X140" s="61"/>
    </row>
    <row r="141" spans="2:26" ht="20.25" customHeight="1">
      <c r="D141" s="61" t="s">
        <v>151</v>
      </c>
      <c r="E141" s="160"/>
      <c r="F141" s="160"/>
      <c r="G141" s="160"/>
      <c r="H141" s="160"/>
      <c r="I141" s="160"/>
      <c r="J141" s="160"/>
      <c r="K141" s="161"/>
      <c r="L141" s="162" t="s">
        <v>157</v>
      </c>
      <c r="M141" s="58" t="s">
        <v>22</v>
      </c>
      <c r="N141" s="58" t="s">
        <v>21</v>
      </c>
      <c r="O141" s="59" t="s">
        <v>19</v>
      </c>
      <c r="P141" s="60"/>
      <c r="Q141" s="60"/>
      <c r="R141" s="60"/>
      <c r="S141" s="60"/>
      <c r="T141" s="60"/>
      <c r="V141" s="62"/>
      <c r="X141" s="61"/>
    </row>
    <row r="142" spans="2:26">
      <c r="D142" s="175" t="s">
        <v>156</v>
      </c>
      <c r="E142" s="176"/>
      <c r="F142" s="176"/>
      <c r="G142" s="176"/>
      <c r="H142" s="176"/>
      <c r="I142" s="176"/>
      <c r="J142" s="176"/>
      <c r="K142" s="176"/>
      <c r="L142" s="8"/>
      <c r="M142" s="163"/>
      <c r="N142" s="163"/>
      <c r="O142" s="164"/>
      <c r="P142" s="165"/>
      <c r="Q142" s="165"/>
      <c r="R142" s="165"/>
      <c r="S142" s="165"/>
      <c r="T142" s="165"/>
      <c r="V142" s="62"/>
      <c r="X142" s="61"/>
    </row>
    <row r="143" spans="2:26">
      <c r="D143" s="176"/>
      <c r="E143" s="176"/>
      <c r="F143" s="176"/>
      <c r="G143" s="176"/>
      <c r="H143" s="176"/>
      <c r="I143" s="176"/>
      <c r="J143" s="176"/>
      <c r="K143" s="176"/>
      <c r="L143" s="8"/>
      <c r="M143" s="163"/>
      <c r="N143" s="163"/>
      <c r="O143" s="166"/>
      <c r="P143" s="167"/>
      <c r="Q143" s="167"/>
      <c r="R143" s="167"/>
      <c r="S143" s="167"/>
      <c r="T143" s="167"/>
      <c r="V143" s="62"/>
      <c r="X143" s="61"/>
    </row>
    <row r="144" spans="2:26">
      <c r="D144" s="176"/>
      <c r="E144" s="176"/>
      <c r="F144" s="176"/>
      <c r="G144" s="176"/>
      <c r="H144" s="176"/>
      <c r="I144" s="176"/>
      <c r="J144" s="176"/>
      <c r="K144" s="176"/>
      <c r="L144" s="8"/>
      <c r="M144" s="163"/>
      <c r="N144" s="163"/>
      <c r="O144" s="164"/>
      <c r="P144" s="165"/>
      <c r="Q144" s="165"/>
      <c r="R144" s="165"/>
      <c r="S144" s="165"/>
      <c r="T144" s="165"/>
      <c r="V144" s="62"/>
      <c r="X144" s="61"/>
    </row>
    <row r="145" spans="4:24">
      <c r="D145" s="176"/>
      <c r="E145" s="176"/>
      <c r="F145" s="176"/>
      <c r="G145" s="176"/>
      <c r="H145" s="176"/>
      <c r="I145" s="176"/>
      <c r="J145" s="176"/>
      <c r="K145" s="176"/>
      <c r="L145" s="8"/>
      <c r="M145" s="163"/>
      <c r="N145" s="163"/>
      <c r="O145" s="166"/>
      <c r="P145" s="167"/>
      <c r="Q145" s="167"/>
      <c r="R145" s="167"/>
      <c r="S145" s="167"/>
      <c r="T145" s="167"/>
      <c r="V145" s="62"/>
      <c r="X145" s="61"/>
    </row>
    <row r="146" spans="4:24">
      <c r="D146" s="176"/>
      <c r="E146" s="176"/>
      <c r="F146" s="176"/>
      <c r="G146" s="176"/>
      <c r="H146" s="176"/>
      <c r="I146" s="176"/>
      <c r="J146" s="176"/>
      <c r="K146" s="176"/>
      <c r="L146" s="8"/>
      <c r="M146" s="163"/>
      <c r="N146" s="163"/>
      <c r="O146" s="164"/>
      <c r="P146" s="165"/>
      <c r="Q146" s="165"/>
      <c r="R146" s="165"/>
      <c r="S146" s="165"/>
      <c r="T146" s="165"/>
      <c r="V146" s="62"/>
      <c r="X146" s="61"/>
    </row>
    <row r="147" spans="4:24">
      <c r="D147" s="176"/>
      <c r="E147" s="176"/>
      <c r="F147" s="176"/>
      <c r="G147" s="176"/>
      <c r="H147" s="176"/>
      <c r="I147" s="176"/>
      <c r="J147" s="176"/>
      <c r="K147" s="176"/>
      <c r="L147" s="168"/>
      <c r="M147" s="169"/>
      <c r="N147" s="169"/>
      <c r="O147" s="170"/>
      <c r="P147" s="171"/>
      <c r="Q147" s="171"/>
      <c r="R147" s="171"/>
      <c r="S147" s="171"/>
      <c r="T147" s="171"/>
    </row>
  </sheetData>
  <sheetProtection algorithmName="SHA-512" hashValue="APQj+SumLP5Kf90I2a/AfY0n/2W+korQCCxlWx2jV0a+4jj5MymwcwXuB6J/aPVB1+0Aw7vWSSvBgD5ctuVszw==" saltValue="clILWbEq6wDOeQ9ruMfmUA==" spinCount="100000" sheet="1" autoFilter="0"/>
  <mergeCells count="32">
    <mergeCell ref="C18:D18"/>
    <mergeCell ref="E18:K18"/>
    <mergeCell ref="C20:D20"/>
    <mergeCell ref="E20:K20"/>
    <mergeCell ref="A11:V11"/>
    <mergeCell ref="M13:M14"/>
    <mergeCell ref="C16:D16"/>
    <mergeCell ref="M16:M17"/>
    <mergeCell ref="N16:N17"/>
    <mergeCell ref="Q16:R16"/>
    <mergeCell ref="P16:P17"/>
    <mergeCell ref="M15:N15"/>
    <mergeCell ref="C15:D15"/>
    <mergeCell ref="C17:D17"/>
    <mergeCell ref="O16:O17"/>
    <mergeCell ref="Q17:R17"/>
    <mergeCell ref="E15:K15"/>
    <mergeCell ref="E16:K16"/>
    <mergeCell ref="Q18:R18"/>
    <mergeCell ref="Q19:R19"/>
    <mergeCell ref="Q20:R20"/>
    <mergeCell ref="E17:K17"/>
    <mergeCell ref="Q21:R21"/>
    <mergeCell ref="Q22:R22"/>
    <mergeCell ref="E22:K22"/>
    <mergeCell ref="E21:K21"/>
    <mergeCell ref="E23:K23"/>
    <mergeCell ref="C21:D21"/>
    <mergeCell ref="D142:K147"/>
    <mergeCell ref="C130:F130"/>
    <mergeCell ref="C22:D22"/>
    <mergeCell ref="C23:D23"/>
  </mergeCells>
  <phoneticPr fontId="4"/>
  <conditionalFormatting sqref="D31:H129">
    <cfRule type="expression" dxfId="15" priority="11">
      <formula>NOT(_xlfn.ISFORMULA(D31))</formula>
    </cfRule>
  </conditionalFormatting>
  <conditionalFormatting sqref="M13:M14">
    <cfRule type="expression" dxfId="14" priority="12">
      <formula>$M$13="満たさない"</formula>
    </cfRule>
  </conditionalFormatting>
  <conditionalFormatting sqref="M18:P25">
    <cfRule type="expression" dxfId="13" priority="9">
      <formula>NOT(_xlfn.ISFORMULA(M18))</formula>
    </cfRule>
  </conditionalFormatting>
  <conditionalFormatting sqref="N31:N129">
    <cfRule type="expression" dxfId="12" priority="10">
      <formula>NOT(ISNUMBER(N31))</formula>
    </cfRule>
  </conditionalFormatting>
  <conditionalFormatting sqref="O16:P17">
    <cfRule type="expression" dxfId="11" priority="8">
      <formula>NOT(_xlfn.ISFORMULA(O16))</formula>
    </cfRule>
  </conditionalFormatting>
  <conditionalFormatting sqref="P16:P27">
    <cfRule type="expression" dxfId="10" priority="18">
      <formula>$P16="×"</formula>
    </cfRule>
  </conditionalFormatting>
  <conditionalFormatting sqref="S16">
    <cfRule type="expression" dxfId="9" priority="6">
      <formula>AND(S16&lt;&gt;62,S16&lt;&gt;31)</formula>
    </cfRule>
  </conditionalFormatting>
  <conditionalFormatting sqref="S17">
    <cfRule type="expression" dxfId="8" priority="5">
      <formula>AND(S17&lt;&gt;31,S17&lt;&gt;16)</formula>
    </cfRule>
  </conditionalFormatting>
  <conditionalFormatting sqref="S18">
    <cfRule type="expression" dxfId="7" priority="4">
      <formula>AND(S18&lt;&gt;40,S18&lt;&gt;20)</formula>
    </cfRule>
  </conditionalFormatting>
  <conditionalFormatting sqref="S19">
    <cfRule type="expression" dxfId="6" priority="3">
      <formula>S19&lt;&gt;62</formula>
    </cfRule>
  </conditionalFormatting>
  <conditionalFormatting sqref="S20">
    <cfRule type="expression" dxfId="5" priority="2">
      <formula>S20&lt;&gt;24</formula>
    </cfRule>
  </conditionalFormatting>
  <conditionalFormatting sqref="S21">
    <cfRule type="expression" dxfId="4" priority="1">
      <formula>S21&lt;&gt;1</formula>
    </cfRule>
  </conditionalFormatting>
  <conditionalFormatting sqref="T16:U21">
    <cfRule type="expression" dxfId="3" priority="7">
      <formula>NOT(_xlfn.ISFORMULA(T16))</formula>
    </cfRule>
  </conditionalFormatting>
  <conditionalFormatting sqref="U16:U21">
    <cfRule type="expression" dxfId="2" priority="13">
      <formula>U16="×"</formula>
    </cfRule>
    <cfRule type="expression" dxfId="1" priority="14">
      <formula>$V16="×"</formula>
    </cfRule>
  </conditionalFormatting>
  <conditionalFormatting sqref="V17:W22">
    <cfRule type="expression" dxfId="0" priority="20">
      <formula>$V17="×"</formula>
    </cfRule>
  </conditionalFormatting>
  <dataValidations count="2">
    <dataValidation type="list" allowBlank="1" showInputMessage="1" showErrorMessage="1" sqref="B29 B31:B129" xr:uid="{00000000-0002-0000-0100-000000000000}">
      <formula1>"e"</formula1>
    </dataValidation>
    <dataValidation type="list" allowBlank="1" showInputMessage="1" showErrorMessage="1" sqref="E20:K20" xr:uid="{C5DAA704-C471-4D2C-9FD7-E0A8C98A1DC2}">
      <formula1>"2年次制,1年次制"</formula1>
    </dataValidation>
  </dataValidations>
  <pageMargins left="0.7" right="0.7" top="0.75" bottom="0.75" header="0.3" footer="0.3"/>
  <pageSetup paperSize="8" scale="60" fitToHeight="0" orientation="portrait" r:id="rId1"/>
  <headerFooter differentFirst="1">
    <firstHeader>&amp;R&amp;18（別添）</firstHeader>
  </headerFooter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34D61F87020409880506124D0933E" ma:contentTypeVersion="13" ma:contentTypeDescription="Create a new document." ma:contentTypeScope="" ma:versionID="c65aa004022675343ef5bfe54ff84943">
  <xsd:schema xmlns:xsd="http://www.w3.org/2001/XMLSchema" xmlns:xs="http://www.w3.org/2001/XMLSchema" xmlns:p="http://schemas.microsoft.com/office/2006/metadata/properties" xmlns:ns2="3b433af2-04b2-4315-88a3-52a5b84e5361" xmlns:ns3="610007f7-0f64-46ac-bf54-9f76b473f346" targetNamespace="http://schemas.microsoft.com/office/2006/metadata/properties" ma:root="true" ma:fieldsID="cf9db6676c6cbd6232f326b192c3651d" ns2:_="" ns3:_="">
    <xsd:import namespace="3b433af2-04b2-4315-88a3-52a5b84e5361"/>
    <xsd:import namespace="610007f7-0f64-46ac-bf54-9f76b473f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33af2-04b2-4315-88a3-52a5b84e5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36a675b-4405-4238-b31a-14998c251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007f7-0f64-46ac-bf54-9f76b473f34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ae0c845-93c2-4c95-a8c0-11411db41512}" ma:internalName="TaxCatchAll" ma:showField="CatchAllData" ma:web="610007f7-0f64-46ac-bf54-9f76b473f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433af2-04b2-4315-88a3-52a5b84e5361">
      <Terms xmlns="http://schemas.microsoft.com/office/infopath/2007/PartnerControls"/>
    </lcf76f155ced4ddcb4097134ff3c332f>
    <TaxCatchAll xmlns="610007f7-0f64-46ac-bf54-9f76b473f34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6085F4-D239-4453-BF41-98973D684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433af2-04b2-4315-88a3-52a5b84e5361"/>
    <ds:schemaRef ds:uri="610007f7-0f64-46ac-bf54-9f76b473f3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383E4-ACE5-46DE-A0D5-C410ED5FB9A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91614D3-0C36-4534-A6D8-4C31AD296A5F}">
  <ds:schemaRefs>
    <ds:schemaRef ds:uri="http://schemas.microsoft.com/office/2006/metadata/properties"/>
    <ds:schemaRef ds:uri="http://schemas.microsoft.com/office/infopath/2007/PartnerControls"/>
    <ds:schemaRef ds:uri="3b433af2-04b2-4315-88a3-52a5b84e5361"/>
    <ds:schemaRef ds:uri="610007f7-0f64-46ac-bf54-9f76b473f346"/>
  </ds:schemaRefs>
</ds:datastoreItem>
</file>

<file path=customXml/itemProps4.xml><?xml version="1.0" encoding="utf-8"?>
<ds:datastoreItem xmlns:ds="http://schemas.openxmlformats.org/officeDocument/2006/customXml" ds:itemID="{38FD2A00-AA29-4AE6-83A5-1D8DB69B8D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3660330cs</vt:lpstr>
      <vt:lpstr>'3660330cs'!Print_Area</vt:lpstr>
    </vt:vector>
  </TitlesOfParts>
  <Company>独立行政法人大学評価・学位授与機構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古久保 里佳</dc:creator>
  <cp:lastModifiedBy>長谷川 駿一</cp:lastModifiedBy>
  <cp:lastPrinted>2022-06-01T05:44:26Z</cp:lastPrinted>
  <dcterms:created xsi:type="dcterms:W3CDTF">2022-05-30T04:05:10Z</dcterms:created>
  <dcterms:modified xsi:type="dcterms:W3CDTF">2025-01-02T06:14:00Z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0x0101000D234D61F87020409880506124D0933E</vt:lpwstr>
  </property>
  <property fmtid="{D5CDD505-2E9C-101B-9397-08002B2CF9AE}" pid="3" name="MediaServiceImageTags">
    <vt:lpwstr/>
  </property>
</Properties>
</file>