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Z:\Repositories\ePiEPackage\ePiE\inst\chem_input\"/>
    </mc:Choice>
  </mc:AlternateContent>
  <xr:revisionPtr revIDLastSave="0" documentId="13_ncr:1_{17EFE8DA-4765-4E3C-9DC4-8D3D4E3CAE5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" sheetId="1" r:id="rId1"/>
    <sheet name="me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6" i="1" l="1"/>
  <c r="AH35" i="1"/>
  <c r="AH33" i="1"/>
  <c r="AH32" i="1"/>
  <c r="AH31" i="1"/>
  <c r="AH29" i="1"/>
  <c r="AH28" i="1"/>
  <c r="AH27" i="1"/>
  <c r="AH26" i="1"/>
  <c r="AH25" i="1"/>
  <c r="AH23" i="1"/>
  <c r="AH22" i="1"/>
  <c r="AH20" i="1"/>
  <c r="AH19" i="1"/>
  <c r="AH18" i="1"/>
  <c r="AH16" i="1"/>
  <c r="AH15" i="1"/>
  <c r="AH14" i="1"/>
  <c r="AH13" i="1"/>
  <c r="AH12" i="1"/>
  <c r="AH11" i="1"/>
  <c r="AH10" i="1"/>
  <c r="AH9" i="1"/>
  <c r="AH8" i="1"/>
  <c r="AH7" i="1"/>
  <c r="AH5" i="1"/>
  <c r="AH3" i="1"/>
  <c r="Z36" i="1"/>
  <c r="Z35" i="1"/>
  <c r="Z33" i="1"/>
  <c r="Z31" i="1"/>
  <c r="Z29" i="1"/>
  <c r="Z25" i="1"/>
  <c r="Z23" i="1"/>
  <c r="Z22" i="1"/>
  <c r="Z20" i="1"/>
  <c r="Z18" i="1"/>
  <c r="Z16" i="1"/>
  <c r="Z14" i="1"/>
  <c r="Z13" i="1"/>
  <c r="Z12" i="1"/>
  <c r="Z11" i="1"/>
  <c r="Z9" i="1"/>
  <c r="Z7" i="1"/>
  <c r="Z5" i="1"/>
  <c r="Z4" i="1"/>
  <c r="V36" i="1"/>
  <c r="V31" i="1"/>
  <c r="V28" i="1"/>
  <c r="V27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7" i="1"/>
  <c r="V5" i="1"/>
  <c r="V3" i="1"/>
  <c r="T36" i="1"/>
  <c r="T35" i="1"/>
  <c r="T31" i="1"/>
  <c r="T28" i="1"/>
  <c r="T27" i="1"/>
  <c r="T23" i="1"/>
  <c r="T22" i="1"/>
  <c r="T16" i="1"/>
  <c r="T18" i="1"/>
  <c r="T20" i="1"/>
  <c r="T19" i="1"/>
  <c r="T15" i="1"/>
  <c r="T14" i="1"/>
  <c r="T13" i="1"/>
  <c r="T12" i="1"/>
  <c r="T10" i="1"/>
  <c r="T9" i="1"/>
  <c r="T7" i="1"/>
  <c r="T6" i="1"/>
  <c r="T5" i="1"/>
  <c r="T3" i="1"/>
  <c r="P37" i="1"/>
  <c r="P35" i="1"/>
  <c r="P32" i="1"/>
  <c r="P31" i="1"/>
  <c r="P29" i="1"/>
  <c r="P27" i="1"/>
  <c r="P24" i="1"/>
  <c r="P18" i="1"/>
  <c r="P15" i="1"/>
  <c r="P14" i="1"/>
  <c r="P13" i="1"/>
  <c r="P9" i="1"/>
  <c r="P8" i="1"/>
  <c r="P7" i="1"/>
  <c r="P6" i="1"/>
  <c r="N7" i="1"/>
  <c r="N37" i="1"/>
  <c r="N36" i="1"/>
  <c r="N35" i="1"/>
  <c r="N33" i="1"/>
  <c r="N31" i="1"/>
  <c r="N29" i="1"/>
  <c r="N28" i="1"/>
  <c r="F32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36" i="1"/>
  <c r="G35" i="1"/>
  <c r="G34" i="1"/>
  <c r="G33" i="1"/>
  <c r="G32" i="1"/>
  <c r="G31" i="1"/>
  <c r="G30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3" i="1"/>
  <c r="N27" i="1"/>
  <c r="N26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6" i="1"/>
  <c r="N5" i="1"/>
  <c r="N4" i="1"/>
  <c r="N3" i="1"/>
  <c r="L37" i="1"/>
  <c r="L36" i="1"/>
  <c r="L35" i="1"/>
  <c r="L33" i="1"/>
  <c r="L31" i="1"/>
  <c r="L29" i="1"/>
  <c r="L27" i="1"/>
  <c r="L26" i="1"/>
  <c r="L24" i="1"/>
  <c r="L23" i="1"/>
  <c r="L21" i="1"/>
  <c r="L18" i="1"/>
  <c r="L15" i="1"/>
  <c r="L14" i="1"/>
  <c r="L13" i="1"/>
  <c r="L12" i="1"/>
  <c r="L11" i="1"/>
  <c r="L9" i="1"/>
  <c r="L7" i="1"/>
  <c r="L6" i="1"/>
  <c r="L5" i="1"/>
  <c r="L4" i="1"/>
  <c r="L3" i="1"/>
  <c r="F8" i="1"/>
  <c r="F7" i="1"/>
  <c r="F6" i="1"/>
  <c r="F5" i="1"/>
  <c r="F4" i="1"/>
  <c r="F3" i="1"/>
  <c r="F9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<sst xmlns="http://schemas.openxmlformats.org/spreadsheetml/2006/main" count="1169" uniqueCount="229">
  <si>
    <t>API</t>
  </si>
  <si>
    <t>Acetaminophen</t>
  </si>
  <si>
    <t>103-90-2</t>
  </si>
  <si>
    <t>acid</t>
  </si>
  <si>
    <t>Amitriptyline</t>
  </si>
  <si>
    <t>28981-97-7</t>
  </si>
  <si>
    <t>base</t>
  </si>
  <si>
    <t>Atenolol</t>
  </si>
  <si>
    <t>29122-68-7</t>
  </si>
  <si>
    <t>Bezafibrate</t>
  </si>
  <si>
    <t>41859-67-0</t>
  </si>
  <si>
    <t>Carbamazepine</t>
  </si>
  <si>
    <t>298-46-4</t>
  </si>
  <si>
    <t>neutral</t>
  </si>
  <si>
    <t>NA</t>
  </si>
  <si>
    <t>Cimetidine</t>
  </si>
  <si>
    <t>51481-61-9</t>
  </si>
  <si>
    <t>Citalopram</t>
  </si>
  <si>
    <t>59729-33-8</t>
  </si>
  <si>
    <t>Codeine</t>
  </si>
  <si>
    <t>76-57-3</t>
  </si>
  <si>
    <t>Desvenlafaxine</t>
  </si>
  <si>
    <t>93413-62-8</t>
  </si>
  <si>
    <t>Diazepam</t>
  </si>
  <si>
    <t>439-14-5</t>
  </si>
  <si>
    <t>Diclofenac</t>
  </si>
  <si>
    <t>15307-86-5</t>
  </si>
  <si>
    <t>Diltiazem</t>
  </si>
  <si>
    <t>42399-41-7</t>
  </si>
  <si>
    <t>Erythromycin</t>
  </si>
  <si>
    <t>114-07-8</t>
  </si>
  <si>
    <t>Gabapentin</t>
  </si>
  <si>
    <t>60142-96-3</t>
  </si>
  <si>
    <t>Hydrocodone</t>
  </si>
  <si>
    <t>125-29-1</t>
  </si>
  <si>
    <t>Ibuprofen</t>
  </si>
  <si>
    <t>15687-27-1</t>
  </si>
  <si>
    <t>Indomethacin</t>
  </si>
  <si>
    <t>53-86-1</t>
  </si>
  <si>
    <t>Lidocaine</t>
  </si>
  <si>
    <t>137-58-6</t>
  </si>
  <si>
    <t>Loratadine</t>
  </si>
  <si>
    <t>79794-75-5</t>
  </si>
  <si>
    <t>Metformin</t>
  </si>
  <si>
    <t>657-24-9</t>
  </si>
  <si>
    <t>Naproxen</t>
  </si>
  <si>
    <t>22204-53-1</t>
  </si>
  <si>
    <t>Norethindrone</t>
  </si>
  <si>
    <t>68-22-4</t>
  </si>
  <si>
    <t>Oseltamivir</t>
  </si>
  <si>
    <t>196618-13-0</t>
  </si>
  <si>
    <t>Oxazepam</t>
  </si>
  <si>
    <t>604-75-1</t>
  </si>
  <si>
    <t>Propranolol</t>
  </si>
  <si>
    <t>525-66-6</t>
  </si>
  <si>
    <t>CAS</t>
  </si>
  <si>
    <t>Ranitidine</t>
  </si>
  <si>
    <t>66357-35-5</t>
  </si>
  <si>
    <t>Sertraline</t>
  </si>
  <si>
    <t>79617-96-2</t>
  </si>
  <si>
    <t>Sitagliptin</t>
  </si>
  <si>
    <t>486460-32-6</t>
  </si>
  <si>
    <t>Sulfamethoxazole</t>
  </si>
  <si>
    <t>723-46-6</t>
  </si>
  <si>
    <t>Temazepam</t>
  </si>
  <si>
    <t>846-50-4</t>
  </si>
  <si>
    <t>Tramadol</t>
  </si>
  <si>
    <t>27203-92-5</t>
  </si>
  <si>
    <t>Triamterene</t>
  </si>
  <si>
    <t>396-01-0</t>
  </si>
  <si>
    <t>Trimethoprim</t>
  </si>
  <si>
    <t>738-70-5</t>
  </si>
  <si>
    <t>Venlafaxine</t>
  </si>
  <si>
    <t>93413-69-5</t>
  </si>
  <si>
    <t>Verapamil</t>
  </si>
  <si>
    <t>52-53-9</t>
  </si>
  <si>
    <t>-</t>
  </si>
  <si>
    <t>class</t>
  </si>
  <si>
    <t>MW</t>
  </si>
  <si>
    <t>KOW_n</t>
  </si>
  <si>
    <t>Pv</t>
  </si>
  <si>
    <t>S</t>
  </si>
  <si>
    <t>pKa</t>
  </si>
  <si>
    <t>metab</t>
  </si>
  <si>
    <t>API_metab</t>
  </si>
  <si>
    <t>Kp_ps_n</t>
  </si>
  <si>
    <t>Kp_ps_alt</t>
  </si>
  <si>
    <t>Kp_as_n</t>
  </si>
  <si>
    <t>Kp_as_alt</t>
  </si>
  <si>
    <t>Kp_susp_n</t>
  </si>
  <si>
    <t>Kp_susp_alt</t>
  </si>
  <si>
    <t>Kp_DOC_n</t>
  </si>
  <si>
    <t>Kp_DOC_alt</t>
  </si>
  <si>
    <t>Kp_sd_n</t>
  </si>
  <si>
    <t>Kp_sd_alt</t>
  </si>
  <si>
    <t>KOC_n</t>
  </si>
  <si>
    <t>KOC_alt</t>
  </si>
  <si>
    <t>k_bio_wwtp_n</t>
  </si>
  <si>
    <t>k_bio_wwtp_alt</t>
  </si>
  <si>
    <t>k_bio_sw1_n</t>
  </si>
  <si>
    <t>T_bio_sw_n</t>
  </si>
  <si>
    <t>k_bio_sw1_alt</t>
  </si>
  <si>
    <t>T_bio_sw_alt</t>
  </si>
  <si>
    <t>k_bio_sd1_n</t>
  </si>
  <si>
    <t>T_bio_sd_n</t>
  </si>
  <si>
    <t>k_bio_sd1_alt</t>
  </si>
  <si>
    <t>T_bio_sd_alt</t>
  </si>
  <si>
    <t>k_hydro_sw_n</t>
  </si>
  <si>
    <t>T_hydro_sw_n</t>
  </si>
  <si>
    <t>k_hydro_sw_alt</t>
  </si>
  <si>
    <t>T_hydro_sw_alt</t>
  </si>
  <si>
    <t>k_hydro_sd_n</t>
  </si>
  <si>
    <t>T_hydro_sd_n</t>
  </si>
  <si>
    <t>k_hydro_sd_alt</t>
  </si>
  <si>
    <t>T_hydro_sd_alt</t>
  </si>
  <si>
    <t>lambda_solar_n</t>
  </si>
  <si>
    <t>k_photo12_sw_n</t>
  </si>
  <si>
    <t>T_photo12_sw_n</t>
  </si>
  <si>
    <t>lambda_solar_alt</t>
  </si>
  <si>
    <t>k_photo12_sw_alt</t>
  </si>
  <si>
    <t>T_photo12_sw_alt</t>
  </si>
  <si>
    <t>custom_wwtp_primary_removal</t>
  </si>
  <si>
    <t>custom_wwtp_secondary_removal</t>
  </si>
  <si>
    <t>custom_wwtp_N_removal</t>
  </si>
  <si>
    <t>custom_wwtp_P_removal</t>
  </si>
  <si>
    <t>custom_wwtp_UV_removal</t>
  </si>
  <si>
    <t>custom_wwtp_Cl_removal</t>
  </si>
  <si>
    <t>custom_wwtp_O3_removal</t>
  </si>
  <si>
    <t>custom_wwtp_sandfilter_removal</t>
  </si>
  <si>
    <t>custom_wwtp_microfilter_removal</t>
  </si>
  <si>
    <t>Column</t>
  </si>
  <si>
    <t>Example</t>
  </si>
  <si>
    <t>Description</t>
  </si>
  <si>
    <t>Name of the active pharmaceutical ingredient (API)</t>
  </si>
  <si>
    <t>CAS number</t>
  </si>
  <si>
    <t>Chemical class of the API (neutral/acid/base)</t>
  </si>
  <si>
    <t>Molecular weight  (for APIs that are salts: preferably enter molecular weight of free acid/base)</t>
  </si>
  <si>
    <t>Octanol/water partitioning coefficient of the neutral form</t>
  </si>
  <si>
    <t>Vapour pressure at 25 °C</t>
  </si>
  <si>
    <t>Solubility in water at 25 °C</t>
  </si>
  <si>
    <t>Acid dissociation coefficient</t>
  </si>
  <si>
    <t>Name of the prodrug</t>
  </si>
  <si>
    <t>Fraction of the administered prodrug egested as the API of interest or as its reversible conjugates via urine/faeces (-)</t>
  </si>
  <si>
    <t>Sewage-solids water partitioning coefficient of neutral form</t>
  </si>
  <si>
    <t>Sewage-solids water partitioning coefficient of alternate form</t>
  </si>
  <si>
    <t>Activated sludge-solids water partitioning coefficient of neutral form</t>
  </si>
  <si>
    <t>Activated sludge-solids water partitioning coefficient of alternate form</t>
  </si>
  <si>
    <t>Suspended matter-solids water partitioning coefficient of neutral form</t>
  </si>
  <si>
    <t>Suspended matter-solids water partitioning coefficient of alternate form</t>
  </si>
  <si>
    <t>Dissolved organic carbon water partitioning coefficient of neutral form</t>
  </si>
  <si>
    <t>Dissolved organic carbon water partitioning coefficient of alternate form</t>
  </si>
  <si>
    <t>Sediment-solids water partitioning coefficient of neutral form</t>
  </si>
  <si>
    <t>Sediment-solids water partitioning coefficient of alternate form</t>
  </si>
  <si>
    <t>Organic carbon water partitioning coefficient of neutral form of neutral form</t>
  </si>
  <si>
    <t>Organic carbon water partitioning coefficient of alternate form of alternate form</t>
  </si>
  <si>
    <t>First order biodegradation rate constant secondary treatment of neutral form</t>
  </si>
  <si>
    <t>First order biodegradation rate constant secondary treatment of alternate form</t>
  </si>
  <si>
    <t>Pseudo-first order experimental biodegradation rate constant in surface water of neutral form</t>
  </si>
  <si>
    <t>Temperature at which kbio in surface water was derived of neutral form</t>
  </si>
  <si>
    <t>Pseudo-first order experimental biodegradation rate constant in surface water of alternate form</t>
  </si>
  <si>
    <t>Temperature at which kbio in surface water was derived of alternate form</t>
  </si>
  <si>
    <t>Pseudo-first order experimental biodegradation rate constant in sediment of neutral form</t>
  </si>
  <si>
    <t>Temperature at which kbio in sediment was derived of neutral form</t>
  </si>
  <si>
    <t>Pseudo-first order experimental biodegradation rate constant in sediment of alternate form</t>
  </si>
  <si>
    <t>Temperature at which kbio in sediment was derived of alternate form</t>
  </si>
  <si>
    <t>First order experimental hydrolysis rate constant in surface water of neutral form</t>
  </si>
  <si>
    <t>Temperature at which khydro in surface water was derived of neutral form</t>
  </si>
  <si>
    <t>First order experimental hydrolysis rate constant in surface water of alternate form</t>
  </si>
  <si>
    <t>Temperature at which khydro in surface water was derived of alternate form</t>
  </si>
  <si>
    <t>First order experimental hydrolysis rate constant in sediment of neutral form</t>
  </si>
  <si>
    <t>Temperature at which khydro in sediment was derived of neutral form</t>
  </si>
  <si>
    <t>First order experimental hydrolysis rate constant in sediment of alternate form</t>
  </si>
  <si>
    <t>Temperature at which khydro in sediment was derived of alternate form</t>
  </si>
  <si>
    <t>Maximum absorption wavelength for solar radiation of neutral form</t>
  </si>
  <si>
    <t>Pseudo-first order experimental photolysis rate constant in surface water of neutral form</t>
  </si>
  <si>
    <t>Temperature at which kphoto in surface water was derived of neutral form</t>
  </si>
  <si>
    <t>Maximum absorption wavelength for solar radiation of alternate form</t>
  </si>
  <si>
    <t>Pseudo-first order experimental photolysis rate constant in surface water of alternate form</t>
  </si>
  <si>
    <t>Temperature at which kphoto in surface water was derived of alternate form</t>
  </si>
  <si>
    <t>Overwrite SimpleTreat 4.0 primary removal fraction</t>
  </si>
  <si>
    <t>Overwrite SimpleTreat 4.0 secondary removal fraction</t>
  </si>
  <si>
    <t>Units</t>
  </si>
  <si>
    <t>g/mol</t>
  </si>
  <si>
    <t>Pa</t>
  </si>
  <si>
    <t>mg/L</t>
  </si>
  <si>
    <t>Lwater/kgsolids</t>
  </si>
  <si>
    <t>s-1</t>
  </si>
  <si>
    <t>K</t>
  </si>
  <si>
    <t>nm</t>
  </si>
  <si>
    <t>Parameter used for…</t>
  </si>
  <si>
    <t>Not used in calculations, only for labelling/identification</t>
  </si>
  <si>
    <t>Used to estmiate fractions of the neutral and alternate forms of the API</t>
  </si>
  <si>
    <t>Used for calculating volatilization</t>
  </si>
  <si>
    <t>Used for predicting partitioning behavior of the API</t>
  </si>
  <si>
    <t>Used to calculate amount of substance emitted to the sewer</t>
  </si>
  <si>
    <t>Basic input parameter used to calculate substance concentrations</t>
  </si>
  <si>
    <t>Used for labelling if the substance is a prodrug. Only put a name here if you are running the model for a prodrug; leave empty otherwise.</t>
  </si>
  <si>
    <t>Used to derive the amount of API from the yearly consumption if this consumption relates to the prodrug. Only put a number here if the yearly consumption applies to prodrug!</t>
  </si>
  <si>
    <t>Used to estimate chemical removal in WWTPs</t>
  </si>
  <si>
    <t>Used to derive the fraction of API present as dissolved chemical in the water column</t>
  </si>
  <si>
    <t>Used to derive the fraction of API present as dissolved chemical in the upper sediment layer</t>
  </si>
  <si>
    <t>Used to derive the partitioning coefficient between solids and water for the neutral form</t>
  </si>
  <si>
    <t>Used to derive the partitioning coefficient between solids and water for the alternate form</t>
  </si>
  <si>
    <t>Used to estimate biodegradation of neutral form in surface water</t>
  </si>
  <si>
    <t>Used to correct biodegradation rate of the neutral form in surface water to local temperature</t>
  </si>
  <si>
    <t>Used to estimate biodegradation of alternate form in surface water</t>
  </si>
  <si>
    <t>Used to correct biodegradation rate of the alternate form in surface water to local temperature</t>
  </si>
  <si>
    <t>Used to estimate biodegradation of neutral form in sediment</t>
  </si>
  <si>
    <t>Used to correct biodegradation rate of the neutral form in sediment to local temperature</t>
  </si>
  <si>
    <t>Used to estimate biodegradation of alternate form in sediment</t>
  </si>
  <si>
    <t>Used to correct biodegradation rate of the alternate form in sediment to local temperature</t>
  </si>
  <si>
    <t>Used to estimate hydrolysis of neutral form in surface water</t>
  </si>
  <si>
    <t>Used to correct hydrolysis rate of the neutral form in surface water to local temperature</t>
  </si>
  <si>
    <t>Used to estimate hydrolysis of alternate form in surface water</t>
  </si>
  <si>
    <t>Used to correct hydrolysis rate of the alternate form in surface water to local temperature</t>
  </si>
  <si>
    <t>Used to estimate hydrolysis of neutral form in sediment</t>
  </si>
  <si>
    <t>Used to correct hydrolysis rate of the neutral form in sediment to local temperature</t>
  </si>
  <si>
    <t>Used to estimate hydrolysis of alternate form in sediment</t>
  </si>
  <si>
    <t>Used to correct hydrolysis rate of the alternate form in sediment to local temperature</t>
  </si>
  <si>
    <t>Used to correct photolysis of the neutral form based on local water depth</t>
  </si>
  <si>
    <t>Used to derive the pseudo-first order photolysis rate constant in surface water of neutral form adapted to local conditions</t>
  </si>
  <si>
    <t>Used to correct photolysis rate of the neutral form in surface water to local temperature</t>
  </si>
  <si>
    <t>Used to correct photolysis of the alternate form based on local water depth</t>
  </si>
  <si>
    <t>Used to derive the pseudo-first order photolysis rate constant in surface water of alternate form adapted to local conditions</t>
  </si>
  <si>
    <t>Used to correct photolysis rate of the alternate form in surface water to local temperature</t>
  </si>
  <si>
    <t>Overwrite SimpleTreat 4.0 with custom primary removal fraction</t>
  </si>
  <si>
    <t>Overwrite SimpleTreat 4.0 with custom secondary removal fraction</t>
  </si>
  <si>
    <t>f_uf</t>
  </si>
  <si>
    <t>Fraction of dose excreted unchanged via urine and faeces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</si>
</sst>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1"/>
    <xf numFmtId="0" fontId="1" fillId="0" borderId="0" xfId="1" applyFont="1"/>
  </cellXfs>
  <cellStyles count="2">
    <cellStyle name="Normal" xfId="0" builtinId="0"/>
    <cellStyle name="Normal 2" xfId="1" xr:uid="{5D3BBD70-14D9-40A2-B027-850EC58BA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37"/>
  <sheetViews>
    <sheetView tabSelected="1" topLeftCell="W1" zoomScale="106" zoomScaleNormal="106" workbookViewId="0">
      <selection activeCell="AM7" sqref="AM7"/>
    </sheetView>
  </sheetViews>
  <sheetFormatPr defaultRowHeight="15" x14ac:dyDescent="0.25"/>
  <cols>
    <col min="1" max="1" width="18.5703125" customWidth="1"/>
    <col min="2" max="2" width="11.42578125" bestFit="1" customWidth="1"/>
    <col min="3" max="3" width="12.140625" customWidth="1"/>
    <col min="4" max="4" width="14.7109375" customWidth="1"/>
    <col min="5" max="5" width="17.140625" customWidth="1"/>
    <col min="6" max="6" width="14.140625" customWidth="1"/>
    <col min="7" max="7" width="13.140625" customWidth="1"/>
    <col min="8" max="8" width="12" customWidth="1"/>
    <col min="9" max="9" width="9.28515625" bestFit="1" customWidth="1"/>
    <col min="10" max="10" width="11.5703125" bestFit="1" customWidth="1"/>
    <col min="11" max="11" width="14" customWidth="1"/>
    <col min="12" max="12" width="13.140625" customWidth="1"/>
    <col min="13" max="13" width="14.7109375" customWidth="1"/>
    <col min="14" max="14" width="11.85546875" customWidth="1"/>
    <col min="15" max="15" width="13" customWidth="1"/>
    <col min="16" max="16" width="16.5703125" customWidth="1"/>
    <col min="17" max="17" width="13.42578125" customWidth="1"/>
    <col min="18" max="18" width="18.42578125" customWidth="1"/>
    <col min="19" max="19" width="15.28515625" customWidth="1"/>
    <col min="20" max="20" width="15.42578125" customWidth="1"/>
    <col min="21" max="21" width="9.28515625" bestFit="1" customWidth="1"/>
    <col min="22" max="22" width="12.85546875" bestFit="1" customWidth="1"/>
    <col min="23" max="23" width="9.28515625" bestFit="1" customWidth="1"/>
    <col min="24" max="24" width="12.85546875" bestFit="1" customWidth="1"/>
    <col min="25" max="25" width="9.28515625" bestFit="1" customWidth="1"/>
    <col min="26" max="26" width="16" customWidth="1"/>
    <col min="27" max="27" width="9.28515625" bestFit="1" customWidth="1"/>
    <col min="28" max="28" width="12.85546875" bestFit="1" customWidth="1"/>
    <col min="29" max="30" width="9.28515625" bestFit="1" customWidth="1"/>
    <col min="31" max="31" width="11.7109375" bestFit="1" customWidth="1"/>
    <col min="32" max="33" width="9.28515625" bestFit="1" customWidth="1"/>
    <col min="34" max="34" width="12.85546875" bestFit="1" customWidth="1"/>
    <col min="35" max="35" width="17.28515625" bestFit="1" customWidth="1"/>
    <col min="38" max="43" width="9.28515625" bestFit="1" customWidth="1"/>
    <col min="44" max="44" width="29.5703125" customWidth="1"/>
  </cols>
  <sheetData>
    <row r="1" spans="1:131" x14ac:dyDescent="0.25">
      <c r="A1" t="s">
        <v>0</v>
      </c>
      <c r="B1" t="s">
        <v>55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227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107</v>
      </c>
      <c r="AA1" t="s">
        <v>108</v>
      </c>
      <c r="AB1" t="s">
        <v>109</v>
      </c>
      <c r="AC1" t="s">
        <v>110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</row>
    <row r="2" spans="1:131" s="2" customFormat="1" x14ac:dyDescent="0.25">
      <c r="A2" t="s">
        <v>35</v>
      </c>
      <c r="B2" t="s">
        <v>36</v>
      </c>
      <c r="C2" t="s">
        <v>3</v>
      </c>
      <c r="D2">
        <v>206.2808</v>
      </c>
      <c r="E2">
        <v>9332.5429999999997</v>
      </c>
      <c r="F2">
        <v>2.4799999999999999E-2</v>
      </c>
      <c r="G2">
        <v>21</v>
      </c>
      <c r="H2">
        <v>4.8499999999999996</v>
      </c>
      <c r="I2">
        <v>0.2</v>
      </c>
      <c r="J2" t="s">
        <v>14</v>
      </c>
      <c r="K2" t="s">
        <v>14</v>
      </c>
      <c r="L2">
        <v>10.77399</v>
      </c>
      <c r="M2">
        <v>10.77399</v>
      </c>
      <c r="N2">
        <v>200.01580000000001</v>
      </c>
      <c r="O2">
        <v>200.01580000000001</v>
      </c>
      <c r="P2">
        <v>14.97686624</v>
      </c>
      <c r="Q2">
        <v>14.97686624</v>
      </c>
      <c r="R2">
        <v>1793.90731090694</v>
      </c>
      <c r="S2">
        <v>94.776354517392903</v>
      </c>
      <c r="T2">
        <v>1.9715800000000001E-4</v>
      </c>
      <c r="U2">
        <v>1.9715800000000001E-4</v>
      </c>
      <c r="V2">
        <v>8.2699999999999998E-7</v>
      </c>
      <c r="W2">
        <v>293.14999999999998</v>
      </c>
      <c r="X2">
        <v>8.2699999999999998E-7</v>
      </c>
      <c r="Y2">
        <v>293.14999999999998</v>
      </c>
      <c r="Z2">
        <v>2.3099999999999999E-7</v>
      </c>
      <c r="AA2">
        <v>293.14999999999998</v>
      </c>
      <c r="AB2">
        <v>2.3099999999999999E-7</v>
      </c>
      <c r="AC2">
        <v>293.14999999999998</v>
      </c>
      <c r="AD2">
        <v>265</v>
      </c>
      <c r="AE2">
        <v>3.8500000000000004E-6</v>
      </c>
      <c r="AF2">
        <v>293.14999999999998</v>
      </c>
      <c r="AG2">
        <v>265</v>
      </c>
      <c r="AH2">
        <v>3.8500000000000004E-6</v>
      </c>
      <c r="AI2">
        <v>293.14999999999998</v>
      </c>
      <c r="AJ2" t="s">
        <v>14</v>
      </c>
      <c r="AK2" t="s">
        <v>14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</row>
    <row r="3" spans="1:131" x14ac:dyDescent="0.25">
      <c r="A3" t="s">
        <v>1</v>
      </c>
      <c r="B3" t="s">
        <v>2</v>
      </c>
      <c r="C3" t="s">
        <v>3</v>
      </c>
      <c r="D3">
        <v>151.16</v>
      </c>
      <c r="E3">
        <v>1.86</v>
      </c>
      <c r="F3">
        <f>2.59*10^-4</f>
        <v>2.5900000000000001E-4</v>
      </c>
      <c r="G3">
        <f>1.4*10^4</f>
        <v>14000</v>
      </c>
      <c r="H3">
        <v>9.4600000000000009</v>
      </c>
      <c r="I3">
        <v>0.52</v>
      </c>
      <c r="J3" t="s">
        <v>14</v>
      </c>
      <c r="K3" t="s">
        <v>14</v>
      </c>
      <c r="L3">
        <f>5.11*10^1</f>
        <v>51.1</v>
      </c>
      <c r="M3" t="s">
        <v>14</v>
      </c>
      <c r="N3">
        <f>3.15*10^2</f>
        <v>315</v>
      </c>
      <c r="O3" t="s">
        <v>14</v>
      </c>
      <c r="P3">
        <v>3.27</v>
      </c>
      <c r="Q3" t="s">
        <v>14</v>
      </c>
      <c r="R3" t="s">
        <v>14</v>
      </c>
      <c r="S3" t="s">
        <v>14</v>
      </c>
      <c r="T3">
        <f>5.01*10^-4</f>
        <v>5.0100000000000003E-4</v>
      </c>
      <c r="U3" t="s">
        <v>14</v>
      </c>
      <c r="V3">
        <f>8.36*10^-6</f>
        <v>8.3599999999999996E-6</v>
      </c>
      <c r="W3" t="s">
        <v>14</v>
      </c>
      <c r="X3" t="s">
        <v>14</v>
      </c>
      <c r="Y3" t="s">
        <v>14</v>
      </c>
      <c r="Z3">
        <v>0</v>
      </c>
      <c r="AA3" t="s">
        <v>14</v>
      </c>
      <c r="AB3" t="s">
        <v>14</v>
      </c>
      <c r="AC3" t="s">
        <v>14</v>
      </c>
      <c r="AD3">
        <v>250</v>
      </c>
      <c r="AE3" t="s">
        <v>14</v>
      </c>
      <c r="AF3" t="s">
        <v>14</v>
      </c>
      <c r="AG3" t="s">
        <v>14</v>
      </c>
      <c r="AH3">
        <f>4.55*10^-6</f>
        <v>4.5499999999999996E-6</v>
      </c>
      <c r="AI3" t="s">
        <v>14</v>
      </c>
      <c r="AJ3" t="s">
        <v>14</v>
      </c>
      <c r="AK3" t="s">
        <v>14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131" x14ac:dyDescent="0.25">
      <c r="A4" t="s">
        <v>4</v>
      </c>
      <c r="B4" t="s">
        <v>5</v>
      </c>
      <c r="C4" t="s">
        <v>6</v>
      </c>
      <c r="D4">
        <v>277.39999999999998</v>
      </c>
      <c r="E4">
        <f>8.89*10^4</f>
        <v>88900</v>
      </c>
      <c r="F4">
        <f>4.83*10^-5</f>
        <v>4.8300000000000002E-5</v>
      </c>
      <c r="G4">
        <v>9.7100000000000009</v>
      </c>
      <c r="H4">
        <v>9.76</v>
      </c>
      <c r="I4">
        <v>0.03</v>
      </c>
      <c r="J4" t="s">
        <v>14</v>
      </c>
      <c r="K4" t="s">
        <v>14</v>
      </c>
      <c r="L4">
        <f>1.19*10^4</f>
        <v>11900</v>
      </c>
      <c r="M4" t="s">
        <v>14</v>
      </c>
      <c r="N4">
        <f>3.46*10^3</f>
        <v>3460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  <c r="U4" t="s">
        <v>14</v>
      </c>
      <c r="V4">
        <v>0</v>
      </c>
      <c r="W4" t="s">
        <v>14</v>
      </c>
      <c r="X4" t="s">
        <v>14</v>
      </c>
      <c r="Y4" t="s">
        <v>14</v>
      </c>
      <c r="Z4">
        <f>2.35*10^-7</f>
        <v>2.35E-7</v>
      </c>
      <c r="AA4" t="s">
        <v>14</v>
      </c>
      <c r="AB4" t="s">
        <v>14</v>
      </c>
      <c r="AC4" t="s">
        <v>14</v>
      </c>
      <c r="AD4">
        <v>270</v>
      </c>
      <c r="AE4" t="s">
        <v>14</v>
      </c>
      <c r="AF4" t="s">
        <v>14</v>
      </c>
      <c r="AG4" t="s">
        <v>14</v>
      </c>
      <c r="AH4">
        <v>0</v>
      </c>
      <c r="AI4" t="s">
        <v>14</v>
      </c>
      <c r="AJ4" t="s">
        <v>14</v>
      </c>
      <c r="AK4" t="s">
        <v>14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131" x14ac:dyDescent="0.25">
      <c r="A5" t="s">
        <v>7</v>
      </c>
      <c r="B5" t="s">
        <v>8</v>
      </c>
      <c r="C5" t="s">
        <v>6</v>
      </c>
      <c r="D5">
        <v>266.33999999999997</v>
      </c>
      <c r="E5">
        <f>9.42*10^-1</f>
        <v>0.94200000000000006</v>
      </c>
      <c r="F5">
        <f>1.03*10^-7</f>
        <v>1.03E-7</v>
      </c>
      <c r="G5">
        <f>1.33*10^4</f>
        <v>13300</v>
      </c>
      <c r="H5">
        <v>9.6</v>
      </c>
      <c r="I5">
        <v>0.86</v>
      </c>
      <c r="J5" t="s">
        <v>14</v>
      </c>
      <c r="K5" t="s">
        <v>14</v>
      </c>
      <c r="L5">
        <f>2*10^2</f>
        <v>200</v>
      </c>
      <c r="M5" t="s">
        <v>14</v>
      </c>
      <c r="N5">
        <f>4.13*10^2</f>
        <v>413</v>
      </c>
      <c r="O5" t="s">
        <v>14</v>
      </c>
      <c r="P5">
        <v>7.82</v>
      </c>
      <c r="Q5" t="s">
        <v>14</v>
      </c>
      <c r="R5" t="s">
        <v>14</v>
      </c>
      <c r="S5" t="s">
        <v>14</v>
      </c>
      <c r="T5">
        <f>5.37*10^-5</f>
        <v>5.3700000000000004E-5</v>
      </c>
      <c r="U5" t="s">
        <v>14</v>
      </c>
      <c r="V5">
        <f>5.42*10^-7</f>
        <v>5.4199999999999996E-7</v>
      </c>
      <c r="W5" t="s">
        <v>14</v>
      </c>
      <c r="X5" t="s">
        <v>14</v>
      </c>
      <c r="Y5" t="s">
        <v>14</v>
      </c>
      <c r="Z5">
        <f>7.25*10^-7</f>
        <v>7.2499999999999994E-7</v>
      </c>
      <c r="AA5" t="s">
        <v>14</v>
      </c>
      <c r="AB5" t="s">
        <v>14</v>
      </c>
      <c r="AC5" t="s">
        <v>14</v>
      </c>
      <c r="AD5">
        <v>275</v>
      </c>
      <c r="AE5" t="s">
        <v>14</v>
      </c>
      <c r="AF5" t="s">
        <v>14</v>
      </c>
      <c r="AG5" t="s">
        <v>14</v>
      </c>
      <c r="AH5">
        <f>3.33*10^-6</f>
        <v>3.3299999999999999E-6</v>
      </c>
      <c r="AI5" t="s">
        <v>14</v>
      </c>
      <c r="AJ5" t="s">
        <v>14</v>
      </c>
      <c r="AK5" t="s">
        <v>14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131" x14ac:dyDescent="0.25">
      <c r="A6" t="s">
        <v>9</v>
      </c>
      <c r="B6" t="s">
        <v>10</v>
      </c>
      <c r="C6" t="s">
        <v>3</v>
      </c>
      <c r="D6">
        <v>361.82</v>
      </c>
      <c r="E6">
        <f>1.78*10^4</f>
        <v>17800</v>
      </c>
      <c r="F6">
        <f>8.15*10^-9</f>
        <v>8.1500000000000002E-9</v>
      </c>
      <c r="G6">
        <v>1.22</v>
      </c>
      <c r="H6">
        <v>3.83</v>
      </c>
      <c r="I6">
        <v>0.63</v>
      </c>
      <c r="J6" t="s">
        <v>14</v>
      </c>
      <c r="K6" t="s">
        <v>14</v>
      </c>
      <c r="L6">
        <f>1.79*10^1</f>
        <v>17.899999999999999</v>
      </c>
      <c r="M6" t="s">
        <v>14</v>
      </c>
      <c r="N6">
        <f>8.7*10^1</f>
        <v>87</v>
      </c>
      <c r="O6" t="s">
        <v>14</v>
      </c>
      <c r="P6">
        <f>3.18*10^1</f>
        <v>31.8</v>
      </c>
      <c r="Q6" t="s">
        <v>14</v>
      </c>
      <c r="R6" t="s">
        <v>14</v>
      </c>
      <c r="S6" t="s">
        <v>14</v>
      </c>
      <c r="T6">
        <f>5.95*10^-5</f>
        <v>5.950000000000001E-5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t="s">
        <v>14</v>
      </c>
      <c r="AD6" t="s">
        <v>14</v>
      </c>
      <c r="AE6" t="s">
        <v>14</v>
      </c>
      <c r="AF6" t="s">
        <v>14</v>
      </c>
      <c r="AG6" t="s">
        <v>14</v>
      </c>
      <c r="AH6" t="s">
        <v>14</v>
      </c>
      <c r="AI6" t="s">
        <v>14</v>
      </c>
      <c r="AJ6" t="s">
        <v>14</v>
      </c>
      <c r="AK6" t="s">
        <v>14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131" x14ac:dyDescent="0.25">
      <c r="A7" t="s">
        <v>11</v>
      </c>
      <c r="B7" t="s">
        <v>12</v>
      </c>
      <c r="C7" t="s">
        <v>13</v>
      </c>
      <c r="D7">
        <v>236.27</v>
      </c>
      <c r="E7">
        <f>1.77*10^2</f>
        <v>177</v>
      </c>
      <c r="F7">
        <f>1.17*10^-5</f>
        <v>1.17E-5</v>
      </c>
      <c r="G7">
        <f>1.77*10^1</f>
        <v>17.7</v>
      </c>
      <c r="H7" t="s">
        <v>14</v>
      </c>
      <c r="I7">
        <v>0.15</v>
      </c>
      <c r="J7" t="s">
        <v>14</v>
      </c>
      <c r="K7" t="s">
        <v>14</v>
      </c>
      <c r="L7">
        <f>1.16*10^2</f>
        <v>115.99999999999999</v>
      </c>
      <c r="M7" t="s">
        <v>14</v>
      </c>
      <c r="N7">
        <f>5.89*10^2</f>
        <v>589</v>
      </c>
      <c r="O7" t="s">
        <v>14</v>
      </c>
      <c r="P7">
        <f>1.24*10^1</f>
        <v>12.4</v>
      </c>
      <c r="Q7" t="s">
        <v>14</v>
      </c>
      <c r="R7" t="s">
        <v>14</v>
      </c>
      <c r="S7" t="s">
        <v>14</v>
      </c>
      <c r="T7">
        <f>1.75*10^-6</f>
        <v>1.75E-6</v>
      </c>
      <c r="U7" t="s">
        <v>14</v>
      </c>
      <c r="V7">
        <f>2.31*10^-8</f>
        <v>2.3100000000000002E-8</v>
      </c>
      <c r="W7" t="s">
        <v>14</v>
      </c>
      <c r="X7" t="s">
        <v>14</v>
      </c>
      <c r="Y7" t="s">
        <v>14</v>
      </c>
      <c r="Z7">
        <f>1.67*10^-9</f>
        <v>1.67E-9</v>
      </c>
      <c r="AA7" t="s">
        <v>14</v>
      </c>
      <c r="AB7" t="s">
        <v>14</v>
      </c>
      <c r="AC7" t="s">
        <v>14</v>
      </c>
      <c r="AD7">
        <v>285</v>
      </c>
      <c r="AE7" t="s">
        <v>14</v>
      </c>
      <c r="AF7" t="s">
        <v>14</v>
      </c>
      <c r="AG7" t="s">
        <v>14</v>
      </c>
      <c r="AH7">
        <f>9.48*10^-6</f>
        <v>9.4800000000000007E-6</v>
      </c>
      <c r="AI7" t="s">
        <v>14</v>
      </c>
      <c r="AJ7" t="s">
        <v>14</v>
      </c>
      <c r="AK7" t="s">
        <v>14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131" x14ac:dyDescent="0.25">
      <c r="A8" t="s">
        <v>15</v>
      </c>
      <c r="B8" t="s">
        <v>16</v>
      </c>
      <c r="C8" t="s">
        <v>6</v>
      </c>
      <c r="D8">
        <v>252.34</v>
      </c>
      <c r="E8">
        <v>3.75</v>
      </c>
      <c r="F8">
        <f>1.85*10^-9</f>
        <v>1.8500000000000002E-9</v>
      </c>
      <c r="G8">
        <f>9.38*10^3</f>
        <v>9380</v>
      </c>
      <c r="H8">
        <v>6.8</v>
      </c>
      <c r="I8">
        <v>0.48</v>
      </c>
      <c r="J8" t="s">
        <v>14</v>
      </c>
      <c r="K8" t="s">
        <v>14</v>
      </c>
      <c r="L8" t="s">
        <v>14</v>
      </c>
      <c r="M8" t="s">
        <v>14</v>
      </c>
      <c r="N8">
        <f>3.6*10^2</f>
        <v>360</v>
      </c>
      <c r="O8" t="s">
        <v>14</v>
      </c>
      <c r="P8">
        <f>1.43*10^2</f>
        <v>143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>
        <v>0</v>
      </c>
      <c r="W8" t="s">
        <v>14</v>
      </c>
      <c r="X8" t="s">
        <v>14</v>
      </c>
      <c r="Y8" t="s">
        <v>14</v>
      </c>
      <c r="Z8">
        <v>0</v>
      </c>
      <c r="AA8" t="s">
        <v>14</v>
      </c>
      <c r="AB8" t="s">
        <v>14</v>
      </c>
      <c r="AC8" t="s">
        <v>14</v>
      </c>
      <c r="AD8">
        <v>218</v>
      </c>
      <c r="AE8" t="s">
        <v>14</v>
      </c>
      <c r="AF8" t="s">
        <v>14</v>
      </c>
      <c r="AG8" t="s">
        <v>14</v>
      </c>
      <c r="AH8">
        <f>1.74*10^-4</f>
        <v>1.74E-4</v>
      </c>
      <c r="AI8" t="s">
        <v>14</v>
      </c>
      <c r="AJ8" t="s">
        <v>14</v>
      </c>
      <c r="AK8" t="s">
        <v>14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131" x14ac:dyDescent="0.25">
      <c r="A9" t="s">
        <v>17</v>
      </c>
      <c r="B9" t="s">
        <v>18</v>
      </c>
      <c r="C9" t="s">
        <v>6</v>
      </c>
      <c r="D9">
        <v>324.39</v>
      </c>
      <c r="E9">
        <f>5.52*10^3</f>
        <v>5520</v>
      </c>
      <c r="F9">
        <f>1.51*10^-5</f>
        <v>1.5100000000000001E-5</v>
      </c>
      <c r="G9">
        <f>3.11*10^1</f>
        <v>31.099999999999998</v>
      </c>
      <c r="H9">
        <v>9.7799999999999994</v>
      </c>
      <c r="I9">
        <v>0.97</v>
      </c>
      <c r="J9" t="s">
        <v>14</v>
      </c>
      <c r="K9" t="s">
        <v>14</v>
      </c>
      <c r="L9">
        <f>1.28*10^4</f>
        <v>12800</v>
      </c>
      <c r="M9" t="s">
        <v>14</v>
      </c>
      <c r="N9">
        <f>2.56*10^3</f>
        <v>2560</v>
      </c>
      <c r="O9" t="s">
        <v>14</v>
      </c>
      <c r="P9">
        <f>1.37*10^4</f>
        <v>13700.000000000002</v>
      </c>
      <c r="Q9" t="s">
        <v>14</v>
      </c>
      <c r="R9" t="s">
        <v>14</v>
      </c>
      <c r="S9" t="s">
        <v>14</v>
      </c>
      <c r="T9">
        <f>5.56*10^-5</f>
        <v>5.5600000000000003E-5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>
        <f>8.59*10^-8</f>
        <v>8.5899999999999995E-8</v>
      </c>
      <c r="AA9" t="s">
        <v>14</v>
      </c>
      <c r="AB9" t="s">
        <v>14</v>
      </c>
      <c r="AC9" t="s">
        <v>14</v>
      </c>
      <c r="AD9">
        <v>285</v>
      </c>
      <c r="AE9" t="s">
        <v>14</v>
      </c>
      <c r="AF9" t="s">
        <v>14</v>
      </c>
      <c r="AG9" t="s">
        <v>14</v>
      </c>
      <c r="AH9">
        <f>3.88*10^-7</f>
        <v>3.8799999999999998E-7</v>
      </c>
      <c r="AI9" t="s">
        <v>14</v>
      </c>
      <c r="AJ9" t="s">
        <v>14</v>
      </c>
      <c r="AK9" t="s">
        <v>14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131" x14ac:dyDescent="0.25">
      <c r="A10" t="s">
        <v>19</v>
      </c>
      <c r="B10" t="s">
        <v>20</v>
      </c>
      <c r="C10" t="s">
        <v>6</v>
      </c>
      <c r="D10">
        <v>299.36</v>
      </c>
      <c r="E10">
        <f>1.89*10^1</f>
        <v>18.899999999999999</v>
      </c>
      <c r="F10">
        <f>2.55*10^-6</f>
        <v>2.5499999999999997E-6</v>
      </c>
      <c r="G10">
        <f>9*10^3</f>
        <v>9000</v>
      </c>
      <c r="H10">
        <v>9.19</v>
      </c>
      <c r="I10">
        <v>0.4</v>
      </c>
      <c r="J10" t="s">
        <v>14</v>
      </c>
      <c r="K10" t="s">
        <v>14</v>
      </c>
      <c r="L10" t="s">
        <v>14</v>
      </c>
      <c r="M10" t="s">
        <v>14</v>
      </c>
      <c r="N10">
        <f>1.4*10^1</f>
        <v>14</v>
      </c>
      <c r="O10" t="s">
        <v>14</v>
      </c>
      <c r="P10">
        <v>8.1</v>
      </c>
      <c r="Q10" t="s">
        <v>14</v>
      </c>
      <c r="R10" t="s">
        <v>14</v>
      </c>
      <c r="S10" t="s">
        <v>14</v>
      </c>
      <c r="T10">
        <f>2.28*10^-5</f>
        <v>2.2799999999999999E-5</v>
      </c>
      <c r="U10" t="s">
        <v>14</v>
      </c>
      <c r="V10">
        <f>2.38*10^-7</f>
        <v>2.3799999999999999E-7</v>
      </c>
      <c r="W10" t="s">
        <v>14</v>
      </c>
      <c r="X10" t="s">
        <v>14</v>
      </c>
      <c r="Y10" t="s">
        <v>14</v>
      </c>
      <c r="Z10">
        <v>0</v>
      </c>
      <c r="AA10" t="s">
        <v>14</v>
      </c>
      <c r="AB10" t="s">
        <v>14</v>
      </c>
      <c r="AC10" t="s">
        <v>14</v>
      </c>
      <c r="AD10">
        <v>300</v>
      </c>
      <c r="AE10" t="s">
        <v>14</v>
      </c>
      <c r="AF10" t="s">
        <v>14</v>
      </c>
      <c r="AG10" t="s">
        <v>14</v>
      </c>
      <c r="AH10">
        <f>6.83*10^-5</f>
        <v>6.8300000000000007E-5</v>
      </c>
      <c r="AI10" t="s">
        <v>14</v>
      </c>
      <c r="AJ10" t="s">
        <v>14</v>
      </c>
      <c r="AK10" t="s">
        <v>14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131" x14ac:dyDescent="0.25">
      <c r="A11" t="s">
        <v>21</v>
      </c>
      <c r="B11" t="s">
        <v>22</v>
      </c>
      <c r="C11" t="s">
        <v>6</v>
      </c>
      <c r="D11">
        <v>263.38</v>
      </c>
      <c r="E11">
        <f>5.25*10^2</f>
        <v>525</v>
      </c>
      <c r="F11">
        <f>9.13*10^-6</f>
        <v>9.1300000000000007E-6</v>
      </c>
      <c r="G11">
        <f>3.67*10^3</f>
        <v>3670</v>
      </c>
      <c r="H11">
        <v>8.8699999999999992</v>
      </c>
      <c r="I11">
        <v>0.65</v>
      </c>
      <c r="J11" t="s">
        <v>14</v>
      </c>
      <c r="K11" t="s">
        <v>14</v>
      </c>
      <c r="L11">
        <f>1.4*10^2</f>
        <v>140</v>
      </c>
      <c r="M11" t="s">
        <v>14</v>
      </c>
      <c r="N11">
        <f>1.01*10^2</f>
        <v>101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>
        <f>1.57*10^-8</f>
        <v>1.5700000000000002E-8</v>
      </c>
      <c r="W11" t="s">
        <v>14</v>
      </c>
      <c r="X11" t="s">
        <v>14</v>
      </c>
      <c r="Y11" t="s">
        <v>14</v>
      </c>
      <c r="Z11">
        <f>4.06*10^-7</f>
        <v>4.0599999999999996E-7</v>
      </c>
      <c r="AA11" t="s">
        <v>14</v>
      </c>
      <c r="AB11" t="s">
        <v>14</v>
      </c>
      <c r="AC11" t="s">
        <v>14</v>
      </c>
      <c r="AD11">
        <v>275</v>
      </c>
      <c r="AE11" t="s">
        <v>14</v>
      </c>
      <c r="AF11" t="s">
        <v>14</v>
      </c>
      <c r="AG11" t="s">
        <v>14</v>
      </c>
      <c r="AH11">
        <f>8.96*10^-6</f>
        <v>8.9600000000000006E-6</v>
      </c>
      <c r="AI11" t="s">
        <v>14</v>
      </c>
      <c r="AJ11" t="s">
        <v>14</v>
      </c>
      <c r="AK11" t="s">
        <v>14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131" x14ac:dyDescent="0.25">
      <c r="A12" t="s">
        <v>23</v>
      </c>
      <c r="B12" t="s">
        <v>24</v>
      </c>
      <c r="C12" t="s">
        <v>6</v>
      </c>
      <c r="D12">
        <v>284.74</v>
      </c>
      <c r="E12">
        <f>5.01*10^2</f>
        <v>501</v>
      </c>
      <c r="F12">
        <f>1.36*10^-5</f>
        <v>1.3600000000000002E-5</v>
      </c>
      <c r="G12">
        <f>5*10^1</f>
        <v>50</v>
      </c>
      <c r="H12">
        <v>3.4</v>
      </c>
      <c r="I12">
        <v>0.11</v>
      </c>
      <c r="J12" t="s">
        <v>14</v>
      </c>
      <c r="K12" t="s">
        <v>14</v>
      </c>
      <c r="L12">
        <f>1.68*10^2</f>
        <v>168</v>
      </c>
      <c r="M12" t="s">
        <v>14</v>
      </c>
      <c r="N12">
        <f>1.42*10^2</f>
        <v>142</v>
      </c>
      <c r="O12" t="s">
        <v>14</v>
      </c>
      <c r="P12">
        <v>7.43</v>
      </c>
      <c r="Q12" t="s">
        <v>14</v>
      </c>
      <c r="R12" t="s">
        <v>14</v>
      </c>
      <c r="S12" t="s">
        <v>14</v>
      </c>
      <c r="T12">
        <f>1.85*10^-5</f>
        <v>1.8500000000000002E-5</v>
      </c>
      <c r="U12" t="s">
        <v>14</v>
      </c>
      <c r="V12">
        <f>3.85*10^-11</f>
        <v>3.8499999999999996E-11</v>
      </c>
      <c r="W12" t="s">
        <v>14</v>
      </c>
      <c r="X12" t="s">
        <v>14</v>
      </c>
      <c r="Y12" t="s">
        <v>14</v>
      </c>
      <c r="Z12">
        <f>4.06*10^-7</f>
        <v>4.0599999999999996E-7</v>
      </c>
      <c r="AA12" t="s">
        <v>14</v>
      </c>
      <c r="AB12" t="s">
        <v>14</v>
      </c>
      <c r="AC12" t="s">
        <v>14</v>
      </c>
      <c r="AD12">
        <v>315</v>
      </c>
      <c r="AE12" t="s">
        <v>14</v>
      </c>
      <c r="AF12" t="s">
        <v>14</v>
      </c>
      <c r="AG12" t="s">
        <v>14</v>
      </c>
      <c r="AH12">
        <f>4.67*10^-6</f>
        <v>4.6699999999999993E-6</v>
      </c>
      <c r="AI12" t="s">
        <v>14</v>
      </c>
      <c r="AJ12" t="s">
        <v>14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131" x14ac:dyDescent="0.25">
      <c r="A13" t="s">
        <v>25</v>
      </c>
      <c r="B13" t="s">
        <v>26</v>
      </c>
      <c r="C13" t="s">
        <v>3</v>
      </c>
      <c r="D13">
        <v>296.14999999999998</v>
      </c>
      <c r="E13">
        <f>3.24*10^4</f>
        <v>32400.000000000004</v>
      </c>
      <c r="F13">
        <f>8.19*10^-6</f>
        <v>8.1899999999999995E-6</v>
      </c>
      <c r="G13">
        <f>2.37</f>
        <v>2.37</v>
      </c>
      <c r="H13">
        <v>4.1500000000000004</v>
      </c>
      <c r="I13">
        <v>0.06</v>
      </c>
      <c r="J13" t="s">
        <v>14</v>
      </c>
      <c r="K13" t="s">
        <v>14</v>
      </c>
      <c r="L13">
        <f>2.42*10^2</f>
        <v>242</v>
      </c>
      <c r="M13" t="s">
        <v>14</v>
      </c>
      <c r="N13">
        <f>2.16*10^2</f>
        <v>216</v>
      </c>
      <c r="O13" t="s">
        <v>14</v>
      </c>
      <c r="P13">
        <f>2.94*10^1</f>
        <v>29.4</v>
      </c>
      <c r="Q13" t="s">
        <v>14</v>
      </c>
      <c r="R13" t="s">
        <v>14</v>
      </c>
      <c r="S13" t="s">
        <v>14</v>
      </c>
      <c r="T13">
        <f>1.41*10^-5</f>
        <v>1.4100000000000001E-5</v>
      </c>
      <c r="U13" t="s">
        <v>14</v>
      </c>
      <c r="V13">
        <f>8.28*10^-8</f>
        <v>8.28E-8</v>
      </c>
      <c r="W13" t="s">
        <v>14</v>
      </c>
      <c r="X13" t="s">
        <v>14</v>
      </c>
      <c r="Y13" t="s">
        <v>14</v>
      </c>
      <c r="Z13">
        <f>1.16*10^-8</f>
        <v>1.16E-8</v>
      </c>
      <c r="AA13" t="s">
        <v>14</v>
      </c>
      <c r="AB13" t="s">
        <v>14</v>
      </c>
      <c r="AC13" t="s">
        <v>14</v>
      </c>
      <c r="AD13">
        <v>275</v>
      </c>
      <c r="AE13" t="s">
        <v>14</v>
      </c>
      <c r="AF13" t="s">
        <v>14</v>
      </c>
      <c r="AG13" t="s">
        <v>14</v>
      </c>
      <c r="AH13">
        <f>4.84*10^-4</f>
        <v>4.84E-4</v>
      </c>
      <c r="AI13" t="s">
        <v>14</v>
      </c>
      <c r="AJ13" t="s">
        <v>14</v>
      </c>
      <c r="AK13" t="s">
        <v>14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131" x14ac:dyDescent="0.25">
      <c r="A14" t="s">
        <v>27</v>
      </c>
      <c r="B14" t="s">
        <v>28</v>
      </c>
      <c r="C14" t="s">
        <v>6</v>
      </c>
      <c r="D14">
        <v>414.52</v>
      </c>
      <c r="E14">
        <f>6.23*10^2</f>
        <v>623</v>
      </c>
      <c r="F14">
        <f>3.97*10^-9</f>
        <v>3.9700000000000001E-9</v>
      </c>
      <c r="G14">
        <f>4.65*10^2</f>
        <v>465.00000000000006</v>
      </c>
      <c r="H14">
        <v>8.18</v>
      </c>
      <c r="I14">
        <v>0.03</v>
      </c>
      <c r="J14" t="s">
        <v>14</v>
      </c>
      <c r="K14" t="s">
        <v>14</v>
      </c>
      <c r="L14">
        <f>2.19*10^2</f>
        <v>219</v>
      </c>
      <c r="M14" t="s">
        <v>14</v>
      </c>
      <c r="N14">
        <f>1.96*10^2</f>
        <v>196</v>
      </c>
      <c r="O14" t="s">
        <v>14</v>
      </c>
      <c r="P14">
        <f>4.33*10^2</f>
        <v>433</v>
      </c>
      <c r="Q14" t="s">
        <v>14</v>
      </c>
      <c r="R14" t="s">
        <v>14</v>
      </c>
      <c r="S14" t="s">
        <v>14</v>
      </c>
      <c r="T14">
        <f>8.15*10^-6</f>
        <v>8.1499999999999999E-6</v>
      </c>
      <c r="U14" t="s">
        <v>14</v>
      </c>
      <c r="V14">
        <f>1.08*10^-6</f>
        <v>1.08E-6</v>
      </c>
      <c r="W14" t="s">
        <v>14</v>
      </c>
      <c r="X14" t="s">
        <v>14</v>
      </c>
      <c r="Y14" t="s">
        <v>14</v>
      </c>
      <c r="Z14">
        <f>1.43*10^-6</f>
        <v>1.4299999999999999E-6</v>
      </c>
      <c r="AA14" t="s">
        <v>14</v>
      </c>
      <c r="AB14" t="s">
        <v>14</v>
      </c>
      <c r="AC14" t="s">
        <v>14</v>
      </c>
      <c r="AD14">
        <v>280</v>
      </c>
      <c r="AE14" t="s">
        <v>14</v>
      </c>
      <c r="AF14" t="s">
        <v>14</v>
      </c>
      <c r="AG14" t="s">
        <v>14</v>
      </c>
      <c r="AH14">
        <f>2.06*10^-5</f>
        <v>2.0600000000000003E-5</v>
      </c>
      <c r="AI14" t="s">
        <v>14</v>
      </c>
      <c r="AJ14" t="s">
        <v>14</v>
      </c>
      <c r="AK14" t="s">
        <v>14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131" x14ac:dyDescent="0.25">
      <c r="A15" t="s">
        <v>29</v>
      </c>
      <c r="B15" t="s">
        <v>30</v>
      </c>
      <c r="C15" t="s">
        <v>6</v>
      </c>
      <c r="D15">
        <v>733.93</v>
      </c>
      <c r="E15">
        <f>3.01*10^2</f>
        <v>301</v>
      </c>
      <c r="F15">
        <f>2.83*10^-23</f>
        <v>2.8300000000000004E-23</v>
      </c>
      <c r="G15">
        <f>2*10^3</f>
        <v>2000</v>
      </c>
      <c r="H15">
        <v>8.3800000000000008</v>
      </c>
      <c r="I15">
        <v>0.98</v>
      </c>
      <c r="J15" t="s">
        <v>14</v>
      </c>
      <c r="K15" t="s">
        <v>14</v>
      </c>
      <c r="L15">
        <f>1.74*10^2</f>
        <v>174</v>
      </c>
      <c r="M15" t="s">
        <v>14</v>
      </c>
      <c r="N15">
        <f>9.49*10^1</f>
        <v>94.9</v>
      </c>
      <c r="O15" t="s">
        <v>14</v>
      </c>
      <c r="P15">
        <f>5.32*10^2</f>
        <v>532</v>
      </c>
      <c r="Q15" t="s">
        <v>14</v>
      </c>
      <c r="R15" t="s">
        <v>14</v>
      </c>
      <c r="S15" t="s">
        <v>14</v>
      </c>
      <c r="T15">
        <f>4.63*10^-5</f>
        <v>4.6300000000000001E-5</v>
      </c>
      <c r="U15" t="s">
        <v>14</v>
      </c>
      <c r="V15">
        <f>8.02*10^-8</f>
        <v>8.0200000000000003E-8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>
        <v>214</v>
      </c>
      <c r="AE15" t="s">
        <v>14</v>
      </c>
      <c r="AF15" t="s">
        <v>14</v>
      </c>
      <c r="AG15" t="s">
        <v>14</v>
      </c>
      <c r="AH15">
        <f>4.51*10^-6</f>
        <v>4.5099999999999992E-6</v>
      </c>
      <c r="AI15" t="s">
        <v>14</v>
      </c>
      <c r="AJ15" t="s">
        <v>14</v>
      </c>
      <c r="AK15" t="s">
        <v>14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131" x14ac:dyDescent="0.25">
      <c r="A16" t="s">
        <v>31</v>
      </c>
      <c r="B16" t="s">
        <v>32</v>
      </c>
      <c r="C16" t="s">
        <v>3</v>
      </c>
      <c r="D16">
        <v>171.24</v>
      </c>
      <c r="E16">
        <f>4.27*10^-2</f>
        <v>4.2699999999999995E-2</v>
      </c>
      <c r="F16">
        <f>3.92*10^-8</f>
        <v>3.92E-8</v>
      </c>
      <c r="G16">
        <f>4.49*10^3</f>
        <v>4490</v>
      </c>
      <c r="H16">
        <v>4.63</v>
      </c>
      <c r="I16">
        <v>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 t="s">
        <v>14</v>
      </c>
      <c r="T16">
        <f>1.15*10^-6</f>
        <v>1.1499999999999998E-6</v>
      </c>
      <c r="U16" t="s">
        <v>14</v>
      </c>
      <c r="V16">
        <f>8.02*10^-8</f>
        <v>8.0200000000000003E-8</v>
      </c>
      <c r="W16" t="s">
        <v>14</v>
      </c>
      <c r="X16" t="s">
        <v>14</v>
      </c>
      <c r="Y16" t="s">
        <v>14</v>
      </c>
      <c r="Z16">
        <f>1.33*10^-5</f>
        <v>1.3300000000000001E-5</v>
      </c>
      <c r="AA16" t="s">
        <v>14</v>
      </c>
      <c r="AB16" t="s">
        <v>14</v>
      </c>
      <c r="AC16" t="s">
        <v>14</v>
      </c>
      <c r="AD16">
        <v>276</v>
      </c>
      <c r="AE16" t="s">
        <v>14</v>
      </c>
      <c r="AF16" t="s">
        <v>14</v>
      </c>
      <c r="AG16" t="s">
        <v>14</v>
      </c>
      <c r="AH16">
        <f>2*10^-5</f>
        <v>2.0000000000000002E-5</v>
      </c>
      <c r="AI16" t="s">
        <v>14</v>
      </c>
      <c r="AJ16" t="s">
        <v>14</v>
      </c>
      <c r="AK16" t="s">
        <v>14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 t="s">
        <v>33</v>
      </c>
      <c r="B17" t="s">
        <v>34</v>
      </c>
      <c r="C17" t="s">
        <v>6</v>
      </c>
      <c r="D17">
        <v>299.36</v>
      </c>
      <c r="E17">
        <f>1.46*10^2</f>
        <v>146</v>
      </c>
      <c r="F17">
        <f>1.61*10^-5</f>
        <v>1.6100000000000002E-5</v>
      </c>
      <c r="G17">
        <f>1.79*10^3</f>
        <v>1790</v>
      </c>
      <c r="H17">
        <v>8.61</v>
      </c>
      <c r="I17">
        <v>0.12</v>
      </c>
      <c r="J17" t="s">
        <v>14</v>
      </c>
      <c r="K17" t="s">
        <v>14</v>
      </c>
      <c r="L17" t="s">
        <v>14</v>
      </c>
      <c r="M17" t="s">
        <v>14</v>
      </c>
      <c r="N17">
        <f>1.19*10^2</f>
        <v>119</v>
      </c>
      <c r="O17" t="s">
        <v>14</v>
      </c>
      <c r="P17" t="s">
        <v>14</v>
      </c>
      <c r="Q17" t="s">
        <v>14</v>
      </c>
      <c r="R17" t="s">
        <v>14</v>
      </c>
      <c r="S17" t="s">
        <v>14</v>
      </c>
      <c r="T17" t="s">
        <v>14</v>
      </c>
      <c r="U17" t="s">
        <v>14</v>
      </c>
      <c r="V17">
        <f>4.34*10^-7</f>
        <v>4.3399999999999994E-7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B17" t="s">
        <v>14</v>
      </c>
      <c r="AC17" t="s">
        <v>14</v>
      </c>
      <c r="AD17" t="s">
        <v>14</v>
      </c>
      <c r="AE17" t="s">
        <v>14</v>
      </c>
      <c r="AF17" t="s">
        <v>14</v>
      </c>
      <c r="AG17" t="s">
        <v>14</v>
      </c>
      <c r="AH17" t="s">
        <v>14</v>
      </c>
      <c r="AI17" t="s">
        <v>14</v>
      </c>
      <c r="AJ17" t="s">
        <v>14</v>
      </c>
      <c r="AK17" t="s">
        <v>14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 t="s">
        <v>35</v>
      </c>
      <c r="B18" t="s">
        <v>36</v>
      </c>
      <c r="C18" t="s">
        <v>3</v>
      </c>
      <c r="D18">
        <v>206.28</v>
      </c>
      <c r="E18">
        <f>9.33*10^3</f>
        <v>9330</v>
      </c>
      <c r="F18">
        <f>2.48*10^-2</f>
        <v>2.4799999999999999E-2</v>
      </c>
      <c r="G18">
        <f>2.1*10^1</f>
        <v>21</v>
      </c>
      <c r="H18">
        <v>4.8499999999999996</v>
      </c>
      <c r="I18">
        <v>0.2</v>
      </c>
      <c r="J18" t="s">
        <v>14</v>
      </c>
      <c r="K18" t="s">
        <v>14</v>
      </c>
      <c r="L18">
        <f>1.08*10^1</f>
        <v>10.8</v>
      </c>
      <c r="M18" t="s">
        <v>14</v>
      </c>
      <c r="N18">
        <f>2*10^2</f>
        <v>200</v>
      </c>
      <c r="O18" t="s">
        <v>14</v>
      </c>
      <c r="P18">
        <f>1.5*10^1</f>
        <v>15</v>
      </c>
      <c r="Q18" t="s">
        <v>14</v>
      </c>
      <c r="R18" t="s">
        <v>14</v>
      </c>
      <c r="S18" t="s">
        <v>14</v>
      </c>
      <c r="T18">
        <f>1.97*10^-4</f>
        <v>1.9700000000000002E-4</v>
      </c>
      <c r="U18" t="s">
        <v>14</v>
      </c>
      <c r="V18">
        <f>8.27*10^-7</f>
        <v>8.2699999999999987E-7</v>
      </c>
      <c r="W18" t="s">
        <v>14</v>
      </c>
      <c r="X18" t="s">
        <v>14</v>
      </c>
      <c r="Y18" t="s">
        <v>14</v>
      </c>
      <c r="Z18">
        <f>2.31*10^-7</f>
        <v>2.3099999999999999E-7</v>
      </c>
      <c r="AA18" t="s">
        <v>14</v>
      </c>
      <c r="AB18" t="s">
        <v>14</v>
      </c>
      <c r="AC18" t="s">
        <v>14</v>
      </c>
      <c r="AD18">
        <v>265</v>
      </c>
      <c r="AE18" t="s">
        <v>14</v>
      </c>
      <c r="AF18" t="s">
        <v>14</v>
      </c>
      <c r="AG18" t="s">
        <v>14</v>
      </c>
      <c r="AH18">
        <f>3.85*10^-6</f>
        <v>3.8499999999999996E-6</v>
      </c>
      <c r="AI18" t="s">
        <v>14</v>
      </c>
      <c r="AJ18" t="s">
        <v>14</v>
      </c>
      <c r="AK18" t="s">
        <v>14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 t="s">
        <v>37</v>
      </c>
      <c r="B19" t="s">
        <v>38</v>
      </c>
      <c r="C19" t="s">
        <v>3</v>
      </c>
      <c r="D19">
        <v>357.79</v>
      </c>
      <c r="E19">
        <f>1.86*10^4</f>
        <v>18600</v>
      </c>
      <c r="F19">
        <f>6.82*10^-8</f>
        <v>6.8200000000000002E-8</v>
      </c>
      <c r="G19">
        <f>9.37*10^-1</f>
        <v>0.93699999999999994</v>
      </c>
      <c r="H19">
        <v>3.8</v>
      </c>
      <c r="I19">
        <v>0.2</v>
      </c>
      <c r="J19" t="s">
        <v>14</v>
      </c>
      <c r="K19" t="s">
        <v>14</v>
      </c>
      <c r="L19" t="s">
        <v>14</v>
      </c>
      <c r="M19" t="s">
        <v>14</v>
      </c>
      <c r="N19">
        <f>1.26*10^2</f>
        <v>126</v>
      </c>
      <c r="O19" t="s">
        <v>14</v>
      </c>
      <c r="P19">
        <v>2.81</v>
      </c>
      <c r="Q19" t="s">
        <v>14</v>
      </c>
      <c r="R19" t="s">
        <v>14</v>
      </c>
      <c r="S19" t="s">
        <v>14</v>
      </c>
      <c r="T19">
        <f>4.73*10^-5</f>
        <v>4.7300000000000011E-5</v>
      </c>
      <c r="U19" t="s">
        <v>14</v>
      </c>
      <c r="V19">
        <f>2.69*10^-7</f>
        <v>2.6899999999999999E-7</v>
      </c>
      <c r="W19" t="s">
        <v>14</v>
      </c>
      <c r="X19" t="s">
        <v>14</v>
      </c>
      <c r="Y19" t="s">
        <v>14</v>
      </c>
      <c r="Z19">
        <v>0</v>
      </c>
      <c r="AA19" t="s">
        <v>14</v>
      </c>
      <c r="AB19" t="s">
        <v>14</v>
      </c>
      <c r="AC19" t="s">
        <v>14</v>
      </c>
      <c r="AD19">
        <v>265</v>
      </c>
      <c r="AE19" t="s">
        <v>14</v>
      </c>
      <c r="AF19" t="s">
        <v>14</v>
      </c>
      <c r="AG19" t="s">
        <v>14</v>
      </c>
      <c r="AH19">
        <f>2.46*10^-5</f>
        <v>2.4600000000000002E-5</v>
      </c>
      <c r="AI19" t="s">
        <v>14</v>
      </c>
      <c r="AJ19" t="s">
        <v>14</v>
      </c>
      <c r="AK19" t="s">
        <v>14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t="s">
        <v>39</v>
      </c>
      <c r="B20" t="s">
        <v>40</v>
      </c>
      <c r="C20" t="s">
        <v>6</v>
      </c>
      <c r="D20">
        <v>234.34</v>
      </c>
      <c r="E20">
        <f>4.56*10^1</f>
        <v>45.599999999999994</v>
      </c>
      <c r="F20">
        <f>9.01*10^-4</f>
        <v>9.01E-4</v>
      </c>
      <c r="G20">
        <f>7.97*10^-1</f>
        <v>0.79700000000000004</v>
      </c>
      <c r="H20">
        <v>7.75</v>
      </c>
      <c r="I20">
        <v>0.08</v>
      </c>
      <c r="J20" t="s">
        <v>14</v>
      </c>
      <c r="K20" t="s">
        <v>14</v>
      </c>
      <c r="L20" t="s">
        <v>14</v>
      </c>
      <c r="M20" t="s">
        <v>14</v>
      </c>
      <c r="N20">
        <f>3.3*10^1</f>
        <v>33</v>
      </c>
      <c r="O20" t="s">
        <v>14</v>
      </c>
      <c r="P20" t="s">
        <v>14</v>
      </c>
      <c r="Q20" t="s">
        <v>14</v>
      </c>
      <c r="R20" t="s">
        <v>14</v>
      </c>
      <c r="S20" t="s">
        <v>14</v>
      </c>
      <c r="T20">
        <f>1.62*10^-7</f>
        <v>1.6199999999999999E-7</v>
      </c>
      <c r="U20" t="s">
        <v>14</v>
      </c>
      <c r="V20">
        <f>7.22*10^-8</f>
        <v>7.2199999999999998E-8</v>
      </c>
      <c r="W20" t="s">
        <v>14</v>
      </c>
      <c r="X20" t="s">
        <v>14</v>
      </c>
      <c r="Y20" t="s">
        <v>14</v>
      </c>
      <c r="Z20">
        <f>4.06*10^-7</f>
        <v>4.0599999999999996E-7</v>
      </c>
      <c r="AA20" t="s">
        <v>14</v>
      </c>
      <c r="AB20" t="s">
        <v>14</v>
      </c>
      <c r="AC20" t="s">
        <v>14</v>
      </c>
      <c r="AD20">
        <v>260</v>
      </c>
      <c r="AE20" t="s">
        <v>14</v>
      </c>
      <c r="AF20" t="s">
        <v>14</v>
      </c>
      <c r="AG20" t="s">
        <v>14</v>
      </c>
      <c r="AH20">
        <f>4.36*10^-6</f>
        <v>4.3599999999999998E-6</v>
      </c>
      <c r="AI20" t="s">
        <v>14</v>
      </c>
      <c r="AJ20" t="s">
        <v>14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41</v>
      </c>
      <c r="B21" t="s">
        <v>42</v>
      </c>
      <c r="C21" t="s">
        <v>13</v>
      </c>
      <c r="D21">
        <v>382.88</v>
      </c>
      <c r="E21">
        <f>4.54*10^5</f>
        <v>454000</v>
      </c>
      <c r="F21">
        <f>1.21*10^-6</f>
        <v>1.2099999999999998E-6</v>
      </c>
      <c r="G21">
        <f>4.1*10^3</f>
        <v>4100</v>
      </c>
      <c r="H21" t="s">
        <v>14</v>
      </c>
      <c r="I21">
        <v>0.2</v>
      </c>
      <c r="J21" t="s">
        <v>14</v>
      </c>
      <c r="K21" t="s">
        <v>14</v>
      </c>
      <c r="L21">
        <f>2.34*10^3</f>
        <v>2340</v>
      </c>
      <c r="M21" t="s">
        <v>14</v>
      </c>
      <c r="N21">
        <f>3.32*10^3</f>
        <v>3320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 t="s">
        <v>43</v>
      </c>
      <c r="B22" t="s">
        <v>44</v>
      </c>
      <c r="C22" t="s">
        <v>6</v>
      </c>
      <c r="D22">
        <v>129.16</v>
      </c>
      <c r="E22">
        <f>2.29*10^-3</f>
        <v>2.2899999999999999E-3</v>
      </c>
      <c r="F22">
        <f>1.01*10^-2</f>
        <v>1.01E-2</v>
      </c>
      <c r="G22">
        <f>1*10^6</f>
        <v>1000000</v>
      </c>
      <c r="H22">
        <v>12.4</v>
      </c>
      <c r="I22">
        <v>1</v>
      </c>
      <c r="J22" t="s">
        <v>14</v>
      </c>
      <c r="K22" t="s">
        <v>14</v>
      </c>
      <c r="L22" t="s">
        <v>14</v>
      </c>
      <c r="M22" t="s">
        <v>14</v>
      </c>
      <c r="N22">
        <f>1.62*10^1</f>
        <v>16.200000000000003</v>
      </c>
      <c r="O22" t="s">
        <v>14</v>
      </c>
      <c r="P22" t="s">
        <v>14</v>
      </c>
      <c r="Q22" t="s">
        <v>14</v>
      </c>
      <c r="R22" t="s">
        <v>14</v>
      </c>
      <c r="S22" t="s">
        <v>14</v>
      </c>
      <c r="T22">
        <f>1.05*10^-4</f>
        <v>1.05E-4</v>
      </c>
      <c r="U22" t="s">
        <v>14</v>
      </c>
      <c r="V22">
        <f>8.02*10^-8</f>
        <v>8.0200000000000003E-8</v>
      </c>
      <c r="W22" t="s">
        <v>14</v>
      </c>
      <c r="X22" t="s">
        <v>14</v>
      </c>
      <c r="Y22" t="s">
        <v>14</v>
      </c>
      <c r="Z22">
        <f>1.5*10^-5</f>
        <v>1.5000000000000002E-5</v>
      </c>
      <c r="AA22" t="s">
        <v>14</v>
      </c>
      <c r="AB22" t="s">
        <v>14</v>
      </c>
      <c r="AC22" t="s">
        <v>14</v>
      </c>
      <c r="AD22">
        <v>232</v>
      </c>
      <c r="AE22" t="s">
        <v>14</v>
      </c>
      <c r="AF22" t="s">
        <v>14</v>
      </c>
      <c r="AG22" t="s">
        <v>14</v>
      </c>
      <c r="AH22">
        <f>3.33*10^-7</f>
        <v>3.3299999999999998E-7</v>
      </c>
      <c r="AI22" t="s">
        <v>14</v>
      </c>
      <c r="AJ22" t="s">
        <v>14</v>
      </c>
      <c r="AK22" t="s">
        <v>14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 t="s">
        <v>45</v>
      </c>
      <c r="B23" t="s">
        <v>46</v>
      </c>
      <c r="C23" t="s">
        <v>3</v>
      </c>
      <c r="D23">
        <v>230.26</v>
      </c>
      <c r="E23">
        <f>1.51*10^3</f>
        <v>1510</v>
      </c>
      <c r="F23">
        <f>1.7*10^-4</f>
        <v>1.7000000000000001E-4</v>
      </c>
      <c r="G23">
        <f>1.59*10^1</f>
        <v>15.9</v>
      </c>
      <c r="H23">
        <v>4.1500000000000004</v>
      </c>
      <c r="I23">
        <v>0.7</v>
      </c>
      <c r="J23" t="s">
        <v>14</v>
      </c>
      <c r="K23" t="s">
        <v>14</v>
      </c>
      <c r="L23">
        <f>1.26*10^1</f>
        <v>12.6</v>
      </c>
      <c r="M23" t="s">
        <v>14</v>
      </c>
      <c r="N23">
        <f>6.03*10^1</f>
        <v>60.300000000000004</v>
      </c>
      <c r="O23" t="s">
        <v>14</v>
      </c>
      <c r="P23">
        <v>1.73</v>
      </c>
      <c r="Q23" t="s">
        <v>14</v>
      </c>
      <c r="R23" t="s">
        <v>14</v>
      </c>
      <c r="S23" t="s">
        <v>14</v>
      </c>
      <c r="T23">
        <f>1.63*10^-5</f>
        <v>1.63E-5</v>
      </c>
      <c r="U23" t="s">
        <v>14</v>
      </c>
      <c r="V23">
        <f>7.72*10^-7</f>
        <v>7.7199999999999998E-7</v>
      </c>
      <c r="W23" t="s">
        <v>14</v>
      </c>
      <c r="X23" t="s">
        <v>14</v>
      </c>
      <c r="Y23" t="s">
        <v>14</v>
      </c>
      <c r="Z23">
        <f>5.02*10^-8</f>
        <v>5.02E-8</v>
      </c>
      <c r="AA23" t="s">
        <v>14</v>
      </c>
      <c r="AB23" t="s">
        <v>14</v>
      </c>
      <c r="AC23" t="s">
        <v>14</v>
      </c>
      <c r="AD23">
        <v>260</v>
      </c>
      <c r="AE23" t="s">
        <v>14</v>
      </c>
      <c r="AF23" t="s">
        <v>14</v>
      </c>
      <c r="AG23" t="s">
        <v>14</v>
      </c>
      <c r="AH23">
        <f>1.15*10^-4</f>
        <v>1.1499999999999999E-4</v>
      </c>
      <c r="AI23" t="s">
        <v>14</v>
      </c>
      <c r="AJ23" t="s">
        <v>14</v>
      </c>
      <c r="AK23" t="s">
        <v>14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 t="s">
        <v>47</v>
      </c>
      <c r="B24" t="s">
        <v>48</v>
      </c>
      <c r="C24" t="s">
        <v>13</v>
      </c>
      <c r="D24">
        <v>298.42</v>
      </c>
      <c r="E24">
        <f>9.74*10^2</f>
        <v>974</v>
      </c>
      <c r="F24">
        <f>3.15*10^-7</f>
        <v>3.15E-7</v>
      </c>
      <c r="G24">
        <v>7.04</v>
      </c>
      <c r="H24" t="s">
        <v>14</v>
      </c>
      <c r="I24">
        <v>0.05</v>
      </c>
      <c r="J24" t="s">
        <v>14</v>
      </c>
      <c r="K24" t="s">
        <v>14</v>
      </c>
      <c r="L24">
        <f>5.15*10^1</f>
        <v>51.5</v>
      </c>
      <c r="M24" t="s">
        <v>14</v>
      </c>
      <c r="N24" t="s">
        <v>14</v>
      </c>
      <c r="O24" t="s">
        <v>14</v>
      </c>
      <c r="P24">
        <f>1.28*10^2</f>
        <v>128</v>
      </c>
      <c r="Q24" t="s">
        <v>14</v>
      </c>
      <c r="R24" t="s">
        <v>14</v>
      </c>
      <c r="S24" t="s">
        <v>14</v>
      </c>
      <c r="T24" t="s">
        <v>14</v>
      </c>
      <c r="U24" t="s">
        <v>14</v>
      </c>
      <c r="V24">
        <f>2.55*10^-7</f>
        <v>2.5499999999999999E-7</v>
      </c>
      <c r="W24" t="s">
        <v>14</v>
      </c>
      <c r="X24" t="s">
        <v>14</v>
      </c>
      <c r="Y24" t="s">
        <v>14</v>
      </c>
      <c r="Z24">
        <v>0</v>
      </c>
      <c r="AA24" t="s">
        <v>14</v>
      </c>
      <c r="AB24" t="s">
        <v>14</v>
      </c>
      <c r="AC24" t="s">
        <v>14</v>
      </c>
      <c r="AD24" t="s">
        <v>14</v>
      </c>
      <c r="AE24" t="s">
        <v>14</v>
      </c>
      <c r="AF24" t="s">
        <v>14</v>
      </c>
      <c r="AG24" t="s">
        <v>14</v>
      </c>
      <c r="AH24" t="s">
        <v>14</v>
      </c>
      <c r="AI24" t="s">
        <v>14</v>
      </c>
      <c r="AJ24" t="s">
        <v>14</v>
      </c>
      <c r="AK24" t="s">
        <v>14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49</v>
      </c>
      <c r="B25" t="s">
        <v>50</v>
      </c>
      <c r="C25" t="s">
        <v>3</v>
      </c>
      <c r="D25">
        <v>312.39999999999998</v>
      </c>
      <c r="E25">
        <f>8.91</f>
        <v>8.91</v>
      </c>
      <c r="F25">
        <f>1.75*10^-6</f>
        <v>1.75E-6</v>
      </c>
      <c r="G25">
        <f>6.86*10^-1</f>
        <v>0.68600000000000005</v>
      </c>
      <c r="H25">
        <v>7.7</v>
      </c>
      <c r="I25">
        <v>0.25</v>
      </c>
      <c r="J25" t="s">
        <v>14</v>
      </c>
      <c r="K25" t="s">
        <v>14</v>
      </c>
      <c r="L25" t="s">
        <v>14</v>
      </c>
      <c r="M25" t="s">
        <v>14</v>
      </c>
      <c r="N25">
        <v>9.9600000000000009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>
        <v>0</v>
      </c>
      <c r="U25" t="s">
        <v>14</v>
      </c>
      <c r="V25">
        <f>5.02*10^-8</f>
        <v>5.02E-8</v>
      </c>
      <c r="W25" t="s">
        <v>14</v>
      </c>
      <c r="X25" t="s">
        <v>14</v>
      </c>
      <c r="Y25" t="s">
        <v>14</v>
      </c>
      <c r="Z25">
        <f>6.19*10^-8</f>
        <v>6.1900000000000005E-8</v>
      </c>
      <c r="AA25" t="s">
        <v>14</v>
      </c>
      <c r="AB25" t="s">
        <v>14</v>
      </c>
      <c r="AC25" t="s">
        <v>14</v>
      </c>
      <c r="AD25">
        <v>225</v>
      </c>
      <c r="AE25" t="s">
        <v>14</v>
      </c>
      <c r="AF25" t="s">
        <v>14</v>
      </c>
      <c r="AG25" t="s">
        <v>14</v>
      </c>
      <c r="AH25">
        <f>8.08*10^-6</f>
        <v>8.0799999999999989E-6</v>
      </c>
      <c r="AI25" t="s">
        <v>14</v>
      </c>
      <c r="AJ25" t="s">
        <v>14</v>
      </c>
      <c r="AK25" t="s">
        <v>14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51</v>
      </c>
      <c r="B26" t="s">
        <v>52</v>
      </c>
      <c r="C26" t="s">
        <v>13</v>
      </c>
      <c r="D26">
        <v>286.70999999999998</v>
      </c>
      <c r="E26">
        <f>2.1*10^2</f>
        <v>210</v>
      </c>
      <c r="F26">
        <f>8.04*10^-10</f>
        <v>8.0399999999999991E-10</v>
      </c>
      <c r="G26">
        <f>1.79*10^2</f>
        <v>179</v>
      </c>
      <c r="H26" t="s">
        <v>14</v>
      </c>
      <c r="I26">
        <v>1</v>
      </c>
      <c r="J26" t="s">
        <v>14</v>
      </c>
      <c r="K26" t="s">
        <v>14</v>
      </c>
      <c r="L26">
        <f>7.9*10^2</f>
        <v>790</v>
      </c>
      <c r="M26" t="s">
        <v>14</v>
      </c>
      <c r="N26">
        <f>9.91*10^2</f>
        <v>991</v>
      </c>
      <c r="O26" t="s">
        <v>14</v>
      </c>
      <c r="P26">
        <v>9.23</v>
      </c>
      <c r="Q26" t="s">
        <v>14</v>
      </c>
      <c r="R26" t="s">
        <v>14</v>
      </c>
      <c r="S26" t="s">
        <v>14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>
        <v>0</v>
      </c>
      <c r="AA26" t="s">
        <v>14</v>
      </c>
      <c r="AB26" t="s">
        <v>14</v>
      </c>
      <c r="AC26" t="s">
        <v>14</v>
      </c>
      <c r="AD26">
        <v>315</v>
      </c>
      <c r="AE26" t="s">
        <v>14</v>
      </c>
      <c r="AF26" t="s">
        <v>14</v>
      </c>
      <c r="AG26" t="s">
        <v>14</v>
      </c>
      <c r="AH26">
        <f>7.82*10^-6</f>
        <v>7.8199999999999997E-6</v>
      </c>
      <c r="AI26" t="s">
        <v>14</v>
      </c>
      <c r="AJ26" t="s">
        <v>14</v>
      </c>
      <c r="AK26" t="s">
        <v>14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 t="s">
        <v>53</v>
      </c>
      <c r="B27" t="s">
        <v>54</v>
      </c>
      <c r="C27" t="s">
        <v>6</v>
      </c>
      <c r="D27">
        <v>259.33999999999997</v>
      </c>
      <c r="E27">
        <f>3.96*10^2</f>
        <v>396</v>
      </c>
      <c r="F27">
        <f>1.26*10^-5</f>
        <v>1.2600000000000001E-5</v>
      </c>
      <c r="G27">
        <f>6.17*10^1</f>
        <v>61.7</v>
      </c>
      <c r="H27">
        <v>9.67</v>
      </c>
      <c r="I27">
        <v>0.26</v>
      </c>
      <c r="J27" t="s">
        <v>14</v>
      </c>
      <c r="K27" t="s">
        <v>14</v>
      </c>
      <c r="L27">
        <f>3.92*10^3</f>
        <v>3920</v>
      </c>
      <c r="M27" t="s">
        <v>14</v>
      </c>
      <c r="N27">
        <f>6.11*10^2</f>
        <v>611</v>
      </c>
      <c r="O27" t="s">
        <v>14</v>
      </c>
      <c r="P27">
        <f>1.78*10^2</f>
        <v>178</v>
      </c>
      <c r="Q27" t="s">
        <v>14</v>
      </c>
      <c r="R27" t="s">
        <v>14</v>
      </c>
      <c r="S27" t="s">
        <v>14</v>
      </c>
      <c r="T27">
        <f>1.83*10^-5</f>
        <v>1.8300000000000001E-5</v>
      </c>
      <c r="U27" t="s">
        <v>14</v>
      </c>
      <c r="V27">
        <f>1.24*10^-5</f>
        <v>1.2400000000000002E-5</v>
      </c>
      <c r="W27" t="s">
        <v>14</v>
      </c>
      <c r="X27" t="s">
        <v>14</v>
      </c>
      <c r="Y27" t="s">
        <v>14</v>
      </c>
      <c r="Z27">
        <v>0</v>
      </c>
      <c r="AA27" t="s">
        <v>14</v>
      </c>
      <c r="AB27" t="s">
        <v>14</v>
      </c>
      <c r="AC27" t="s">
        <v>14</v>
      </c>
      <c r="AD27">
        <v>288</v>
      </c>
      <c r="AE27" t="s">
        <v>14</v>
      </c>
      <c r="AF27" t="s">
        <v>14</v>
      </c>
      <c r="AG27" t="s">
        <v>14</v>
      </c>
      <c r="AH27">
        <f>3.91*10^-5</f>
        <v>3.9100000000000002E-5</v>
      </c>
      <c r="AI27" t="s">
        <v>14</v>
      </c>
      <c r="AJ27" t="s">
        <v>14</v>
      </c>
      <c r="AK27" t="s">
        <v>14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 t="s">
        <v>56</v>
      </c>
      <c r="B28" t="s">
        <v>57</v>
      </c>
      <c r="C28" t="s">
        <v>6</v>
      </c>
      <c r="D28">
        <v>314.39999999999998</v>
      </c>
      <c r="E28">
        <f>1.97</f>
        <v>1.97</v>
      </c>
      <c r="F28">
        <f>1.86*10^-4</f>
        <v>1.8600000000000002E-4</v>
      </c>
      <c r="G28">
        <f>2.47*10^1</f>
        <v>24.700000000000003</v>
      </c>
      <c r="H28">
        <v>8.08</v>
      </c>
      <c r="I28">
        <v>0.38</v>
      </c>
      <c r="J28" t="s">
        <v>14</v>
      </c>
      <c r="K28" t="s">
        <v>14</v>
      </c>
      <c r="L28" t="s">
        <v>14</v>
      </c>
      <c r="M28" t="s">
        <v>14</v>
      </c>
      <c r="N28">
        <f>4.25*10^2</f>
        <v>425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>
        <f>2.55*10^-5</f>
        <v>2.55E-5</v>
      </c>
      <c r="U28" t="s">
        <v>14</v>
      </c>
      <c r="V28">
        <f>6.8*10^-8</f>
        <v>6.8E-8</v>
      </c>
      <c r="W28" t="s">
        <v>14</v>
      </c>
      <c r="X28" t="s">
        <v>14</v>
      </c>
      <c r="Y28" t="s">
        <v>14</v>
      </c>
      <c r="Z28">
        <v>0</v>
      </c>
      <c r="AA28" t="s">
        <v>14</v>
      </c>
      <c r="AB28" t="s">
        <v>14</v>
      </c>
      <c r="AC28" t="s">
        <v>14</v>
      </c>
      <c r="AD28">
        <v>315</v>
      </c>
      <c r="AE28" t="s">
        <v>14</v>
      </c>
      <c r="AF28" t="s">
        <v>14</v>
      </c>
      <c r="AG28" t="s">
        <v>14</v>
      </c>
      <c r="AH28">
        <f>4.55*10^-5</f>
        <v>4.5500000000000001E-5</v>
      </c>
      <c r="AI28" t="s">
        <v>14</v>
      </c>
      <c r="AJ28" t="s">
        <v>14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 t="s">
        <v>58</v>
      </c>
      <c r="B29" t="s">
        <v>59</v>
      </c>
      <c r="C29" t="s">
        <v>6</v>
      </c>
      <c r="D29">
        <v>306.23</v>
      </c>
      <c r="E29">
        <f>1.93*10^5</f>
        <v>193000</v>
      </c>
      <c r="F29">
        <f>1.56*10^-4</f>
        <v>1.5600000000000002E-4</v>
      </c>
      <c r="G29">
        <v>3.5</v>
      </c>
      <c r="H29">
        <v>9.85</v>
      </c>
      <c r="I29">
        <v>0.14000000000000001</v>
      </c>
      <c r="J29" t="s">
        <v>14</v>
      </c>
      <c r="K29" t="s">
        <v>14</v>
      </c>
      <c r="L29">
        <f>3*10^4</f>
        <v>30000</v>
      </c>
      <c r="M29" t="s">
        <v>14</v>
      </c>
      <c r="N29">
        <f>1.97*10^4</f>
        <v>19700</v>
      </c>
      <c r="O29" t="s">
        <v>14</v>
      </c>
      <c r="P29">
        <f>1.71*10^2</f>
        <v>171</v>
      </c>
      <c r="Q29" t="s">
        <v>14</v>
      </c>
      <c r="R29" t="s">
        <v>14</v>
      </c>
      <c r="S29" t="s">
        <v>14</v>
      </c>
      <c r="T29" t="s">
        <v>14</v>
      </c>
      <c r="U29" t="s">
        <v>14</v>
      </c>
      <c r="V29">
        <v>0</v>
      </c>
      <c r="W29" t="s">
        <v>14</v>
      </c>
      <c r="X29" t="s">
        <v>14</v>
      </c>
      <c r="Y29" t="s">
        <v>14</v>
      </c>
      <c r="Z29">
        <f>0</f>
        <v>0</v>
      </c>
      <c r="AA29" t="s">
        <v>14</v>
      </c>
      <c r="AB29" t="s">
        <v>14</v>
      </c>
      <c r="AC29" t="s">
        <v>14</v>
      </c>
      <c r="AD29">
        <v>205</v>
      </c>
      <c r="AE29" t="s">
        <v>14</v>
      </c>
      <c r="AF29" t="s">
        <v>14</v>
      </c>
      <c r="AG29" t="s">
        <v>14</v>
      </c>
      <c r="AH29">
        <f>1.23*10^-6</f>
        <v>1.2299999999999999E-6</v>
      </c>
      <c r="AI29" t="s">
        <v>14</v>
      </c>
      <c r="AJ29" t="s">
        <v>14</v>
      </c>
      <c r="AK29" t="s">
        <v>14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60</v>
      </c>
      <c r="B30" t="s">
        <v>61</v>
      </c>
      <c r="C30" t="s">
        <v>6</v>
      </c>
      <c r="D30">
        <v>407.31</v>
      </c>
      <c r="E30">
        <f>2.45*10^1</f>
        <v>24.5</v>
      </c>
      <c r="F30">
        <f>3.88*10^-6</f>
        <v>3.8800000000000001E-6</v>
      </c>
      <c r="G30">
        <f>3.4*10^-2</f>
        <v>3.4000000000000002E-2</v>
      </c>
      <c r="H30">
        <v>8.7799999999999994</v>
      </c>
      <c r="I30">
        <v>0.79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14</v>
      </c>
      <c r="T30" t="s">
        <v>14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  <c r="AC30" t="s">
        <v>14</v>
      </c>
      <c r="AD30" t="s">
        <v>14</v>
      </c>
      <c r="AE30" t="s">
        <v>14</v>
      </c>
      <c r="AF30" t="s">
        <v>14</v>
      </c>
      <c r="AG30" t="s">
        <v>14</v>
      </c>
      <c r="AH30" t="s">
        <v>14</v>
      </c>
      <c r="AI30" t="s">
        <v>14</v>
      </c>
      <c r="AJ30" t="s">
        <v>14</v>
      </c>
      <c r="AK30" t="s">
        <v>14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 t="s">
        <v>62</v>
      </c>
      <c r="B31" t="s">
        <v>63</v>
      </c>
      <c r="C31" t="s">
        <v>3</v>
      </c>
      <c r="D31">
        <v>253.28</v>
      </c>
      <c r="E31">
        <v>3.05</v>
      </c>
      <c r="F31">
        <f>1.73*10^-5</f>
        <v>1.73E-5</v>
      </c>
      <c r="G31">
        <f>6.1*10^2</f>
        <v>610</v>
      </c>
      <c r="H31">
        <v>6.16</v>
      </c>
      <c r="I31">
        <v>0.35</v>
      </c>
      <c r="J31" t="s">
        <v>14</v>
      </c>
      <c r="K31" t="s">
        <v>14</v>
      </c>
      <c r="L31">
        <f>5.82*10^1</f>
        <v>58.2</v>
      </c>
      <c r="M31" t="s">
        <v>14</v>
      </c>
      <c r="N31">
        <f>1.74*10^2</f>
        <v>174</v>
      </c>
      <c r="O31" t="s">
        <v>14</v>
      </c>
      <c r="P31">
        <f>5.06*10^1</f>
        <v>50.599999999999994</v>
      </c>
      <c r="Q31" t="s">
        <v>14</v>
      </c>
      <c r="R31" t="s">
        <v>14</v>
      </c>
      <c r="S31" t="s">
        <v>14</v>
      </c>
      <c r="T31">
        <f>2.63*10^-5</f>
        <v>2.6300000000000002E-5</v>
      </c>
      <c r="U31" t="s">
        <v>14</v>
      </c>
      <c r="V31">
        <f>8.9*10^-6</f>
        <v>8.8999999999999995E-6</v>
      </c>
      <c r="W31" t="s">
        <v>14</v>
      </c>
      <c r="X31" t="s">
        <v>14</v>
      </c>
      <c r="Y31" t="s">
        <v>14</v>
      </c>
      <c r="Z31">
        <f>4.95*10^-8</f>
        <v>4.95E-8</v>
      </c>
      <c r="AA31" t="s">
        <v>14</v>
      </c>
      <c r="AB31" t="s">
        <v>14</v>
      </c>
      <c r="AC31" t="s">
        <v>14</v>
      </c>
      <c r="AD31">
        <v>274</v>
      </c>
      <c r="AE31" t="s">
        <v>14</v>
      </c>
      <c r="AF31" t="s">
        <v>14</v>
      </c>
      <c r="AG31" t="s">
        <v>14</v>
      </c>
      <c r="AH31">
        <f>1.11*10^-4</f>
        <v>1.1100000000000001E-4</v>
      </c>
      <c r="AI31" t="s">
        <v>14</v>
      </c>
      <c r="AJ31" t="s">
        <v>14</v>
      </c>
      <c r="AK31" t="s">
        <v>14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 t="s">
        <v>64</v>
      </c>
      <c r="B32" t="s">
        <v>65</v>
      </c>
      <c r="C32" t="s">
        <v>13</v>
      </c>
      <c r="D32">
        <v>300.74</v>
      </c>
      <c r="E32">
        <f>1.41*10^2</f>
        <v>141</v>
      </c>
      <c r="F32">
        <f>2.27*10^-8</f>
        <v>2.2700000000000001E-8</v>
      </c>
      <c r="G32">
        <f>1.64*10^2</f>
        <v>164</v>
      </c>
      <c r="H32" t="s">
        <v>14</v>
      </c>
      <c r="I32">
        <v>0.05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>
        <f>1.66*10^1</f>
        <v>16.599999999999998</v>
      </c>
      <c r="Q32" t="s">
        <v>14</v>
      </c>
      <c r="R32" t="s">
        <v>14</v>
      </c>
      <c r="S32" t="s">
        <v>14</v>
      </c>
      <c r="T32" t="s">
        <v>14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>
        <v>0</v>
      </c>
      <c r="AA32" t="s">
        <v>14</v>
      </c>
      <c r="AB32" t="s">
        <v>14</v>
      </c>
      <c r="AC32" t="s">
        <v>14</v>
      </c>
      <c r="AD32">
        <v>315</v>
      </c>
      <c r="AE32" t="s">
        <v>14</v>
      </c>
      <c r="AF32" t="s">
        <v>14</v>
      </c>
      <c r="AG32" t="s">
        <v>14</v>
      </c>
      <c r="AH32">
        <f>5.39*10^-6</f>
        <v>5.3899999999999992E-6</v>
      </c>
      <c r="AI32" t="s">
        <v>14</v>
      </c>
      <c r="AJ32" t="s">
        <v>14</v>
      </c>
      <c r="AK32" t="s">
        <v>14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 t="s">
        <v>66</v>
      </c>
      <c r="B33" t="s">
        <v>67</v>
      </c>
      <c r="C33" t="s">
        <v>6</v>
      </c>
      <c r="D33">
        <v>263.38</v>
      </c>
      <c r="E33">
        <f>1.03*10^3</f>
        <v>1030</v>
      </c>
      <c r="F33">
        <f>6.09*10^-5</f>
        <v>6.0900000000000003E-5</v>
      </c>
      <c r="G33">
        <f>1.15*10^3</f>
        <v>1150</v>
      </c>
      <c r="H33">
        <v>9.23</v>
      </c>
      <c r="I33">
        <v>0.27</v>
      </c>
      <c r="J33" t="s">
        <v>14</v>
      </c>
      <c r="K33" t="s">
        <v>14</v>
      </c>
      <c r="L33">
        <f>1.1*10^2</f>
        <v>110.00000000000001</v>
      </c>
      <c r="M33" t="s">
        <v>14</v>
      </c>
      <c r="N33">
        <f>1.19*10^2</f>
        <v>119</v>
      </c>
      <c r="O33" t="s">
        <v>14</v>
      </c>
      <c r="P33">
        <v>5.05</v>
      </c>
      <c r="Q33" t="s">
        <v>14</v>
      </c>
      <c r="R33" t="s">
        <v>14</v>
      </c>
      <c r="S33" t="s">
        <v>14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>
        <f>1.47*10^-7</f>
        <v>1.4699999999999998E-7</v>
      </c>
      <c r="AA33" t="s">
        <v>14</v>
      </c>
      <c r="AB33" t="s">
        <v>14</v>
      </c>
      <c r="AC33" t="s">
        <v>14</v>
      </c>
      <c r="AD33">
        <v>271</v>
      </c>
      <c r="AE33" t="s">
        <v>14</v>
      </c>
      <c r="AF33" t="s">
        <v>14</v>
      </c>
      <c r="AG33" t="s">
        <v>14</v>
      </c>
      <c r="AH33">
        <f>4.33*10^-4</f>
        <v>4.3300000000000001E-4</v>
      </c>
      <c r="AI33" t="s">
        <v>14</v>
      </c>
      <c r="AJ33" t="s">
        <v>14</v>
      </c>
      <c r="AK33" t="s">
        <v>14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t="s">
        <v>68</v>
      </c>
      <c r="B34" t="s">
        <v>69</v>
      </c>
      <c r="C34" t="s">
        <v>13</v>
      </c>
      <c r="D34">
        <v>253.26</v>
      </c>
      <c r="E34">
        <f>6.29</f>
        <v>6.29</v>
      </c>
      <c r="F34">
        <f>1.45*10^-9</f>
        <v>1.45E-9</v>
      </c>
      <c r="G34">
        <f>4.82*10^1</f>
        <v>48.2</v>
      </c>
      <c r="H34" t="s">
        <v>14</v>
      </c>
      <c r="I34">
        <v>0.21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14</v>
      </c>
      <c r="T34" t="s">
        <v>14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 t="s">
        <v>14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 t="s">
        <v>70</v>
      </c>
      <c r="B35" t="s">
        <v>71</v>
      </c>
      <c r="C35" t="s">
        <v>6</v>
      </c>
      <c r="D35">
        <v>290.32</v>
      </c>
      <c r="E35">
        <f>5.36</f>
        <v>5.36</v>
      </c>
      <c r="F35">
        <f>1*10^-6</f>
        <v>9.9999999999999995E-7</v>
      </c>
      <c r="G35">
        <f>4*10^2</f>
        <v>400</v>
      </c>
      <c r="H35">
        <v>7.12</v>
      </c>
      <c r="I35">
        <v>0.5</v>
      </c>
      <c r="J35" t="s">
        <v>14</v>
      </c>
      <c r="K35" t="s">
        <v>14</v>
      </c>
      <c r="L35">
        <f>2.42*10^2</f>
        <v>242</v>
      </c>
      <c r="M35" t="s">
        <v>14</v>
      </c>
      <c r="N35">
        <f>2.09*10^2</f>
        <v>209</v>
      </c>
      <c r="O35" t="s">
        <v>14</v>
      </c>
      <c r="P35">
        <f>1.21*10^3</f>
        <v>1210</v>
      </c>
      <c r="Q35" t="s">
        <v>14</v>
      </c>
      <c r="R35" t="s">
        <v>14</v>
      </c>
      <c r="S35" t="s">
        <v>14</v>
      </c>
      <c r="T35">
        <f>2.53*10^-6</f>
        <v>2.5299999999999995E-6</v>
      </c>
      <c r="U35" t="s">
        <v>14</v>
      </c>
      <c r="V35">
        <v>0</v>
      </c>
      <c r="W35" t="s">
        <v>14</v>
      </c>
      <c r="X35" t="s">
        <v>14</v>
      </c>
      <c r="Y35" t="s">
        <v>14</v>
      </c>
      <c r="Z35">
        <f>2.7*10^-8</f>
        <v>2.7000000000000004E-8</v>
      </c>
      <c r="AA35" t="s">
        <v>14</v>
      </c>
      <c r="AB35" t="s">
        <v>14</v>
      </c>
      <c r="AC35" t="s">
        <v>14</v>
      </c>
      <c r="AD35">
        <v>283</v>
      </c>
      <c r="AE35" t="s">
        <v>14</v>
      </c>
      <c r="AF35" t="s">
        <v>14</v>
      </c>
      <c r="AG35" t="s">
        <v>14</v>
      </c>
      <c r="AH35">
        <f>7.85*10^-6</f>
        <v>7.8499999999999994E-6</v>
      </c>
      <c r="AI35" t="s">
        <v>14</v>
      </c>
      <c r="AJ35" t="s">
        <v>14</v>
      </c>
      <c r="AK35" t="s">
        <v>14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 t="s">
        <v>72</v>
      </c>
      <c r="B36" t="s">
        <v>73</v>
      </c>
      <c r="C36" t="s">
        <v>6</v>
      </c>
      <c r="D36">
        <v>277.39999999999998</v>
      </c>
      <c r="E36">
        <f>1.91*10^3</f>
        <v>1910</v>
      </c>
      <c r="F36">
        <f>3.28*10^-5</f>
        <v>3.2799999999999998E-5</v>
      </c>
      <c r="G36">
        <f>5.72*10^5</f>
        <v>572000</v>
      </c>
      <c r="H36">
        <v>8.91</v>
      </c>
      <c r="I36">
        <v>0.05</v>
      </c>
      <c r="J36" t="s">
        <v>14</v>
      </c>
      <c r="K36" t="s">
        <v>14</v>
      </c>
      <c r="L36">
        <f>1.5*10^3</f>
        <v>1500</v>
      </c>
      <c r="M36" t="s">
        <v>14</v>
      </c>
      <c r="N36">
        <f>2.42*10^2</f>
        <v>242</v>
      </c>
      <c r="O36" t="s">
        <v>14</v>
      </c>
      <c r="P36" t="s">
        <v>14</v>
      </c>
      <c r="Q36" t="s">
        <v>14</v>
      </c>
      <c r="R36" t="s">
        <v>14</v>
      </c>
      <c r="S36" t="s">
        <v>14</v>
      </c>
      <c r="T36">
        <f>8.09*10^-8</f>
        <v>8.0900000000000003E-8</v>
      </c>
      <c r="U36" t="s">
        <v>14</v>
      </c>
      <c r="V36">
        <f>1.94*10^-8</f>
        <v>1.9399999999999998E-8</v>
      </c>
      <c r="W36" t="s">
        <v>14</v>
      </c>
      <c r="X36" t="s">
        <v>14</v>
      </c>
      <c r="Y36" t="s">
        <v>14</v>
      </c>
      <c r="Z36">
        <f>2.1*10^-7</f>
        <v>2.1E-7</v>
      </c>
      <c r="AA36" t="s">
        <v>14</v>
      </c>
      <c r="AB36" t="s">
        <v>14</v>
      </c>
      <c r="AC36" t="s">
        <v>14</v>
      </c>
      <c r="AD36">
        <v>275</v>
      </c>
      <c r="AE36" t="s">
        <v>14</v>
      </c>
      <c r="AF36" t="s">
        <v>14</v>
      </c>
      <c r="AG36" t="s">
        <v>14</v>
      </c>
      <c r="AH36">
        <f>3.41*10^-6</f>
        <v>3.41E-6</v>
      </c>
      <c r="AI36" t="s">
        <v>14</v>
      </c>
      <c r="AJ36" t="s">
        <v>14</v>
      </c>
      <c r="AK36" t="s">
        <v>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t="s">
        <v>74</v>
      </c>
      <c r="B37" t="s">
        <v>75</v>
      </c>
      <c r="C37" t="s">
        <v>6</v>
      </c>
      <c r="D37">
        <v>454.6</v>
      </c>
      <c r="E37">
        <f>6.26*10^4</f>
        <v>62600</v>
      </c>
      <c r="F37">
        <f>5.57*10^-7</f>
        <v>5.5700000000000002E-7</v>
      </c>
      <c r="G37">
        <v>4.47</v>
      </c>
      <c r="H37">
        <v>9.68</v>
      </c>
      <c r="I37">
        <v>0.04</v>
      </c>
      <c r="J37" t="s">
        <v>14</v>
      </c>
      <c r="K37" t="s">
        <v>14</v>
      </c>
      <c r="L37">
        <f>1.72*10^3</f>
        <v>1720</v>
      </c>
      <c r="M37" t="s">
        <v>14</v>
      </c>
      <c r="N37">
        <f>3.15*10^3</f>
        <v>3150</v>
      </c>
      <c r="O37" t="s">
        <v>14</v>
      </c>
      <c r="P37">
        <f>1.7*10^2</f>
        <v>170</v>
      </c>
      <c r="Q37" t="s">
        <v>14</v>
      </c>
      <c r="R37" t="s">
        <v>14</v>
      </c>
      <c r="S37" t="s">
        <v>14</v>
      </c>
      <c r="T37" t="s">
        <v>14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B37" t="s">
        <v>14</v>
      </c>
      <c r="AC37" t="s">
        <v>14</v>
      </c>
      <c r="AD37" t="s">
        <v>14</v>
      </c>
      <c r="AE37" t="s">
        <v>14</v>
      </c>
      <c r="AF37" t="s">
        <v>14</v>
      </c>
      <c r="AG37" t="s">
        <v>14</v>
      </c>
      <c r="AH37" t="s">
        <v>14</v>
      </c>
      <c r="AI37" t="s">
        <v>14</v>
      </c>
      <c r="AJ37" t="s">
        <v>14</v>
      </c>
      <c r="AK37" t="s">
        <v>14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D03D-1BC4-47C3-84CA-FE6834F0384C}">
  <dimension ref="A1:E66"/>
  <sheetViews>
    <sheetView workbookViewId="0">
      <selection activeCell="C10" sqref="C10"/>
    </sheetView>
  </sheetViews>
  <sheetFormatPr defaultRowHeight="15" x14ac:dyDescent="0.25"/>
  <cols>
    <col min="1" max="1" width="32.85546875" bestFit="1" customWidth="1"/>
    <col min="2" max="2" width="12.5703125" customWidth="1"/>
    <col min="3" max="3" width="107.140625" bestFit="1" customWidth="1"/>
    <col min="4" max="4" width="15.140625" customWidth="1"/>
    <col min="5" max="5" width="160.85546875" bestFit="1" customWidth="1"/>
  </cols>
  <sheetData>
    <row r="1" spans="1:5" x14ac:dyDescent="0.25">
      <c r="A1" s="3" t="s">
        <v>130</v>
      </c>
      <c r="B1" s="3" t="s">
        <v>181</v>
      </c>
      <c r="C1" s="3" t="s">
        <v>132</v>
      </c>
      <c r="D1" s="3" t="s">
        <v>131</v>
      </c>
      <c r="E1" s="3" t="s">
        <v>189</v>
      </c>
    </row>
    <row r="2" spans="1:5" x14ac:dyDescent="0.25">
      <c r="A2" t="s">
        <v>0</v>
      </c>
      <c r="B2" t="s">
        <v>76</v>
      </c>
      <c r="C2" t="s">
        <v>133</v>
      </c>
      <c r="D2" s="4" t="s">
        <v>35</v>
      </c>
      <c r="E2" t="s">
        <v>190</v>
      </c>
    </row>
    <row r="3" spans="1:5" x14ac:dyDescent="0.25">
      <c r="A3" t="s">
        <v>55</v>
      </c>
      <c r="B3" t="s">
        <v>76</v>
      </c>
      <c r="C3" t="s">
        <v>134</v>
      </c>
      <c r="D3" s="4" t="s">
        <v>36</v>
      </c>
      <c r="E3" t="s">
        <v>190</v>
      </c>
    </row>
    <row r="4" spans="1:5" x14ac:dyDescent="0.25">
      <c r="A4" t="s">
        <v>77</v>
      </c>
      <c r="B4" t="s">
        <v>76</v>
      </c>
      <c r="C4" t="s">
        <v>135</v>
      </c>
      <c r="D4" s="4" t="s">
        <v>3</v>
      </c>
      <c r="E4" t="s">
        <v>191</v>
      </c>
    </row>
    <row r="5" spans="1:5" x14ac:dyDescent="0.25">
      <c r="A5" t="s">
        <v>78</v>
      </c>
      <c r="B5" t="s">
        <v>182</v>
      </c>
      <c r="C5" t="s">
        <v>136</v>
      </c>
      <c r="D5" s="4">
        <v>206.2808</v>
      </c>
      <c r="E5" t="s">
        <v>192</v>
      </c>
    </row>
    <row r="6" spans="1:5" x14ac:dyDescent="0.25">
      <c r="A6" t="s">
        <v>79</v>
      </c>
      <c r="B6" t="s">
        <v>76</v>
      </c>
      <c r="C6" t="s">
        <v>137</v>
      </c>
      <c r="D6" s="4">
        <v>9332.5429999999997</v>
      </c>
      <c r="E6" t="s">
        <v>193</v>
      </c>
    </row>
    <row r="7" spans="1:5" x14ac:dyDescent="0.25">
      <c r="A7" t="s">
        <v>80</v>
      </c>
      <c r="B7" t="s">
        <v>183</v>
      </c>
      <c r="C7" t="s">
        <v>138</v>
      </c>
      <c r="D7" s="4">
        <v>2.4799999999999999E-2</v>
      </c>
      <c r="E7" t="s">
        <v>192</v>
      </c>
    </row>
    <row r="8" spans="1:5" x14ac:dyDescent="0.25">
      <c r="A8" t="s">
        <v>81</v>
      </c>
      <c r="B8" t="s">
        <v>184</v>
      </c>
      <c r="C8" t="s">
        <v>139</v>
      </c>
      <c r="D8" s="4">
        <v>21</v>
      </c>
      <c r="E8" t="s">
        <v>192</v>
      </c>
    </row>
    <row r="9" spans="1:5" x14ac:dyDescent="0.25">
      <c r="A9" t="s">
        <v>82</v>
      </c>
      <c r="B9" t="s">
        <v>76</v>
      </c>
      <c r="C9" t="s">
        <v>140</v>
      </c>
      <c r="D9" s="4">
        <v>4.8499999999999996</v>
      </c>
      <c r="E9" t="s">
        <v>191</v>
      </c>
    </row>
    <row r="10" spans="1:5" x14ac:dyDescent="0.25">
      <c r="A10" t="s">
        <v>227</v>
      </c>
      <c r="B10" t="s">
        <v>76</v>
      </c>
      <c r="C10" t="s">
        <v>228</v>
      </c>
      <c r="D10" s="4">
        <v>0.2</v>
      </c>
      <c r="E10" t="s">
        <v>194</v>
      </c>
    </row>
    <row r="11" spans="1:5" x14ac:dyDescent="0.25">
      <c r="A11" t="s">
        <v>83</v>
      </c>
      <c r="B11" t="s">
        <v>76</v>
      </c>
      <c r="C11" t="s">
        <v>142</v>
      </c>
      <c r="D11" s="4">
        <v>0</v>
      </c>
      <c r="E11" t="s">
        <v>195</v>
      </c>
    </row>
    <row r="12" spans="1:5" x14ac:dyDescent="0.25">
      <c r="A12" t="s">
        <v>84</v>
      </c>
      <c r="B12" t="s">
        <v>76</v>
      </c>
      <c r="C12" t="s">
        <v>141</v>
      </c>
      <c r="D12" s="4" t="s">
        <v>14</v>
      </c>
      <c r="E12" t="s">
        <v>196</v>
      </c>
    </row>
    <row r="13" spans="1:5" x14ac:dyDescent="0.25">
      <c r="A13" t="s">
        <v>85</v>
      </c>
      <c r="B13" t="s">
        <v>185</v>
      </c>
      <c r="C13" t="s">
        <v>143</v>
      </c>
      <c r="D13" s="4">
        <v>10.77399</v>
      </c>
      <c r="E13" t="s">
        <v>197</v>
      </c>
    </row>
    <row r="14" spans="1:5" x14ac:dyDescent="0.25">
      <c r="A14" t="s">
        <v>86</v>
      </c>
      <c r="B14" t="s">
        <v>185</v>
      </c>
      <c r="C14" t="s">
        <v>144</v>
      </c>
      <c r="D14" s="4">
        <v>10.77399</v>
      </c>
      <c r="E14" t="s">
        <v>198</v>
      </c>
    </row>
    <row r="15" spans="1:5" x14ac:dyDescent="0.25">
      <c r="A15" t="s">
        <v>87</v>
      </c>
      <c r="B15" t="s">
        <v>185</v>
      </c>
      <c r="C15" t="s">
        <v>145</v>
      </c>
      <c r="D15" s="4">
        <v>200.01580000000001</v>
      </c>
      <c r="E15" t="s">
        <v>198</v>
      </c>
    </row>
    <row r="16" spans="1:5" x14ac:dyDescent="0.25">
      <c r="A16" t="s">
        <v>88</v>
      </c>
      <c r="B16" t="s">
        <v>185</v>
      </c>
      <c r="C16" t="s">
        <v>146</v>
      </c>
      <c r="D16" s="4">
        <v>200.01580000000001</v>
      </c>
      <c r="E16" t="s">
        <v>198</v>
      </c>
    </row>
    <row r="17" spans="1:5" x14ac:dyDescent="0.25">
      <c r="A17" t="s">
        <v>89</v>
      </c>
      <c r="B17" t="s">
        <v>185</v>
      </c>
      <c r="C17" t="s">
        <v>147</v>
      </c>
      <c r="D17" s="4" t="s">
        <v>14</v>
      </c>
      <c r="E17" t="s">
        <v>198</v>
      </c>
    </row>
    <row r="18" spans="1:5" x14ac:dyDescent="0.25">
      <c r="A18" t="s">
        <v>90</v>
      </c>
      <c r="B18" t="s">
        <v>185</v>
      </c>
      <c r="C18" t="s">
        <v>148</v>
      </c>
      <c r="D18" s="4" t="s">
        <v>14</v>
      </c>
      <c r="E18" t="s">
        <v>199</v>
      </c>
    </row>
    <row r="19" spans="1:5" x14ac:dyDescent="0.25">
      <c r="A19" t="s">
        <v>91</v>
      </c>
      <c r="B19" t="s">
        <v>185</v>
      </c>
      <c r="C19" t="s">
        <v>149</v>
      </c>
      <c r="D19" s="4" t="s">
        <v>14</v>
      </c>
      <c r="E19" t="s">
        <v>199</v>
      </c>
    </row>
    <row r="20" spans="1:5" x14ac:dyDescent="0.25">
      <c r="A20" t="s">
        <v>92</v>
      </c>
      <c r="B20" t="s">
        <v>185</v>
      </c>
      <c r="C20" t="s">
        <v>150</v>
      </c>
      <c r="D20" s="4" t="s">
        <v>14</v>
      </c>
      <c r="E20" t="s">
        <v>199</v>
      </c>
    </row>
    <row r="21" spans="1:5" x14ac:dyDescent="0.25">
      <c r="A21" t="s">
        <v>93</v>
      </c>
      <c r="B21" t="s">
        <v>185</v>
      </c>
      <c r="C21" t="s">
        <v>151</v>
      </c>
      <c r="D21" s="4">
        <v>14.97686624</v>
      </c>
      <c r="E21" t="s">
        <v>199</v>
      </c>
    </row>
    <row r="22" spans="1:5" x14ac:dyDescent="0.25">
      <c r="A22" t="s">
        <v>94</v>
      </c>
      <c r="B22" t="s">
        <v>185</v>
      </c>
      <c r="C22" t="s">
        <v>152</v>
      </c>
      <c r="D22" s="4">
        <v>14.97686624</v>
      </c>
      <c r="E22" t="s">
        <v>200</v>
      </c>
    </row>
    <row r="23" spans="1:5" x14ac:dyDescent="0.25">
      <c r="A23" t="s">
        <v>95</v>
      </c>
      <c r="B23" t="s">
        <v>185</v>
      </c>
      <c r="C23" t="s">
        <v>153</v>
      </c>
      <c r="D23" s="4">
        <v>1793.90731090694</v>
      </c>
      <c r="E23" t="s">
        <v>200</v>
      </c>
    </row>
    <row r="24" spans="1:5" x14ac:dyDescent="0.25">
      <c r="A24" t="s">
        <v>96</v>
      </c>
      <c r="B24" t="s">
        <v>185</v>
      </c>
      <c r="C24" t="s">
        <v>154</v>
      </c>
      <c r="D24" s="4">
        <v>94.776354517392903</v>
      </c>
      <c r="E24" t="s">
        <v>201</v>
      </c>
    </row>
    <row r="25" spans="1:5" x14ac:dyDescent="0.25">
      <c r="A25" t="s">
        <v>97</v>
      </c>
      <c r="B25" t="s">
        <v>186</v>
      </c>
      <c r="C25" t="s">
        <v>155</v>
      </c>
      <c r="D25" s="4">
        <v>1.9715800000000001E-4</v>
      </c>
      <c r="E25" t="s">
        <v>202</v>
      </c>
    </row>
    <row r="26" spans="1:5" x14ac:dyDescent="0.25">
      <c r="A26" t="s">
        <v>98</v>
      </c>
      <c r="B26" t="s">
        <v>186</v>
      </c>
      <c r="C26" t="s">
        <v>156</v>
      </c>
      <c r="D26" s="4">
        <v>1.9715800000000001E-4</v>
      </c>
      <c r="E26" t="s">
        <v>198</v>
      </c>
    </row>
    <row r="27" spans="1:5" x14ac:dyDescent="0.25">
      <c r="A27" t="s">
        <v>99</v>
      </c>
      <c r="B27" t="s">
        <v>186</v>
      </c>
      <c r="C27" t="s">
        <v>157</v>
      </c>
      <c r="D27" s="4">
        <v>8.2699999999999998E-7</v>
      </c>
      <c r="E27" t="s">
        <v>198</v>
      </c>
    </row>
    <row r="28" spans="1:5" x14ac:dyDescent="0.25">
      <c r="A28" t="s">
        <v>100</v>
      </c>
      <c r="B28" t="s">
        <v>187</v>
      </c>
      <c r="C28" t="s">
        <v>158</v>
      </c>
      <c r="D28" s="4">
        <v>293.14999999999998</v>
      </c>
      <c r="E28" t="s">
        <v>203</v>
      </c>
    </row>
    <row r="29" spans="1:5" x14ac:dyDescent="0.25">
      <c r="A29" t="s">
        <v>101</v>
      </c>
      <c r="B29" t="s">
        <v>186</v>
      </c>
      <c r="C29" t="s">
        <v>159</v>
      </c>
      <c r="D29" s="4">
        <v>8.2699999999999998E-7</v>
      </c>
      <c r="E29" t="s">
        <v>204</v>
      </c>
    </row>
    <row r="30" spans="1:5" x14ac:dyDescent="0.25">
      <c r="A30" t="s">
        <v>102</v>
      </c>
      <c r="B30" t="s">
        <v>187</v>
      </c>
      <c r="C30" t="s">
        <v>160</v>
      </c>
      <c r="D30" s="4">
        <v>293.14999999999998</v>
      </c>
      <c r="E30" t="s">
        <v>205</v>
      </c>
    </row>
    <row r="31" spans="1:5" x14ac:dyDescent="0.25">
      <c r="A31" t="s">
        <v>103</v>
      </c>
      <c r="B31" t="s">
        <v>186</v>
      </c>
      <c r="C31" t="s">
        <v>161</v>
      </c>
      <c r="D31" s="4" t="s">
        <v>14</v>
      </c>
      <c r="E31" t="s">
        <v>206</v>
      </c>
    </row>
    <row r="32" spans="1:5" x14ac:dyDescent="0.25">
      <c r="A32" t="s">
        <v>104</v>
      </c>
      <c r="B32" t="s">
        <v>187</v>
      </c>
      <c r="C32" t="s">
        <v>162</v>
      </c>
      <c r="D32" s="4">
        <v>293.14999999999998</v>
      </c>
      <c r="E32" t="s">
        <v>207</v>
      </c>
    </row>
    <row r="33" spans="1:5" x14ac:dyDescent="0.25">
      <c r="A33" t="s">
        <v>105</v>
      </c>
      <c r="B33" t="s">
        <v>186</v>
      </c>
      <c r="C33" t="s">
        <v>163</v>
      </c>
      <c r="D33" s="4" t="s">
        <v>14</v>
      </c>
      <c r="E33" t="s">
        <v>208</v>
      </c>
    </row>
    <row r="34" spans="1:5" x14ac:dyDescent="0.25">
      <c r="A34" t="s">
        <v>106</v>
      </c>
      <c r="B34" t="s">
        <v>187</v>
      </c>
      <c r="C34" t="s">
        <v>164</v>
      </c>
      <c r="D34" s="4">
        <v>293.14999999999998</v>
      </c>
      <c r="E34" t="s">
        <v>209</v>
      </c>
    </row>
    <row r="35" spans="1:5" x14ac:dyDescent="0.25">
      <c r="A35" t="s">
        <v>107</v>
      </c>
      <c r="B35" t="s">
        <v>186</v>
      </c>
      <c r="C35" t="s">
        <v>165</v>
      </c>
      <c r="D35" s="4">
        <v>2.3099999999999999E-7</v>
      </c>
      <c r="E35" t="s">
        <v>210</v>
      </c>
    </row>
    <row r="36" spans="1:5" x14ac:dyDescent="0.25">
      <c r="A36" t="s">
        <v>108</v>
      </c>
      <c r="B36" t="s">
        <v>187</v>
      </c>
      <c r="C36" t="s">
        <v>166</v>
      </c>
      <c r="D36" s="4">
        <v>293.14999999999998</v>
      </c>
      <c r="E36" t="s">
        <v>211</v>
      </c>
    </row>
    <row r="37" spans="1:5" x14ac:dyDescent="0.25">
      <c r="A37" t="s">
        <v>109</v>
      </c>
      <c r="B37" t="s">
        <v>186</v>
      </c>
      <c r="C37" t="s">
        <v>167</v>
      </c>
      <c r="D37" s="4">
        <v>2.3099999999999999E-7</v>
      </c>
      <c r="E37" t="s">
        <v>212</v>
      </c>
    </row>
    <row r="38" spans="1:5" x14ac:dyDescent="0.25">
      <c r="A38" t="s">
        <v>110</v>
      </c>
      <c r="B38" t="s">
        <v>187</v>
      </c>
      <c r="C38" t="s">
        <v>168</v>
      </c>
      <c r="D38" s="4">
        <v>293.14999999999998</v>
      </c>
      <c r="E38" t="s">
        <v>213</v>
      </c>
    </row>
    <row r="39" spans="1:5" x14ac:dyDescent="0.25">
      <c r="A39" t="s">
        <v>111</v>
      </c>
      <c r="B39" t="s">
        <v>186</v>
      </c>
      <c r="C39" t="s">
        <v>169</v>
      </c>
      <c r="D39" s="4" t="s">
        <v>14</v>
      </c>
      <c r="E39" t="s">
        <v>214</v>
      </c>
    </row>
    <row r="40" spans="1:5" x14ac:dyDescent="0.25">
      <c r="A40" t="s">
        <v>112</v>
      </c>
      <c r="B40" t="s">
        <v>187</v>
      </c>
      <c r="C40" t="s">
        <v>170</v>
      </c>
      <c r="D40" s="4">
        <v>293.14999999999998</v>
      </c>
      <c r="E40" t="s">
        <v>215</v>
      </c>
    </row>
    <row r="41" spans="1:5" x14ac:dyDescent="0.25">
      <c r="A41" t="s">
        <v>113</v>
      </c>
      <c r="B41" t="s">
        <v>186</v>
      </c>
      <c r="C41" t="s">
        <v>171</v>
      </c>
      <c r="D41" s="4" t="s">
        <v>14</v>
      </c>
      <c r="E41" t="s">
        <v>216</v>
      </c>
    </row>
    <row r="42" spans="1:5" x14ac:dyDescent="0.25">
      <c r="A42" t="s">
        <v>114</v>
      </c>
      <c r="B42" t="s">
        <v>187</v>
      </c>
      <c r="C42" t="s">
        <v>172</v>
      </c>
      <c r="D42" s="4">
        <v>293.14999999999998</v>
      </c>
      <c r="E42" t="s">
        <v>217</v>
      </c>
    </row>
    <row r="43" spans="1:5" x14ac:dyDescent="0.25">
      <c r="A43" t="s">
        <v>115</v>
      </c>
      <c r="B43" t="s">
        <v>188</v>
      </c>
      <c r="C43" t="s">
        <v>173</v>
      </c>
      <c r="D43" s="4">
        <v>265</v>
      </c>
      <c r="E43" t="s">
        <v>218</v>
      </c>
    </row>
    <row r="44" spans="1:5" x14ac:dyDescent="0.25">
      <c r="A44" t="s">
        <v>116</v>
      </c>
      <c r="B44" t="s">
        <v>186</v>
      </c>
      <c r="C44" t="s">
        <v>174</v>
      </c>
      <c r="D44" s="4">
        <v>3.8500000000000004E-6</v>
      </c>
      <c r="E44" t="s">
        <v>219</v>
      </c>
    </row>
    <row r="45" spans="1:5" x14ac:dyDescent="0.25">
      <c r="A45" t="s">
        <v>117</v>
      </c>
      <c r="B45" t="s">
        <v>187</v>
      </c>
      <c r="C45" t="s">
        <v>175</v>
      </c>
      <c r="D45" s="4">
        <v>293.14999999999998</v>
      </c>
      <c r="E45" t="s">
        <v>220</v>
      </c>
    </row>
    <row r="46" spans="1:5" x14ac:dyDescent="0.25">
      <c r="A46" t="s">
        <v>118</v>
      </c>
      <c r="B46" t="s">
        <v>188</v>
      </c>
      <c r="C46" t="s">
        <v>176</v>
      </c>
      <c r="D46" s="4">
        <v>265</v>
      </c>
      <c r="E46" t="s">
        <v>221</v>
      </c>
    </row>
    <row r="47" spans="1:5" x14ac:dyDescent="0.25">
      <c r="A47" t="s">
        <v>119</v>
      </c>
      <c r="B47" t="s">
        <v>186</v>
      </c>
      <c r="C47" t="s">
        <v>177</v>
      </c>
      <c r="D47" s="4">
        <v>3.8500000000000004E-6</v>
      </c>
      <c r="E47" t="s">
        <v>222</v>
      </c>
    </row>
    <row r="48" spans="1:5" x14ac:dyDescent="0.25">
      <c r="A48" t="s">
        <v>120</v>
      </c>
      <c r="B48" t="s">
        <v>187</v>
      </c>
      <c r="C48" t="s">
        <v>178</v>
      </c>
      <c r="D48" s="4">
        <v>293.14999999999998</v>
      </c>
      <c r="E48" t="s">
        <v>223</v>
      </c>
    </row>
    <row r="49" spans="1:5" x14ac:dyDescent="0.25">
      <c r="A49" t="s">
        <v>121</v>
      </c>
      <c r="B49" t="s">
        <v>76</v>
      </c>
      <c r="C49" t="s">
        <v>179</v>
      </c>
      <c r="D49" s="4" t="s">
        <v>14</v>
      </c>
      <c r="E49" t="s">
        <v>224</v>
      </c>
    </row>
    <row r="50" spans="1:5" x14ac:dyDescent="0.25">
      <c r="A50" t="s">
        <v>122</v>
      </c>
      <c r="B50" t="s">
        <v>76</v>
      </c>
      <c r="C50" t="s">
        <v>180</v>
      </c>
      <c r="D50" s="4" t="s">
        <v>14</v>
      </c>
      <c r="E50" t="s">
        <v>225</v>
      </c>
    </row>
    <row r="51" spans="1:5" x14ac:dyDescent="0.25">
      <c r="A51" t="s">
        <v>123</v>
      </c>
      <c r="B51" t="s">
        <v>76</v>
      </c>
      <c r="C51" t="s">
        <v>123</v>
      </c>
      <c r="D51" s="4">
        <v>0</v>
      </c>
      <c r="E51" t="s">
        <v>226</v>
      </c>
    </row>
    <row r="52" spans="1:5" x14ac:dyDescent="0.25">
      <c r="A52" t="s">
        <v>124</v>
      </c>
      <c r="B52" t="s">
        <v>76</v>
      </c>
      <c r="C52" t="s">
        <v>124</v>
      </c>
      <c r="D52" s="4">
        <v>0</v>
      </c>
    </row>
    <row r="53" spans="1:5" x14ac:dyDescent="0.25">
      <c r="A53" t="s">
        <v>125</v>
      </c>
      <c r="B53" t="s">
        <v>76</v>
      </c>
      <c r="C53" t="s">
        <v>125</v>
      </c>
      <c r="D53" s="4">
        <v>0</v>
      </c>
    </row>
    <row r="54" spans="1:5" x14ac:dyDescent="0.25">
      <c r="A54" t="s">
        <v>126</v>
      </c>
      <c r="B54" t="s">
        <v>76</v>
      </c>
      <c r="C54" t="s">
        <v>126</v>
      </c>
      <c r="D54" s="4">
        <v>0</v>
      </c>
    </row>
    <row r="55" spans="1:5" x14ac:dyDescent="0.25">
      <c r="A55" t="s">
        <v>127</v>
      </c>
      <c r="B55" t="s">
        <v>76</v>
      </c>
      <c r="C55" t="s">
        <v>127</v>
      </c>
      <c r="D55" s="4">
        <v>0</v>
      </c>
    </row>
    <row r="56" spans="1:5" x14ac:dyDescent="0.25">
      <c r="A56" t="s">
        <v>128</v>
      </c>
      <c r="B56" t="s">
        <v>76</v>
      </c>
      <c r="C56" t="s">
        <v>128</v>
      </c>
      <c r="D56" s="4">
        <v>0</v>
      </c>
    </row>
    <row r="57" spans="1:5" x14ac:dyDescent="0.25">
      <c r="A57" t="s">
        <v>129</v>
      </c>
      <c r="B57" t="s">
        <v>76</v>
      </c>
      <c r="C57" t="s">
        <v>129</v>
      </c>
      <c r="D57" s="4">
        <v>0</v>
      </c>
    </row>
    <row r="58" spans="1:5" x14ac:dyDescent="0.25">
      <c r="D58" s="4"/>
    </row>
    <row r="59" spans="1:5" x14ac:dyDescent="0.25">
      <c r="D59" s="4"/>
    </row>
    <row r="60" spans="1:5" x14ac:dyDescent="0.25">
      <c r="A60" s="1"/>
      <c r="C60" s="1"/>
      <c r="D60" s="5"/>
    </row>
    <row r="61" spans="1:5" x14ac:dyDescent="0.25">
      <c r="D61" s="4"/>
    </row>
    <row r="62" spans="1:5" x14ac:dyDescent="0.25">
      <c r="A62" s="1"/>
      <c r="D62" s="4"/>
    </row>
    <row r="63" spans="1:5" x14ac:dyDescent="0.25">
      <c r="A63" s="1"/>
      <c r="D63" s="4"/>
    </row>
    <row r="64" spans="1:5" x14ac:dyDescent="0.25">
      <c r="D64" s="4"/>
    </row>
    <row r="65" spans="4:4" x14ac:dyDescent="0.25">
      <c r="D65" s="4"/>
    </row>
    <row r="66" spans="4:4" x14ac:dyDescent="0.25">
      <c r="D6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Selwyn Hoeks</dc:creator>
  <cp:lastModifiedBy>Hoeks, S. (Selwyn)</cp:lastModifiedBy>
  <dcterms:created xsi:type="dcterms:W3CDTF">2015-06-05T18:17:20Z</dcterms:created>
  <dcterms:modified xsi:type="dcterms:W3CDTF">2024-09-25T14:10:32Z</dcterms:modified>
</cp:coreProperties>
</file>