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nancial modeling and valuation\"/>
    </mc:Choice>
  </mc:AlternateContent>
  <xr:revisionPtr revIDLastSave="0" documentId="13_ncr:1_{2EF78414-B778-4D88-BF66-4DCBA03E9C5E}" xr6:coauthVersionLast="47" xr6:coauthVersionMax="47" xr10:uidLastSave="{00000000-0000-0000-0000-000000000000}"/>
  <bookViews>
    <workbookView xWindow="-108" yWindow="-108" windowWidth="23256" windowHeight="12456" xr2:uid="{F0254262-B3D7-4A6A-B63F-6C57B76B9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6" i="1"/>
  <c r="G8" i="1"/>
  <c r="N10" i="1"/>
  <c r="N50" i="1" l="1"/>
  <c r="M41" i="1"/>
  <c r="M42" i="1" s="1"/>
  <c r="L41" i="1"/>
  <c r="N24" i="1"/>
  <c r="N47" i="1" s="1"/>
  <c r="N22" i="1"/>
  <c r="N41" i="1" l="1"/>
  <c r="L42" i="1"/>
  <c r="N42" i="1" s="1"/>
  <c r="N9" i="1"/>
  <c r="N11" i="1" s="1"/>
  <c r="F32" i="1" s="1"/>
  <c r="N45" i="1" l="1"/>
  <c r="G10" i="1"/>
  <c r="M31" i="1"/>
  <c r="M32" i="1" l="1"/>
  <c r="M33" i="1"/>
  <c r="N48" i="1" s="1"/>
  <c r="F31" i="1"/>
  <c r="N54" i="1"/>
  <c r="M34" i="1" l="1"/>
  <c r="G22" i="1"/>
  <c r="N49" i="1"/>
  <c r="N34" i="1" l="1"/>
  <c r="F34" i="1"/>
  <c r="N31" i="1"/>
  <c r="F33" i="1" l="1"/>
  <c r="G32" i="1"/>
  <c r="G31" i="1"/>
  <c r="G34" i="1" s="1"/>
  <c r="N46" i="1" l="1"/>
  <c r="N51" i="1" s="1"/>
  <c r="N53" i="1" s="1"/>
  <c r="N56" i="1" s="1"/>
  <c r="G33" i="1"/>
  <c r="N59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N15" authorId="0" shapeId="0" xr:uid="{1D43B847-08AB-462D-AE82-2CB2010E3CE7}">
      <text>
        <r>
          <rPr>
            <sz val="9"/>
            <color indexed="81"/>
            <rFont val="Tahoma"/>
            <charset val="1"/>
          </rPr>
          <t xml:space="preserve">Based on non -GAAP tax rate. 
</t>
        </r>
      </text>
    </comment>
    <comment ref="L42" authorId="0" shapeId="0" xr:uid="{86FE3870-5F3B-466D-B15C-B36FCBD4B684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16% tax rate is based on non - GAAP tax rate.
</t>
        </r>
      </text>
    </comment>
  </commentList>
</comments>
</file>

<file path=xl/sharedStrings.xml><?xml version="1.0" encoding="utf-8"?>
<sst xmlns="http://schemas.openxmlformats.org/spreadsheetml/2006/main" count="78" uniqueCount="67">
  <si>
    <t>Accretion / Dilution Model</t>
  </si>
  <si>
    <t>*</t>
  </si>
  <si>
    <t>Acquirer</t>
  </si>
  <si>
    <t>Target</t>
  </si>
  <si>
    <t>Consideration</t>
  </si>
  <si>
    <t>Financials</t>
  </si>
  <si>
    <t>Debt</t>
  </si>
  <si>
    <t>Asset Write Up</t>
  </si>
  <si>
    <t>Share price</t>
  </si>
  <si>
    <t xml:space="preserve">Diluted share outstanding </t>
  </si>
  <si>
    <t>2026E EPS</t>
  </si>
  <si>
    <t xml:space="preserve">Shares issued </t>
  </si>
  <si>
    <t>Share Price</t>
  </si>
  <si>
    <t>% Offer Price</t>
  </si>
  <si>
    <t>Offer price</t>
  </si>
  <si>
    <t>Diluted shares outstanding</t>
  </si>
  <si>
    <t>% Debt</t>
  </si>
  <si>
    <t>%  Stock</t>
  </si>
  <si>
    <t>% Cash</t>
  </si>
  <si>
    <t xml:space="preserve">Tax rate </t>
  </si>
  <si>
    <t>Synergies</t>
  </si>
  <si>
    <t>Interset on cash</t>
  </si>
  <si>
    <t xml:space="preserve">Interst rate </t>
  </si>
  <si>
    <t>Annual finanicng fee amortization</t>
  </si>
  <si>
    <t>Book value of target asstes</t>
  </si>
  <si>
    <t>Asset write -up</t>
  </si>
  <si>
    <t xml:space="preserve"> *</t>
  </si>
  <si>
    <t>Sources and Uses</t>
  </si>
  <si>
    <t>Uses</t>
  </si>
  <si>
    <t>Sources</t>
  </si>
  <si>
    <t>Amount</t>
  </si>
  <si>
    <t>%Capital</t>
  </si>
  <si>
    <t xml:space="preserve">Acqire stock issued </t>
  </si>
  <si>
    <t xml:space="preserve">Net debt </t>
  </si>
  <si>
    <t>Cash (purchase price + fees)</t>
  </si>
  <si>
    <t>Total</t>
  </si>
  <si>
    <t xml:space="preserve">Purchase price </t>
  </si>
  <si>
    <t>Purchase price</t>
  </si>
  <si>
    <t>Accretion / Dilution Model Of Synopsis Inc. and Ansys Inc.</t>
  </si>
  <si>
    <t>Acquirer  SNPS</t>
  </si>
  <si>
    <t>Target ANSS</t>
  </si>
  <si>
    <t xml:space="preserve">Fair market value of targets assets </t>
  </si>
  <si>
    <t>Incremental D&amp;A expense</t>
  </si>
  <si>
    <t>Financing fees</t>
  </si>
  <si>
    <t>Transaction fees</t>
  </si>
  <si>
    <t>Pro Forma</t>
  </si>
  <si>
    <t>Standalone net income</t>
  </si>
  <si>
    <t>Pre-tax income</t>
  </si>
  <si>
    <t>Pro Forma pretax incom - unadjusted</t>
  </si>
  <si>
    <t>Less: Interest expense from new debt</t>
  </si>
  <si>
    <t xml:space="preserve">Less: Foregone interest on cash </t>
  </si>
  <si>
    <t>Less: Incremental D&amp;A expense</t>
  </si>
  <si>
    <t>Less: Deal fees</t>
  </si>
  <si>
    <t>Less: Financing fees amortization</t>
  </si>
  <si>
    <t>Plus: Synergies</t>
  </si>
  <si>
    <t xml:space="preserve">Pro forma pretax income - adjusted </t>
  </si>
  <si>
    <t xml:space="preserve"> </t>
  </si>
  <si>
    <t xml:space="preserve">Pro forma net income </t>
  </si>
  <si>
    <t xml:space="preserve">Pro forma shares </t>
  </si>
  <si>
    <t xml:space="preserve">Pro forma EPS </t>
  </si>
  <si>
    <t>Acqirer standalone EPS</t>
  </si>
  <si>
    <t xml:space="preserve">Accretion / Dilution per share </t>
  </si>
  <si>
    <t>Accretion / Dilution %</t>
  </si>
  <si>
    <t>Term  (Years)</t>
  </si>
  <si>
    <t>Useful life  (Years)</t>
  </si>
  <si>
    <t xml:space="preserve">        </t>
  </si>
  <si>
    <t>Assumtion  ( in Millions except for Share price, Offer price and 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</si>
</sst>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0.0"/>
    <numFmt numFmtId="168" formatCode="_([$$-409]* #,##0_);_([$$-409]* \(#,##0\);_([$$-409]* &quot;-&quot;??_);_(@_)"/>
    <numFmt numFmtId="169" formatCode="0.0%"/>
    <numFmt numFmtId="170" formatCode="_([$$-409]* #,##0.0_);_([$$-409]* \(#,##0.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164" fontId="0" fillId="5" borderId="2" xfId="0" applyNumberFormat="1" applyFill="1" applyBorder="1" applyAlignment="1">
      <alignment vertical="center"/>
    </xf>
    <xf numFmtId="165" fontId="0" fillId="5" borderId="2" xfId="1" applyNumberFormat="1" applyFont="1" applyFill="1" applyBorder="1" applyAlignment="1">
      <alignment vertical="center"/>
    </xf>
    <xf numFmtId="9" fontId="0" fillId="5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7" fontId="0" fillId="2" borderId="2" xfId="0" applyNumberForma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4" fontId="0" fillId="2" borderId="0" xfId="0" applyNumberFormat="1" applyFill="1" applyAlignment="1">
      <alignment vertical="center"/>
    </xf>
    <xf numFmtId="169" fontId="0" fillId="2" borderId="0" xfId="0" applyNumberFormat="1" applyFill="1" applyAlignment="1">
      <alignment vertical="center"/>
    </xf>
    <xf numFmtId="44" fontId="0" fillId="5" borderId="2" xfId="2" applyFont="1" applyFill="1" applyBorder="1" applyAlignment="1">
      <alignment vertical="center"/>
    </xf>
    <xf numFmtId="169" fontId="0" fillId="5" borderId="2" xfId="0" applyNumberFormat="1" applyFill="1" applyBorder="1" applyAlignment="1">
      <alignment vertical="center"/>
    </xf>
    <xf numFmtId="10" fontId="0" fillId="2" borderId="2" xfId="3" applyNumberFormat="1" applyFont="1" applyFill="1" applyBorder="1" applyAlignment="1">
      <alignment vertical="center"/>
    </xf>
    <xf numFmtId="10" fontId="0" fillId="5" borderId="2" xfId="3" applyNumberFormat="1" applyFont="1" applyFill="1" applyBorder="1" applyAlignment="1">
      <alignment vertical="center"/>
    </xf>
    <xf numFmtId="0" fontId="0" fillId="5" borderId="2" xfId="0" applyFill="1" applyBorder="1" applyAlignment="1">
      <alignment horizontal="right" vertical="center"/>
    </xf>
    <xf numFmtId="168" fontId="0" fillId="5" borderId="2" xfId="0" applyNumberFormat="1" applyFill="1" applyBorder="1" applyAlignment="1">
      <alignment vertical="center"/>
    </xf>
    <xf numFmtId="169" fontId="0" fillId="5" borderId="2" xfId="3" applyNumberFormat="1" applyFont="1" applyFill="1" applyBorder="1" applyAlignment="1">
      <alignment vertical="center"/>
    </xf>
    <xf numFmtId="170" fontId="0" fillId="5" borderId="2" xfId="1" applyNumberFormat="1" applyFont="1" applyFill="1" applyBorder="1" applyAlignment="1">
      <alignment vertical="center"/>
    </xf>
    <xf numFmtId="168" fontId="0" fillId="2" borderId="2" xfId="0" applyNumberFormat="1" applyFill="1" applyBorder="1" applyAlignment="1">
      <alignment vertical="center"/>
    </xf>
    <xf numFmtId="168" fontId="0" fillId="2" borderId="0" xfId="0" applyNumberFormat="1" applyFill="1" applyAlignment="1">
      <alignment vertical="center"/>
    </xf>
    <xf numFmtId="9" fontId="0" fillId="2" borderId="0" xfId="3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169" fontId="0" fillId="2" borderId="0" xfId="3" applyNumberFormat="1" applyFont="1" applyFill="1" applyAlignment="1">
      <alignment vertical="center"/>
    </xf>
    <xf numFmtId="0" fontId="0" fillId="2" borderId="0" xfId="0" quotePrefix="1" applyFill="1" applyAlignment="1">
      <alignment vertical="center"/>
    </xf>
    <xf numFmtId="166" fontId="3" fillId="2" borderId="4" xfId="0" applyNumberFormat="1" applyFont="1" applyFill="1" applyBorder="1" applyAlignment="1">
      <alignment vertical="center"/>
    </xf>
    <xf numFmtId="9" fontId="3" fillId="2" borderId="5" xfId="0" applyNumberFormat="1" applyFont="1" applyFill="1" applyBorder="1" applyAlignment="1">
      <alignment vertical="center"/>
    </xf>
    <xf numFmtId="9" fontId="3" fillId="2" borderId="5" xfId="3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8" fontId="0" fillId="2" borderId="10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6" fontId="0" fillId="2" borderId="10" xfId="0" applyNumberFormat="1" applyFill="1" applyBorder="1" applyAlignment="1">
      <alignment vertical="center"/>
    </xf>
    <xf numFmtId="44" fontId="0" fillId="2" borderId="10" xfId="0" applyNumberForma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43" fontId="0" fillId="2" borderId="10" xfId="0" applyNumberForma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44" fontId="0" fillId="6" borderId="10" xfId="2" applyFont="1" applyFill="1" applyBorder="1" applyAlignment="1">
      <alignment vertical="center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9" fillId="6" borderId="11" xfId="0" applyFont="1" applyFill="1" applyBorder="1" applyAlignment="1">
      <alignment vertical="center"/>
    </xf>
    <xf numFmtId="44" fontId="0" fillId="6" borderId="13" xfId="2" applyFont="1" applyFill="1" applyBorder="1" applyAlignment="1">
      <alignment vertical="center"/>
    </xf>
    <xf numFmtId="44" fontId="3" fillId="6" borderId="10" xfId="2" applyFont="1" applyFill="1" applyBorder="1" applyAlignment="1">
      <alignment vertical="center"/>
    </xf>
    <xf numFmtId="169" fontId="3" fillId="6" borderId="13" xfId="3" applyNumberFormat="1" applyFont="1" applyFill="1" applyBorder="1" applyAlignment="1">
      <alignment vertical="center"/>
    </xf>
    <xf numFmtId="164" fontId="3" fillId="6" borderId="5" xfId="0" applyNumberFormat="1" applyFont="1" applyFill="1" applyBorder="1" applyAlignment="1">
      <alignment vertical="center"/>
    </xf>
    <xf numFmtId="166" fontId="3" fillId="2" borderId="2" xfId="2" applyNumberFormat="1" applyFont="1" applyFill="1" applyBorder="1" applyAlignment="1">
      <alignment vertical="center"/>
    </xf>
    <xf numFmtId="43" fontId="0" fillId="5" borderId="2" xfId="1" applyNumberFormat="1" applyFont="1" applyFill="1" applyBorder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CFDD-B643-472D-B65D-B5293F6C3A76}">
  <sheetPr codeName="Sheet1"/>
  <dimension ref="A1:Z59"/>
  <sheetViews>
    <sheetView tabSelected="1" topLeftCell="A41" zoomScaleNormal="100" workbookViewId="0">
      <selection activeCell="M59" sqref="M59"/>
    </sheetView>
  </sheetViews>
  <sheetFormatPr defaultColWidth="11.77734375" defaultRowHeight="14.4" x14ac:dyDescent="0.3"/>
  <cols>
    <col min="1" max="1" width="3.109375" style="3" customWidth="1"/>
    <col min="2" max="5" width="11.77734375" style="3"/>
    <col min="6" max="6" width="14.6640625" style="3" bestFit="1" customWidth="1"/>
    <col min="7" max="7" width="13.6640625" style="3" bestFit="1" customWidth="1"/>
    <col min="8" max="11" width="11.77734375" style="3"/>
    <col min="12" max="12" width="13.6640625" style="3" bestFit="1" customWidth="1"/>
    <col min="13" max="13" width="13.33203125" style="3" bestFit="1" customWidth="1"/>
    <col min="14" max="14" width="16.109375" style="3" bestFit="1" customWidth="1"/>
    <col min="15" max="15" width="12.109375" style="3" bestFit="1" customWidth="1"/>
    <col min="16" max="16384" width="11.77734375" style="3"/>
  </cols>
  <sheetData>
    <row r="1" spans="1:26" x14ac:dyDescent="0.3">
      <c r="F1" s="3" t="s">
        <v>56</v>
      </c>
    </row>
    <row r="2" spans="1:26" ht="26.4" thickBot="1" x14ac:dyDescent="0.35">
      <c r="A2" s="1"/>
      <c r="B2" s="2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1:26" ht="15.6" x14ac:dyDescent="0.3">
      <c r="A4" s="4" t="s">
        <v>1</v>
      </c>
      <c r="B4" s="5" t="s">
        <v>66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26" ht="1.95" customHeight="1" x14ac:dyDescent="0.3"/>
    <row r="6" spans="1:26" x14ac:dyDescent="0.3">
      <c r="A6" s="4" t="s">
        <v>1</v>
      </c>
      <c r="B6" s="7" t="s">
        <v>39</v>
      </c>
      <c r="C6" s="8"/>
      <c r="D6" s="8"/>
      <c r="E6" s="8"/>
      <c r="F6" s="8"/>
      <c r="G6" s="8"/>
      <c r="I6" s="7" t="s">
        <v>40</v>
      </c>
      <c r="J6" s="8"/>
      <c r="K6" s="8"/>
      <c r="L6" s="8"/>
      <c r="M6" s="8"/>
      <c r="N6" s="8"/>
    </row>
    <row r="7" spans="1:26" x14ac:dyDescent="0.3">
      <c r="B7" s="3" t="s">
        <v>8</v>
      </c>
      <c r="G7" s="9">
        <v>559.96</v>
      </c>
      <c r="I7" s="3" t="s">
        <v>12</v>
      </c>
      <c r="N7" s="9">
        <v>302.47000000000003</v>
      </c>
    </row>
    <row r="8" spans="1:26" x14ac:dyDescent="0.3">
      <c r="B8" s="3" t="s">
        <v>9</v>
      </c>
      <c r="G8" s="63">
        <f>156088/1000</f>
        <v>156.08799999999999</v>
      </c>
      <c r="I8" s="3" t="s">
        <v>13</v>
      </c>
      <c r="N8" s="11">
        <v>0.28999999999999998</v>
      </c>
    </row>
    <row r="9" spans="1:26" x14ac:dyDescent="0.3">
      <c r="B9" s="3" t="s">
        <v>10</v>
      </c>
      <c r="G9" s="9">
        <v>16.89</v>
      </c>
      <c r="I9" s="3" t="s">
        <v>14</v>
      </c>
      <c r="N9" s="12">
        <f>N7*(1+N8)</f>
        <v>390.18630000000007</v>
      </c>
    </row>
    <row r="10" spans="1:26" x14ac:dyDescent="0.3">
      <c r="B10" s="3" t="s">
        <v>11</v>
      </c>
      <c r="G10" s="13">
        <f>N11/G7*G15</f>
        <v>27.633539229668191</v>
      </c>
      <c r="I10" s="3" t="s">
        <v>15</v>
      </c>
      <c r="K10" s="3" t="s">
        <v>65</v>
      </c>
      <c r="N10" s="10">
        <f>88127/1000</f>
        <v>88.126999999999995</v>
      </c>
    </row>
    <row r="11" spans="1:26" x14ac:dyDescent="0.3">
      <c r="I11" s="14" t="s">
        <v>37</v>
      </c>
      <c r="J11" s="15"/>
      <c r="K11" s="15"/>
      <c r="L11" s="15"/>
      <c r="M11" s="15"/>
      <c r="N11" s="62">
        <f>N9*N10</f>
        <v>34385.948060100003</v>
      </c>
      <c r="O11" s="16"/>
    </row>
    <row r="12" spans="1:26" x14ac:dyDescent="0.3">
      <c r="G12" s="17"/>
      <c r="I12" s="3" t="s">
        <v>10</v>
      </c>
      <c r="N12" s="18">
        <v>12.72</v>
      </c>
    </row>
    <row r="14" spans="1:26" x14ac:dyDescent="0.3">
      <c r="A14" s="3" t="s">
        <v>1</v>
      </c>
      <c r="B14" s="7" t="s">
        <v>4</v>
      </c>
      <c r="C14" s="8"/>
      <c r="D14" s="8"/>
      <c r="E14" s="8"/>
      <c r="F14" s="8"/>
      <c r="G14" s="8"/>
      <c r="I14" s="7" t="s">
        <v>5</v>
      </c>
      <c r="J14" s="8"/>
      <c r="K14" s="8"/>
      <c r="L14" s="8"/>
      <c r="M14" s="8"/>
      <c r="N14" s="8"/>
    </row>
    <row r="15" spans="1:26" x14ac:dyDescent="0.3">
      <c r="B15" s="3" t="s">
        <v>17</v>
      </c>
      <c r="G15" s="11">
        <v>0.45</v>
      </c>
      <c r="I15" s="3" t="s">
        <v>19</v>
      </c>
      <c r="N15" s="19">
        <v>0.17499999999999999</v>
      </c>
    </row>
    <row r="16" spans="1:26" x14ac:dyDescent="0.3">
      <c r="B16" s="3" t="s">
        <v>16</v>
      </c>
      <c r="G16" s="11">
        <v>0.55000000000000004</v>
      </c>
      <c r="I16" s="3" t="s">
        <v>20</v>
      </c>
      <c r="M16" s="54"/>
      <c r="N16" s="18">
        <f>400000000/1000000</f>
        <v>400</v>
      </c>
    </row>
    <row r="17" spans="1:14" x14ac:dyDescent="0.3">
      <c r="B17" s="3" t="s">
        <v>18</v>
      </c>
      <c r="G17" s="20">
        <v>0</v>
      </c>
      <c r="I17" s="3" t="s">
        <v>21</v>
      </c>
      <c r="N17" s="21">
        <v>0</v>
      </c>
    </row>
    <row r="19" spans="1:14" x14ac:dyDescent="0.3">
      <c r="A19" s="4" t="s">
        <v>1</v>
      </c>
      <c r="B19" s="7" t="s">
        <v>6</v>
      </c>
      <c r="C19" s="8"/>
      <c r="D19" s="8"/>
      <c r="E19" s="8"/>
      <c r="F19" s="8"/>
      <c r="G19" s="8"/>
      <c r="I19" s="7" t="s">
        <v>7</v>
      </c>
      <c r="J19" s="8"/>
      <c r="K19" s="8"/>
      <c r="L19" s="8"/>
      <c r="M19" s="8"/>
      <c r="N19" s="8"/>
    </row>
    <row r="20" spans="1:14" x14ac:dyDescent="0.3">
      <c r="B20" s="3" t="s">
        <v>63</v>
      </c>
      <c r="G20" s="22">
        <v>7</v>
      </c>
      <c r="I20" s="3" t="s">
        <v>24</v>
      </c>
      <c r="N20" s="23">
        <f>7980000000/1000000</f>
        <v>7980</v>
      </c>
    </row>
    <row r="21" spans="1:14" x14ac:dyDescent="0.3">
      <c r="B21" s="3" t="s">
        <v>22</v>
      </c>
      <c r="G21" s="24">
        <v>4.4999999999999998E-2</v>
      </c>
      <c r="I21" s="3" t="s">
        <v>41</v>
      </c>
      <c r="N21" s="23">
        <f>10000000000/1000000</f>
        <v>10000</v>
      </c>
    </row>
    <row r="22" spans="1:14" x14ac:dyDescent="0.3">
      <c r="B22" s="3" t="s">
        <v>23</v>
      </c>
      <c r="G22" s="25">
        <f>M32/G20</f>
        <v>29.473669765800004</v>
      </c>
      <c r="I22" s="3" t="s">
        <v>25</v>
      </c>
      <c r="N22" s="26">
        <f>N21-N20</f>
        <v>2020</v>
      </c>
    </row>
    <row r="23" spans="1:14" x14ac:dyDescent="0.3">
      <c r="I23" s="3" t="s">
        <v>64</v>
      </c>
      <c r="N23" s="22">
        <v>10</v>
      </c>
    </row>
    <row r="24" spans="1:14" x14ac:dyDescent="0.3">
      <c r="I24" s="3" t="s">
        <v>42</v>
      </c>
      <c r="N24" s="26">
        <f>N22/N23</f>
        <v>202</v>
      </c>
    </row>
    <row r="27" spans="1:14" ht="15.6" x14ac:dyDescent="0.3">
      <c r="A27" s="4" t="s">
        <v>26</v>
      </c>
      <c r="B27" s="5" t="s">
        <v>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.95" customHeight="1" x14ac:dyDescent="0.3"/>
    <row r="29" spans="1:14" x14ac:dyDescent="0.3">
      <c r="B29" s="7" t="s">
        <v>29</v>
      </c>
      <c r="C29" s="8"/>
      <c r="D29" s="8"/>
      <c r="E29" s="8"/>
      <c r="F29" s="8"/>
      <c r="G29" s="8"/>
      <c r="I29" s="7" t="s">
        <v>28</v>
      </c>
      <c r="J29" s="8"/>
      <c r="K29" s="8"/>
      <c r="L29" s="8"/>
      <c r="M29" s="8"/>
      <c r="N29" s="8"/>
    </row>
    <row r="30" spans="1:14" x14ac:dyDescent="0.3">
      <c r="F30" s="55" t="s">
        <v>30</v>
      </c>
      <c r="G30" s="56" t="s">
        <v>31</v>
      </c>
      <c r="M30" s="55" t="s">
        <v>30</v>
      </c>
      <c r="N30" s="56" t="s">
        <v>31</v>
      </c>
    </row>
    <row r="31" spans="1:14" x14ac:dyDescent="0.3">
      <c r="B31" s="3" t="s">
        <v>32</v>
      </c>
      <c r="F31" s="27">
        <f>G10*G7</f>
        <v>15473.676627045001</v>
      </c>
      <c r="G31" s="28">
        <f>F31/F34</f>
        <v>0.44204322200392931</v>
      </c>
      <c r="I31" s="3" t="s">
        <v>36</v>
      </c>
      <c r="M31" s="29">
        <f>N11</f>
        <v>34385.948060100003</v>
      </c>
      <c r="N31" s="30">
        <f>M31/M34</f>
        <v>0.98231827111984293</v>
      </c>
    </row>
    <row r="32" spans="1:14" x14ac:dyDescent="0.3">
      <c r="B32" s="3" t="s">
        <v>33</v>
      </c>
      <c r="F32" s="29">
        <f>G16*N11</f>
        <v>18912.271433055004</v>
      </c>
      <c r="G32" s="28">
        <f>F32/F34</f>
        <v>0.54027504911591373</v>
      </c>
      <c r="I32" s="3" t="s">
        <v>43</v>
      </c>
      <c r="M32" s="16">
        <f>M31*N32</f>
        <v>206.31568836060003</v>
      </c>
      <c r="N32" s="30">
        <v>6.0000000000000001E-3</v>
      </c>
    </row>
    <row r="33" spans="1:14" x14ac:dyDescent="0.3">
      <c r="B33" s="31" t="s">
        <v>34</v>
      </c>
      <c r="F33" s="29">
        <f>F34-SUM(F31:F32)</f>
        <v>618.94706508179661</v>
      </c>
      <c r="G33" s="28">
        <f>F33/F34</f>
        <v>1.7681728880157073E-2</v>
      </c>
      <c r="I33" s="3" t="s">
        <v>44</v>
      </c>
      <c r="M33" s="16">
        <f>M31*N33</f>
        <v>412.63137672120007</v>
      </c>
      <c r="N33" s="30">
        <v>1.2E-2</v>
      </c>
    </row>
    <row r="34" spans="1:14" x14ac:dyDescent="0.3">
      <c r="B34" s="14" t="s">
        <v>35</v>
      </c>
      <c r="C34" s="15"/>
      <c r="D34" s="15"/>
      <c r="E34" s="15"/>
      <c r="F34" s="32">
        <f>M34</f>
        <v>35004.8951251818</v>
      </c>
      <c r="G34" s="33">
        <f>SUM(G31:G32)</f>
        <v>0.98231827111984305</v>
      </c>
      <c r="I34" s="14" t="s">
        <v>35</v>
      </c>
      <c r="J34" s="15"/>
      <c r="K34" s="15"/>
      <c r="L34" s="15"/>
      <c r="M34" s="32">
        <f>SUM(M31:M33)</f>
        <v>35004.8951251818</v>
      </c>
      <c r="N34" s="34">
        <f>M34/M34</f>
        <v>1</v>
      </c>
    </row>
    <row r="36" spans="1:14" ht="15.6" x14ac:dyDescent="0.3">
      <c r="A36" s="4" t="s">
        <v>1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.95" customHeight="1" x14ac:dyDescent="0.3"/>
    <row r="38" spans="1:14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7" t="s">
        <v>2</v>
      </c>
      <c r="M38" s="7" t="s">
        <v>3</v>
      </c>
      <c r="N38" s="7" t="s">
        <v>45</v>
      </c>
    </row>
    <row r="39" spans="1:14" ht="1.95" customHeight="1" x14ac:dyDescent="0.3"/>
    <row r="40" spans="1:14" ht="15.6" x14ac:dyDescent="0.3">
      <c r="B40" s="35" t="s">
        <v>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x14ac:dyDescent="0.3">
      <c r="B41" s="38" t="s">
        <v>46</v>
      </c>
      <c r="L41" s="27">
        <f>G9*G8</f>
        <v>2636.3263200000001</v>
      </c>
      <c r="M41" s="27">
        <f>N12*N10</f>
        <v>1120.9754399999999</v>
      </c>
      <c r="N41" s="39">
        <f>L41+M41</f>
        <v>3757.3017600000003</v>
      </c>
    </row>
    <row r="42" spans="1:14" x14ac:dyDescent="0.3">
      <c r="B42" s="38" t="s">
        <v>47</v>
      </c>
      <c r="L42" s="27">
        <f>L41/(1-16%)</f>
        <v>3138.4837142857145</v>
      </c>
      <c r="M42" s="27">
        <f>M41/(1-N15)</f>
        <v>1358.7581090909091</v>
      </c>
      <c r="N42" s="39">
        <f>L42+M42</f>
        <v>4497.2418233766239</v>
      </c>
    </row>
    <row r="43" spans="1:14" x14ac:dyDescent="0.3">
      <c r="B43" s="38"/>
      <c r="N43" s="40"/>
    </row>
    <row r="44" spans="1:14" x14ac:dyDescent="0.3">
      <c r="B44" s="38" t="s">
        <v>48</v>
      </c>
      <c r="G44" s="3" t="s">
        <v>56</v>
      </c>
      <c r="N44" s="40"/>
    </row>
    <row r="45" spans="1:14" x14ac:dyDescent="0.3">
      <c r="B45" s="38" t="s">
        <v>49</v>
      </c>
      <c r="N45" s="41">
        <f>F32*G21</f>
        <v>851.05221448747511</v>
      </c>
    </row>
    <row r="46" spans="1:14" x14ac:dyDescent="0.3">
      <c r="B46" s="38" t="s">
        <v>50</v>
      </c>
      <c r="N46" s="42">
        <f>F33*N17</f>
        <v>0</v>
      </c>
    </row>
    <row r="47" spans="1:14" x14ac:dyDescent="0.3">
      <c r="B47" s="38" t="s">
        <v>51</v>
      </c>
      <c r="N47" s="40">
        <f>N24</f>
        <v>202</v>
      </c>
    </row>
    <row r="48" spans="1:14" x14ac:dyDescent="0.3">
      <c r="B48" s="38" t="s">
        <v>52</v>
      </c>
      <c r="N48" s="42">
        <f>M33</f>
        <v>412.63137672120007</v>
      </c>
    </row>
    <row r="49" spans="1:14" x14ac:dyDescent="0.3">
      <c r="B49" s="38" t="s">
        <v>53</v>
      </c>
      <c r="N49" s="42">
        <f>M32</f>
        <v>206.31568836060003</v>
      </c>
    </row>
    <row r="50" spans="1:14" x14ac:dyDescent="0.3">
      <c r="B50" s="38" t="s">
        <v>54</v>
      </c>
      <c r="N50" s="42">
        <f>N16</f>
        <v>400</v>
      </c>
    </row>
    <row r="51" spans="1:14" x14ac:dyDescent="0.3">
      <c r="B51" s="43" t="s">
        <v>55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61">
        <f>N42-SUM(N45:N49)+N50</f>
        <v>3225.2425438073487</v>
      </c>
    </row>
    <row r="52" spans="1:14" x14ac:dyDescent="0.3">
      <c r="B52" s="38"/>
      <c r="N52" s="40"/>
    </row>
    <row r="53" spans="1:14" x14ac:dyDescent="0.3">
      <c r="B53" s="45" t="s">
        <v>57</v>
      </c>
      <c r="N53" s="46">
        <f>N51*(1-N15)</f>
        <v>2660.8250986410626</v>
      </c>
    </row>
    <row r="54" spans="1:14" x14ac:dyDescent="0.3">
      <c r="B54" s="38" t="s">
        <v>58</v>
      </c>
      <c r="N54" s="47">
        <f>G8+G10</f>
        <v>183.7215392296682</v>
      </c>
    </row>
    <row r="55" spans="1:14" x14ac:dyDescent="0.3">
      <c r="B55" s="38"/>
      <c r="N55" s="40"/>
    </row>
    <row r="56" spans="1:14" x14ac:dyDescent="0.3">
      <c r="B56" s="48" t="s">
        <v>59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0">
        <f>N53/N54</f>
        <v>14.482924047978912</v>
      </c>
    </row>
    <row r="57" spans="1:14" x14ac:dyDescent="0.3">
      <c r="B57" s="57" t="s">
        <v>60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8">
        <v>12.29</v>
      </c>
    </row>
    <row r="58" spans="1:14" x14ac:dyDescent="0.3">
      <c r="B58" s="51" t="s">
        <v>61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59">
        <f>N56-N57</f>
        <v>2.1929240479789129</v>
      </c>
    </row>
    <row r="59" spans="1:14" x14ac:dyDescent="0.3">
      <c r="A59" s="4" t="s">
        <v>1</v>
      </c>
      <c r="B59" s="52" t="s">
        <v>62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60">
        <f>N56/N57-1</f>
        <v>0.17843157428632317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Bhardwaj</dc:creator>
  <cp:lastModifiedBy>Siddhant Bhardwaj</cp:lastModifiedBy>
  <dcterms:created xsi:type="dcterms:W3CDTF">2025-07-01T12:56:01Z</dcterms:created>
  <dcterms:modified xsi:type="dcterms:W3CDTF">2025-07-09T22:22:59Z</dcterms:modified>
</cp:coreProperties>
</file>