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0E10FE36-1B1A-422C-BEB3-DF527223DED1}" xr6:coauthVersionLast="47" xr6:coauthVersionMax="47" xr10:uidLastSave="{00000000-0000-0000-0000-000000000000}"/>
  <bookViews>
    <workbookView xWindow="-108" yWindow="-108" windowWidth="23256" windowHeight="12456" xr2:uid="{F0254262-B3D7-4A6A-B63F-6C57B76B942D}"/>
  </bookViews>
  <sheets>
    <sheet name="Model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G23" i="1"/>
  <c r="G21" i="1"/>
  <c r="G22" i="1"/>
  <c r="G8" i="1"/>
  <c r="N10" i="1" l="1"/>
  <c r="N20" i="1"/>
  <c r="N49" i="1"/>
  <c r="N48" i="1"/>
  <c r="G17" i="1"/>
  <c r="N22" i="1"/>
  <c r="N24" i="1" s="1"/>
  <c r="N47" i="1" s="1"/>
  <c r="N57" i="1"/>
  <c r="N50" i="1" l="1"/>
  <c r="M41" i="1"/>
  <c r="M42" i="1" s="1"/>
  <c r="L41" i="1"/>
  <c r="N41" i="1" l="1"/>
  <c r="L42" i="1"/>
  <c r="N42" i="1" s="1"/>
  <c r="N9" i="1"/>
  <c r="N44" i="1" l="1"/>
  <c r="G15" i="1"/>
  <c r="G20" i="1" l="1"/>
  <c r="N45" i="1" s="1"/>
  <c r="G10" i="1"/>
  <c r="M31" i="1"/>
  <c r="F31" i="1" l="1"/>
  <c r="N54" i="1"/>
  <c r="F32" i="1"/>
  <c r="M34" i="1"/>
  <c r="N33" i="1" l="1"/>
  <c r="N32" i="1"/>
  <c r="N31" i="1"/>
  <c r="F34" i="1"/>
  <c r="N34" i="1" l="1"/>
  <c r="F33" i="1"/>
  <c r="G32" i="1"/>
  <c r="G31" i="1"/>
  <c r="N46" i="1" l="1"/>
  <c r="N51" i="1" s="1"/>
  <c r="G33" i="1"/>
  <c r="G34" i="1" s="1"/>
  <c r="N53" i="1" l="1"/>
  <c r="N56" i="1" s="1"/>
  <c r="N58" i="1" l="1"/>
  <c r="N59" i="1"/>
  <c r="D6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G7" authorId="0" shapeId="0" xr:uid="{C57C5CFF-99A2-4BA5-AE7E-7748D7C9D21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21 December, 2023 Close share price.</t>
        </r>
      </text>
    </comment>
    <comment ref="N7" authorId="0" shapeId="0" xr:uid="{A6E07FD2-C06F-4F7B-9834-6CC8B095B410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21 December, 2023 Close share price.</t>
        </r>
      </text>
    </comment>
    <comment ref="G9" authorId="0" shapeId="0" xr:uid="{BAFD8183-CD97-494E-BD14-E5D7D512937A}">
      <text>
        <r>
          <rPr>
            <b/>
            <sz val="9"/>
            <color indexed="81"/>
            <rFont val="Tahoma"/>
            <charset val="1"/>
          </rPr>
          <t>Siddhant:</t>
        </r>
        <r>
          <rPr>
            <sz val="9"/>
            <color indexed="81"/>
            <rFont val="Tahoma"/>
            <charset val="1"/>
          </rPr>
          <t xml:space="preserve">
Estimation is from Tikr.</t>
        </r>
      </text>
    </comment>
    <comment ref="N12" authorId="0" shapeId="0" xr:uid="{17C09280-2C74-486F-A3F1-B5C1C461B69A}">
      <text>
        <r>
          <rPr>
            <b/>
            <sz val="9"/>
            <color indexed="81"/>
            <rFont val="Tahoma"/>
            <charset val="1"/>
          </rPr>
          <t>Siddhant:</t>
        </r>
        <r>
          <rPr>
            <sz val="9"/>
            <color indexed="81"/>
            <rFont val="Tahoma"/>
            <charset val="1"/>
          </rPr>
          <t xml:space="preserve">
Estimation is from Tikr.</t>
        </r>
      </text>
    </comment>
    <comment ref="G15" authorId="0" shapeId="0" xr:uid="{C3A9FD81-D748-4BA4-B32B-FED3B671A5C2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SNPS Agreed to pay 0.3450 of its share to ANSS shareholders. And $193.19 is the remaining balance after paying Cash. </t>
        </r>
      </text>
    </comment>
    <comment ref="N15" authorId="0" shapeId="0" xr:uid="{9179B222-1614-489C-83D6-531023986D6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ANSS 2024 Annual report result</t>
        </r>
      </text>
    </comment>
    <comment ref="G17" authorId="0" shapeId="0" xr:uid="{C3875E33-C518-4BBD-A011-A1176FC6572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SNPS Agreed to pay $197 in cash for per share.</t>
        </r>
      </text>
    </comment>
    <comment ref="N20" authorId="0" shapeId="0" xr:uid="{E5F944DD-4B49-4792-97A2-43381EC1FBCF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Total Assets of ANSS reported in its 2024 Annual reports Balance Sheet.</t>
        </r>
      </text>
    </comment>
    <comment ref="G21" authorId="0" shapeId="0" xr:uid="{91161C48-EA6C-4861-8CA9-F7A05BBFAFF4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all the Senior Notes Terms from result of 2025 Q1.</t>
        </r>
      </text>
    </comment>
    <comment ref="N21" authorId="0" shapeId="0" xr:uid="{5F6B5221-EA16-4EA9-9BA1-E6B63EF24A5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Assumption</t>
        </r>
      </text>
    </comment>
    <comment ref="G22" authorId="0" shapeId="0" xr:uid="{305A6A3F-1FFA-4532-973C-8ECC0D2564A5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Q1 result, Average of all Senior Notes Effective Interest Rate.</t>
        </r>
      </text>
    </comment>
    <comment ref="L42" authorId="0" shapeId="0" xr:uid="{86FE3870-5F3B-466D-B15C-B36FCBD4B684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16% tax rate is based on non - GAAP tax rate.
</t>
        </r>
      </text>
    </comment>
  </commentList>
</comments>
</file>

<file path=xl/sharedStrings.xml><?xml version="1.0" encoding="utf-8"?>
<sst xmlns="http://schemas.openxmlformats.org/spreadsheetml/2006/main" count="82" uniqueCount="71">
  <si>
    <t>Accretion / Dilution Model</t>
  </si>
  <si>
    <t>Acquirer</t>
  </si>
  <si>
    <t>Target</t>
  </si>
  <si>
    <t>Consideration</t>
  </si>
  <si>
    <t>Financials</t>
  </si>
  <si>
    <t>Debt</t>
  </si>
  <si>
    <t>Asset Write Up</t>
  </si>
  <si>
    <t>Share price</t>
  </si>
  <si>
    <t xml:space="preserve">Diluted share outstanding </t>
  </si>
  <si>
    <t>2026E EPS</t>
  </si>
  <si>
    <t xml:space="preserve">Shares issued </t>
  </si>
  <si>
    <t>Share Price</t>
  </si>
  <si>
    <t>% Offer Price</t>
  </si>
  <si>
    <t>Offer price</t>
  </si>
  <si>
    <t>Diluted shares outstanding</t>
  </si>
  <si>
    <t>% Debt</t>
  </si>
  <si>
    <t>%  Stock</t>
  </si>
  <si>
    <t>% Cash</t>
  </si>
  <si>
    <t xml:space="preserve">Tax rate </t>
  </si>
  <si>
    <t>Synergies</t>
  </si>
  <si>
    <t>Annual finanicng fee amortization</t>
  </si>
  <si>
    <t>Book value of target asstes</t>
  </si>
  <si>
    <t>Asset write -up</t>
  </si>
  <si>
    <t>Uses</t>
  </si>
  <si>
    <t>Sources</t>
  </si>
  <si>
    <t>Amount</t>
  </si>
  <si>
    <t>%Capital</t>
  </si>
  <si>
    <t xml:space="preserve">Net debt </t>
  </si>
  <si>
    <t>Cash (purchase price + fees)</t>
  </si>
  <si>
    <t>Total</t>
  </si>
  <si>
    <t xml:space="preserve">Purchase price </t>
  </si>
  <si>
    <t>Purchase price</t>
  </si>
  <si>
    <t>Accretion / Dilution Model Of Synopsis Inc. and Ansys Inc.</t>
  </si>
  <si>
    <t>Acquirer  SNPS</t>
  </si>
  <si>
    <t>Target ANSS</t>
  </si>
  <si>
    <t xml:space="preserve">Fair market value of targets assets </t>
  </si>
  <si>
    <t>Incremental D&amp;A expense</t>
  </si>
  <si>
    <t>Financing fees</t>
  </si>
  <si>
    <t>Transaction fees</t>
  </si>
  <si>
    <t>Pro Forma</t>
  </si>
  <si>
    <t>Standalone net income</t>
  </si>
  <si>
    <t>Pre-tax income</t>
  </si>
  <si>
    <t>Less: Interest expense from new debt</t>
  </si>
  <si>
    <t xml:space="preserve">Less: Foregone interest on cash </t>
  </si>
  <si>
    <t>Less: Incremental D&amp;A expense</t>
  </si>
  <si>
    <t>Less: Deal fees</t>
  </si>
  <si>
    <t>Less: Financing fees amortization</t>
  </si>
  <si>
    <t>Plus: Synergies</t>
  </si>
  <si>
    <t xml:space="preserve">Pro forma pretax income - adjusted </t>
  </si>
  <si>
    <t xml:space="preserve"> </t>
  </si>
  <si>
    <t xml:space="preserve">Pro forma net income </t>
  </si>
  <si>
    <t xml:space="preserve">Pro forma shares </t>
  </si>
  <si>
    <t xml:space="preserve">Pro forma EPS </t>
  </si>
  <si>
    <t>Acqirer standalone EPS</t>
  </si>
  <si>
    <t xml:space="preserve">Accretion / Dilution per share </t>
  </si>
  <si>
    <t>Accretion / Dilution %</t>
  </si>
  <si>
    <t>Term  (Years)</t>
  </si>
  <si>
    <t>Useful life  (Years)</t>
  </si>
  <si>
    <t xml:space="preserve">Acquire stock issued </t>
  </si>
  <si>
    <t>X</t>
  </si>
  <si>
    <t>Assumtions  ( in Millions except for Share price, Offer price and EPS)</t>
  </si>
  <si>
    <t>Sources and Uses (MM $)</t>
  </si>
  <si>
    <t xml:space="preserve">Interest rate </t>
  </si>
  <si>
    <t>Interest on cash</t>
  </si>
  <si>
    <t xml:space="preserve">   </t>
  </si>
  <si>
    <t>Acquirers new Borrowing</t>
  </si>
  <si>
    <t>Pro Forma pretax income - unadjusted</t>
  </si>
  <si>
    <t>Accretion / Dilution Model ( in Millions except for EPS)</t>
  </si>
  <si>
    <t xml:space="preserve">Stock % </t>
  </si>
  <si>
    <t>Offer Price</t>
  </si>
  <si>
    <t>Sensitivity Analysis of Dilution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</si>
</sst>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0.0"/>
    <numFmt numFmtId="168" formatCode="_([$$-409]* #,##0_);_([$$-409]* \(#,##0\);_([$$-409]* &quot;-&quot;??_);_(@_)"/>
    <numFmt numFmtId="169" formatCode="0.0%"/>
    <numFmt numFmtId="170" formatCode="_([$$-409]* #,##0.0_);_([$$-409]* \(#,##0.0\);_([$$-409]* &quot;-&quot;??_);_(@_)"/>
    <numFmt numFmtId="179" formatCode="0.0%;\(0.0%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4" xfId="0" applyFill="1" applyBorder="1" applyAlignment="1">
      <alignment vertical="center"/>
    </xf>
    <xf numFmtId="44" fontId="0" fillId="2" borderId="0" xfId="0" applyNumberFormat="1" applyFill="1" applyAlignment="1">
      <alignment vertical="center"/>
    </xf>
    <xf numFmtId="0" fontId="0" fillId="3" borderId="2" xfId="0" applyFill="1" applyBorder="1" applyAlignment="1">
      <alignment horizontal="right" vertical="center"/>
    </xf>
    <xf numFmtId="9" fontId="0" fillId="2" borderId="0" xfId="3" applyFont="1" applyFill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2" xfId="0" applyFill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165" fontId="0" fillId="2" borderId="0" xfId="1" applyNumberFormat="1" applyFont="1" applyFill="1" applyAlignment="1">
      <alignment vertical="center"/>
    </xf>
    <xf numFmtId="164" fontId="0" fillId="3" borderId="2" xfId="0" applyNumberFormat="1" applyFill="1" applyBorder="1" applyAlignment="1">
      <alignment horizontal="right" vertical="center"/>
    </xf>
    <xf numFmtId="9" fontId="0" fillId="3" borderId="2" xfId="0" applyNumberFormat="1" applyFill="1" applyBorder="1" applyAlignment="1">
      <alignment horizontal="right" vertical="center"/>
    </xf>
    <xf numFmtId="164" fontId="0" fillId="2" borderId="2" xfId="0" applyNumberFormat="1" applyFill="1" applyBorder="1" applyAlignment="1">
      <alignment horizontal="right" vertical="center"/>
    </xf>
    <xf numFmtId="43" fontId="0" fillId="3" borderId="14" xfId="1" applyFont="1" applyFill="1" applyBorder="1" applyAlignment="1">
      <alignment horizontal="right" vertical="center"/>
    </xf>
    <xf numFmtId="166" fontId="3" fillId="2" borderId="2" xfId="2" applyNumberFormat="1" applyFont="1" applyFill="1" applyBorder="1" applyAlignment="1">
      <alignment horizontal="right" vertical="center"/>
    </xf>
    <xf numFmtId="44" fontId="0" fillId="3" borderId="15" xfId="2" applyFont="1" applyFill="1" applyBorder="1" applyAlignment="1">
      <alignment horizontal="right" vertical="center"/>
    </xf>
    <xf numFmtId="43" fontId="0" fillId="3" borderId="2" xfId="1" applyFont="1" applyFill="1" applyBorder="1" applyAlignment="1">
      <alignment horizontal="right" vertical="center"/>
    </xf>
    <xf numFmtId="167" fontId="0" fillId="2" borderId="2" xfId="0" applyNumberFormat="1" applyFill="1" applyBorder="1" applyAlignment="1">
      <alignment horizontal="right" vertical="center"/>
    </xf>
    <xf numFmtId="10" fontId="0" fillId="3" borderId="2" xfId="3" applyNumberFormat="1" applyFont="1" applyFill="1" applyBorder="1" applyAlignment="1">
      <alignment horizontal="right" vertical="center"/>
    </xf>
    <xf numFmtId="10" fontId="0" fillId="3" borderId="2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169" fontId="0" fillId="3" borderId="2" xfId="0" applyNumberFormat="1" applyFill="1" applyBorder="1" applyAlignment="1">
      <alignment horizontal="right" vertical="center"/>
    </xf>
    <xf numFmtId="44" fontId="0" fillId="3" borderId="2" xfId="2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168" fontId="0" fillId="3" borderId="2" xfId="0" applyNumberFormat="1" applyFill="1" applyBorder="1" applyAlignment="1">
      <alignment horizontal="right" vertical="center"/>
    </xf>
    <xf numFmtId="168" fontId="0" fillId="2" borderId="2" xfId="0" applyNumberFormat="1" applyFill="1" applyBorder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166" fontId="0" fillId="2" borderId="0" xfId="0" applyNumberFormat="1" applyFill="1" applyAlignment="1">
      <alignment horizontal="right" vertical="center"/>
    </xf>
    <xf numFmtId="169" fontId="0" fillId="2" borderId="0" xfId="3" applyNumberFormat="1" applyFont="1" applyFill="1" applyAlignment="1">
      <alignment horizontal="right" vertical="center"/>
    </xf>
    <xf numFmtId="44" fontId="0" fillId="2" borderId="0" xfId="0" applyNumberFormat="1" applyFill="1" applyAlignment="1">
      <alignment horizontal="right" vertical="center"/>
    </xf>
    <xf numFmtId="166" fontId="3" fillId="2" borderId="4" xfId="0" applyNumberFormat="1" applyFont="1" applyFill="1" applyBorder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168" fontId="0" fillId="2" borderId="0" xfId="0" applyNumberFormat="1" applyFill="1" applyAlignment="1">
      <alignment horizontal="right" vertical="center"/>
    </xf>
    <xf numFmtId="168" fontId="0" fillId="2" borderId="10" xfId="0" applyNumberFormat="1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166" fontId="0" fillId="2" borderId="10" xfId="0" applyNumberFormat="1" applyFill="1" applyBorder="1" applyAlignment="1">
      <alignment horizontal="right" vertical="center"/>
    </xf>
    <xf numFmtId="44" fontId="0" fillId="2" borderId="10" xfId="0" applyNumberFormat="1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164" fontId="3" fillId="4" borderId="5" xfId="0" applyNumberFormat="1" applyFont="1" applyFill="1" applyBorder="1" applyAlignment="1">
      <alignment horizontal="right" vertical="center"/>
    </xf>
    <xf numFmtId="43" fontId="0" fillId="2" borderId="10" xfId="0" applyNumberFormat="1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44" fontId="0" fillId="4" borderId="10" xfId="2" applyFont="1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/>
    </xf>
    <xf numFmtId="44" fontId="0" fillId="4" borderId="13" xfId="2" applyFont="1" applyFill="1" applyBorder="1" applyAlignment="1">
      <alignment horizontal="right" vertical="center"/>
    </xf>
    <xf numFmtId="44" fontId="3" fillId="4" borderId="10" xfId="2" applyFont="1" applyFill="1" applyBorder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169" fontId="0" fillId="2" borderId="0" xfId="0" applyNumberFormat="1" applyFill="1" applyAlignment="1">
      <alignment horizontal="right" vertical="center"/>
    </xf>
    <xf numFmtId="169" fontId="0" fillId="3" borderId="2" xfId="3" applyNumberFormat="1" applyFont="1" applyFill="1" applyBorder="1" applyAlignment="1">
      <alignment horizontal="right" vertical="center"/>
    </xf>
    <xf numFmtId="170" fontId="0" fillId="3" borderId="2" xfId="1" applyNumberFormat="1" applyFont="1" applyFill="1" applyBorder="1" applyAlignment="1">
      <alignment horizontal="right" vertical="center"/>
    </xf>
    <xf numFmtId="9" fontId="3" fillId="2" borderId="5" xfId="0" applyNumberFormat="1" applyFont="1" applyFill="1" applyBorder="1" applyAlignment="1">
      <alignment horizontal="right" vertical="center"/>
    </xf>
    <xf numFmtId="10" fontId="0" fillId="2" borderId="0" xfId="0" applyNumberFormat="1" applyFill="1" applyAlignment="1">
      <alignment horizontal="right" vertical="center"/>
    </xf>
    <xf numFmtId="9" fontId="3" fillId="2" borderId="5" xfId="3" applyFont="1" applyFill="1" applyBorder="1" applyAlignment="1">
      <alignment horizontal="right" vertical="center"/>
    </xf>
    <xf numFmtId="10" fontId="0" fillId="2" borderId="0" xfId="3" applyNumberFormat="1" applyFont="1" applyFill="1" applyAlignment="1">
      <alignment horizontal="right" vertical="center"/>
    </xf>
    <xf numFmtId="164" fontId="0" fillId="2" borderId="10" xfId="0" applyNumberFormat="1" applyFill="1" applyBorder="1" applyAlignment="1">
      <alignment horizontal="right" vertical="center"/>
    </xf>
    <xf numFmtId="166" fontId="0" fillId="3" borderId="2" xfId="0" applyNumberFormat="1" applyFill="1" applyBorder="1" applyAlignment="1">
      <alignment horizontal="right" vertical="center"/>
    </xf>
    <xf numFmtId="179" fontId="3" fillId="4" borderId="13" xfId="3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39" fontId="0" fillId="2" borderId="0" xfId="0" applyNumberFormat="1" applyFill="1" applyAlignment="1">
      <alignment horizontal="right" vertical="center"/>
    </xf>
    <xf numFmtId="39" fontId="0" fillId="2" borderId="0" xfId="0" applyNumberFormat="1" applyFill="1" applyBorder="1" applyAlignment="1">
      <alignment horizontal="right" vertical="center"/>
    </xf>
    <xf numFmtId="39" fontId="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Continuous" vertical="center"/>
    </xf>
    <xf numFmtId="0" fontId="3" fillId="2" borderId="0" xfId="0" applyFont="1" applyFill="1" applyAlignment="1">
      <alignment horizontal="right" vertical="center"/>
    </xf>
    <xf numFmtId="9" fontId="0" fillId="2" borderId="0" xfId="3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39" fontId="0" fillId="2" borderId="6" xfId="0" applyNumberFormat="1" applyFill="1" applyBorder="1" applyAlignment="1">
      <alignment horizontal="center" vertical="center"/>
    </xf>
    <xf numFmtId="39" fontId="0" fillId="2" borderId="7" xfId="0" applyNumberFormat="1" applyFill="1" applyBorder="1" applyAlignment="1">
      <alignment horizontal="center" vertical="center"/>
    </xf>
    <xf numFmtId="39" fontId="0" fillId="2" borderId="9" xfId="0" applyNumberFormat="1" applyFill="1" applyBorder="1" applyAlignment="1">
      <alignment horizontal="center" vertical="center"/>
    </xf>
    <xf numFmtId="39" fontId="0" fillId="2" borderId="0" xfId="0" applyNumberFormat="1" applyFill="1" applyBorder="1" applyAlignment="1">
      <alignment horizontal="center" vertical="center"/>
    </xf>
    <xf numFmtId="39" fontId="0" fillId="7" borderId="0" xfId="0" applyNumberFormat="1" applyFill="1" applyBorder="1" applyAlignment="1">
      <alignment horizontal="center" vertical="center"/>
    </xf>
    <xf numFmtId="44" fontId="0" fillId="2" borderId="0" xfId="0" applyNumberFormat="1" applyFill="1" applyBorder="1" applyAlignment="1">
      <alignment vertical="center"/>
    </xf>
    <xf numFmtId="9" fontId="0" fillId="2" borderId="0" xfId="3" applyFont="1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2" fillId="6" borderId="0" xfId="0" applyFont="1" applyFill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CFDD-B643-472D-B65D-B5293F6C3A76}">
  <sheetPr codeName="Sheet1"/>
  <dimension ref="A1:Q83"/>
  <sheetViews>
    <sheetView showGridLines="0" tabSelected="1" zoomScaleNormal="100" workbookViewId="0"/>
  </sheetViews>
  <sheetFormatPr defaultColWidth="13.77734375" defaultRowHeight="14.4" x14ac:dyDescent="0.3"/>
  <cols>
    <col min="1" max="1" width="3.77734375" style="2" customWidth="1"/>
    <col min="2" max="2" width="13.77734375" style="54"/>
    <col min="3" max="5" width="13.77734375" style="2"/>
    <col min="6" max="7" width="13.77734375" style="27"/>
    <col min="8" max="8" width="13.77734375" style="2"/>
    <col min="9" max="9" width="13.77734375" style="54"/>
    <col min="10" max="11" width="13.77734375" style="2"/>
    <col min="12" max="14" width="13.77734375" style="27"/>
    <col min="15" max="16384" width="13.77734375" style="2"/>
  </cols>
  <sheetData>
    <row r="1" spans="1:17" x14ac:dyDescent="0.3">
      <c r="F1" s="27" t="s">
        <v>49</v>
      </c>
      <c r="L1" s="2"/>
      <c r="M1" s="2"/>
      <c r="N1" s="2"/>
    </row>
    <row r="2" spans="1:17" s="1" customFormat="1" ht="26.4" thickBot="1" x14ac:dyDescent="0.35">
      <c r="A2" s="1" t="s">
        <v>64</v>
      </c>
      <c r="B2" s="55" t="s">
        <v>32</v>
      </c>
      <c r="F2" s="67"/>
      <c r="G2" s="67"/>
      <c r="I2" s="78"/>
    </row>
    <row r="3" spans="1:17" x14ac:dyDescent="0.3">
      <c r="L3" s="2"/>
      <c r="M3" s="2"/>
      <c r="N3" s="2"/>
    </row>
    <row r="4" spans="1:17" ht="15.6" x14ac:dyDescent="0.3">
      <c r="A4" s="3"/>
      <c r="B4" s="56" t="s">
        <v>60</v>
      </c>
      <c r="C4" s="15"/>
      <c r="D4" s="15"/>
      <c r="E4" s="15"/>
      <c r="F4" s="33"/>
      <c r="G4" s="33"/>
      <c r="H4" s="15"/>
      <c r="I4" s="79"/>
      <c r="J4" s="15"/>
      <c r="K4" s="15"/>
      <c r="L4" s="15"/>
      <c r="M4" s="15"/>
      <c r="N4" s="15"/>
    </row>
    <row r="5" spans="1:17" ht="1.95" customHeight="1" x14ac:dyDescent="0.3">
      <c r="L5" s="2"/>
      <c r="M5" s="2"/>
      <c r="N5" s="2"/>
    </row>
    <row r="6" spans="1:17" x14ac:dyDescent="0.3">
      <c r="A6" s="3" t="s">
        <v>59</v>
      </c>
      <c r="B6" s="57" t="s">
        <v>33</v>
      </c>
      <c r="C6" s="14"/>
      <c r="D6" s="14"/>
      <c r="E6" s="14"/>
      <c r="F6" s="30"/>
      <c r="G6" s="30"/>
      <c r="I6" s="57" t="s">
        <v>34</v>
      </c>
      <c r="J6" s="14"/>
      <c r="K6" s="14"/>
      <c r="L6" s="14"/>
      <c r="M6" s="14"/>
      <c r="N6" s="14"/>
    </row>
    <row r="7" spans="1:17" x14ac:dyDescent="0.3">
      <c r="B7" s="54" t="s">
        <v>7</v>
      </c>
      <c r="G7" s="17">
        <v>559.96</v>
      </c>
      <c r="I7" s="54" t="s">
        <v>11</v>
      </c>
      <c r="L7" s="2"/>
      <c r="M7" s="2"/>
      <c r="N7" s="17">
        <v>302.47000000000003</v>
      </c>
    </row>
    <row r="8" spans="1:17" x14ac:dyDescent="0.3">
      <c r="B8" s="54" t="s">
        <v>8</v>
      </c>
      <c r="G8" s="23">
        <f>155334/1000</f>
        <v>155.334</v>
      </c>
      <c r="I8" s="54" t="s">
        <v>12</v>
      </c>
      <c r="L8" s="2"/>
      <c r="M8" s="2"/>
      <c r="N8" s="18">
        <v>0.28999999999999998</v>
      </c>
    </row>
    <row r="9" spans="1:17" x14ac:dyDescent="0.3">
      <c r="B9" s="54" t="s">
        <v>9</v>
      </c>
      <c r="G9" s="17">
        <v>14.13</v>
      </c>
      <c r="I9" s="54" t="s">
        <v>13</v>
      </c>
      <c r="L9" s="2"/>
      <c r="M9" s="2"/>
      <c r="N9" s="19">
        <f>N7*(1+N8)</f>
        <v>390.18630000000007</v>
      </c>
    </row>
    <row r="10" spans="1:17" x14ac:dyDescent="0.3">
      <c r="B10" s="54" t="s">
        <v>10</v>
      </c>
      <c r="G10" s="24">
        <f>N11/G7*G15</f>
        <v>30.331665951442961</v>
      </c>
      <c r="I10" s="54" t="s">
        <v>14</v>
      </c>
      <c r="L10" s="2"/>
      <c r="M10" s="2"/>
      <c r="N10" s="20">
        <f>87916143/1000000</f>
        <v>87.916143000000005</v>
      </c>
      <c r="Q10" s="16"/>
    </row>
    <row r="11" spans="1:17" x14ac:dyDescent="0.3">
      <c r="I11" s="59" t="s">
        <v>31</v>
      </c>
      <c r="J11" s="4"/>
      <c r="K11" s="4"/>
      <c r="L11" s="4"/>
      <c r="M11" s="4"/>
      <c r="N11" s="21">
        <f>N9*N10</f>
        <v>34303.674547440911</v>
      </c>
      <c r="O11" s="5"/>
    </row>
    <row r="12" spans="1:17" x14ac:dyDescent="0.3">
      <c r="G12" s="68"/>
      <c r="I12" s="54" t="s">
        <v>9</v>
      </c>
      <c r="L12" s="2"/>
      <c r="M12" s="2"/>
      <c r="N12" s="22">
        <v>12.65</v>
      </c>
    </row>
    <row r="13" spans="1:17" x14ac:dyDescent="0.3">
      <c r="L13" s="2"/>
      <c r="M13" s="2"/>
      <c r="N13" s="2"/>
    </row>
    <row r="14" spans="1:17" x14ac:dyDescent="0.3">
      <c r="A14" s="3" t="s">
        <v>59</v>
      </c>
      <c r="B14" s="57" t="s">
        <v>3</v>
      </c>
      <c r="C14" s="14"/>
      <c r="D14" s="14"/>
      <c r="E14" s="14"/>
      <c r="F14" s="30"/>
      <c r="G14" s="30"/>
      <c r="I14" s="57" t="s">
        <v>4</v>
      </c>
      <c r="J14" s="14"/>
      <c r="K14" s="14"/>
      <c r="L14" s="14"/>
      <c r="M14" s="14"/>
      <c r="N14" s="14"/>
    </row>
    <row r="15" spans="1:17" x14ac:dyDescent="0.3">
      <c r="B15" s="54" t="s">
        <v>16</v>
      </c>
      <c r="G15" s="25">
        <f>193.19/N9</f>
        <v>0.49512245816934108</v>
      </c>
      <c r="I15" s="54" t="s">
        <v>18</v>
      </c>
      <c r="L15" s="2"/>
      <c r="N15" s="28">
        <v>0.19800000000000001</v>
      </c>
    </row>
    <row r="16" spans="1:17" x14ac:dyDescent="0.3">
      <c r="B16" s="54" t="s">
        <v>15</v>
      </c>
      <c r="E16" s="7"/>
      <c r="G16" s="26">
        <v>0</v>
      </c>
      <c r="I16" s="54" t="s">
        <v>19</v>
      </c>
      <c r="L16" s="2"/>
      <c r="N16" s="29">
        <v>400</v>
      </c>
    </row>
    <row r="17" spans="1:14" x14ac:dyDescent="0.3">
      <c r="B17" s="54" t="s">
        <v>17</v>
      </c>
      <c r="E17" s="7"/>
      <c r="G17" s="26">
        <f>197/N9</f>
        <v>0.50488702448035716</v>
      </c>
      <c r="I17" s="54" t="s">
        <v>63</v>
      </c>
      <c r="L17" s="2"/>
      <c r="N17" s="25">
        <v>0</v>
      </c>
    </row>
    <row r="18" spans="1:14" x14ac:dyDescent="0.3">
      <c r="G18" s="72"/>
      <c r="L18" s="2"/>
    </row>
    <row r="19" spans="1:14" x14ac:dyDescent="0.3">
      <c r="A19" s="3" t="s">
        <v>59</v>
      </c>
      <c r="B19" s="57" t="s">
        <v>5</v>
      </c>
      <c r="C19" s="14"/>
      <c r="D19" s="14"/>
      <c r="E19" s="14"/>
      <c r="F19" s="30"/>
      <c r="G19" s="30"/>
      <c r="I19" s="57" t="s">
        <v>6</v>
      </c>
      <c r="J19" s="14"/>
      <c r="K19" s="14"/>
      <c r="L19" s="14"/>
      <c r="M19" s="30"/>
      <c r="N19" s="30"/>
    </row>
    <row r="20" spans="1:14" x14ac:dyDescent="0.3">
      <c r="B20" s="54" t="s">
        <v>65</v>
      </c>
      <c r="G20" s="76">
        <f>G15*N11</f>
        <v>16984.519666170003</v>
      </c>
      <c r="I20" s="54" t="s">
        <v>21</v>
      </c>
      <c r="L20" s="2"/>
      <c r="N20" s="31">
        <f>8051431/1000</f>
        <v>8051.4309999999996</v>
      </c>
    </row>
    <row r="21" spans="1:14" x14ac:dyDescent="0.3">
      <c r="B21" s="54" t="s">
        <v>56</v>
      </c>
      <c r="G21" s="6">
        <f>AVERAGE(2,3,5,7,10,30)</f>
        <v>9.5</v>
      </c>
      <c r="I21" s="54" t="s">
        <v>35</v>
      </c>
      <c r="L21" s="2"/>
      <c r="N21" s="31">
        <v>13000</v>
      </c>
    </row>
    <row r="22" spans="1:14" x14ac:dyDescent="0.3">
      <c r="B22" s="54" t="s">
        <v>62</v>
      </c>
      <c r="G22" s="69">
        <f>AVERAGE(4.84%,4.85%,4.98%,5.15%,5.27%,5.8%)</f>
        <v>5.1483333333333332E-2</v>
      </c>
      <c r="I22" s="54" t="s">
        <v>22</v>
      </c>
      <c r="L22" s="2"/>
      <c r="N22" s="32">
        <f>N21-N20</f>
        <v>4948.5690000000004</v>
      </c>
    </row>
    <row r="23" spans="1:14" x14ac:dyDescent="0.3">
      <c r="B23" s="54" t="s">
        <v>20</v>
      </c>
      <c r="G23" s="70">
        <f>M32/G21</f>
        <v>10.526315789473685</v>
      </c>
      <c r="I23" s="54" t="s">
        <v>57</v>
      </c>
      <c r="L23" s="2"/>
      <c r="N23" s="6">
        <v>10</v>
      </c>
    </row>
    <row r="24" spans="1:14" x14ac:dyDescent="0.3">
      <c r="I24" s="54" t="s">
        <v>36</v>
      </c>
      <c r="L24" s="2"/>
      <c r="N24" s="32">
        <f>N22/N23</f>
        <v>494.85690000000005</v>
      </c>
    </row>
    <row r="25" spans="1:14" x14ac:dyDescent="0.3">
      <c r="L25" s="2"/>
    </row>
    <row r="26" spans="1:14" x14ac:dyDescent="0.3">
      <c r="L26" s="2"/>
    </row>
    <row r="27" spans="1:14" ht="15.6" x14ac:dyDescent="0.3">
      <c r="A27" s="3" t="s">
        <v>59</v>
      </c>
      <c r="B27" s="56" t="s">
        <v>61</v>
      </c>
      <c r="C27" s="15"/>
      <c r="D27" s="15"/>
      <c r="E27" s="15"/>
      <c r="F27" s="33"/>
      <c r="G27" s="33"/>
      <c r="H27" s="15"/>
      <c r="I27" s="79"/>
      <c r="J27" s="15"/>
      <c r="K27" s="15"/>
      <c r="L27" s="15"/>
      <c r="M27" s="33"/>
      <c r="N27" s="33"/>
    </row>
    <row r="28" spans="1:14" ht="1.95" customHeight="1" x14ac:dyDescent="0.3">
      <c r="L28" s="2"/>
    </row>
    <row r="29" spans="1:14" x14ac:dyDescent="0.3">
      <c r="B29" s="57" t="s">
        <v>24</v>
      </c>
      <c r="C29" s="14"/>
      <c r="D29" s="14"/>
      <c r="E29" s="14"/>
      <c r="F29" s="30"/>
      <c r="G29" s="30"/>
      <c r="I29" s="57" t="s">
        <v>23</v>
      </c>
      <c r="J29" s="14"/>
      <c r="K29" s="14"/>
      <c r="L29" s="14"/>
      <c r="M29" s="30"/>
      <c r="N29" s="30"/>
    </row>
    <row r="30" spans="1:14" x14ac:dyDescent="0.3">
      <c r="F30" s="12" t="s">
        <v>25</v>
      </c>
      <c r="G30" s="12" t="s">
        <v>26</v>
      </c>
      <c r="L30" s="2"/>
      <c r="M30" s="12" t="s">
        <v>25</v>
      </c>
      <c r="N30" s="12" t="s">
        <v>26</v>
      </c>
    </row>
    <row r="31" spans="1:14" x14ac:dyDescent="0.3">
      <c r="B31" s="54" t="s">
        <v>58</v>
      </c>
      <c r="F31" s="41">
        <f>G10*G7</f>
        <v>16984.519666170003</v>
      </c>
      <c r="G31" s="74">
        <f>F31/F34</f>
        <v>0.49225248872600791</v>
      </c>
      <c r="I31" s="54" t="s">
        <v>30</v>
      </c>
      <c r="L31" s="2"/>
      <c r="M31" s="34">
        <f>N11</f>
        <v>34303.674547440911</v>
      </c>
      <c r="N31" s="35">
        <f>M31/M34</f>
        <v>0.99420351592625278</v>
      </c>
    </row>
    <row r="32" spans="1:14" x14ac:dyDescent="0.3">
      <c r="B32" s="54" t="s">
        <v>27</v>
      </c>
      <c r="F32" s="34">
        <f>G20</f>
        <v>16984.519666170003</v>
      </c>
      <c r="G32" s="74">
        <f>F32/F34</f>
        <v>0.49225248872600791</v>
      </c>
      <c r="I32" s="54" t="s">
        <v>37</v>
      </c>
      <c r="L32" s="2"/>
      <c r="M32" s="36">
        <v>100</v>
      </c>
      <c r="N32" s="35">
        <f>M32/M34</f>
        <v>2.898242036873631E-3</v>
      </c>
    </row>
    <row r="33" spans="1:14" x14ac:dyDescent="0.3">
      <c r="B33" s="58" t="s">
        <v>28</v>
      </c>
      <c r="F33" s="34">
        <f>F34-SUM(F31:F32)</f>
        <v>534.63521510090504</v>
      </c>
      <c r="G33" s="74">
        <f>F33/F34</f>
        <v>1.5495022547984188E-2</v>
      </c>
      <c r="I33" s="54" t="s">
        <v>38</v>
      </c>
      <c r="L33" s="2"/>
      <c r="M33" s="36">
        <v>100</v>
      </c>
      <c r="N33" s="35">
        <f>M33/M34</f>
        <v>2.898242036873631E-3</v>
      </c>
    </row>
    <row r="34" spans="1:14" x14ac:dyDescent="0.3">
      <c r="B34" s="59" t="s">
        <v>29</v>
      </c>
      <c r="C34" s="4"/>
      <c r="D34" s="4"/>
      <c r="E34" s="4"/>
      <c r="F34" s="37">
        <f>M34</f>
        <v>34503.674547440911</v>
      </c>
      <c r="G34" s="71">
        <f>SUM(G31:G33)</f>
        <v>1</v>
      </c>
      <c r="I34" s="59" t="s">
        <v>29</v>
      </c>
      <c r="J34" s="4"/>
      <c r="K34" s="4"/>
      <c r="L34" s="4"/>
      <c r="M34" s="37">
        <f>SUM(M31:M33)</f>
        <v>34503.674547440911</v>
      </c>
      <c r="N34" s="73">
        <f>SUM(N31:N33)</f>
        <v>1</v>
      </c>
    </row>
    <row r="35" spans="1:14" x14ac:dyDescent="0.3">
      <c r="L35" s="2"/>
    </row>
    <row r="36" spans="1:14" ht="15.6" x14ac:dyDescent="0.3">
      <c r="A36" s="3" t="s">
        <v>59</v>
      </c>
      <c r="B36" s="56" t="s">
        <v>67</v>
      </c>
      <c r="C36" s="15"/>
      <c r="D36" s="15"/>
      <c r="E36" s="15"/>
      <c r="F36" s="33"/>
      <c r="G36" s="33"/>
      <c r="H36" s="15"/>
      <c r="I36" s="79"/>
      <c r="J36" s="15"/>
      <c r="K36" s="15"/>
      <c r="L36" s="15"/>
      <c r="M36" s="33"/>
      <c r="N36" s="33"/>
    </row>
    <row r="37" spans="1:14" ht="1.95" customHeight="1" x14ac:dyDescent="0.3">
      <c r="L37" s="2"/>
    </row>
    <row r="38" spans="1:14" x14ac:dyDescent="0.3">
      <c r="B38" s="57"/>
      <c r="C38" s="14"/>
      <c r="D38" s="14"/>
      <c r="E38" s="14"/>
      <c r="F38" s="30"/>
      <c r="G38" s="30"/>
      <c r="H38" s="13"/>
      <c r="I38" s="80"/>
      <c r="J38" s="14"/>
      <c r="K38" s="14"/>
      <c r="L38" s="38" t="s">
        <v>1</v>
      </c>
      <c r="M38" s="38" t="s">
        <v>2</v>
      </c>
      <c r="N38" s="38" t="s">
        <v>39</v>
      </c>
    </row>
    <row r="39" spans="1:14" ht="1.95" customHeight="1" x14ac:dyDescent="0.3">
      <c r="L39" s="2"/>
    </row>
    <row r="40" spans="1:14" ht="15.6" x14ac:dyDescent="0.3">
      <c r="B40" s="60" t="s">
        <v>0</v>
      </c>
      <c r="C40" s="8"/>
      <c r="D40" s="8"/>
      <c r="E40" s="8"/>
      <c r="F40" s="39"/>
      <c r="G40" s="39"/>
      <c r="H40" s="8"/>
      <c r="I40" s="81"/>
      <c r="J40" s="8"/>
      <c r="K40" s="8"/>
      <c r="L40" s="8"/>
      <c r="M40" s="39"/>
      <c r="N40" s="40"/>
    </row>
    <row r="41" spans="1:14" x14ac:dyDescent="0.3">
      <c r="B41" s="61" t="s">
        <v>40</v>
      </c>
      <c r="L41" s="41">
        <f>G9*G8</f>
        <v>2194.86942</v>
      </c>
      <c r="M41" s="41">
        <f>N12*N10</f>
        <v>1112.13920895</v>
      </c>
      <c r="N41" s="42">
        <f>L41+M41</f>
        <v>3307.00862895</v>
      </c>
    </row>
    <row r="42" spans="1:14" x14ac:dyDescent="0.3">
      <c r="B42" s="61" t="s">
        <v>41</v>
      </c>
      <c r="L42" s="41">
        <f>L41/(1-16%)</f>
        <v>2612.9397857142858</v>
      </c>
      <c r="M42" s="41">
        <f>M41/(1-N15)</f>
        <v>1386.7072430798005</v>
      </c>
      <c r="N42" s="42">
        <f>L42+M42</f>
        <v>3999.6470287940865</v>
      </c>
    </row>
    <row r="43" spans="1:14" x14ac:dyDescent="0.3">
      <c r="B43" s="61"/>
      <c r="N43" s="43"/>
    </row>
    <row r="44" spans="1:14" x14ac:dyDescent="0.3">
      <c r="B44" s="61" t="s">
        <v>66</v>
      </c>
      <c r="G44" s="27" t="s">
        <v>49</v>
      </c>
      <c r="N44" s="42">
        <f>M42+L42</f>
        <v>3999.6470287940865</v>
      </c>
    </row>
    <row r="45" spans="1:14" x14ac:dyDescent="0.3">
      <c r="B45" s="61" t="s">
        <v>42</v>
      </c>
      <c r="N45" s="44">
        <f>G20*G22*-1</f>
        <v>-874.41968747998567</v>
      </c>
    </row>
    <row r="46" spans="1:14" x14ac:dyDescent="0.3">
      <c r="B46" s="61" t="s">
        <v>43</v>
      </c>
      <c r="N46" s="45">
        <f>F33*N17</f>
        <v>0</v>
      </c>
    </row>
    <row r="47" spans="1:14" x14ac:dyDescent="0.3">
      <c r="B47" s="61" t="s">
        <v>44</v>
      </c>
      <c r="N47" s="75">
        <f>N24*-1</f>
        <v>-494.85690000000005</v>
      </c>
    </row>
    <row r="48" spans="1:14" x14ac:dyDescent="0.3">
      <c r="B48" s="61" t="s">
        <v>45</v>
      </c>
      <c r="N48" s="45">
        <f>M33*-1</f>
        <v>-100</v>
      </c>
    </row>
    <row r="49" spans="1:14" x14ac:dyDescent="0.3">
      <c r="B49" s="61" t="s">
        <v>46</v>
      </c>
      <c r="N49" s="45">
        <f>M32*-1</f>
        <v>-100</v>
      </c>
    </row>
    <row r="50" spans="1:14" x14ac:dyDescent="0.3">
      <c r="B50" s="61" t="s">
        <v>47</v>
      </c>
      <c r="N50" s="45">
        <f>N16</f>
        <v>400</v>
      </c>
    </row>
    <row r="51" spans="1:14" x14ac:dyDescent="0.3">
      <c r="B51" s="62" t="s">
        <v>48</v>
      </c>
      <c r="C51" s="9"/>
      <c r="D51" s="9"/>
      <c r="E51" s="9"/>
      <c r="F51" s="46"/>
      <c r="G51" s="46"/>
      <c r="H51" s="9"/>
      <c r="I51" s="82"/>
      <c r="J51" s="9"/>
      <c r="K51" s="9"/>
      <c r="L51" s="46"/>
      <c r="M51" s="46"/>
      <c r="N51" s="47">
        <f>SUM(N44:N50)</f>
        <v>2830.3704413141008</v>
      </c>
    </row>
    <row r="52" spans="1:14" x14ac:dyDescent="0.3">
      <c r="B52" s="61"/>
      <c r="N52" s="43"/>
    </row>
    <row r="53" spans="1:14" x14ac:dyDescent="0.3">
      <c r="B53" s="62" t="s">
        <v>50</v>
      </c>
      <c r="C53" s="9"/>
      <c r="D53" s="9"/>
      <c r="E53" s="9"/>
      <c r="F53" s="46"/>
      <c r="G53" s="46"/>
      <c r="H53" s="9"/>
      <c r="I53" s="82"/>
      <c r="J53" s="9"/>
      <c r="K53" s="9"/>
      <c r="L53" s="46"/>
      <c r="M53" s="46"/>
      <c r="N53" s="47">
        <f>N51*(1-N15)</f>
        <v>2269.9570939339092</v>
      </c>
    </row>
    <row r="54" spans="1:14" x14ac:dyDescent="0.3">
      <c r="B54" s="61" t="s">
        <v>51</v>
      </c>
      <c r="N54" s="48">
        <f>G8+G10</f>
        <v>185.66566595144297</v>
      </c>
    </row>
    <row r="55" spans="1:14" x14ac:dyDescent="0.3">
      <c r="B55" s="61"/>
      <c r="N55" s="43"/>
    </row>
    <row r="56" spans="1:14" x14ac:dyDescent="0.3">
      <c r="B56" s="63" t="s">
        <v>52</v>
      </c>
      <c r="C56" s="10"/>
      <c r="D56" s="10"/>
      <c r="E56" s="10"/>
      <c r="F56" s="49"/>
      <c r="G56" s="49"/>
      <c r="H56" s="10"/>
      <c r="I56" s="83"/>
      <c r="J56" s="10"/>
      <c r="K56" s="10"/>
      <c r="L56" s="49"/>
      <c r="M56" s="49"/>
      <c r="N56" s="50">
        <f>N53/N54</f>
        <v>12.226046653814656</v>
      </c>
    </row>
    <row r="57" spans="1:14" x14ac:dyDescent="0.3">
      <c r="B57" s="64" t="s">
        <v>53</v>
      </c>
      <c r="C57" s="11"/>
      <c r="D57" s="11"/>
      <c r="E57" s="11"/>
      <c r="F57" s="51"/>
      <c r="G57" s="51"/>
      <c r="H57" s="11"/>
      <c r="I57" s="84"/>
      <c r="J57" s="11"/>
      <c r="K57" s="11"/>
      <c r="L57" s="51"/>
      <c r="M57" s="51"/>
      <c r="N57" s="52">
        <f>G9</f>
        <v>14.13</v>
      </c>
    </row>
    <row r="58" spans="1:14" x14ac:dyDescent="0.3">
      <c r="B58" s="65" t="s">
        <v>54</v>
      </c>
      <c r="C58" s="10"/>
      <c r="D58" s="10"/>
      <c r="E58" s="10"/>
      <c r="F58" s="49"/>
      <c r="G58" s="49"/>
      <c r="H58" s="10"/>
      <c r="I58" s="83"/>
      <c r="J58" s="10"/>
      <c r="K58" s="10"/>
      <c r="L58" s="49"/>
      <c r="M58" s="49"/>
      <c r="N58" s="53">
        <f>N56-N57</f>
        <v>-1.9039533461853448</v>
      </c>
    </row>
    <row r="59" spans="1:14" x14ac:dyDescent="0.3">
      <c r="A59" s="3"/>
      <c r="B59" s="66" t="s">
        <v>55</v>
      </c>
      <c r="C59" s="11"/>
      <c r="D59" s="11"/>
      <c r="E59" s="11"/>
      <c r="F59" s="51"/>
      <c r="G59" s="51"/>
      <c r="H59" s="11"/>
      <c r="I59" s="84"/>
      <c r="J59" s="11"/>
      <c r="K59" s="11"/>
      <c r="L59" s="51"/>
      <c r="M59" s="51"/>
      <c r="N59" s="77">
        <f>N56/N57-1</f>
        <v>-0.13474545974418572</v>
      </c>
    </row>
    <row r="63" spans="1:14" x14ac:dyDescent="0.3">
      <c r="A63" s="2" t="s">
        <v>59</v>
      </c>
      <c r="B63" s="104" t="s">
        <v>70</v>
      </c>
      <c r="C63" s="102"/>
      <c r="D63" s="102"/>
      <c r="E63" s="102"/>
      <c r="F63" s="103"/>
      <c r="G63" s="103"/>
      <c r="H63" s="102"/>
      <c r="I63" s="101"/>
    </row>
    <row r="65" spans="1:9" x14ac:dyDescent="0.3">
      <c r="E65" s="88" t="s">
        <v>68</v>
      </c>
      <c r="F65" s="88"/>
      <c r="G65" s="88"/>
      <c r="H65" s="88"/>
      <c r="I65" s="88"/>
    </row>
    <row r="66" spans="1:9" x14ac:dyDescent="0.3">
      <c r="D66" s="87">
        <f>N58</f>
        <v>-1.9039533461853448</v>
      </c>
      <c r="E66" s="90">
        <v>0.1</v>
      </c>
      <c r="F66" s="90">
        <v>0.25</v>
      </c>
      <c r="G66" s="91">
        <v>0.49512245816934108</v>
      </c>
      <c r="H66" s="90">
        <v>0.75</v>
      </c>
      <c r="I66" s="90">
        <v>1</v>
      </c>
    </row>
    <row r="67" spans="1:9" x14ac:dyDescent="0.3">
      <c r="D67" s="27">
        <v>290.19</v>
      </c>
      <c r="E67" s="92">
        <f t="dataTable" ref="E67:I71" dt2D="1" dtr="1" r1="G15" r2="N9"/>
        <v>3.7941980916275515</v>
      </c>
      <c r="F67" s="93">
        <v>2.1117409244554448</v>
      </c>
      <c r="G67" s="93">
        <v>-0.35941567006196884</v>
      </c>
      <c r="H67" s="93">
        <v>-2.6200343635222723</v>
      </c>
      <c r="I67" s="93">
        <v>-4.5835014755771155</v>
      </c>
    </row>
    <row r="68" spans="1:9" x14ac:dyDescent="0.3">
      <c r="D68" s="27">
        <v>340.19</v>
      </c>
      <c r="E68" s="94">
        <v>3.5936629509221607</v>
      </c>
      <c r="F68" s="95">
        <v>1.6537880808790408</v>
      </c>
      <c r="G68" s="95">
        <v>-1.1482251964435388</v>
      </c>
      <c r="H68" s="95">
        <v>-3.6635378957845823</v>
      </c>
      <c r="I68" s="95">
        <v>-5.8120002335143575</v>
      </c>
    </row>
    <row r="69" spans="1:9" x14ac:dyDescent="0.3">
      <c r="C69" s="89" t="s">
        <v>69</v>
      </c>
      <c r="D69" s="85">
        <v>390.18630000000007</v>
      </c>
      <c r="E69" s="94">
        <v>3.3950924436862859</v>
      </c>
      <c r="F69" s="95">
        <v>1.2064013437784258</v>
      </c>
      <c r="G69" s="96">
        <v>-1.9039533461853448</v>
      </c>
      <c r="H69" s="95">
        <v>-4.6459236335853298</v>
      </c>
      <c r="I69" s="95">
        <v>-6.9513671225068263</v>
      </c>
    </row>
    <row r="70" spans="1:9" x14ac:dyDescent="0.3">
      <c r="D70" s="27">
        <v>440.19</v>
      </c>
      <c r="E70" s="94">
        <v>3.1984143930457858</v>
      </c>
      <c r="F70" s="95">
        <v>0.76912324271252608</v>
      </c>
      <c r="G70" s="95">
        <v>-2.6287960436730682</v>
      </c>
      <c r="H70" s="95">
        <v>-5.5726081475413096</v>
      </c>
      <c r="I70" s="95">
        <v>-8.011189837315781</v>
      </c>
    </row>
    <row r="71" spans="1:9" x14ac:dyDescent="0.3">
      <c r="D71" s="27">
        <v>490.19</v>
      </c>
      <c r="E71" s="94">
        <v>3.0036449104456064</v>
      </c>
      <c r="F71" s="95">
        <v>0.3417088332771101</v>
      </c>
      <c r="G71" s="95">
        <v>-3.3244573805618565</v>
      </c>
      <c r="H71" s="95">
        <v>-6.4480092251125534</v>
      </c>
      <c r="I71" s="95">
        <v>-8.999305419841674</v>
      </c>
    </row>
    <row r="77" spans="1:9" x14ac:dyDescent="0.3">
      <c r="A77" s="2" t="s">
        <v>59</v>
      </c>
    </row>
    <row r="78" spans="1:9" x14ac:dyDescent="0.3">
      <c r="D78" s="97"/>
      <c r="E78" s="98"/>
      <c r="F78" s="98"/>
      <c r="G78" s="99"/>
      <c r="H78" s="98"/>
      <c r="I78" s="98"/>
    </row>
    <row r="79" spans="1:9" x14ac:dyDescent="0.3">
      <c r="D79" s="100"/>
      <c r="E79" s="95"/>
      <c r="F79" s="95"/>
      <c r="G79" s="95"/>
      <c r="H79" s="95"/>
      <c r="I79" s="95"/>
    </row>
    <row r="80" spans="1:9" x14ac:dyDescent="0.3">
      <c r="D80" s="100"/>
      <c r="E80" s="95"/>
      <c r="F80" s="95"/>
      <c r="G80" s="95"/>
      <c r="H80" s="95"/>
      <c r="I80" s="95"/>
    </row>
    <row r="81" spans="4:9" x14ac:dyDescent="0.3">
      <c r="D81" s="86"/>
      <c r="E81" s="95"/>
      <c r="F81" s="95"/>
      <c r="G81" s="95"/>
      <c r="H81" s="95"/>
      <c r="I81" s="95"/>
    </row>
    <row r="82" spans="4:9" x14ac:dyDescent="0.3">
      <c r="D82" s="100"/>
      <c r="E82" s="95"/>
      <c r="F82" s="95"/>
      <c r="G82" s="95"/>
      <c r="H82" s="95"/>
      <c r="I82" s="95"/>
    </row>
    <row r="83" spans="4:9" x14ac:dyDescent="0.3">
      <c r="D83" s="100"/>
      <c r="E83" s="95"/>
      <c r="F83" s="95"/>
      <c r="G83" s="95"/>
      <c r="H83" s="95"/>
      <c r="I83" s="9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357-3119-44DE-9D28-639627447CE7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2025-07-01T12:56:01Z</dcterms:created>
  <dcterms:modified xsi:type="dcterms:W3CDTF">2025-09-16T20:12:33Z</dcterms:modified>
</cp:coreProperties>
</file>