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8C2BC10C-97FE-4B9C-834D-C70F6B8BC219}" xr6:coauthVersionLast="47" xr6:coauthVersionMax="47" xr10:uidLastSave="{00000000-0000-0000-0000-000000000000}"/>
  <bookViews>
    <workbookView xWindow="-108" yWindow="-108" windowWidth="23256" windowHeight="12456" activeTab="1" xr2:uid="{850597BA-6F0D-4812-BD6A-6F66DB230F10}"/>
  </bookViews>
  <sheets>
    <sheet name="Cover" sheetId="8" r:id="rId1"/>
    <sheet name="Summary" sheetId="7" r:id="rId2"/>
    <sheet name="DCF" sheetId="1" r:id="rId3"/>
    <sheet name="Shares" sheetId="6" r:id="rId4"/>
    <sheet name="WACC" sheetId="4" r:id="rId5"/>
    <sheet name="COMPS" sheetId="5" r:id="rId6"/>
    <sheet name="Financials&gt;&gt;" sheetId="14" r:id="rId7"/>
    <sheet name="IS" sheetId="2" r:id="rId8"/>
    <sheet name="CFS" sheetId="3" r:id="rId9"/>
    <sheet name="BS" sheetId="10" r:id="rId10"/>
    <sheet name="RAW Data" sheetId="9" state="hidden" r:id="rId11"/>
    <sheet name="Income Statement" sheetId="11" state="hidden" r:id="rId12"/>
    <sheet name="Balance Sheet" sheetId="12" state="hidden" r:id="rId13"/>
    <sheet name="Sheet5" sheetId="16" state="hidden" r:id="rId14"/>
    <sheet name="Assumtions" sheetId="15" state="hidden" r:id="rId15"/>
  </sheets>
  <externalReferences>
    <externalReference r:id="rId16"/>
  </externalReferences>
  <definedNames>
    <definedName name="tgr">DCF!$D$21</definedName>
    <definedName name="wacc">DCF!$D$20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7" l="1"/>
  <c r="E11" i="7"/>
  <c r="F11" i="7"/>
  <c r="G11" i="7"/>
  <c r="H11" i="7"/>
  <c r="I11" i="7"/>
  <c r="J11" i="7"/>
  <c r="K11" i="7"/>
  <c r="L11" i="7"/>
  <c r="M11" i="7"/>
  <c r="D12" i="7"/>
  <c r="E12" i="7"/>
  <c r="F12" i="7"/>
  <c r="G12" i="7"/>
  <c r="H12" i="7"/>
  <c r="I12" i="7"/>
  <c r="J12" i="7"/>
  <c r="K12" i="7"/>
  <c r="L12" i="7"/>
  <c r="M12" i="7"/>
  <c r="D14" i="7"/>
  <c r="E14" i="7"/>
  <c r="F14" i="7"/>
  <c r="G14" i="7"/>
  <c r="H14" i="7"/>
  <c r="I14" i="7"/>
  <c r="J14" i="7"/>
  <c r="K14" i="7"/>
  <c r="L14" i="7"/>
  <c r="M14" i="7"/>
  <c r="D15" i="7"/>
  <c r="E15" i="7"/>
  <c r="F15" i="7"/>
  <c r="G15" i="7"/>
  <c r="H15" i="7"/>
  <c r="I15" i="7"/>
  <c r="J15" i="7"/>
  <c r="K15" i="7"/>
  <c r="L15" i="7"/>
  <c r="M15" i="7"/>
  <c r="D17" i="7"/>
  <c r="E17" i="7"/>
  <c r="F17" i="7"/>
  <c r="G17" i="7"/>
  <c r="H17" i="7"/>
  <c r="I17" i="7"/>
  <c r="J17" i="7"/>
  <c r="K17" i="7"/>
  <c r="L17" i="7"/>
  <c r="M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B40" i="7"/>
  <c r="H60" i="7"/>
  <c r="G60" i="7"/>
  <c r="F60" i="7"/>
  <c r="E60" i="7"/>
  <c r="D60" i="7"/>
  <c r="L25" i="2"/>
  <c r="L24" i="2"/>
  <c r="L23" i="2"/>
  <c r="L22" i="2"/>
  <c r="L21" i="2"/>
  <c r="L20" i="2"/>
  <c r="L19" i="2"/>
  <c r="L17" i="2"/>
  <c r="L15" i="2"/>
  <c r="L14" i="2"/>
  <c r="L13" i="2"/>
  <c r="L12" i="2"/>
  <c r="L11" i="2"/>
  <c r="L10" i="2"/>
  <c r="L8" i="2"/>
  <c r="L7" i="2"/>
  <c r="L6" i="2"/>
  <c r="L5" i="2"/>
  <c r="L4" i="2"/>
  <c r="H67" i="7"/>
  <c r="G67" i="7"/>
  <c r="F67" i="7"/>
  <c r="I67" i="7" s="1"/>
  <c r="E67" i="7"/>
  <c r="D67" i="7"/>
  <c r="G50" i="12"/>
  <c r="G49" i="12"/>
  <c r="U21" i="15"/>
  <c r="T21" i="15"/>
  <c r="S21" i="15"/>
  <c r="R21" i="15"/>
  <c r="Q21" i="15"/>
  <c r="G40" i="16"/>
  <c r="V23" i="15"/>
  <c r="H39" i="16" s="1"/>
  <c r="G38" i="16"/>
  <c r="W22" i="15"/>
  <c r="I37" i="16" s="1"/>
  <c r="V22" i="15"/>
  <c r="H37" i="16" s="1"/>
  <c r="G16" i="15"/>
  <c r="F16" i="15"/>
  <c r="E16" i="15"/>
  <c r="D16" i="15"/>
  <c r="G15" i="15"/>
  <c r="F15" i="15"/>
  <c r="E15" i="15"/>
  <c r="D15" i="15"/>
  <c r="C15" i="15"/>
  <c r="G30" i="16"/>
  <c r="U20" i="15"/>
  <c r="T20" i="15"/>
  <c r="S20" i="15"/>
  <c r="R20" i="15"/>
  <c r="V18" i="15"/>
  <c r="V20" i="15" s="1"/>
  <c r="H29" i="16" s="1"/>
  <c r="W19" i="15"/>
  <c r="W18" i="15" s="1"/>
  <c r="V19" i="15"/>
  <c r="U19" i="15"/>
  <c r="T19" i="15"/>
  <c r="S19" i="15"/>
  <c r="R19" i="15"/>
  <c r="Q19" i="15"/>
  <c r="W6" i="15"/>
  <c r="G22" i="16"/>
  <c r="G21" i="16"/>
  <c r="L23" i="16"/>
  <c r="K23" i="16"/>
  <c r="J23" i="16"/>
  <c r="I23" i="16"/>
  <c r="H23" i="16"/>
  <c r="L11" i="16"/>
  <c r="K11" i="16"/>
  <c r="J11" i="16"/>
  <c r="I11" i="16"/>
  <c r="H11" i="16"/>
  <c r="Z14" i="15"/>
  <c r="Y14" i="15"/>
  <c r="X14" i="15"/>
  <c r="W14" i="15"/>
  <c r="V14" i="15"/>
  <c r="W15" i="15"/>
  <c r="V15" i="15"/>
  <c r="T15" i="15"/>
  <c r="U15" i="15"/>
  <c r="S15" i="15"/>
  <c r="R15" i="15"/>
  <c r="Q15" i="15"/>
  <c r="U11" i="15"/>
  <c r="T11" i="15"/>
  <c r="S11" i="15"/>
  <c r="V11" i="15" s="1"/>
  <c r="R11" i="15"/>
  <c r="Q11" i="15"/>
  <c r="U12" i="15"/>
  <c r="T12" i="15"/>
  <c r="S12" i="15"/>
  <c r="R12" i="15"/>
  <c r="Q12" i="15"/>
  <c r="F40" i="16"/>
  <c r="E40" i="16"/>
  <c r="D40" i="16"/>
  <c r="C40" i="16"/>
  <c r="G39" i="16"/>
  <c r="F39" i="16"/>
  <c r="E39" i="16"/>
  <c r="D39" i="16"/>
  <c r="C39" i="16"/>
  <c r="F38" i="16"/>
  <c r="E38" i="16"/>
  <c r="D38" i="16"/>
  <c r="C38" i="16"/>
  <c r="G37" i="16"/>
  <c r="F37" i="16"/>
  <c r="E37" i="16"/>
  <c r="D37" i="16"/>
  <c r="C37" i="16"/>
  <c r="G36" i="16"/>
  <c r="F36" i="16"/>
  <c r="E36" i="16"/>
  <c r="D36" i="16"/>
  <c r="C36" i="16"/>
  <c r="F35" i="16"/>
  <c r="E35" i="16"/>
  <c r="D35" i="16"/>
  <c r="C35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F31" i="16"/>
  <c r="E31" i="16"/>
  <c r="D31" i="16"/>
  <c r="C31" i="16"/>
  <c r="F30" i="16"/>
  <c r="E30" i="16"/>
  <c r="D30" i="16"/>
  <c r="C30" i="16"/>
  <c r="G29" i="16"/>
  <c r="F29" i="16"/>
  <c r="E29" i="16"/>
  <c r="D29" i="16"/>
  <c r="C29" i="16"/>
  <c r="G28" i="16"/>
  <c r="F28" i="16"/>
  <c r="E28" i="16"/>
  <c r="D28" i="16"/>
  <c r="C28" i="16"/>
  <c r="G27" i="16"/>
  <c r="F27" i="16"/>
  <c r="E27" i="16"/>
  <c r="D27" i="16"/>
  <c r="C27" i="16"/>
  <c r="G26" i="16"/>
  <c r="F26" i="16"/>
  <c r="E26" i="16"/>
  <c r="D26" i="16"/>
  <c r="C26" i="16"/>
  <c r="G25" i="16"/>
  <c r="F25" i="16"/>
  <c r="E25" i="16"/>
  <c r="D25" i="16"/>
  <c r="C25" i="16"/>
  <c r="G24" i="16"/>
  <c r="F24" i="16"/>
  <c r="E24" i="16"/>
  <c r="D24" i="16"/>
  <c r="C24" i="16"/>
  <c r="G23" i="16"/>
  <c r="F23" i="16"/>
  <c r="E23" i="16"/>
  <c r="D23" i="16"/>
  <c r="C23" i="16"/>
  <c r="F22" i="16"/>
  <c r="E22" i="16"/>
  <c r="D22" i="16"/>
  <c r="C22" i="16"/>
  <c r="F21" i="16"/>
  <c r="E21" i="16"/>
  <c r="D21" i="16"/>
  <c r="C21" i="16"/>
  <c r="F20" i="16"/>
  <c r="E20" i="16"/>
  <c r="D20" i="16"/>
  <c r="C20" i="16"/>
  <c r="G19" i="16"/>
  <c r="F19" i="16"/>
  <c r="E19" i="16"/>
  <c r="D19" i="16"/>
  <c r="C19" i="16"/>
  <c r="G18" i="16"/>
  <c r="F18" i="16"/>
  <c r="E18" i="16"/>
  <c r="D18" i="16"/>
  <c r="C18" i="16"/>
  <c r="G17" i="16"/>
  <c r="F17" i="16"/>
  <c r="E17" i="16"/>
  <c r="D17" i="16"/>
  <c r="C17" i="16"/>
  <c r="G16" i="16"/>
  <c r="F16" i="16"/>
  <c r="E16" i="16"/>
  <c r="D16" i="16"/>
  <c r="C16" i="16"/>
  <c r="G15" i="16"/>
  <c r="F15" i="16"/>
  <c r="E15" i="16"/>
  <c r="D15" i="16"/>
  <c r="C15" i="16"/>
  <c r="G14" i="16"/>
  <c r="F14" i="16"/>
  <c r="E14" i="16"/>
  <c r="D14" i="16"/>
  <c r="C14" i="16"/>
  <c r="G13" i="16"/>
  <c r="F13" i="16"/>
  <c r="E13" i="16"/>
  <c r="D13" i="16"/>
  <c r="C13" i="16"/>
  <c r="G12" i="16"/>
  <c r="F12" i="16"/>
  <c r="E12" i="16"/>
  <c r="D12" i="16"/>
  <c r="C12" i="16"/>
  <c r="G11" i="16"/>
  <c r="F11" i="16"/>
  <c r="E11" i="16"/>
  <c r="D11" i="16"/>
  <c r="C11" i="16"/>
  <c r="G10" i="16"/>
  <c r="F10" i="16"/>
  <c r="E10" i="16"/>
  <c r="D10" i="16"/>
  <c r="C10" i="16"/>
  <c r="G9" i="16"/>
  <c r="F9" i="16"/>
  <c r="E9" i="16"/>
  <c r="D9" i="16"/>
  <c r="C9" i="16"/>
  <c r="G8" i="16"/>
  <c r="F8" i="16"/>
  <c r="E8" i="16"/>
  <c r="D8" i="16"/>
  <c r="C8" i="16"/>
  <c r="G7" i="16"/>
  <c r="F7" i="16"/>
  <c r="E7" i="16"/>
  <c r="D7" i="16"/>
  <c r="C7" i="16"/>
  <c r="G6" i="16"/>
  <c r="F6" i="16"/>
  <c r="E6" i="16"/>
  <c r="D6" i="16"/>
  <c r="C6" i="16"/>
  <c r="G5" i="16"/>
  <c r="F5" i="16"/>
  <c r="E5" i="16"/>
  <c r="D5" i="16"/>
  <c r="C5" i="16"/>
  <c r="G4" i="16"/>
  <c r="F4" i="16"/>
  <c r="E4" i="16"/>
  <c r="D4" i="16"/>
  <c r="C4" i="16"/>
  <c r="G88" i="9"/>
  <c r="D88" i="9"/>
  <c r="E88" i="9" s="1"/>
  <c r="S16" i="15"/>
  <c r="I2" i="16"/>
  <c r="J2" i="16" s="1"/>
  <c r="K2" i="16" s="1"/>
  <c r="L2" i="16" s="1"/>
  <c r="G2" i="16"/>
  <c r="E2" i="16"/>
  <c r="D2" i="16" s="1"/>
  <c r="C2" i="16" s="1"/>
  <c r="U10" i="15"/>
  <c r="T10" i="15"/>
  <c r="S10" i="15"/>
  <c r="R10" i="15"/>
  <c r="Q10" i="15"/>
  <c r="J66" i="9"/>
  <c r="K66" i="9" s="1"/>
  <c r="I66" i="9"/>
  <c r="H66" i="9"/>
  <c r="G66" i="9"/>
  <c r="F66" i="9"/>
  <c r="E66" i="9"/>
  <c r="D66" i="9"/>
  <c r="C66" i="9"/>
  <c r="F50" i="12"/>
  <c r="E50" i="12"/>
  <c r="D50" i="12"/>
  <c r="C50" i="12"/>
  <c r="F49" i="12"/>
  <c r="E49" i="12"/>
  <c r="D49" i="12"/>
  <c r="C49" i="12"/>
  <c r="F48" i="12"/>
  <c r="E48" i="12"/>
  <c r="D48" i="12"/>
  <c r="C48" i="12"/>
  <c r="G47" i="12"/>
  <c r="F47" i="12"/>
  <c r="E47" i="12"/>
  <c r="D47" i="12"/>
  <c r="C47" i="12"/>
  <c r="G46" i="12"/>
  <c r="F46" i="12"/>
  <c r="E46" i="12"/>
  <c r="D46" i="12"/>
  <c r="C46" i="12"/>
  <c r="F45" i="12"/>
  <c r="E45" i="12"/>
  <c r="D45" i="12"/>
  <c r="C45" i="12"/>
  <c r="G44" i="12"/>
  <c r="F44" i="12"/>
  <c r="E44" i="12"/>
  <c r="D44" i="12"/>
  <c r="C44" i="12"/>
  <c r="G43" i="12"/>
  <c r="F43" i="12"/>
  <c r="E43" i="12"/>
  <c r="D43" i="12"/>
  <c r="C43" i="12"/>
  <c r="G42" i="12"/>
  <c r="F42" i="12"/>
  <c r="E42" i="12"/>
  <c r="D42" i="12"/>
  <c r="C42" i="12"/>
  <c r="G39" i="12"/>
  <c r="F39" i="12"/>
  <c r="E39" i="12"/>
  <c r="D39" i="12"/>
  <c r="C39" i="12"/>
  <c r="F38" i="12"/>
  <c r="E38" i="12"/>
  <c r="D38" i="12"/>
  <c r="C38" i="12"/>
  <c r="G37" i="12"/>
  <c r="F37" i="12"/>
  <c r="E37" i="12"/>
  <c r="D37" i="12"/>
  <c r="C37" i="12"/>
  <c r="G36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G33" i="12"/>
  <c r="F33" i="12"/>
  <c r="E33" i="12"/>
  <c r="D33" i="12"/>
  <c r="C33" i="12"/>
  <c r="G32" i="12"/>
  <c r="F32" i="12"/>
  <c r="E32" i="12"/>
  <c r="D32" i="12"/>
  <c r="C32" i="12"/>
  <c r="G31" i="12"/>
  <c r="U17" i="15" s="1"/>
  <c r="F31" i="12"/>
  <c r="T17" i="15" s="1"/>
  <c r="E31" i="12"/>
  <c r="S17" i="15" s="1"/>
  <c r="D31" i="12"/>
  <c r="C31" i="12"/>
  <c r="R17" i="15" s="1"/>
  <c r="G30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G27" i="12"/>
  <c r="F27" i="12"/>
  <c r="E27" i="12"/>
  <c r="D27" i="12"/>
  <c r="C27" i="12"/>
  <c r="G26" i="12"/>
  <c r="U16" i="15" s="1"/>
  <c r="F26" i="12"/>
  <c r="T16" i="15" s="1"/>
  <c r="E26" i="12"/>
  <c r="D26" i="12"/>
  <c r="R16" i="15" s="1"/>
  <c r="C26" i="12"/>
  <c r="G25" i="12"/>
  <c r="F25" i="12"/>
  <c r="E25" i="12"/>
  <c r="D25" i="12"/>
  <c r="C25" i="12"/>
  <c r="G22" i="12"/>
  <c r="F22" i="12"/>
  <c r="E22" i="12"/>
  <c r="D22" i="12"/>
  <c r="C22" i="12"/>
  <c r="G21" i="12"/>
  <c r="F21" i="12"/>
  <c r="E21" i="12"/>
  <c r="D21" i="12"/>
  <c r="C21" i="12"/>
  <c r="G20" i="12"/>
  <c r="F20" i="12"/>
  <c r="E20" i="12"/>
  <c r="D20" i="12"/>
  <c r="C20" i="12"/>
  <c r="G19" i="12"/>
  <c r="F19" i="12"/>
  <c r="E19" i="12"/>
  <c r="D19" i="12"/>
  <c r="C19" i="12"/>
  <c r="G18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G15" i="12"/>
  <c r="F15" i="12"/>
  <c r="E15" i="12"/>
  <c r="D15" i="12"/>
  <c r="C15" i="12"/>
  <c r="G14" i="12"/>
  <c r="F14" i="12"/>
  <c r="E14" i="12"/>
  <c r="D14" i="12"/>
  <c r="C14" i="12"/>
  <c r="G13" i="12"/>
  <c r="F13" i="12"/>
  <c r="E13" i="12"/>
  <c r="D13" i="12"/>
  <c r="C13" i="12"/>
  <c r="G12" i="12"/>
  <c r="F12" i="12"/>
  <c r="E12" i="12"/>
  <c r="D12" i="12"/>
  <c r="C12" i="12"/>
  <c r="G11" i="12"/>
  <c r="F11" i="12"/>
  <c r="E11" i="12"/>
  <c r="D11" i="12"/>
  <c r="C11" i="12"/>
  <c r="G10" i="12"/>
  <c r="F10" i="12"/>
  <c r="E10" i="12"/>
  <c r="D10" i="12"/>
  <c r="C10" i="12"/>
  <c r="G9" i="12"/>
  <c r="F9" i="12"/>
  <c r="E9" i="12"/>
  <c r="D9" i="12"/>
  <c r="C9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F5" i="12"/>
  <c r="E5" i="12"/>
  <c r="D5" i="12"/>
  <c r="C5" i="12"/>
  <c r="G4" i="12"/>
  <c r="F4" i="12"/>
  <c r="E4" i="12"/>
  <c r="D4" i="12"/>
  <c r="C4" i="12"/>
  <c r="E2" i="12"/>
  <c r="D2" i="12" s="1"/>
  <c r="C2" i="12" s="1"/>
  <c r="U6" i="15"/>
  <c r="T6" i="15"/>
  <c r="S6" i="15"/>
  <c r="R6" i="15"/>
  <c r="Q6" i="15"/>
  <c r="U4" i="15"/>
  <c r="T4" i="15"/>
  <c r="S4" i="15"/>
  <c r="R4" i="15"/>
  <c r="Q4" i="15"/>
  <c r="W3" i="15"/>
  <c r="X3" i="15" s="1"/>
  <c r="Y3" i="15" s="1"/>
  <c r="Z3" i="15" s="1"/>
  <c r="R3" i="15"/>
  <c r="S3" i="15" s="1"/>
  <c r="T3" i="15" s="1"/>
  <c r="U3" i="15" s="1"/>
  <c r="D33" i="9"/>
  <c r="E33" i="9" s="1"/>
  <c r="G14" i="15"/>
  <c r="C14" i="15"/>
  <c r="E8" i="15"/>
  <c r="F7" i="15"/>
  <c r="C5" i="15"/>
  <c r="D3" i="15"/>
  <c r="E3" i="15" s="1"/>
  <c r="F3" i="15" s="1"/>
  <c r="G3" i="15" s="1"/>
  <c r="I3" i="15"/>
  <c r="J3" i="15" s="1"/>
  <c r="K3" i="15" s="1"/>
  <c r="L3" i="15" s="1"/>
  <c r="J63" i="7"/>
  <c r="H57" i="7"/>
  <c r="I63" i="7" s="1"/>
  <c r="G57" i="7"/>
  <c r="F57" i="7"/>
  <c r="E57" i="7"/>
  <c r="D57" i="7"/>
  <c r="D52" i="7"/>
  <c r="C52" i="7"/>
  <c r="D51" i="7"/>
  <c r="C51" i="7"/>
  <c r="D50" i="7"/>
  <c r="C50" i="7"/>
  <c r="M68" i="7"/>
  <c r="L68" i="7"/>
  <c r="K68" i="7"/>
  <c r="J68" i="7"/>
  <c r="I68" i="7"/>
  <c r="H68" i="7"/>
  <c r="G68" i="7"/>
  <c r="F68" i="7"/>
  <c r="E68" i="7"/>
  <c r="D68" i="7"/>
  <c r="M64" i="7"/>
  <c r="L64" i="7"/>
  <c r="K64" i="7"/>
  <c r="J64" i="7"/>
  <c r="I64" i="7"/>
  <c r="H64" i="7"/>
  <c r="G64" i="7"/>
  <c r="F64" i="7"/>
  <c r="E64" i="7"/>
  <c r="M62" i="7"/>
  <c r="L62" i="7"/>
  <c r="K62" i="7"/>
  <c r="J62" i="7"/>
  <c r="I62" i="7"/>
  <c r="H62" i="7"/>
  <c r="G62" i="7"/>
  <c r="F62" i="7"/>
  <c r="E62" i="7"/>
  <c r="H59" i="7"/>
  <c r="G59" i="7"/>
  <c r="F59" i="7"/>
  <c r="E59" i="7"/>
  <c r="D59" i="7"/>
  <c r="I5" i="11"/>
  <c r="I4" i="15" s="1"/>
  <c r="I32" i="12" s="1"/>
  <c r="H5" i="11"/>
  <c r="H4" i="15" s="1"/>
  <c r="H32" i="12" s="1"/>
  <c r="G33" i="9"/>
  <c r="I2" i="12"/>
  <c r="J2" i="12" s="1"/>
  <c r="K2" i="12" s="1"/>
  <c r="L2" i="12" s="1"/>
  <c r="G2" i="12"/>
  <c r="O29" i="1"/>
  <c r="C17" i="9"/>
  <c r="D17" i="9"/>
  <c r="E17" i="9"/>
  <c r="F17" i="9"/>
  <c r="G17" i="9"/>
  <c r="I2" i="11"/>
  <c r="J2" i="11" s="1"/>
  <c r="K2" i="11" s="1"/>
  <c r="L2" i="11" s="1"/>
  <c r="D2" i="11"/>
  <c r="E2" i="11" s="1"/>
  <c r="F2" i="11" s="1"/>
  <c r="G2" i="11" s="1"/>
  <c r="C5" i="10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G26" i="9"/>
  <c r="F26" i="9"/>
  <c r="E26" i="9"/>
  <c r="D26" i="9"/>
  <c r="C26" i="9"/>
  <c r="G25" i="9"/>
  <c r="F25" i="9"/>
  <c r="E25" i="9"/>
  <c r="D25" i="9"/>
  <c r="C25" i="9"/>
  <c r="G24" i="9"/>
  <c r="F24" i="9"/>
  <c r="E24" i="9"/>
  <c r="D24" i="9"/>
  <c r="C24" i="9"/>
  <c r="G23" i="9"/>
  <c r="F23" i="9"/>
  <c r="E23" i="9"/>
  <c r="D23" i="9"/>
  <c r="C23" i="9"/>
  <c r="G22" i="9"/>
  <c r="F22" i="9"/>
  <c r="E22" i="9"/>
  <c r="D22" i="9"/>
  <c r="C22" i="9"/>
  <c r="G21" i="9"/>
  <c r="F21" i="9"/>
  <c r="E21" i="9"/>
  <c r="D21" i="9"/>
  <c r="C21" i="9"/>
  <c r="G20" i="9"/>
  <c r="G21" i="11" s="1"/>
  <c r="F20" i="9"/>
  <c r="F21" i="11" s="1"/>
  <c r="E20" i="9"/>
  <c r="E21" i="11" s="1"/>
  <c r="D20" i="9"/>
  <c r="D21" i="11" s="1"/>
  <c r="C20" i="9"/>
  <c r="C21" i="11" s="1"/>
  <c r="G19" i="9"/>
  <c r="F19" i="9"/>
  <c r="E19" i="9"/>
  <c r="D19" i="9"/>
  <c r="C19" i="9"/>
  <c r="G18" i="9"/>
  <c r="G19" i="11" s="1"/>
  <c r="F18" i="9"/>
  <c r="F19" i="11" s="1"/>
  <c r="E18" i="9"/>
  <c r="E19" i="11" s="1"/>
  <c r="D18" i="9"/>
  <c r="D19" i="11" s="1"/>
  <c r="C18" i="9"/>
  <c r="C19" i="11" s="1"/>
  <c r="G15" i="9"/>
  <c r="G17" i="11" s="1"/>
  <c r="F15" i="9"/>
  <c r="F17" i="11" s="1"/>
  <c r="E15" i="9"/>
  <c r="E17" i="11" s="1"/>
  <c r="D15" i="9"/>
  <c r="D17" i="11" s="1"/>
  <c r="C15" i="9"/>
  <c r="C17" i="11" s="1"/>
  <c r="G14" i="9"/>
  <c r="F14" i="9"/>
  <c r="E14" i="9"/>
  <c r="D14" i="9"/>
  <c r="C14" i="9"/>
  <c r="G13" i="9"/>
  <c r="F13" i="9"/>
  <c r="F15" i="11" s="1"/>
  <c r="E13" i="9"/>
  <c r="E15" i="11" s="1"/>
  <c r="D13" i="9"/>
  <c r="D15" i="11" s="1"/>
  <c r="C13" i="9"/>
  <c r="C15" i="11" s="1"/>
  <c r="G12" i="9"/>
  <c r="F12" i="9"/>
  <c r="E12" i="9"/>
  <c r="D12" i="9"/>
  <c r="C12" i="9"/>
  <c r="G11" i="9"/>
  <c r="G11" i="15" s="1"/>
  <c r="F11" i="9"/>
  <c r="F11" i="15" s="1"/>
  <c r="E11" i="9"/>
  <c r="E11" i="15" s="1"/>
  <c r="D11" i="9"/>
  <c r="D11" i="15" s="1"/>
  <c r="C11" i="9"/>
  <c r="C11" i="15" s="1"/>
  <c r="G10" i="9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G8" i="15" s="1"/>
  <c r="F7" i="9"/>
  <c r="F8" i="15" s="1"/>
  <c r="E7" i="9"/>
  <c r="D7" i="9"/>
  <c r="D8" i="15" s="1"/>
  <c r="C7" i="9"/>
  <c r="C8" i="15" s="1"/>
  <c r="G6" i="9"/>
  <c r="G7" i="11" s="1"/>
  <c r="F6" i="9"/>
  <c r="F7" i="11" s="1"/>
  <c r="E6" i="9"/>
  <c r="E7" i="11" s="1"/>
  <c r="D6" i="9"/>
  <c r="D7" i="11" s="1"/>
  <c r="C6" i="9"/>
  <c r="C7" i="11" s="1"/>
  <c r="G5" i="9"/>
  <c r="G5" i="11" s="1"/>
  <c r="F5" i="9"/>
  <c r="F5" i="11" s="1"/>
  <c r="F4" i="15" s="1"/>
  <c r="E5" i="9"/>
  <c r="E5" i="11" s="1"/>
  <c r="E4" i="15" s="1"/>
  <c r="D5" i="9"/>
  <c r="D5" i="11" s="1"/>
  <c r="D4" i="15" s="1"/>
  <c r="C5" i="9"/>
  <c r="C5" i="11" s="1"/>
  <c r="D2" i="9"/>
  <c r="E2" i="9" s="1"/>
  <c r="F2" i="9" s="1"/>
  <c r="G2" i="9" s="1"/>
  <c r="H4" i="9" s="1"/>
  <c r="I4" i="9" s="1"/>
  <c r="J4" i="9" s="1"/>
  <c r="K4" i="9" s="1"/>
  <c r="L4" i="9" s="1"/>
  <c r="G63" i="7" l="1"/>
  <c r="J67" i="7"/>
  <c r="K67" i="7" s="1"/>
  <c r="K57" i="7" s="1"/>
  <c r="K63" i="7" s="1"/>
  <c r="W20" i="15"/>
  <c r="I29" i="16" s="1"/>
  <c r="H30" i="16"/>
  <c r="W23" i="15"/>
  <c r="I39" i="16" s="1"/>
  <c r="X22" i="15"/>
  <c r="Y22" i="15"/>
  <c r="K37" i="16" s="1"/>
  <c r="X19" i="15"/>
  <c r="X18" i="15" s="1"/>
  <c r="X20" i="15" s="1"/>
  <c r="X15" i="15"/>
  <c r="Z15" i="15" s="1"/>
  <c r="Y15" i="15"/>
  <c r="W11" i="15"/>
  <c r="T7" i="15"/>
  <c r="S5" i="15"/>
  <c r="X11" i="15"/>
  <c r="T13" i="15"/>
  <c r="S8" i="15"/>
  <c r="S9" i="15" s="1"/>
  <c r="V10" i="15"/>
  <c r="H14" i="12" s="1"/>
  <c r="R13" i="15"/>
  <c r="W10" i="15"/>
  <c r="I14" i="12" s="1"/>
  <c r="Q8" i="15"/>
  <c r="R8" i="15"/>
  <c r="U8" i="15"/>
  <c r="S13" i="15"/>
  <c r="T8" i="15"/>
  <c r="T9" i="15" s="1"/>
  <c r="X10" i="15"/>
  <c r="L66" i="9"/>
  <c r="M66" i="9" s="1"/>
  <c r="C8" i="11"/>
  <c r="G8" i="11"/>
  <c r="G12" i="11" s="1"/>
  <c r="C7" i="15"/>
  <c r="G7" i="15"/>
  <c r="D14" i="15"/>
  <c r="R5" i="15"/>
  <c r="Q7" i="15"/>
  <c r="U7" i="15"/>
  <c r="D7" i="15"/>
  <c r="R7" i="15" s="1"/>
  <c r="E14" i="15"/>
  <c r="F13" i="15"/>
  <c r="E7" i="15"/>
  <c r="S7" i="15" s="1"/>
  <c r="F14" i="15"/>
  <c r="I14" i="15" s="1"/>
  <c r="J14" i="15" s="1"/>
  <c r="T5" i="15"/>
  <c r="D9" i="15"/>
  <c r="G4" i="15"/>
  <c r="U13" i="15" s="1"/>
  <c r="C4" i="15"/>
  <c r="F63" i="7"/>
  <c r="E9" i="15"/>
  <c r="E13" i="15"/>
  <c r="E63" i="7"/>
  <c r="F9" i="15"/>
  <c r="D13" i="15"/>
  <c r="H63" i="7"/>
  <c r="G65" i="7"/>
  <c r="H65" i="7"/>
  <c r="F65" i="7"/>
  <c r="E65" i="7"/>
  <c r="F8" i="11"/>
  <c r="F10" i="11" s="1"/>
  <c r="I6" i="11"/>
  <c r="I5" i="15" s="1"/>
  <c r="D8" i="11"/>
  <c r="D9" i="11" s="1"/>
  <c r="E8" i="11"/>
  <c r="C12" i="11"/>
  <c r="C16" i="11" s="1"/>
  <c r="C18" i="11" s="1"/>
  <c r="C10" i="11"/>
  <c r="G9" i="11"/>
  <c r="G10" i="11"/>
  <c r="H6" i="11"/>
  <c r="H5" i="15" s="1"/>
  <c r="H11" i="12" s="1"/>
  <c r="D6" i="11"/>
  <c r="D5" i="15" s="1"/>
  <c r="E6" i="11"/>
  <c r="E5" i="15" s="1"/>
  <c r="F6" i="11"/>
  <c r="F5" i="15" s="1"/>
  <c r="G6" i="11"/>
  <c r="G5" i="15" s="1"/>
  <c r="L1" i="7"/>
  <c r="R6" i="7"/>
  <c r="Q6" i="7"/>
  <c r="E6" i="7"/>
  <c r="B6" i="7"/>
  <c r="R5" i="7"/>
  <c r="Q5" i="7"/>
  <c r="M5" i="7"/>
  <c r="K5" i="7"/>
  <c r="J5" i="7"/>
  <c r="H5" i="7"/>
  <c r="E5" i="7"/>
  <c r="B5" i="7"/>
  <c r="R4" i="7"/>
  <c r="Q4" i="7"/>
  <c r="M4" i="7"/>
  <c r="K4" i="7"/>
  <c r="J4" i="7"/>
  <c r="E4" i="7"/>
  <c r="C4" i="7"/>
  <c r="B4" i="7"/>
  <c r="T86" i="1"/>
  <c r="L67" i="7" l="1"/>
  <c r="M67" i="7" s="1"/>
  <c r="Y19" i="15"/>
  <c r="X23" i="15"/>
  <c r="Y23" i="15" s="1"/>
  <c r="Z19" i="15"/>
  <c r="Z18" i="15" s="1"/>
  <c r="Y18" i="15"/>
  <c r="Y20" i="15" s="1"/>
  <c r="J29" i="16"/>
  <c r="I30" i="16"/>
  <c r="J39" i="16"/>
  <c r="Z22" i="15"/>
  <c r="L37" i="16" s="1"/>
  <c r="J37" i="16"/>
  <c r="Y11" i="15"/>
  <c r="Z11" i="15" s="1"/>
  <c r="H13" i="12"/>
  <c r="I13" i="12" s="1"/>
  <c r="J13" i="12" s="1"/>
  <c r="U9" i="15"/>
  <c r="V13" i="15"/>
  <c r="H5" i="16" s="1"/>
  <c r="H7" i="16" s="1"/>
  <c r="C13" i="15"/>
  <c r="Q13" i="15"/>
  <c r="H21" i="12"/>
  <c r="I21" i="12" s="1"/>
  <c r="R9" i="15"/>
  <c r="Y10" i="15"/>
  <c r="I11" i="12"/>
  <c r="G13" i="15"/>
  <c r="H31" i="12"/>
  <c r="H18" i="16" s="1"/>
  <c r="V7" i="15"/>
  <c r="W7" i="15" s="1"/>
  <c r="G9" i="15"/>
  <c r="H9" i="15" s="1"/>
  <c r="I9" i="15" s="1"/>
  <c r="H13" i="15"/>
  <c r="H11" i="15" s="1"/>
  <c r="H26" i="12" s="1"/>
  <c r="V16" i="15" s="1"/>
  <c r="Q5" i="15"/>
  <c r="C9" i="15"/>
  <c r="U5" i="15"/>
  <c r="K14" i="15"/>
  <c r="L14" i="15" s="1"/>
  <c r="J5" i="15"/>
  <c r="K5" i="15" s="1"/>
  <c r="L5" i="15" s="1"/>
  <c r="M57" i="7"/>
  <c r="L57" i="7"/>
  <c r="L63" i="7" s="1"/>
  <c r="F9" i="11"/>
  <c r="F12" i="11"/>
  <c r="G13" i="11" s="1"/>
  <c r="E12" i="11"/>
  <c r="E16" i="11" s="1"/>
  <c r="E18" i="11" s="1"/>
  <c r="C14" i="11"/>
  <c r="D12" i="11"/>
  <c r="D16" i="11" s="1"/>
  <c r="D18" i="11" s="1"/>
  <c r="G14" i="11"/>
  <c r="G16" i="11"/>
  <c r="G18" i="11" s="1"/>
  <c r="D10" i="11"/>
  <c r="E9" i="11"/>
  <c r="F14" i="11"/>
  <c r="E10" i="11"/>
  <c r="K39" i="16" l="1"/>
  <c r="Z23" i="15"/>
  <c r="L39" i="16" s="1"/>
  <c r="Z20" i="15"/>
  <c r="K29" i="16"/>
  <c r="J30" i="16"/>
  <c r="I15" i="12"/>
  <c r="H15" i="12"/>
  <c r="I31" i="12"/>
  <c r="V17" i="15"/>
  <c r="W13" i="15"/>
  <c r="I5" i="16" s="1"/>
  <c r="I7" i="16" s="1"/>
  <c r="I13" i="15"/>
  <c r="I11" i="15" s="1"/>
  <c r="I26" i="12" s="1"/>
  <c r="W16" i="15" s="1"/>
  <c r="J21" i="12"/>
  <c r="K21" i="12" s="1"/>
  <c r="L21" i="12" s="1"/>
  <c r="Z10" i="15"/>
  <c r="K13" i="12"/>
  <c r="X7" i="15"/>
  <c r="Y7" i="15" s="1"/>
  <c r="J11" i="12"/>
  <c r="V5" i="15"/>
  <c r="V4" i="15" s="1"/>
  <c r="H7" i="12" s="1"/>
  <c r="H15" i="16" s="1"/>
  <c r="I7" i="15"/>
  <c r="I8" i="15"/>
  <c r="H8" i="15"/>
  <c r="J9" i="15"/>
  <c r="H7" i="15"/>
  <c r="M63" i="7"/>
  <c r="E14" i="11"/>
  <c r="F13" i="11"/>
  <c r="F16" i="11"/>
  <c r="F18" i="11" s="1"/>
  <c r="D13" i="11"/>
  <c r="D14" i="11"/>
  <c r="E13" i="11"/>
  <c r="L29" i="16" l="1"/>
  <c r="L30" i="16" s="1"/>
  <c r="K30" i="16"/>
  <c r="W17" i="15"/>
  <c r="I18" i="16"/>
  <c r="X13" i="15"/>
  <c r="J13" i="15"/>
  <c r="K13" i="15" s="1"/>
  <c r="W5" i="15"/>
  <c r="W4" i="15" s="1"/>
  <c r="I7" i="12" s="1"/>
  <c r="I15" i="16" s="1"/>
  <c r="L13" i="12"/>
  <c r="K11" i="12"/>
  <c r="H7" i="11"/>
  <c r="H8" i="11" s="1"/>
  <c r="H12" i="11" s="1"/>
  <c r="H13" i="11" s="1"/>
  <c r="V6" i="15"/>
  <c r="H25" i="12" s="1"/>
  <c r="I7" i="11"/>
  <c r="I8" i="11" s="1"/>
  <c r="I10" i="11" s="1"/>
  <c r="I25" i="12"/>
  <c r="Z7" i="15"/>
  <c r="X5" i="15"/>
  <c r="Y5" i="15" s="1"/>
  <c r="K9" i="15"/>
  <c r="L9" i="15" s="1"/>
  <c r="F39" i="1"/>
  <c r="F67" i="1" s="1"/>
  <c r="G39" i="1"/>
  <c r="H39" i="1"/>
  <c r="I39" i="1"/>
  <c r="J39" i="1"/>
  <c r="K39" i="1"/>
  <c r="L39" i="1"/>
  <c r="M39" i="1"/>
  <c r="N39" i="1"/>
  <c r="O39" i="1"/>
  <c r="E15" i="6"/>
  <c r="E42" i="6"/>
  <c r="E39" i="6"/>
  <c r="E38" i="6" s="1"/>
  <c r="E41" i="6" s="1"/>
  <c r="E12" i="6" s="1"/>
  <c r="E29" i="6"/>
  <c r="E28" i="6"/>
  <c r="E27" i="6"/>
  <c r="E26" i="6"/>
  <c r="E25" i="6"/>
  <c r="E24" i="6"/>
  <c r="E23" i="6"/>
  <c r="E22" i="6"/>
  <c r="E21" i="6"/>
  <c r="E20" i="6"/>
  <c r="F28" i="4"/>
  <c r="F27" i="4"/>
  <c r="O18" i="5"/>
  <c r="N18" i="5"/>
  <c r="M18" i="5"/>
  <c r="L18" i="5"/>
  <c r="K18" i="5"/>
  <c r="J18" i="5"/>
  <c r="S18" i="5" s="1"/>
  <c r="I18" i="5"/>
  <c r="G18" i="5"/>
  <c r="F18" i="5"/>
  <c r="E18" i="5"/>
  <c r="D18" i="5"/>
  <c r="C18" i="5"/>
  <c r="O17" i="5"/>
  <c r="N17" i="5"/>
  <c r="M17" i="5"/>
  <c r="L17" i="5"/>
  <c r="K17" i="5"/>
  <c r="J17" i="5"/>
  <c r="I17" i="5"/>
  <c r="G17" i="5"/>
  <c r="F17" i="5"/>
  <c r="E17" i="5"/>
  <c r="D17" i="5"/>
  <c r="C17" i="5"/>
  <c r="O16" i="5"/>
  <c r="N16" i="5"/>
  <c r="U16" i="5" s="1"/>
  <c r="M16" i="5"/>
  <c r="L16" i="5"/>
  <c r="K16" i="5"/>
  <c r="R16" i="5" s="1"/>
  <c r="J16" i="5"/>
  <c r="Q16" i="5" s="1"/>
  <c r="I16" i="5"/>
  <c r="G16" i="5"/>
  <c r="F16" i="5"/>
  <c r="Y16" i="5" s="1"/>
  <c r="E16" i="5"/>
  <c r="D16" i="5"/>
  <c r="C16" i="5"/>
  <c r="O15" i="5"/>
  <c r="N15" i="5"/>
  <c r="M15" i="5"/>
  <c r="L15" i="5"/>
  <c r="K15" i="5"/>
  <c r="R15" i="5" s="1"/>
  <c r="J15" i="5"/>
  <c r="I15" i="5"/>
  <c r="G15" i="5"/>
  <c r="F15" i="5"/>
  <c r="Z15" i="5" s="1"/>
  <c r="E15" i="5"/>
  <c r="D15" i="5"/>
  <c r="C15" i="5"/>
  <c r="O14" i="5"/>
  <c r="N14" i="5"/>
  <c r="M14" i="5"/>
  <c r="L14" i="5"/>
  <c r="K14" i="5"/>
  <c r="J14" i="5"/>
  <c r="S14" i="5" s="1"/>
  <c r="I14" i="5"/>
  <c r="G14" i="5"/>
  <c r="F14" i="5"/>
  <c r="AA14" i="5" s="1"/>
  <c r="E14" i="5"/>
  <c r="D14" i="5"/>
  <c r="C14" i="5"/>
  <c r="A14" i="5"/>
  <c r="A15" i="5" s="1"/>
  <c r="A16" i="5" s="1"/>
  <c r="A17" i="5" s="1"/>
  <c r="A18" i="5" s="1"/>
  <c r="O13" i="5"/>
  <c r="N13" i="5"/>
  <c r="M13" i="5"/>
  <c r="L13" i="5"/>
  <c r="S13" i="5" s="1"/>
  <c r="K13" i="5"/>
  <c r="T13" i="5" s="1"/>
  <c r="J13" i="5"/>
  <c r="I13" i="5"/>
  <c r="G13" i="5"/>
  <c r="AB13" i="5" s="1"/>
  <c r="F13" i="5"/>
  <c r="X13" i="5" s="1"/>
  <c r="E13" i="5"/>
  <c r="D13" i="5"/>
  <c r="C13" i="5"/>
  <c r="O11" i="5"/>
  <c r="N11" i="5"/>
  <c r="M11" i="5"/>
  <c r="L11" i="5"/>
  <c r="S11" i="5" s="1"/>
  <c r="K11" i="5"/>
  <c r="T11" i="5" s="1"/>
  <c r="J11" i="5"/>
  <c r="I11" i="5"/>
  <c r="G11" i="5"/>
  <c r="AB11" i="5" s="1"/>
  <c r="F11" i="5"/>
  <c r="X11" i="5" s="1"/>
  <c r="E11" i="5"/>
  <c r="D11" i="5"/>
  <c r="D5" i="4" s="1"/>
  <c r="C11" i="5"/>
  <c r="V9" i="5"/>
  <c r="U9" i="5"/>
  <c r="O9" i="5"/>
  <c r="N9" i="5"/>
  <c r="K9" i="5"/>
  <c r="J9" i="5"/>
  <c r="C4" i="5"/>
  <c r="V8" i="15" l="1"/>
  <c r="V9" i="15" s="1"/>
  <c r="H17" i="16"/>
  <c r="I17" i="16"/>
  <c r="Y13" i="15"/>
  <c r="W8" i="15"/>
  <c r="W9" i="15" s="1"/>
  <c r="I12" i="11"/>
  <c r="I14" i="11" s="1"/>
  <c r="L11" i="12"/>
  <c r="H9" i="11"/>
  <c r="H14" i="11"/>
  <c r="Z5" i="15"/>
  <c r="H16" i="11"/>
  <c r="H17" i="11" s="1"/>
  <c r="I9" i="11"/>
  <c r="H10" i="11"/>
  <c r="L13" i="15"/>
  <c r="AC16" i="5"/>
  <c r="Z16" i="5"/>
  <c r="Q17" i="5"/>
  <c r="U18" i="5"/>
  <c r="V15" i="5"/>
  <c r="Q11" i="5"/>
  <c r="Q13" i="5"/>
  <c r="T16" i="5"/>
  <c r="T23" i="5" s="1"/>
  <c r="T17" i="5"/>
  <c r="AA18" i="5"/>
  <c r="V18" i="5"/>
  <c r="AC11" i="5"/>
  <c r="AC13" i="5"/>
  <c r="AB14" i="5"/>
  <c r="Q15" i="5"/>
  <c r="E27" i="4"/>
  <c r="E28" i="4"/>
  <c r="U15" i="5"/>
  <c r="U17" i="5"/>
  <c r="R14" i="5"/>
  <c r="V14" i="5"/>
  <c r="X17" i="5"/>
  <c r="V17" i="5"/>
  <c r="R18" i="5"/>
  <c r="AC14" i="5"/>
  <c r="AC15" i="5"/>
  <c r="S15" i="5"/>
  <c r="AB17" i="5"/>
  <c r="S17" i="5"/>
  <c r="AC18" i="5"/>
  <c r="E25" i="4"/>
  <c r="U13" i="5"/>
  <c r="T14" i="5"/>
  <c r="T15" i="5"/>
  <c r="V16" i="5"/>
  <c r="T18" i="5"/>
  <c r="E26" i="4"/>
  <c r="H28" i="4"/>
  <c r="U11" i="5"/>
  <c r="H27" i="4"/>
  <c r="E9" i="6"/>
  <c r="E10" i="6" s="1"/>
  <c r="E31" i="6"/>
  <c r="E8" i="6" s="1"/>
  <c r="T22" i="5"/>
  <c r="AC17" i="5"/>
  <c r="F30" i="5" s="1"/>
  <c r="V30" i="5" s="1"/>
  <c r="Z30" i="5" s="1"/>
  <c r="X18" i="5"/>
  <c r="AB18" i="5"/>
  <c r="Z11" i="5"/>
  <c r="Z13" i="5"/>
  <c r="Y14" i="5"/>
  <c r="X15" i="5"/>
  <c r="AB15" i="5"/>
  <c r="AB22" i="5" s="1"/>
  <c r="AA16" i="5"/>
  <c r="Z17" i="5"/>
  <c r="Y18" i="5"/>
  <c r="X14" i="5"/>
  <c r="AA15" i="5"/>
  <c r="R11" i="5"/>
  <c r="V11" i="5"/>
  <c r="AA11" i="5"/>
  <c r="R13" i="5"/>
  <c r="V13" i="5"/>
  <c r="AA13" i="5"/>
  <c r="Q14" i="5"/>
  <c r="U14" i="5"/>
  <c r="U23" i="5" s="1"/>
  <c r="Z14" i="5"/>
  <c r="Y15" i="5"/>
  <c r="S16" i="5"/>
  <c r="S22" i="5" s="1"/>
  <c r="X16" i="5"/>
  <c r="AB16" i="5"/>
  <c r="R17" i="5"/>
  <c r="AA17" i="5"/>
  <c r="Q18" i="5"/>
  <c r="Z18" i="5"/>
  <c r="Y11" i="5"/>
  <c r="Y13" i="5"/>
  <c r="Y17" i="5"/>
  <c r="Z13" i="15" l="1"/>
  <c r="I13" i="11"/>
  <c r="I16" i="11"/>
  <c r="I17" i="11" s="1"/>
  <c r="H18" i="11"/>
  <c r="H21" i="11" s="1"/>
  <c r="H30" i="12"/>
  <c r="Q23" i="5"/>
  <c r="X23" i="5"/>
  <c r="S23" i="5"/>
  <c r="U22" i="5"/>
  <c r="AC22" i="5"/>
  <c r="F28" i="5" s="1"/>
  <c r="V28" i="5" s="1"/>
  <c r="Z28" i="5" s="1"/>
  <c r="E11" i="6"/>
  <c r="E27" i="5"/>
  <c r="M27" i="5" s="1"/>
  <c r="U27" i="5" s="1"/>
  <c r="Y27" i="5" s="1"/>
  <c r="E30" i="5"/>
  <c r="M30" i="5" s="1"/>
  <c r="U30" i="5" s="1"/>
  <c r="Y30" i="5" s="1"/>
  <c r="V23" i="5"/>
  <c r="V22" i="5"/>
  <c r="Z23" i="5"/>
  <c r="Z22" i="5"/>
  <c r="R23" i="5"/>
  <c r="R22" i="5"/>
  <c r="AC23" i="5"/>
  <c r="F29" i="5" s="1"/>
  <c r="V29" i="5" s="1"/>
  <c r="Z29" i="5" s="1"/>
  <c r="AB23" i="5"/>
  <c r="F27" i="5"/>
  <c r="V27" i="5" s="1"/>
  <c r="Z27" i="5" s="1"/>
  <c r="X22" i="5"/>
  <c r="Q22" i="5"/>
  <c r="Y23" i="5"/>
  <c r="D29" i="5" s="1"/>
  <c r="L29" i="5" s="1"/>
  <c r="T29" i="5" s="1"/>
  <c r="X29" i="5" s="1"/>
  <c r="Y22" i="5"/>
  <c r="D28" i="5" s="1"/>
  <c r="L28" i="5" s="1"/>
  <c r="T28" i="5" s="1"/>
  <c r="X28" i="5" s="1"/>
  <c r="D27" i="5"/>
  <c r="L27" i="5" s="1"/>
  <c r="T27" i="5" s="1"/>
  <c r="X27" i="5" s="1"/>
  <c r="D30" i="5"/>
  <c r="L30" i="5" s="1"/>
  <c r="T30" i="5" s="1"/>
  <c r="X30" i="5" s="1"/>
  <c r="AA23" i="5"/>
  <c r="E29" i="5" s="1"/>
  <c r="M29" i="5" s="1"/>
  <c r="U29" i="5" s="1"/>
  <c r="Y29" i="5" s="1"/>
  <c r="AA22" i="5"/>
  <c r="E28" i="5" s="1"/>
  <c r="M28" i="5" s="1"/>
  <c r="U28" i="5" s="1"/>
  <c r="Y28" i="5" s="1"/>
  <c r="H4" i="16" l="1"/>
  <c r="H15" i="15"/>
  <c r="H33" i="12"/>
  <c r="H39" i="12" s="1"/>
  <c r="H19" i="16"/>
  <c r="H22" i="16" s="1"/>
  <c r="I30" i="12"/>
  <c r="H19" i="11"/>
  <c r="F26" i="4"/>
  <c r="F25" i="4"/>
  <c r="P76" i="1"/>
  <c r="Q77" i="1" s="1"/>
  <c r="R77" i="1" s="1"/>
  <c r="S77" i="1" s="1"/>
  <c r="T77" i="1" s="1"/>
  <c r="P77" i="1"/>
  <c r="C6" i="1"/>
  <c r="C5" i="1"/>
  <c r="D21" i="1"/>
  <c r="E14" i="4"/>
  <c r="E16" i="4"/>
  <c r="E13" i="4"/>
  <c r="E6" i="4"/>
  <c r="Q57" i="1"/>
  <c r="Q55" i="1"/>
  <c r="V25" i="15" l="1"/>
  <c r="H47" i="12" s="1"/>
  <c r="H16" i="15"/>
  <c r="H34" i="16" s="1"/>
  <c r="I33" i="12"/>
  <c r="I39" i="12" s="1"/>
  <c r="I19" i="16"/>
  <c r="I22" i="16" s="1"/>
  <c r="H21" i="16"/>
  <c r="O70" i="1"/>
  <c r="N70" i="1"/>
  <c r="M70" i="1"/>
  <c r="L70" i="1"/>
  <c r="K70" i="1"/>
  <c r="J70" i="1"/>
  <c r="I70" i="1"/>
  <c r="H70" i="1"/>
  <c r="G70" i="1"/>
  <c r="F70" i="1"/>
  <c r="O67" i="1"/>
  <c r="N67" i="1"/>
  <c r="M67" i="1"/>
  <c r="L67" i="1"/>
  <c r="K67" i="1"/>
  <c r="J67" i="1"/>
  <c r="I67" i="1"/>
  <c r="H67" i="1"/>
  <c r="G67" i="1"/>
  <c r="O64" i="1"/>
  <c r="N64" i="1"/>
  <c r="M64" i="1"/>
  <c r="L64" i="1"/>
  <c r="K64" i="1"/>
  <c r="J64" i="1"/>
  <c r="I64" i="1"/>
  <c r="H64" i="1"/>
  <c r="G64" i="1"/>
  <c r="F64" i="1"/>
  <c r="P60" i="1"/>
  <c r="Q56" i="1"/>
  <c r="P56" i="1"/>
  <c r="P57" i="1"/>
  <c r="P55" i="1"/>
  <c r="Q51" i="1"/>
  <c r="Q49" i="1"/>
  <c r="Q50" i="1"/>
  <c r="F48" i="1"/>
  <c r="O42" i="1"/>
  <c r="N42" i="1"/>
  <c r="M42" i="1"/>
  <c r="L42" i="1"/>
  <c r="K42" i="1"/>
  <c r="J42" i="1"/>
  <c r="I42" i="1"/>
  <c r="H42" i="1"/>
  <c r="G42" i="1"/>
  <c r="F42" i="1"/>
  <c r="H38" i="16" l="1"/>
  <c r="H40" i="16"/>
  <c r="H4" i="12" s="1"/>
  <c r="H6" i="12" s="1"/>
  <c r="H12" i="12" s="1"/>
  <c r="H22" i="12" s="1"/>
  <c r="H49" i="12"/>
  <c r="H50" i="12" s="1"/>
  <c r="H25" i="4"/>
  <c r="H26" i="4" l="1"/>
  <c r="D30" i="4" s="1"/>
  <c r="D31" i="4" s="1"/>
  <c r="E7" i="4" s="1"/>
  <c r="E18" i="4" s="1"/>
  <c r="N20" i="1" l="1"/>
  <c r="D20" i="1" s="1"/>
  <c r="Q30" i="1"/>
  <c r="P30" i="1"/>
  <c r="O36" i="1"/>
  <c r="N36" i="1"/>
  <c r="M36" i="1"/>
  <c r="L36" i="1"/>
  <c r="K36" i="1"/>
  <c r="J36" i="1"/>
  <c r="I36" i="1"/>
  <c r="H36" i="1"/>
  <c r="G36" i="1"/>
  <c r="F36" i="1"/>
  <c r="C5" i="3"/>
  <c r="D5" i="3" s="1"/>
  <c r="E5" i="3" s="1"/>
  <c r="F5" i="3" s="1"/>
  <c r="G5" i="3" s="1"/>
  <c r="H5" i="3" s="1"/>
  <c r="I5" i="3" s="1"/>
  <c r="J5" i="3" s="1"/>
  <c r="O33" i="1"/>
  <c r="N33" i="1"/>
  <c r="M33" i="1"/>
  <c r="M60" i="1" s="1"/>
  <c r="L33" i="1"/>
  <c r="L60" i="1" s="1"/>
  <c r="K33" i="1"/>
  <c r="K60" i="1" s="1"/>
  <c r="J33" i="1"/>
  <c r="J60" i="1" s="1"/>
  <c r="I33" i="1"/>
  <c r="I60" i="1" s="1"/>
  <c r="H33" i="1"/>
  <c r="H60" i="1" s="1"/>
  <c r="G33" i="1"/>
  <c r="G60" i="1" s="1"/>
  <c r="F33" i="1"/>
  <c r="F60" i="1" s="1"/>
  <c r="O32" i="1"/>
  <c r="O59" i="1" s="1"/>
  <c r="N32" i="1"/>
  <c r="N59" i="1" s="1"/>
  <c r="M32" i="1"/>
  <c r="M59" i="1" s="1"/>
  <c r="L32" i="1"/>
  <c r="L59" i="1" s="1"/>
  <c r="K32" i="1"/>
  <c r="K59" i="1" s="1"/>
  <c r="J32" i="1"/>
  <c r="J59" i="1" s="1"/>
  <c r="I32" i="1"/>
  <c r="I59" i="1" s="1"/>
  <c r="H32" i="1"/>
  <c r="H59" i="1" s="1"/>
  <c r="G32" i="1"/>
  <c r="G59" i="1" s="1"/>
  <c r="F32" i="1"/>
  <c r="F59" i="1" s="1"/>
  <c r="O53" i="1"/>
  <c r="N29" i="1"/>
  <c r="N53" i="1" s="1"/>
  <c r="M29" i="1"/>
  <c r="M53" i="1" s="1"/>
  <c r="L29" i="1"/>
  <c r="L53" i="1" s="1"/>
  <c r="K29" i="1"/>
  <c r="K53" i="1" s="1"/>
  <c r="J29" i="1"/>
  <c r="J53" i="1" s="1"/>
  <c r="I29" i="1"/>
  <c r="I53" i="1" s="1"/>
  <c r="H29" i="1"/>
  <c r="H53" i="1" s="1"/>
  <c r="G29" i="1"/>
  <c r="G53" i="1" s="1"/>
  <c r="F29" i="1"/>
  <c r="F53" i="1" s="1"/>
  <c r="Q27" i="1"/>
  <c r="O26" i="1"/>
  <c r="O47" i="1" s="1"/>
  <c r="N26" i="1"/>
  <c r="N47" i="1" s="1"/>
  <c r="M26" i="1"/>
  <c r="M47" i="1" s="1"/>
  <c r="L26" i="1"/>
  <c r="L47" i="1" s="1"/>
  <c r="K26" i="1"/>
  <c r="K47" i="1" s="1"/>
  <c r="J26" i="1"/>
  <c r="J47" i="1" s="1"/>
  <c r="I26" i="1"/>
  <c r="I47" i="1" s="1"/>
  <c r="H26" i="1"/>
  <c r="H47" i="1" s="1"/>
  <c r="G26" i="1"/>
  <c r="G47" i="1" s="1"/>
  <c r="F26" i="1"/>
  <c r="F47" i="1" s="1"/>
  <c r="C3" i="2"/>
  <c r="D3" i="2" s="1"/>
  <c r="E3" i="2" s="1"/>
  <c r="F3" i="2" s="1"/>
  <c r="G3" i="2" s="1"/>
  <c r="H3" i="2" s="1"/>
  <c r="I3" i="2" s="1"/>
  <c r="J3" i="2" s="1"/>
  <c r="G35" i="1"/>
  <c r="H35" i="1" s="1"/>
  <c r="I35" i="1" s="1"/>
  <c r="J35" i="1" s="1"/>
  <c r="K35" i="1" s="1"/>
  <c r="L35" i="1" s="1"/>
  <c r="M35" i="1" s="1"/>
  <c r="N35" i="1" s="1"/>
  <c r="Q46" i="1"/>
  <c r="R46" i="1" s="1"/>
  <c r="S46" i="1" s="1"/>
  <c r="T46" i="1" s="1"/>
  <c r="G46" i="1"/>
  <c r="H46" i="1" s="1"/>
  <c r="I46" i="1" s="1"/>
  <c r="J46" i="1" s="1"/>
  <c r="K46" i="1" s="1"/>
  <c r="L46" i="1" s="1"/>
  <c r="M46" i="1" s="1"/>
  <c r="N46" i="1" s="1"/>
  <c r="Q45" i="1"/>
  <c r="R45" i="1" s="1"/>
  <c r="S45" i="1" s="1"/>
  <c r="T45" i="1" s="1"/>
  <c r="Q25" i="1"/>
  <c r="R25" i="1" s="1"/>
  <c r="S25" i="1" s="1"/>
  <c r="T25" i="1" s="1"/>
  <c r="G25" i="1"/>
  <c r="H25" i="1" s="1"/>
  <c r="I25" i="1" s="1"/>
  <c r="J25" i="1" s="1"/>
  <c r="K25" i="1" s="1"/>
  <c r="L25" i="1" s="1"/>
  <c r="M25" i="1" s="1"/>
  <c r="N25" i="1" s="1"/>
  <c r="I62" i="1" l="1"/>
  <c r="I73" i="1" s="1"/>
  <c r="M62" i="1"/>
  <c r="M73" i="1" s="1"/>
  <c r="F62" i="1"/>
  <c r="F73" i="1" s="1"/>
  <c r="J62" i="1"/>
  <c r="J73" i="1" s="1"/>
  <c r="N62" i="1"/>
  <c r="N73" i="1" s="1"/>
  <c r="N60" i="1"/>
  <c r="Q33" i="1"/>
  <c r="G62" i="1"/>
  <c r="G73" i="1" s="1"/>
  <c r="K62" i="1"/>
  <c r="K73" i="1" s="1"/>
  <c r="O62" i="1"/>
  <c r="O73" i="1" s="1"/>
  <c r="O60" i="1"/>
  <c r="R33" i="1"/>
  <c r="S33" i="1" s="1"/>
  <c r="H62" i="1"/>
  <c r="H73" i="1" s="1"/>
  <c r="L62" i="1"/>
  <c r="L73" i="1" s="1"/>
  <c r="F37" i="1"/>
  <c r="F65" i="1" s="1"/>
  <c r="J37" i="1"/>
  <c r="J65" i="1" s="1"/>
  <c r="N37" i="1"/>
  <c r="N65" i="1" s="1"/>
  <c r="G37" i="1"/>
  <c r="G65" i="1" s="1"/>
  <c r="K37" i="1"/>
  <c r="K65" i="1" s="1"/>
  <c r="O37" i="1"/>
  <c r="O65" i="1" s="1"/>
  <c r="H40" i="1"/>
  <c r="H68" i="1" s="1"/>
  <c r="N43" i="1"/>
  <c r="N71" i="1" s="1"/>
  <c r="J27" i="1"/>
  <c r="J48" i="1" s="1"/>
  <c r="H37" i="1"/>
  <c r="H65" i="1" s="1"/>
  <c r="L37" i="1"/>
  <c r="L65" i="1" s="1"/>
  <c r="I30" i="1"/>
  <c r="I54" i="1" s="1"/>
  <c r="L40" i="1"/>
  <c r="L68" i="1" s="1"/>
  <c r="J43" i="1"/>
  <c r="J71" i="1" s="1"/>
  <c r="N27" i="1"/>
  <c r="N48" i="1" s="1"/>
  <c r="I37" i="1"/>
  <c r="I65" i="1" s="1"/>
  <c r="M37" i="1"/>
  <c r="M65" i="1" s="1"/>
  <c r="P65" i="1" s="1"/>
  <c r="Q65" i="1" s="1"/>
  <c r="R65" i="1" s="1"/>
  <c r="S65" i="1" s="1"/>
  <c r="M30" i="1"/>
  <c r="M54" i="1" s="1"/>
  <c r="F43" i="1"/>
  <c r="F71" i="1" s="1"/>
  <c r="G27" i="1"/>
  <c r="G48" i="1" s="1"/>
  <c r="K27" i="1"/>
  <c r="K48" i="1" s="1"/>
  <c r="O27" i="1"/>
  <c r="F30" i="1"/>
  <c r="F54" i="1" s="1"/>
  <c r="J30" i="1"/>
  <c r="J54" i="1" s="1"/>
  <c r="N30" i="1"/>
  <c r="N54" i="1" s="1"/>
  <c r="P32" i="1"/>
  <c r="I40" i="1"/>
  <c r="I68" i="1" s="1"/>
  <c r="M40" i="1"/>
  <c r="M68" i="1" s="1"/>
  <c r="G43" i="1"/>
  <c r="G71" i="1" s="1"/>
  <c r="K43" i="1"/>
  <c r="K71" i="1" s="1"/>
  <c r="O43" i="1"/>
  <c r="O71" i="1" s="1"/>
  <c r="H27" i="1"/>
  <c r="H48" i="1" s="1"/>
  <c r="L27" i="1"/>
  <c r="L48" i="1" s="1"/>
  <c r="P27" i="1"/>
  <c r="G30" i="1"/>
  <c r="G54" i="1" s="1"/>
  <c r="K30" i="1"/>
  <c r="K54" i="1" s="1"/>
  <c r="O30" i="1"/>
  <c r="R30" i="1" s="1"/>
  <c r="F40" i="1"/>
  <c r="F68" i="1" s="1"/>
  <c r="J40" i="1"/>
  <c r="J68" i="1" s="1"/>
  <c r="N40" i="1"/>
  <c r="N68" i="1" s="1"/>
  <c r="H43" i="1"/>
  <c r="H71" i="1" s="1"/>
  <c r="L43" i="1"/>
  <c r="L71" i="1" s="1"/>
  <c r="I27" i="1"/>
  <c r="I48" i="1" s="1"/>
  <c r="M27" i="1"/>
  <c r="M48" i="1" s="1"/>
  <c r="H30" i="1"/>
  <c r="H54" i="1" s="1"/>
  <c r="L30" i="1"/>
  <c r="L54" i="1" s="1"/>
  <c r="G40" i="1"/>
  <c r="G68" i="1" s="1"/>
  <c r="K40" i="1"/>
  <c r="K68" i="1" s="1"/>
  <c r="O40" i="1"/>
  <c r="O68" i="1" s="1"/>
  <c r="I43" i="1"/>
  <c r="I71" i="1" s="1"/>
  <c r="M43" i="1"/>
  <c r="M71" i="1" s="1"/>
  <c r="P71" i="1" s="1"/>
  <c r="Q71" i="1" s="1"/>
  <c r="R71" i="1" s="1"/>
  <c r="S71" i="1" s="1"/>
  <c r="P50" i="1" l="1"/>
  <c r="P68" i="1"/>
  <c r="Q68" i="1" s="1"/>
  <c r="R68" i="1" s="1"/>
  <c r="S68" i="1" s="1"/>
  <c r="T33" i="1"/>
  <c r="R27" i="1"/>
  <c r="S27" i="1" s="1"/>
  <c r="T27" i="1" s="1"/>
  <c r="S30" i="1"/>
  <c r="T30" i="1" s="1"/>
  <c r="R56" i="1"/>
  <c r="O54" i="1"/>
  <c r="O48" i="1"/>
  <c r="P51" i="1" l="1"/>
  <c r="P49" i="1"/>
  <c r="R55" i="1"/>
  <c r="R57" i="1"/>
  <c r="Q32" i="1"/>
  <c r="I18" i="11" s="1"/>
  <c r="Q60" i="1"/>
  <c r="S56" i="1"/>
  <c r="I19" i="11" l="1"/>
  <c r="I21" i="11"/>
  <c r="S60" i="1"/>
  <c r="Q18" i="7" s="1"/>
  <c r="R60" i="1"/>
  <c r="S57" i="1"/>
  <c r="S55" i="1"/>
  <c r="T50" i="1"/>
  <c r="S50" i="1"/>
  <c r="T60" i="1"/>
  <c r="R18" i="7" s="1"/>
  <c r="T56" i="1"/>
  <c r="I4" i="16" l="1"/>
  <c r="I21" i="16" s="1"/>
  <c r="I15" i="15"/>
  <c r="T57" i="1"/>
  <c r="T55" i="1"/>
  <c r="S51" i="1"/>
  <c r="S49" i="1"/>
  <c r="T51" i="1"/>
  <c r="T49" i="1"/>
  <c r="I16" i="15" l="1"/>
  <c r="I34" i="16" s="1"/>
  <c r="W25" i="15"/>
  <c r="I47" i="12" s="1"/>
  <c r="T48" i="1"/>
  <c r="R12" i="7" s="1"/>
  <c r="Q48" i="1"/>
  <c r="O12" i="7" s="1"/>
  <c r="S48" i="1"/>
  <c r="Q12" i="7" s="1"/>
  <c r="P48" i="1"/>
  <c r="N12" i="7" s="1"/>
  <c r="Q54" i="1"/>
  <c r="O15" i="7" s="1"/>
  <c r="S54" i="1"/>
  <c r="Q15" i="7" s="1"/>
  <c r="R54" i="1"/>
  <c r="P15" i="7" s="1"/>
  <c r="T54" i="1"/>
  <c r="R15" i="7" s="1"/>
  <c r="P54" i="1"/>
  <c r="N15" i="7" s="1"/>
  <c r="I49" i="12" l="1"/>
  <c r="I50" i="12" s="1"/>
  <c r="I38" i="16"/>
  <c r="I40" i="16" s="1"/>
  <c r="I4" i="12" s="1"/>
  <c r="I6" i="12" s="1"/>
  <c r="I12" i="12" s="1"/>
  <c r="I22" i="12" s="1"/>
  <c r="P47" i="1"/>
  <c r="N11" i="7" s="1"/>
  <c r="P53" i="1" l="1"/>
  <c r="N14" i="7" s="1"/>
  <c r="Q47" i="1"/>
  <c r="O11" i="7" s="1"/>
  <c r="P67" i="1"/>
  <c r="P64" i="1"/>
  <c r="P70" i="1"/>
  <c r="P59" i="1" l="1"/>
  <c r="N17" i="7" s="1"/>
  <c r="Q70" i="1"/>
  <c r="Q67" i="1"/>
  <c r="Q64" i="1"/>
  <c r="Q53" i="1"/>
  <c r="O14" i="7" s="1"/>
  <c r="R26" i="1"/>
  <c r="R50" i="1"/>
  <c r="R49" i="1"/>
  <c r="P62" i="1" l="1"/>
  <c r="P73" i="1" s="1"/>
  <c r="P74" i="1" s="1"/>
  <c r="Q59" i="1"/>
  <c r="O17" i="7" s="1"/>
  <c r="S26" i="1"/>
  <c r="K5" i="11" s="1"/>
  <c r="K4" i="15" s="1"/>
  <c r="K5" i="16" s="1"/>
  <c r="K7" i="16" s="1"/>
  <c r="J5" i="11"/>
  <c r="J4" i="15" s="1"/>
  <c r="J5" i="16" s="1"/>
  <c r="J7" i="16" s="1"/>
  <c r="R48" i="1"/>
  <c r="P12" i="7" s="1"/>
  <c r="R51" i="1"/>
  <c r="R29" i="1"/>
  <c r="R32" i="1" s="1"/>
  <c r="I59" i="7" l="1"/>
  <c r="I60" i="7" s="1"/>
  <c r="Q62" i="1"/>
  <c r="Q73" i="1" s="1"/>
  <c r="J59" i="7" s="1"/>
  <c r="X4" i="15"/>
  <c r="J7" i="12" s="1"/>
  <c r="J15" i="16" s="1"/>
  <c r="J32" i="12"/>
  <c r="J14" i="12"/>
  <c r="J15" i="12" s="1"/>
  <c r="J31" i="12"/>
  <c r="J18" i="16" s="1"/>
  <c r="Y4" i="15"/>
  <c r="K7" i="12" s="1"/>
  <c r="K15" i="16" s="1"/>
  <c r="K32" i="12"/>
  <c r="K14" i="12"/>
  <c r="K15" i="12" s="1"/>
  <c r="J8" i="15"/>
  <c r="J7" i="15"/>
  <c r="J11" i="15"/>
  <c r="J26" i="12" s="1"/>
  <c r="X16" i="15" s="1"/>
  <c r="K7" i="15"/>
  <c r="K11" i="15"/>
  <c r="K8" i="15"/>
  <c r="K6" i="11"/>
  <c r="S29" i="1"/>
  <c r="S32" i="1" s="1"/>
  <c r="J6" i="11"/>
  <c r="T26" i="1"/>
  <c r="R47" i="1"/>
  <c r="P11" i="7" s="1"/>
  <c r="I65" i="7" l="1"/>
  <c r="Q74" i="1"/>
  <c r="R67" i="1"/>
  <c r="J65" i="7"/>
  <c r="J60" i="7"/>
  <c r="K31" i="12"/>
  <c r="X17" i="15"/>
  <c r="K26" i="12"/>
  <c r="Y16" i="15" s="1"/>
  <c r="K7" i="11"/>
  <c r="K8" i="11" s="1"/>
  <c r="K10" i="11" s="1"/>
  <c r="Y6" i="15"/>
  <c r="K25" i="12" s="1"/>
  <c r="J7" i="11"/>
  <c r="J8" i="11" s="1"/>
  <c r="J10" i="11" s="1"/>
  <c r="X6" i="15"/>
  <c r="J25" i="12" s="1"/>
  <c r="T29" i="1"/>
  <c r="T32" i="1" s="1"/>
  <c r="L5" i="11"/>
  <c r="L4" i="15" s="1"/>
  <c r="L5" i="16" s="1"/>
  <c r="L7" i="16" s="1"/>
  <c r="S47" i="1"/>
  <c r="T47" i="1" s="1"/>
  <c r="R70" i="1"/>
  <c r="R53" i="1"/>
  <c r="P14" i="7" s="1"/>
  <c r="R64" i="1"/>
  <c r="K17" i="16" l="1"/>
  <c r="Y17" i="15"/>
  <c r="K18" i="16"/>
  <c r="X8" i="15"/>
  <c r="X9" i="15" s="1"/>
  <c r="J17" i="16"/>
  <c r="K12" i="11"/>
  <c r="K16" i="11" s="1"/>
  <c r="Z4" i="15"/>
  <c r="L7" i="12" s="1"/>
  <c r="L15" i="16" s="1"/>
  <c r="L32" i="12"/>
  <c r="L14" i="12"/>
  <c r="L15" i="12" s="1"/>
  <c r="L31" i="12"/>
  <c r="Y8" i="15"/>
  <c r="J9" i="11"/>
  <c r="K9" i="11"/>
  <c r="J12" i="11"/>
  <c r="J14" i="11" s="1"/>
  <c r="L7" i="15"/>
  <c r="L8" i="15"/>
  <c r="L11" i="15"/>
  <c r="L26" i="12" s="1"/>
  <c r="Z16" i="15" s="1"/>
  <c r="J16" i="11"/>
  <c r="L6" i="11"/>
  <c r="S53" i="1"/>
  <c r="S59" i="1" s="1"/>
  <c r="S62" i="1" s="1"/>
  <c r="Q11" i="7"/>
  <c r="S67" i="1"/>
  <c r="S64" i="1"/>
  <c r="S70" i="1"/>
  <c r="R59" i="1"/>
  <c r="P17" i="7" s="1"/>
  <c r="T53" i="1"/>
  <c r="R11" i="7"/>
  <c r="U12" i="7" s="1"/>
  <c r="T70" i="1"/>
  <c r="T64" i="1"/>
  <c r="T67" i="1"/>
  <c r="R62" i="1" l="1"/>
  <c r="R73" i="1" s="1"/>
  <c r="K14" i="11"/>
  <c r="Y9" i="15"/>
  <c r="Z17" i="15"/>
  <c r="L18" i="16"/>
  <c r="J13" i="11"/>
  <c r="K13" i="11"/>
  <c r="L7" i="11"/>
  <c r="L8" i="11" s="1"/>
  <c r="L10" i="11" s="1"/>
  <c r="Z6" i="15"/>
  <c r="L25" i="12" s="1"/>
  <c r="J17" i="11"/>
  <c r="K17" i="11"/>
  <c r="K18" i="11" s="1"/>
  <c r="S73" i="1"/>
  <c r="Q14" i="7"/>
  <c r="Q17" i="7"/>
  <c r="T59" i="1"/>
  <c r="T62" i="1" s="1"/>
  <c r="R14" i="7"/>
  <c r="Z8" i="15" l="1"/>
  <c r="Z9" i="15" s="1"/>
  <c r="L17" i="16"/>
  <c r="L12" i="11"/>
  <c r="J18" i="11"/>
  <c r="J21" i="11" s="1"/>
  <c r="J30" i="12"/>
  <c r="J19" i="16" s="1"/>
  <c r="J22" i="16" s="1"/>
  <c r="L9" i="11"/>
  <c r="K21" i="11"/>
  <c r="K19" i="11"/>
  <c r="R74" i="1"/>
  <c r="K59" i="7"/>
  <c r="S74" i="1"/>
  <c r="L59" i="7"/>
  <c r="L60" i="7" s="1"/>
  <c r="L14" i="11"/>
  <c r="L13" i="11"/>
  <c r="L16" i="11"/>
  <c r="T73" i="1"/>
  <c r="R17" i="7"/>
  <c r="J4" i="16" l="1"/>
  <c r="J15" i="15"/>
  <c r="K4" i="16"/>
  <c r="K15" i="15"/>
  <c r="K65" i="7"/>
  <c r="K60" i="7"/>
  <c r="J21" i="16"/>
  <c r="J19" i="11"/>
  <c r="K30" i="12"/>
  <c r="J33" i="12"/>
  <c r="J39" i="12" s="1"/>
  <c r="L17" i="11"/>
  <c r="L18" i="11" s="1"/>
  <c r="L65" i="7"/>
  <c r="T74" i="1"/>
  <c r="M59" i="7"/>
  <c r="T79" i="1"/>
  <c r="D42" i="7" s="1"/>
  <c r="J16" i="15" l="1"/>
  <c r="J34" i="16" s="1"/>
  <c r="X25" i="15"/>
  <c r="J47" i="12" s="1"/>
  <c r="Y25" i="15"/>
  <c r="K16" i="15"/>
  <c r="M65" i="7"/>
  <c r="M60" i="7"/>
  <c r="K33" i="12"/>
  <c r="K39" i="12" s="1"/>
  <c r="K19" i="16"/>
  <c r="L30" i="12"/>
  <c r="L21" i="11"/>
  <c r="L19" i="11"/>
  <c r="T80" i="1"/>
  <c r="T81" i="1" s="1"/>
  <c r="F97" i="1" s="1"/>
  <c r="L4" i="16" l="1"/>
  <c r="L15" i="15"/>
  <c r="K47" i="12"/>
  <c r="J49" i="12"/>
  <c r="J50" i="12" s="1"/>
  <c r="K34" i="16"/>
  <c r="J38" i="16"/>
  <c r="J40" i="16" s="1"/>
  <c r="J4" i="12" s="1"/>
  <c r="J6" i="12" s="1"/>
  <c r="J12" i="12" s="1"/>
  <c r="J22" i="12" s="1"/>
  <c r="L33" i="12"/>
  <c r="L39" i="12" s="1"/>
  <c r="L19" i="16"/>
  <c r="L22" i="16" s="1"/>
  <c r="K22" i="16"/>
  <c r="K21" i="16"/>
  <c r="D43" i="7"/>
  <c r="T84" i="1"/>
  <c r="D44" i="7"/>
  <c r="K49" i="12" l="1"/>
  <c r="K50" i="12" s="1"/>
  <c r="Z25" i="15"/>
  <c r="L47" i="12" s="1"/>
  <c r="L49" i="12" s="1"/>
  <c r="L50" i="12" s="1"/>
  <c r="L16" i="15"/>
  <c r="L34" i="16" s="1"/>
  <c r="L38" i="16" s="1"/>
  <c r="K38" i="16"/>
  <c r="K40" i="16" s="1"/>
  <c r="K4" i="12" s="1"/>
  <c r="K6" i="12" s="1"/>
  <c r="K12" i="12" s="1"/>
  <c r="K22" i="12" s="1"/>
  <c r="L21" i="16"/>
  <c r="T87" i="1"/>
  <c r="D45" i="7"/>
  <c r="L40" i="16" l="1"/>
  <c r="L4" i="12" s="1"/>
  <c r="L6" i="12" s="1"/>
  <c r="L12" i="12" s="1"/>
  <c r="L22" i="12" s="1"/>
  <c r="H4" i="1"/>
  <c r="H6" i="1" s="1"/>
  <c r="H6" i="7" s="1"/>
  <c r="F113" i="1"/>
  <c r="H4" i="7" l="1"/>
  <c r="D4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33" authorId="0" shapeId="0" xr:uid="{F2E4202C-3490-497C-9CA8-A8A66F6E981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  <comment ref="P65" authorId="0" shapeId="0" xr:uid="{F42ACECB-EF4D-41DA-9FBF-B59C97CE27A7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68" authorId="0" shapeId="0" xr:uid="{2EE978AA-AEDD-4740-8680-AE93A097474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71" authorId="0" shapeId="0" xr:uid="{2F104D53-25AF-44D1-87AE-EFAB48FEF899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T82" authorId="0" shapeId="0" xr:uid="{33D2178B-7F57-4116-9C56-D158AD99479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Q2 2025 Balance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E7" authorId="0" shapeId="0" xr:uid="{DCD00354-9F87-4DB1-8BD0-C92EAA5E27D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57AB6321-8D54-4E95-A5AC-DB4676D92B4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
Page 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27" authorId="0" shapeId="0" xr:uid="{1109E50F-7414-4D53-A517-F6B26143E53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Cash + Marketable securities
From Q2 result.</t>
        </r>
      </text>
    </comment>
    <comment ref="Q27" authorId="0" shapeId="0" xr:uid="{ED6C9872-AF83-4C0B-AF18-10A734EDB5F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Long term debt from Q2 result.
</t>
        </r>
      </text>
    </comment>
  </commentList>
</comments>
</file>

<file path=xl/sharedStrings.xml><?xml version="1.0" encoding="utf-8"?>
<sst xmlns="http://schemas.openxmlformats.org/spreadsheetml/2006/main" count="1035" uniqueCount="435">
  <si>
    <t xml:space="preserve">    </t>
  </si>
  <si>
    <t>DCF Model</t>
  </si>
  <si>
    <t>*</t>
  </si>
  <si>
    <t>Assumption</t>
  </si>
  <si>
    <t>NOTES</t>
  </si>
  <si>
    <t>Switches</t>
  </si>
  <si>
    <t xml:space="preserve">Conservative </t>
  </si>
  <si>
    <t>Base</t>
  </si>
  <si>
    <t>Optimistic</t>
  </si>
  <si>
    <t>Year</t>
  </si>
  <si>
    <t>Metric</t>
  </si>
  <si>
    <t>Revenue</t>
  </si>
  <si>
    <t>'25-'26</t>
  </si>
  <si>
    <t>'26</t>
  </si>
  <si>
    <t>EBIT</t>
  </si>
  <si>
    <t>'27-'29</t>
  </si>
  <si>
    <t>WACC</t>
  </si>
  <si>
    <t>TGR</t>
  </si>
  <si>
    <t>Valuation</t>
  </si>
  <si>
    <t>Income Statement ($ MM)</t>
  </si>
  <si>
    <t>2024A</t>
  </si>
  <si>
    <t>growth%</t>
  </si>
  <si>
    <t xml:space="preserve">% of Sale </t>
  </si>
  <si>
    <t>Taxes</t>
  </si>
  <si>
    <t>Tax rate</t>
  </si>
  <si>
    <t>Cash Flow  ($ MM)</t>
  </si>
  <si>
    <t>D&amp;A</t>
  </si>
  <si>
    <t>D&amp;A (Depriciation &amp; Amortization)</t>
  </si>
  <si>
    <t>% of Sales</t>
  </si>
  <si>
    <t>CapEx</t>
  </si>
  <si>
    <t>CapEx (Capital Expenditure)</t>
  </si>
  <si>
    <t>% of Sale</t>
  </si>
  <si>
    <t>Change In NWC</t>
  </si>
  <si>
    <t>Change in NWC (Net Working Capital)</t>
  </si>
  <si>
    <t>% of change in sales</t>
  </si>
  <si>
    <t>DCF ($ MM)</t>
  </si>
  <si>
    <t>Conservative case</t>
  </si>
  <si>
    <t>Base case</t>
  </si>
  <si>
    <t>Optimistic case</t>
  </si>
  <si>
    <t>`</t>
  </si>
  <si>
    <t>EBIAT</t>
  </si>
  <si>
    <t>EBIAT (Earnings before Interest but after Tax) it is also known as NOPAT (Net Operating Profit after Tax)</t>
  </si>
  <si>
    <t>Unlevered FCF</t>
  </si>
  <si>
    <t>Present Value of FCF</t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</si>
  <si>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</si>
  <si>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Discounted Period</t>
  </si>
  <si>
    <t>Terminal Value</t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</si>
  <si>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</si>
  <si>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t>Present Value of Terminal Value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</si>
  <si>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</si>
  <si>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t>Enterprise Value</t>
  </si>
  <si>
    <t>EV is calculated by adding Present Value of FCF from2025E to 2029E.</t>
  </si>
  <si>
    <t>(+) Cash</t>
  </si>
  <si>
    <t>(-) Debt</t>
  </si>
  <si>
    <t>Equity Value</t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</si>
  <si>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</si>
  <si>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t>Diluted Shares</t>
  </si>
  <si>
    <t>Implied Stock Price</t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</si>
  <si>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</si>
  <si>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Income Satement</t>
  </si>
  <si>
    <t>Source - Macrotrend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</si>
  <si>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</si>
  <si>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</si>
  <si>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</si>
  <si>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</si>
  <si>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</si>
  <si>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</si>
  <si>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</si>
  <si>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</si>
  <si>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</si>
  <si>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</si>
  <si>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</si>
  <si>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</si>
  <si>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</si>
  <si>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</si>
  <si>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</si>
  <si>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</si>
  <si>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</si>
  <si>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</si>
  <si>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</si>
  <si>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</si>
  <si>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Cashflow Statement of Nvidia</t>
  </si>
  <si>
    <t>Currency  ($)</t>
  </si>
  <si>
    <t>In Millions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</si>
  <si>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</si>
  <si>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</si>
  <si>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</si>
  <si>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</si>
  <si>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</si>
  <si>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</si>
  <si>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</si>
  <si>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</si>
  <si>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Change in Net working capital</t>
  </si>
  <si>
    <t>Cash Flow From Operating Activities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</si>
  <si>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</si>
  <si>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</si>
  <si>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</si>
  <si>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</si>
  <si>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</si>
  <si>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</si>
  <si>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</si>
  <si>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</si>
  <si>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</si>
  <si>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</si>
  <si>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</si>
  <si>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</si>
  <si>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</si>
  <si>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</si>
  <si>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</si>
  <si>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</si>
  <si>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 based compensation</t>
  </si>
  <si>
    <t>Common stock Dividend Paid</t>
  </si>
  <si>
    <t>--</t>
  </si>
  <si>
    <t>Stub</t>
  </si>
  <si>
    <t>Net Change In Property, Plant, And Equipment (CAPEX)</t>
  </si>
  <si>
    <t>X</t>
  </si>
  <si>
    <t>Market Cap</t>
  </si>
  <si>
    <t xml:space="preserve">% of Equity </t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</si>
  <si>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</si>
  <si>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>Cost of equity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</si>
  <si>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</si>
  <si>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t xml:space="preserve">Risk Free Rate </t>
  </si>
  <si>
    <t>CNBC U.S. 10 Year Treasury</t>
  </si>
  <si>
    <t>Beta</t>
  </si>
  <si>
    <t>Market  Risk Premium</t>
  </si>
  <si>
    <t>Debt</t>
  </si>
  <si>
    <t>Based on Q1 2025 B/S (MM, $)</t>
  </si>
  <si>
    <t>% of debt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</si>
  <si>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</si>
  <si>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 xml:space="preserve">Cost of Debt </t>
  </si>
  <si>
    <t xml:space="preserve">Total </t>
  </si>
  <si>
    <t>Total = Market Cap + Debt ( MM, $)</t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</si>
  <si>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 *(1-Tax rate)</t>
    </r>
  </si>
  <si>
    <t>Leverad Beta</t>
  </si>
  <si>
    <t xml:space="preserve"> Market Cap</t>
  </si>
  <si>
    <t>Net Debt</t>
  </si>
  <si>
    <t>Unlevered Beta</t>
  </si>
  <si>
    <t>Levered beta / (1+ (1 - tax rate) * (Debt / Equity)</t>
  </si>
  <si>
    <t>Industry Average Unlevered Beta</t>
  </si>
  <si>
    <t>Unlevered Beta * (1 + (1 - tax rate) * (Debt/Equity))</t>
  </si>
  <si>
    <t>Ticker</t>
  </si>
  <si>
    <t>Implied Share Price</t>
  </si>
  <si>
    <t>Low-end</t>
  </si>
  <si>
    <t>Revenue (1), EBIT (1), WACC (1), TGR(1)</t>
  </si>
  <si>
    <t>Conservative</t>
  </si>
  <si>
    <t>Date</t>
  </si>
  <si>
    <t>Current Price</t>
  </si>
  <si>
    <t>High-end</t>
  </si>
  <si>
    <t>Revenue (3), EBIT(3),  WACC(3), TGR(3)</t>
  </si>
  <si>
    <t>Year end</t>
  </si>
  <si>
    <t>Implied Upside/Downside</t>
  </si>
  <si>
    <t>GOOG</t>
  </si>
  <si>
    <t>AAPL</t>
  </si>
  <si>
    <t>MSFT</t>
  </si>
  <si>
    <t>GOOGL</t>
  </si>
  <si>
    <t xml:space="preserve"> Comps Table</t>
  </si>
  <si>
    <t>Currency</t>
  </si>
  <si>
    <t>Trading Multiples</t>
  </si>
  <si>
    <t>Current</t>
  </si>
  <si>
    <t>Share</t>
  </si>
  <si>
    <t>Enterprise</t>
  </si>
  <si>
    <t>Market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</si>
  <si>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</si>
  <si>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</si>
  <si>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</si>
  <si>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</si>
  <si>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</si>
  <si>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</si>
  <si>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</si>
  <si>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</si>
  <si>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</si>
  <si>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</si>
  <si>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Value</t>
  </si>
  <si>
    <t>Cap</t>
  </si>
  <si>
    <t>24</t>
  </si>
  <si>
    <t>'25</t>
  </si>
  <si>
    <t>'24-'25</t>
  </si>
  <si>
    <t>AMZN</t>
  </si>
  <si>
    <t>APPL</t>
  </si>
  <si>
    <t>META</t>
  </si>
  <si>
    <t>NFLX</t>
  </si>
  <si>
    <t>CRM</t>
  </si>
  <si>
    <t>Mean</t>
  </si>
  <si>
    <t>Median</t>
  </si>
  <si>
    <t>2026 Trading Multiple</t>
  </si>
  <si>
    <t>2026 Financial Metric</t>
  </si>
  <si>
    <t>Calculating Implied Share Price</t>
  </si>
  <si>
    <t>P/E</t>
  </si>
  <si>
    <t>EPS</t>
  </si>
  <si>
    <t>Cash</t>
  </si>
  <si>
    <t>Shares</t>
  </si>
  <si>
    <t>Minimum</t>
  </si>
  <si>
    <t>Maximum</t>
  </si>
  <si>
    <t>TICKER</t>
  </si>
  <si>
    <t>Alphabet (GOOGL) Levered Beta</t>
  </si>
  <si>
    <t>Full Diluted Shares</t>
  </si>
  <si>
    <t>Current stock price</t>
  </si>
  <si>
    <t>Basic share Outstanding (latest fillings)</t>
  </si>
  <si>
    <t>In-the-money exercisable option</t>
  </si>
  <si>
    <t>Total proceeds ($ mm)</t>
  </si>
  <si>
    <t>Total shares repurchased (mm)</t>
  </si>
  <si>
    <t>Net dilutive option</t>
  </si>
  <si>
    <t>Net dilutive share outstanding</t>
  </si>
  <si>
    <t>Option outstanding</t>
  </si>
  <si>
    <t>Outstanding</t>
  </si>
  <si>
    <t>Exercise price</t>
  </si>
  <si>
    <t>Dilutive shares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</si>
  <si>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</si>
  <si>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</si>
  <si>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</si>
  <si>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</si>
  <si>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</si>
  <si>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</si>
  <si>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</si>
  <si>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</si>
  <si>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</si>
  <si>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</si>
  <si>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Convertible Bonds</t>
  </si>
  <si>
    <t>Principal Outstanding</t>
  </si>
  <si>
    <t>Conversion ratio</t>
  </si>
  <si>
    <t>Conversion Price</t>
  </si>
  <si>
    <t>Convertible Common Shares</t>
  </si>
  <si>
    <t>Dilutive Impact of convertible securities</t>
  </si>
  <si>
    <t>Elimination of  liability from net debt</t>
  </si>
  <si>
    <t>Dilutive impact of shares from other securities (RSUs)</t>
  </si>
  <si>
    <t>CMP * NET Dilutive Shares Outstanding</t>
  </si>
  <si>
    <t>Implied ERP ON AUG, 2025 From Damodaram</t>
  </si>
  <si>
    <t>Cost of debt = Interest expense*2/debt</t>
  </si>
  <si>
    <t xml:space="preserve">[xx] - Copied from another sheet </t>
  </si>
  <si>
    <t>[xx] - Hardcoded</t>
  </si>
  <si>
    <t>[xx] - Copied from same sheet</t>
  </si>
  <si>
    <t>tax/pbt</t>
  </si>
  <si>
    <t>(+) D&amp;A</t>
  </si>
  <si>
    <t>(-) CapEx</t>
  </si>
  <si>
    <t>(-) Change In NWC</t>
  </si>
  <si>
    <t>Other Important Metrics (MM $)</t>
  </si>
  <si>
    <t xml:space="preserve">Terminal value </t>
  </si>
  <si>
    <t>Present value of Terminal value</t>
  </si>
  <si>
    <t>Enterpeise value</t>
  </si>
  <si>
    <t>Equity value</t>
  </si>
  <si>
    <t>Implied Share price</t>
  </si>
  <si>
    <t>Summary of DCF Model on Alphabet (GOOG)</t>
  </si>
  <si>
    <t>$$</t>
  </si>
  <si>
    <t>Not Using the Calculated Beta because its coming way to high then the 5 Years Average Beta given on Websites like Tikr and Yahoo Finance.</t>
  </si>
  <si>
    <t>Implied Share Price Sensitivity Table ($$)</t>
  </si>
  <si>
    <t>Enterprise Value Sensitivity Table ($ MM)</t>
  </si>
  <si>
    <t>FDSO</t>
  </si>
  <si>
    <t>Based on Q2 of 2025 Balance sheet.</t>
  </si>
  <si>
    <t>Estimates for 2025E and 2026E are from Tikr, and the averages for 2027E to 2029E are based on the last 3 Years.</t>
  </si>
  <si>
    <t xml:space="preserve"> 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</si>
  <si>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 = EBITDA + D&amp;A - CapEx - Change inNWC</t>
    </r>
  </si>
  <si>
    <t xml:space="preserve">* </t>
  </si>
  <si>
    <t>This expenditure shows how much the company has spent on purchasing fixed assets ( like PP&amp;E) for long-term use.</t>
  </si>
  <si>
    <t>Based on LTM from TIKR.</t>
  </si>
  <si>
    <t>2025E is LTM from Tikr, and from 2026E to 2029E is the Average of last 3 Years.</t>
  </si>
  <si>
    <t>[xx] - Estimates</t>
  </si>
  <si>
    <t>[xx] - Formulas &amp; Calculations</t>
  </si>
  <si>
    <t>A Positive change in NWC is the use of cash that reduces UFCF, while a Negative change in NWC is a source of cash that increases UFCF.</t>
  </si>
  <si>
    <t>A negative Change in NWC occurs when the company decreases a/c receivable and increases a/c payable, i.e. delaying the payment of suppliers or creditors</t>
  </si>
  <si>
    <r>
      <rPr>
        <b/>
        <sz val="11"/>
        <color theme="1"/>
        <rFont val="Calibri"/>
        <family val="2"/>
        <scheme val="minor"/>
      </rPr>
      <t xml:space="preserve">FDSO </t>
    </r>
    <r>
      <rPr>
        <sz val="11"/>
        <color theme="1"/>
        <rFont val="Calibri"/>
        <family val="2"/>
        <scheme val="minor"/>
      </rPr>
      <t>= Fully Diluted Shares Outstanding.</t>
    </r>
  </si>
  <si>
    <t>x</t>
  </si>
  <si>
    <t>CONSOLIDATED STATEMENTS OF OPERATIONS</t>
  </si>
  <si>
    <t>(dollars in millions, except per share amounts)</t>
  </si>
  <si>
    <t>Balance sheet</t>
  </si>
  <si>
    <t>ASSETS</t>
  </si>
  <si>
    <t xml:space="preserve">Cash on hand </t>
  </si>
  <si>
    <t>Receivables</t>
  </si>
  <si>
    <t>Inventory</t>
  </si>
  <si>
    <t>Pre-Paid Expenses</t>
  </si>
  <si>
    <t>Other Current Assets</t>
  </si>
  <si>
    <t>Total Current Assets</t>
  </si>
  <si>
    <t>PP&amp;E</t>
  </si>
  <si>
    <t>Long-Term Investments</t>
  </si>
  <si>
    <t>Other Long-Term Assets</t>
  </si>
  <si>
    <t>Goodwill and Intangible Assets</t>
  </si>
  <si>
    <t>Total Long-Term Assets</t>
  </si>
  <si>
    <t>Total Assets</t>
  </si>
  <si>
    <t>Total Current Liabilities</t>
  </si>
  <si>
    <t>Long-Term Debt</t>
  </si>
  <si>
    <t>Total Lonng-Term Liabilities</t>
  </si>
  <si>
    <t>Other Non-Current Liabilities</t>
  </si>
  <si>
    <t>Total Liabilities</t>
  </si>
  <si>
    <t>Common Stock Net</t>
  </si>
  <si>
    <t>Reatined Earnings</t>
  </si>
  <si>
    <t>Cpmprehensive Income</t>
  </si>
  <si>
    <t>Total Liabilities and Shareholders Equity</t>
  </si>
  <si>
    <t>Shareholders Equity</t>
  </si>
  <si>
    <t>Other Shareholders Equity</t>
  </si>
  <si>
    <t>LIABILITIES</t>
  </si>
  <si>
    <t>Income Statement</t>
  </si>
  <si>
    <t>Income After taxes</t>
  </si>
  <si>
    <t>Income After Taxes</t>
  </si>
  <si>
    <t>% Change YOY</t>
  </si>
  <si>
    <t>% of Gross Margin</t>
  </si>
  <si>
    <t>Less: Income taxes</t>
  </si>
  <si>
    <t>Less: COGS</t>
  </si>
  <si>
    <t>ALPHABET  Inc. (GOOG)</t>
  </si>
  <si>
    <t>Balance Sheet</t>
  </si>
  <si>
    <t>EQUITY</t>
  </si>
  <si>
    <t>Cash And Equivalents </t>
  </si>
  <si>
    <t>Short Term Investments</t>
  </si>
  <si>
    <t>Total Cash And Short Term Investments</t>
  </si>
  <si>
    <t>Accounts Receivable </t>
  </si>
  <si>
    <t>Other Receivables</t>
  </si>
  <si>
    <t>Notes Receivable </t>
  </si>
  <si>
    <t>Total Receivables </t>
  </si>
  <si>
    <t>Prepaid Expenses </t>
  </si>
  <si>
    <t>Deferred Tax Assets Current </t>
  </si>
  <si>
    <t>Restricted Cash </t>
  </si>
  <si>
    <t>Gross Property Plant And Equipment </t>
  </si>
  <si>
    <t>Accumulated Depreciation </t>
  </si>
  <si>
    <t>Net Property Plant And Equipment</t>
  </si>
  <si>
    <t>Long-term Investments</t>
  </si>
  <si>
    <t>Goodwill </t>
  </si>
  <si>
    <t>Other Intangibles </t>
  </si>
  <si>
    <t>Loans Receivable Long-Term</t>
  </si>
  <si>
    <t>Deferred Tax Assets Long-Term</t>
  </si>
  <si>
    <t>Accounts Payable </t>
  </si>
  <si>
    <t>Accrued Expenses </t>
  </si>
  <si>
    <t>Short-term Borrowings</t>
  </si>
  <si>
    <t>Current Portion of Long-Term Debt </t>
  </si>
  <si>
    <t>Current Portion of Capital Lease Obligations</t>
  </si>
  <si>
    <t>Current Income Taxes Payable</t>
  </si>
  <si>
    <t>Unearned Revenue Current</t>
  </si>
  <si>
    <t>Other Current Liabilities</t>
  </si>
  <si>
    <t>Capital Leases</t>
  </si>
  <si>
    <t>Unearned Revenue Non Current </t>
  </si>
  <si>
    <t>Deferred Tax Liability Non Current</t>
  </si>
  <si>
    <t>Other Non Current Liabilities</t>
  </si>
  <si>
    <t>Preferred Stock Convertible</t>
  </si>
  <si>
    <t>Preferred Stock - Others</t>
  </si>
  <si>
    <t>Total Preferred Equity</t>
  </si>
  <si>
    <t>Common Stock </t>
  </si>
  <si>
    <t>Additional Paid In Capital </t>
  </si>
  <si>
    <t>Retained Earnings </t>
  </si>
  <si>
    <t>Comprehensive Income and Other</t>
  </si>
  <si>
    <t>Total Common Equity</t>
  </si>
  <si>
    <t>Total Equity</t>
  </si>
  <si>
    <t>Total Liabilities And Equity</t>
  </si>
  <si>
    <t xml:space="preserve">Balance Sheet </t>
  </si>
  <si>
    <t>AVG</t>
  </si>
  <si>
    <t xml:space="preserve">   </t>
  </si>
  <si>
    <t>Supplementary Data:</t>
  </si>
  <si>
    <t>Diluted EPS Excl Extra Items </t>
  </si>
  <si>
    <t>   % Change YoY 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</si>
  <si>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</si>
  <si>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</si>
  <si>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</si>
  <si>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</si>
  <si>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</si>
  <si>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 </t>
  </si>
  <si>
    <t>EBITDAR </t>
  </si>
  <si>
    <t>Effective Tax Rate % </t>
  </si>
  <si>
    <t>FCF</t>
  </si>
  <si>
    <t>FCF/Shares ($)</t>
  </si>
  <si>
    <t>Gross Margin %</t>
  </si>
  <si>
    <t>EBITDA Margin %</t>
  </si>
  <si>
    <t>CapEx/Sales %</t>
  </si>
  <si>
    <t>Revenue Growth %</t>
  </si>
  <si>
    <t>EBIT Growth %</t>
  </si>
  <si>
    <t>FCF Growth %</t>
  </si>
  <si>
    <t>EV/Revenue</t>
  </si>
  <si>
    <t>EV/EBITDA</t>
  </si>
  <si>
    <t>EBITDA Growth %</t>
  </si>
  <si>
    <t>Base Case Financials (MM $)</t>
  </si>
  <si>
    <t>ASSUMPTIONS</t>
  </si>
  <si>
    <t xml:space="preserve">Income Statement </t>
  </si>
  <si>
    <t>%growth</t>
  </si>
  <si>
    <t>Operating Expense</t>
  </si>
  <si>
    <t>Operating Expense as % of Sales</t>
  </si>
  <si>
    <t>Less: Total Operating expenses</t>
  </si>
  <si>
    <t>DSO</t>
  </si>
  <si>
    <t>A/c Receivable</t>
  </si>
  <si>
    <t>A/c Payable</t>
  </si>
  <si>
    <t>DPO</t>
  </si>
  <si>
    <t>Change in NWC</t>
  </si>
  <si>
    <t>NWC</t>
  </si>
  <si>
    <t>OCL%</t>
  </si>
  <si>
    <t>Depriciation as % of Sales</t>
  </si>
  <si>
    <t>CapEx is higher in 2025E as stated by the Management because of heavy investment in AI and infrastructure, and a reduction in forward years.</t>
  </si>
  <si>
    <t>CapEx as % oF sale</t>
  </si>
  <si>
    <t>Cash Flow Statement</t>
  </si>
  <si>
    <t>Total Depreciation And Amortization as % of sale</t>
  </si>
  <si>
    <t>Stock-Based Compensation</t>
  </si>
  <si>
    <t>Change in Accrued Expenses</t>
  </si>
  <si>
    <t>Change in Deferred revenue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</si>
  <si>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</si>
  <si>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</si>
  <si>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</si>
  <si>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</si>
  <si>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</si>
  <si>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</si>
  <si>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Tax Benefit from Stock Options</t>
  </si>
  <si>
    <t>Net Cash From Discontinued Operations</t>
  </si>
  <si>
    <t>Other Operating Activities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</si>
  <si>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</si>
  <si>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</si>
  <si>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</si>
  <si>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</si>
  <si>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</si>
  <si>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 </t>
  </si>
  <si>
    <t>Sale of Property, Plant, and Equipment </t>
  </si>
  <si>
    <t>Cash Acquisitions </t>
  </si>
  <si>
    <t>Divestitures 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</si>
  <si>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</si>
  <si>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</si>
  <si>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</si>
  <si>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</si>
  <si>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</si>
  <si>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</si>
  <si>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</si>
  <si>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</si>
  <si>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 </t>
  </si>
  <si>
    <t>Common &amp; Preferred Stock Dividends Paid</t>
  </si>
  <si>
    <t>Other Financing Activities</t>
  </si>
  <si>
    <t>Cash from Financing</t>
  </si>
  <si>
    <t>Foreign Exchange Rate Adjustments </t>
  </si>
  <si>
    <t>Net Change in Cash </t>
  </si>
  <si>
    <t>Cash flow Statement</t>
  </si>
  <si>
    <t>Stock-Based Compensation as % of sale</t>
  </si>
  <si>
    <t>FCF growth %</t>
  </si>
  <si>
    <t>Free Cash Flow </t>
  </si>
  <si>
    <t>   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</si>
  <si>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</si>
  <si>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</si>
  <si>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</si>
  <si>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</si>
  <si>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</si>
  <si>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Supplementary data for CFS</t>
  </si>
  <si>
    <t>Sum</t>
  </si>
  <si>
    <t>FCF Margin%</t>
  </si>
  <si>
    <t>marketable Securities/cash+marketable securities</t>
  </si>
  <si>
    <t>Net Income % growth</t>
  </si>
  <si>
    <t>Dividend pay out ratio</t>
  </si>
  <si>
    <t>Dividend pay out ratio x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</si>
</sst>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0" formatCode="_(* #,##0.0_);_(* \(#,##0.0\);_(* &quot;-&quot;??_);_(@_)"/>
    <numFmt numFmtId="171" formatCode="0;\(0\)"/>
    <numFmt numFmtId="172" formatCode="0.000"/>
    <numFmt numFmtId="173" formatCode="_ [$₹-4009]\ * #,##0.00_ ;_ [$₹-4009]\ * \-#,##0.00_ ;_ [$₹-4009]\ * &quot;-&quot;??_ ;_ @_ "/>
    <numFmt numFmtId="174" formatCode="0.0\x"/>
    <numFmt numFmtId="175" formatCode="_([$$-409]* #,##0.00_);_([$$-409]* \(#,##0.00\);_([$$-409]* &quot;-&quot;??_);_(@_)"/>
    <numFmt numFmtId="176" formatCode="&quot;Tranche&quot;\ \'0"/>
    <numFmt numFmtId="184" formatCode="_ * #,##0_)_ ;_ * \(#,##0\)_ ;_ * &quot;-&quot;??_)_ ;_ @_ "/>
    <numFmt numFmtId="187" formatCode="0.0%;\(0.0%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2F303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8B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F44336"/>
      <name val="Arial"/>
      <family val="2"/>
    </font>
    <font>
      <b/>
      <i/>
      <sz val="8"/>
      <color theme="1"/>
      <name val="Arial"/>
      <family val="2"/>
    </font>
    <font>
      <i/>
      <sz val="8"/>
      <color rgb="FFF44336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44336"/>
      <name val="Calibri"/>
      <family val="2"/>
      <scheme val="minor"/>
    </font>
    <font>
      <sz val="11"/>
      <color rgb="FFF4433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F44336"/>
      <name val="Arial"/>
      <family val="2"/>
    </font>
    <font>
      <b/>
      <sz val="11"/>
      <color rgb="FFF44336"/>
      <name val="Calibri"/>
      <family val="2"/>
      <scheme val="minor"/>
    </font>
    <font>
      <b/>
      <i/>
      <sz val="8"/>
      <color rgb="FFF44336"/>
      <name val="Arial"/>
      <family val="2"/>
    </font>
    <font>
      <b/>
      <i/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3E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82828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461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2" applyFont="1" applyFill="1" applyAlignment="1">
      <alignment horizontal="center"/>
    </xf>
    <xf numFmtId="165" fontId="0" fillId="5" borderId="3" xfId="2" applyNumberFormat="1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5" borderId="2" xfId="2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0" fontId="8" fillId="2" borderId="0" xfId="0" applyFont="1" applyFill="1"/>
    <xf numFmtId="9" fontId="0" fillId="2" borderId="0" xfId="2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9" fillId="2" borderId="0" xfId="0" applyFont="1" applyFill="1"/>
    <xf numFmtId="9" fontId="0" fillId="2" borderId="0" xfId="2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165" fontId="9" fillId="2" borderId="0" xfId="2" applyNumberFormat="1" applyFont="1" applyFill="1"/>
    <xf numFmtId="165" fontId="0" fillId="2" borderId="0" xfId="2" applyNumberFormat="1" applyFont="1" applyFill="1"/>
    <xf numFmtId="9" fontId="0" fillId="2" borderId="0" xfId="0" applyNumberFormat="1" applyFill="1" applyAlignment="1">
      <alignment horizontal="right"/>
    </xf>
    <xf numFmtId="9" fontId="0" fillId="5" borderId="2" xfId="0" applyNumberFormat="1" applyFill="1" applyBorder="1" applyAlignment="1">
      <alignment horizontal="right"/>
    </xf>
    <xf numFmtId="168" fontId="9" fillId="2" borderId="0" xfId="2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2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2" fontId="0" fillId="2" borderId="0" xfId="0" applyNumberFormat="1" applyFill="1" applyAlignment="1">
      <alignment horizontal="center"/>
    </xf>
    <xf numFmtId="0" fontId="3" fillId="2" borderId="7" xfId="0" applyFont="1" applyFill="1" applyBorder="1"/>
    <xf numFmtId="0" fontId="0" fillId="2" borderId="0" xfId="0" applyFill="1" applyAlignment="1">
      <alignment vertical="top"/>
    </xf>
    <xf numFmtId="0" fontId="11" fillId="3" borderId="0" xfId="0" applyFont="1" applyFill="1"/>
    <xf numFmtId="0" fontId="4" fillId="3" borderId="0" xfId="0" applyFont="1" applyFill="1"/>
    <xf numFmtId="0" fontId="0" fillId="3" borderId="0" xfId="0" applyFill="1"/>
    <xf numFmtId="9" fontId="1" fillId="2" borderId="0" xfId="2" applyFont="1" applyFill="1" applyAlignment="1">
      <alignment horizontal="right"/>
    </xf>
    <xf numFmtId="165" fontId="0" fillId="2" borderId="0" xfId="2" applyNumberFormat="1" applyFont="1" applyFill="1" applyAlignment="1">
      <alignment horizontal="right"/>
    </xf>
    <xf numFmtId="168" fontId="16" fillId="2" borderId="0" xfId="1" applyNumberFormat="1" applyFont="1" applyFill="1" applyAlignment="1">
      <alignment horizontal="right"/>
    </xf>
    <xf numFmtId="9" fontId="16" fillId="2" borderId="0" xfId="2" applyFont="1" applyFill="1" applyAlignment="1">
      <alignment horizontal="right"/>
    </xf>
    <xf numFmtId="10" fontId="3" fillId="2" borderId="0" xfId="2" quotePrefix="1" applyNumberFormat="1" applyFont="1" applyFill="1" applyAlignment="1">
      <alignment horizontal="right"/>
    </xf>
    <xf numFmtId="169" fontId="16" fillId="2" borderId="0" xfId="0" applyNumberFormat="1" applyFont="1" applyFill="1" applyAlignment="1">
      <alignment horizontal="right"/>
    </xf>
    <xf numFmtId="0" fontId="17" fillId="2" borderId="0" xfId="0" applyFont="1" applyFill="1"/>
    <xf numFmtId="164" fontId="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171" fontId="9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9" fontId="0" fillId="2" borderId="0" xfId="1" applyNumberFormat="1" applyFon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0" fontId="18" fillId="2" borderId="1" xfId="0" applyFont="1" applyFill="1" applyBorder="1"/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69" fontId="0" fillId="2" borderId="0" xfId="1" applyNumberFormat="1" applyFont="1" applyFill="1" applyAlignment="1">
      <alignment horizontal="center"/>
    </xf>
    <xf numFmtId="10" fontId="0" fillId="2" borderId="0" xfId="2" applyNumberFormat="1" applyFont="1" applyFill="1"/>
    <xf numFmtId="43" fontId="0" fillId="7" borderId="2" xfId="1" applyFont="1" applyFill="1" applyBorder="1"/>
    <xf numFmtId="10" fontId="0" fillId="7" borderId="2" xfId="0" applyNumberFormat="1" applyFill="1" applyBorder="1"/>
    <xf numFmtId="168" fontId="0" fillId="2" borderId="0" xfId="1" applyNumberFormat="1" applyFont="1" applyFill="1"/>
    <xf numFmtId="169" fontId="0" fillId="2" borderId="0" xfId="0" applyNumberFormat="1" applyFill="1"/>
    <xf numFmtId="9" fontId="0" fillId="7" borderId="2" xfId="2" applyFont="1" applyFill="1" applyBorder="1"/>
    <xf numFmtId="173" fontId="0" fillId="2" borderId="0" xfId="3" applyNumberFormat="1" applyFont="1" applyFill="1" applyAlignment="1">
      <alignment horizontal="right"/>
    </xf>
    <xf numFmtId="173" fontId="0" fillId="2" borderId="0" xfId="0" applyNumberFormat="1" applyFill="1" applyAlignment="1">
      <alignment horizontal="right"/>
    </xf>
    <xf numFmtId="169" fontId="19" fillId="2" borderId="0" xfId="1" applyNumberFormat="1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5" fillId="5" borderId="2" xfId="0" applyFont="1" applyFill="1" applyBorder="1"/>
    <xf numFmtId="172" fontId="0" fillId="2" borderId="0" xfId="0" applyNumberFormat="1" applyFill="1"/>
    <xf numFmtId="172" fontId="0" fillId="2" borderId="0" xfId="0" applyNumberFormat="1" applyFill="1" applyAlignment="1">
      <alignment wrapText="1"/>
    </xf>
    <xf numFmtId="172" fontId="3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0" fillId="0" borderId="1" xfId="0" applyFont="1" applyBorder="1"/>
    <xf numFmtId="0" fontId="0" fillId="0" borderId="1" xfId="0" applyBorder="1"/>
    <xf numFmtId="0" fontId="21" fillId="0" borderId="1" xfId="0" applyFont="1" applyBorder="1" applyAlignment="1">
      <alignment horizontal="center"/>
    </xf>
    <xf numFmtId="0" fontId="22" fillId="0" borderId="0" xfId="0" applyFont="1"/>
    <xf numFmtId="14" fontId="0" fillId="5" borderId="15" xfId="0" applyNumberFormat="1" applyFill="1" applyBorder="1" applyAlignment="1">
      <alignment horizontal="center"/>
    </xf>
    <xf numFmtId="0" fontId="21" fillId="0" borderId="0" xfId="0" applyFont="1"/>
    <xf numFmtId="0" fontId="0" fillId="5" borderId="15" xfId="0" applyFill="1" applyBorder="1" applyAlignment="1">
      <alignment horizontal="center"/>
    </xf>
    <xf numFmtId="0" fontId="22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22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Continuous" vertical="center"/>
    </xf>
    <xf numFmtId="0" fontId="22" fillId="8" borderId="1" xfId="0" applyFont="1" applyFill="1" applyBorder="1" applyAlignment="1">
      <alignment vertical="center"/>
    </xf>
    <xf numFmtId="0" fontId="22" fillId="8" borderId="1" xfId="0" applyFont="1" applyFill="1" applyBorder="1" applyAlignment="1">
      <alignment horizontal="center" vertical="center"/>
    </xf>
    <xf numFmtId="0" fontId="22" fillId="8" borderId="1" xfId="0" quotePrefix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4" fillId="0" borderId="4" xfId="0" applyFont="1" applyBorder="1"/>
    <xf numFmtId="0" fontId="0" fillId="0" borderId="5" xfId="0" applyBorder="1"/>
    <xf numFmtId="164" fontId="0" fillId="0" borderId="5" xfId="2" applyNumberFormat="1" applyFont="1" applyBorder="1" applyAlignment="1">
      <alignment horizontal="center"/>
    </xf>
    <xf numFmtId="164" fontId="0" fillId="2" borderId="5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74" fontId="0" fillId="2" borderId="5" xfId="0" applyNumberFormat="1" applyFill="1" applyBorder="1" applyAlignment="1">
      <alignment horizontal="center"/>
    </xf>
    <xf numFmtId="0" fontId="24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2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0" fontId="24" fillId="2" borderId="0" xfId="0" applyFont="1" applyFill="1"/>
    <xf numFmtId="3" fontId="0" fillId="0" borderId="0" xfId="0" applyNumberFormat="1" applyAlignment="1">
      <alignment horizontal="center" vertical="center"/>
    </xf>
    <xf numFmtId="0" fontId="22" fillId="9" borderId="7" xfId="0" applyFont="1" applyFill="1" applyBorder="1"/>
    <xf numFmtId="0" fontId="0" fillId="9" borderId="8" xfId="0" applyFill="1" applyBorder="1"/>
    <xf numFmtId="164" fontId="22" fillId="9" borderId="8" xfId="0" applyNumberFormat="1" applyFont="1" applyFill="1" applyBorder="1" applyAlignment="1">
      <alignment horizontal="center"/>
    </xf>
    <xf numFmtId="174" fontId="22" fillId="9" borderId="8" xfId="0" applyNumberFormat="1" applyFont="1" applyFill="1" applyBorder="1" applyAlignment="1">
      <alignment horizontal="center"/>
    </xf>
    <xf numFmtId="174" fontId="22" fillId="9" borderId="11" xfId="0" applyNumberFormat="1" applyFont="1" applyFill="1" applyBorder="1" applyAlignment="1">
      <alignment horizontal="center"/>
    </xf>
    <xf numFmtId="0" fontId="22" fillId="9" borderId="13" xfId="0" applyFont="1" applyFill="1" applyBorder="1"/>
    <xf numFmtId="0" fontId="0" fillId="9" borderId="1" xfId="0" applyFill="1" applyBorder="1"/>
    <xf numFmtId="164" fontId="22" fillId="9" borderId="1" xfId="0" applyNumberFormat="1" applyFont="1" applyFill="1" applyBorder="1" applyAlignment="1">
      <alignment horizontal="center"/>
    </xf>
    <xf numFmtId="174" fontId="22" fillId="9" borderId="1" xfId="0" applyNumberFormat="1" applyFont="1" applyFill="1" applyBorder="1" applyAlignment="1">
      <alignment horizontal="center"/>
    </xf>
    <xf numFmtId="174" fontId="22" fillId="9" borderId="14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4" fontId="0" fillId="0" borderId="0" xfId="0" applyNumberFormat="1" applyAlignment="1">
      <alignment horizontal="center" vertical="center"/>
    </xf>
    <xf numFmtId="4" fontId="2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1" fontId="24" fillId="0" borderId="0" xfId="1" quotePrefix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quotePrefix="1" applyNumberFormat="1" applyAlignment="1">
      <alignment horizontal="center" vertical="center"/>
    </xf>
    <xf numFmtId="175" fontId="0" fillId="0" borderId="0" xfId="0" quotePrefix="1" applyNumberFormat="1" applyAlignment="1">
      <alignment vertical="center"/>
    </xf>
    <xf numFmtId="1" fontId="24" fillId="0" borderId="0" xfId="0" quotePrefix="1" applyNumberFormat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vertical="center"/>
    </xf>
    <xf numFmtId="174" fontId="27" fillId="2" borderId="0" xfId="0" applyNumberFormat="1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3" fontId="27" fillId="2" borderId="0" xfId="0" applyNumberFormat="1" applyFont="1" applyFill="1" applyAlignment="1">
      <alignment horizontal="center" vertical="center"/>
    </xf>
    <xf numFmtId="0" fontId="27" fillId="2" borderId="0" xfId="0" applyFont="1" applyFill="1"/>
    <xf numFmtId="1" fontId="27" fillId="2" borderId="0" xfId="0" quotePrefix="1" applyNumberFormat="1" applyFont="1" applyFill="1" applyAlignment="1">
      <alignment horizontal="center" vertical="center"/>
    </xf>
    <xf numFmtId="0" fontId="28" fillId="2" borderId="0" xfId="0" quotePrefix="1" applyFont="1" applyFill="1" applyAlignment="1">
      <alignment horizontal="center" vertical="center"/>
    </xf>
    <xf numFmtId="0" fontId="29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/>
    </xf>
    <xf numFmtId="0" fontId="22" fillId="2" borderId="0" xfId="0" quotePrefix="1" applyFont="1" applyFill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3" fillId="2" borderId="0" xfId="0" applyFont="1" applyFill="1" applyAlignment="1">
      <alignment horizontal="centerContinuous" vertical="center"/>
    </xf>
    <xf numFmtId="0" fontId="23" fillId="2" borderId="0" xfId="0" applyFon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26" fillId="2" borderId="0" xfId="0" applyNumberFormat="1" applyFont="1" applyFill="1" applyAlignment="1">
      <alignment vertical="center"/>
    </xf>
    <xf numFmtId="4" fontId="26" fillId="2" borderId="0" xfId="0" applyNumberFormat="1" applyFont="1" applyFill="1" applyAlignment="1">
      <alignment horizontal="right" vertical="center"/>
    </xf>
    <xf numFmtId="0" fontId="30" fillId="2" borderId="0" xfId="4" applyFill="1" applyAlignment="1">
      <alignment horizontal="right" vertical="center"/>
    </xf>
    <xf numFmtId="0" fontId="22" fillId="2" borderId="0" xfId="0" quotePrefix="1" applyFont="1" applyFill="1" applyAlignment="1">
      <alignment vertical="center"/>
    </xf>
    <xf numFmtId="4" fontId="26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right" vertical="center"/>
    </xf>
    <xf numFmtId="2" fontId="26" fillId="2" borderId="0" xfId="0" applyNumberFormat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5" fillId="2" borderId="0" xfId="1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4" fontId="32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left"/>
    </xf>
    <xf numFmtId="174" fontId="0" fillId="2" borderId="0" xfId="0" applyNumberFormat="1" applyFill="1" applyAlignment="1">
      <alignment horizontal="center"/>
    </xf>
    <xf numFmtId="0" fontId="20" fillId="2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0" fillId="5" borderId="2" xfId="0" applyFill="1" applyBorder="1" applyAlignment="1">
      <alignment horizontal="right"/>
    </xf>
    <xf numFmtId="43" fontId="3" fillId="2" borderId="0" xfId="0" applyNumberFormat="1" applyFont="1" applyFill="1" applyAlignment="1">
      <alignment horizontal="center"/>
    </xf>
    <xf numFmtId="176" fontId="0" fillId="2" borderId="0" xfId="0" applyNumberFormat="1" applyFill="1"/>
    <xf numFmtId="0" fontId="0" fillId="5" borderId="2" xfId="0" applyFill="1" applyBorder="1"/>
    <xf numFmtId="0" fontId="3" fillId="11" borderId="0" xfId="0" applyFont="1" applyFill="1"/>
    <xf numFmtId="0" fontId="0" fillId="11" borderId="0" xfId="0" applyFill="1"/>
    <xf numFmtId="169" fontId="0" fillId="5" borderId="2" xfId="1" applyNumberFormat="1" applyFont="1" applyFill="1" applyBorder="1"/>
    <xf numFmtId="2" fontId="3" fillId="2" borderId="0" xfId="0" applyNumberFormat="1" applyFont="1" applyFill="1"/>
    <xf numFmtId="43" fontId="4" fillId="2" borderId="0" xfId="0" applyNumberFormat="1" applyFont="1" applyFill="1"/>
    <xf numFmtId="10" fontId="0" fillId="2" borderId="0" xfId="0" applyNumberForma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68" fontId="19" fillId="2" borderId="0" xfId="1" applyNumberFormat="1" applyFont="1" applyFill="1" applyAlignment="1">
      <alignment horizontal="right"/>
    </xf>
    <xf numFmtId="169" fontId="19" fillId="5" borderId="2" xfId="1" applyNumberFormat="1" applyFont="1" applyFill="1" applyBorder="1" applyAlignment="1">
      <alignment horizontal="right"/>
    </xf>
    <xf numFmtId="2" fontId="19" fillId="5" borderId="2" xfId="0" applyNumberFormat="1" applyFont="1" applyFill="1" applyBorder="1" applyAlignment="1">
      <alignment horizontal="right"/>
    </xf>
    <xf numFmtId="10" fontId="19" fillId="2" borderId="0" xfId="0" applyNumberFormat="1" applyFont="1" applyFill="1"/>
    <xf numFmtId="10" fontId="19" fillId="7" borderId="2" xfId="0" applyNumberFormat="1" applyFont="1" applyFill="1" applyBorder="1"/>
    <xf numFmtId="170" fontId="19" fillId="7" borderId="2" xfId="1" applyNumberFormat="1" applyFont="1" applyFill="1" applyBorder="1"/>
    <xf numFmtId="9" fontId="19" fillId="7" borderId="2" xfId="0" applyNumberFormat="1" applyFont="1" applyFill="1" applyBorder="1"/>
    <xf numFmtId="0" fontId="19" fillId="5" borderId="2" xfId="0" applyFont="1" applyFill="1" applyBorder="1"/>
    <xf numFmtId="165" fontId="19" fillId="5" borderId="2" xfId="2" applyNumberFormat="1" applyFont="1" applyFill="1" applyBorder="1"/>
    <xf numFmtId="165" fontId="7" fillId="5" borderId="2" xfId="0" applyNumberFormat="1" applyFont="1" applyFill="1" applyBorder="1" applyAlignment="1">
      <alignment horizontal="center"/>
    </xf>
    <xf numFmtId="165" fontId="19" fillId="5" borderId="2" xfId="2" applyNumberFormat="1" applyFont="1" applyFill="1" applyBorder="1" applyAlignment="1">
      <alignment horizontal="center"/>
    </xf>
    <xf numFmtId="9" fontId="19" fillId="5" borderId="2" xfId="0" applyNumberFormat="1" applyFont="1" applyFill="1" applyBorder="1" applyAlignment="1">
      <alignment horizontal="center"/>
    </xf>
    <xf numFmtId="165" fontId="19" fillId="5" borderId="2" xfId="0" applyNumberFormat="1" applyFont="1" applyFill="1" applyBorder="1" applyAlignment="1">
      <alignment horizontal="center"/>
    </xf>
    <xf numFmtId="10" fontId="19" fillId="5" borderId="2" xfId="0" applyNumberFormat="1" applyFont="1" applyFill="1" applyBorder="1" applyAlignment="1">
      <alignment horizontal="center"/>
    </xf>
    <xf numFmtId="164" fontId="19" fillId="5" borderId="2" xfId="2" applyNumberFormat="1" applyFont="1" applyFill="1" applyBorder="1" applyAlignment="1">
      <alignment horizontal="center"/>
    </xf>
    <xf numFmtId="0" fontId="33" fillId="2" borderId="0" xfId="0" applyFont="1" applyFill="1"/>
    <xf numFmtId="0" fontId="34" fillId="2" borderId="0" xfId="0" applyFont="1" applyFill="1"/>
    <xf numFmtId="0" fontId="19" fillId="2" borderId="0" xfId="0" applyFont="1" applyFill="1"/>
    <xf numFmtId="9" fontId="9" fillId="5" borderId="2" xfId="2" applyFont="1" applyFill="1" applyBorder="1" applyAlignment="1">
      <alignment horizontal="right"/>
    </xf>
    <xf numFmtId="164" fontId="19" fillId="5" borderId="2" xfId="0" applyNumberFormat="1" applyFont="1" applyFill="1" applyBorder="1" applyAlignment="1">
      <alignment horizontal="right"/>
    </xf>
    <xf numFmtId="9" fontId="16" fillId="5" borderId="2" xfId="0" applyNumberFormat="1" applyFont="1" applyFill="1" applyBorder="1" applyAlignment="1">
      <alignment horizontal="right"/>
    </xf>
    <xf numFmtId="164" fontId="16" fillId="5" borderId="2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9" xfId="0" applyFont="1" applyFill="1" applyBorder="1"/>
    <xf numFmtId="169" fontId="3" fillId="2" borderId="8" xfId="1" applyNumberFormat="1" applyFont="1" applyFill="1" applyBorder="1" applyAlignment="1">
      <alignment horizontal="right"/>
    </xf>
    <xf numFmtId="169" fontId="3" fillId="2" borderId="1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169" fontId="3" fillId="2" borderId="5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73" fontId="3" fillId="2" borderId="0" xfId="3" applyNumberFormat="1" applyFont="1" applyFill="1" applyAlignment="1">
      <alignment horizontal="right"/>
    </xf>
    <xf numFmtId="9" fontId="19" fillId="2" borderId="0" xfId="2" applyFont="1" applyFill="1" applyAlignment="1">
      <alignment horizontal="right"/>
    </xf>
    <xf numFmtId="0" fontId="3" fillId="0" borderId="0" xfId="0" applyFont="1"/>
    <xf numFmtId="0" fontId="5" fillId="2" borderId="0" xfId="0" applyFont="1" applyFill="1"/>
    <xf numFmtId="0" fontId="0" fillId="0" borderId="8" xfId="0" applyBorder="1"/>
    <xf numFmtId="0" fontId="8" fillId="2" borderId="6" xfId="0" applyFont="1" applyFill="1" applyBorder="1"/>
    <xf numFmtId="0" fontId="8" fillId="2" borderId="13" xfId="0" applyFont="1" applyFill="1" applyBorder="1"/>
    <xf numFmtId="14" fontId="0" fillId="5" borderId="2" xfId="0" applyNumberFormat="1" applyFill="1" applyBorder="1" applyAlignment="1">
      <alignment horizontal="center"/>
    </xf>
    <xf numFmtId="0" fontId="35" fillId="2" borderId="0" xfId="0" applyFont="1" applyFill="1"/>
    <xf numFmtId="0" fontId="3" fillId="5" borderId="0" xfId="0" applyFont="1" applyFill="1" applyAlignment="1">
      <alignment horizontal="right"/>
    </xf>
    <xf numFmtId="169" fontId="4" fillId="2" borderId="0" xfId="0" applyNumberFormat="1" applyFont="1" applyFill="1" applyAlignment="1">
      <alignment horizontal="right"/>
    </xf>
    <xf numFmtId="165" fontId="0" fillId="2" borderId="1" xfId="2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2" fontId="0" fillId="2" borderId="7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3" fillId="5" borderId="0" xfId="0" applyNumberFormat="1" applyFont="1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2" borderId="8" xfId="0" applyFont="1" applyFill="1" applyBorder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2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right"/>
    </xf>
    <xf numFmtId="166" fontId="2" fillId="4" borderId="8" xfId="0" applyNumberFormat="1" applyFont="1" applyFill="1" applyBorder="1" applyAlignment="1">
      <alignment horizontal="right"/>
    </xf>
    <xf numFmtId="167" fontId="2" fillId="4" borderId="8" xfId="0" applyNumberFormat="1" applyFont="1" applyFill="1" applyBorder="1" applyAlignment="1">
      <alignment horizontal="right"/>
    </xf>
    <xf numFmtId="167" fontId="2" fillId="4" borderId="11" xfId="0" applyNumberFormat="1" applyFont="1" applyFill="1" applyBorder="1" applyAlignment="1">
      <alignment horizontal="right"/>
    </xf>
    <xf numFmtId="168" fontId="7" fillId="0" borderId="8" xfId="1" applyNumberFormat="1" applyFont="1" applyBorder="1" applyAlignment="1">
      <alignment horizontal="right"/>
    </xf>
    <xf numFmtId="168" fontId="7" fillId="0" borderId="11" xfId="1" applyNumberFormat="1" applyFont="1" applyBorder="1" applyAlignment="1">
      <alignment horizontal="right"/>
    </xf>
    <xf numFmtId="9" fontId="7" fillId="0" borderId="0" xfId="2" applyFont="1" applyBorder="1" applyAlignment="1">
      <alignment horizontal="right"/>
    </xf>
    <xf numFmtId="9" fontId="7" fillId="0" borderId="12" xfId="2" applyFont="1" applyBorder="1" applyAlignment="1">
      <alignment horizontal="right"/>
    </xf>
    <xf numFmtId="0" fontId="7" fillId="0" borderId="12" xfId="0" applyFont="1" applyBorder="1"/>
    <xf numFmtId="168" fontId="7" fillId="0" borderId="0" xfId="1" applyNumberFormat="1" applyFont="1" applyBorder="1"/>
    <xf numFmtId="168" fontId="7" fillId="0" borderId="12" xfId="1" applyNumberFormat="1" applyFont="1" applyBorder="1"/>
    <xf numFmtId="9" fontId="7" fillId="0" borderId="0" xfId="2" applyFont="1" applyBorder="1"/>
    <xf numFmtId="9" fontId="7" fillId="0" borderId="12" xfId="2" applyFont="1" applyBorder="1"/>
    <xf numFmtId="9" fontId="7" fillId="0" borderId="1" xfId="2" applyFont="1" applyBorder="1"/>
    <xf numFmtId="9" fontId="7" fillId="0" borderId="14" xfId="2" applyFont="1" applyBorder="1"/>
    <xf numFmtId="169" fontId="19" fillId="2" borderId="0" xfId="0" applyNumberFormat="1" applyFont="1" applyFill="1" applyAlignment="1">
      <alignment horizontal="right"/>
    </xf>
    <xf numFmtId="165" fontId="0" fillId="0" borderId="0" xfId="2" applyNumberFormat="1" applyFont="1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0" fontId="4" fillId="0" borderId="0" xfId="2" applyNumberFormat="1" applyFont="1"/>
    <xf numFmtId="0" fontId="25" fillId="0" borderId="0" xfId="0" applyFont="1"/>
    <xf numFmtId="0" fontId="36" fillId="12" borderId="0" xfId="0" applyFont="1" applyFill="1"/>
    <xf numFmtId="0" fontId="38" fillId="2" borderId="0" xfId="0" applyFont="1" applyFill="1"/>
    <xf numFmtId="166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  <xf numFmtId="0" fontId="37" fillId="0" borderId="0" xfId="0" applyFont="1" applyAlignment="1">
      <alignment horizontal="left"/>
    </xf>
    <xf numFmtId="0" fontId="36" fillId="2" borderId="0" xfId="0" applyFont="1" applyFill="1"/>
    <xf numFmtId="0" fontId="3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 indent="2"/>
    </xf>
    <xf numFmtId="0" fontId="3" fillId="2" borderId="8" xfId="0" applyFont="1" applyFill="1" applyBorder="1" applyAlignment="1">
      <alignment horizontal="left"/>
    </xf>
    <xf numFmtId="169" fontId="0" fillId="0" borderId="0" xfId="0" applyNumberFormat="1"/>
    <xf numFmtId="9" fontId="3" fillId="0" borderId="0" xfId="2" applyFont="1" applyAlignment="1">
      <alignment horizontal="right"/>
    </xf>
    <xf numFmtId="169" fontId="0" fillId="0" borderId="1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0" fillId="13" borderId="0" xfId="0" applyFill="1"/>
    <xf numFmtId="0" fontId="40" fillId="13" borderId="0" xfId="0" applyFont="1" applyFill="1" applyAlignment="1">
      <alignment horizontal="left" vertical="center"/>
    </xf>
    <xf numFmtId="0" fontId="31" fillId="13" borderId="0" xfId="0" applyFont="1" applyFill="1" applyAlignment="1">
      <alignment horizontal="right" vertical="center"/>
    </xf>
    <xf numFmtId="0" fontId="30" fillId="13" borderId="0" xfId="4" applyFill="1" applyAlignment="1">
      <alignment horizontal="right" vertical="center"/>
    </xf>
    <xf numFmtId="4" fontId="31" fillId="13" borderId="0" xfId="0" applyNumberFormat="1" applyFont="1" applyFill="1" applyAlignment="1">
      <alignment horizontal="right" vertical="center"/>
    </xf>
    <xf numFmtId="0" fontId="41" fillId="13" borderId="0" xfId="0" applyFont="1" applyFill="1" applyAlignment="1">
      <alignment horizontal="left" vertical="center"/>
    </xf>
    <xf numFmtId="0" fontId="42" fillId="13" borderId="0" xfId="0" applyFont="1" applyFill="1" applyAlignment="1">
      <alignment horizontal="right" vertical="center"/>
    </xf>
    <xf numFmtId="4" fontId="42" fillId="13" borderId="0" xfId="0" applyNumberFormat="1" applyFont="1" applyFill="1" applyAlignment="1">
      <alignment horizontal="right" vertical="center"/>
    </xf>
    <xf numFmtId="4" fontId="43" fillId="13" borderId="0" xfId="0" applyNumberFormat="1" applyFont="1" applyFill="1" applyAlignment="1">
      <alignment horizontal="right" vertical="center"/>
    </xf>
    <xf numFmtId="0" fontId="41" fillId="13" borderId="16" xfId="0" applyFont="1" applyFill="1" applyBorder="1" applyAlignment="1">
      <alignment horizontal="left" vertical="center"/>
    </xf>
    <xf numFmtId="0" fontId="42" fillId="13" borderId="16" xfId="0" applyFont="1" applyFill="1" applyBorder="1" applyAlignment="1">
      <alignment horizontal="right" vertical="center"/>
    </xf>
    <xf numFmtId="0" fontId="30" fillId="13" borderId="16" xfId="4" applyFill="1" applyBorder="1" applyAlignment="1">
      <alignment horizontal="right" vertical="center"/>
    </xf>
    <xf numFmtId="4" fontId="42" fillId="13" borderId="16" xfId="0" applyNumberFormat="1" applyFont="1" applyFill="1" applyBorder="1" applyAlignment="1">
      <alignment horizontal="right" vertical="center"/>
    </xf>
    <xf numFmtId="0" fontId="0" fillId="13" borderId="0" xfId="0" applyFont="1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3" fillId="13" borderId="16" xfId="0" applyFont="1" applyFill="1" applyBorder="1" applyAlignment="1">
      <alignment horizontal="left" vertical="center"/>
    </xf>
    <xf numFmtId="166" fontId="0" fillId="12" borderId="0" xfId="0" applyNumberFormat="1" applyFill="1" applyAlignment="1">
      <alignment horizontal="right"/>
    </xf>
    <xf numFmtId="0" fontId="3" fillId="12" borderId="0" xfId="0" applyFont="1" applyFill="1" applyAlignment="1">
      <alignment horizontal="left" vertical="center"/>
    </xf>
    <xf numFmtId="0" fontId="3" fillId="13" borderId="0" xfId="0" applyFont="1" applyFill="1" applyBorder="1" applyAlignment="1">
      <alignment horizontal="left" vertical="center"/>
    </xf>
    <xf numFmtId="0" fontId="0" fillId="13" borderId="1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/>
    </xf>
    <xf numFmtId="44" fontId="0" fillId="0" borderId="0" xfId="3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5" xfId="0" applyNumberFormat="1" applyBorder="1"/>
    <xf numFmtId="169" fontId="3" fillId="0" borderId="0" xfId="0" applyNumberFormat="1" applyFont="1" applyAlignment="1">
      <alignment horizontal="right"/>
    </xf>
    <xf numFmtId="169" fontId="0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9" fontId="3" fillId="0" borderId="1" xfId="1" applyNumberFormat="1" applyFont="1" applyBorder="1" applyAlignment="1">
      <alignment horizontal="right"/>
    </xf>
    <xf numFmtId="9" fontId="0" fillId="0" borderId="0" xfId="2" applyFont="1"/>
    <xf numFmtId="43" fontId="0" fillId="0" borderId="0" xfId="1" applyNumberFormat="1" applyFont="1" applyBorder="1" applyAlignment="1">
      <alignment horizontal="right"/>
    </xf>
    <xf numFmtId="0" fontId="3" fillId="0" borderId="1" xfId="0" applyFont="1" applyBorder="1"/>
    <xf numFmtId="166" fontId="3" fillId="0" borderId="1" xfId="0" applyNumberFormat="1" applyFont="1" applyBorder="1" applyAlignment="1">
      <alignment horizontal="right"/>
    </xf>
    <xf numFmtId="167" fontId="3" fillId="5" borderId="1" xfId="0" applyNumberFormat="1" applyFont="1" applyFill="1" applyBorder="1" applyAlignment="1">
      <alignment horizontal="right"/>
    </xf>
    <xf numFmtId="0" fontId="44" fillId="13" borderId="0" xfId="0" applyFont="1" applyFill="1" applyAlignment="1">
      <alignment horizontal="left" vertical="center"/>
    </xf>
    <xf numFmtId="0" fontId="0" fillId="13" borderId="0" xfId="0" applyFont="1" applyFill="1"/>
    <xf numFmtId="0" fontId="0" fillId="0" borderId="0" xfId="0" applyFont="1"/>
    <xf numFmtId="0" fontId="35" fillId="13" borderId="0" xfId="0" applyFont="1" applyFill="1" applyAlignment="1">
      <alignment horizontal="left" vertical="center"/>
    </xf>
    <xf numFmtId="0" fontId="46" fillId="13" borderId="0" xfId="0" applyFont="1" applyFill="1" applyAlignment="1">
      <alignment horizontal="right" vertical="center"/>
    </xf>
    <xf numFmtId="0" fontId="8" fillId="13" borderId="0" xfId="0" applyFont="1" applyFill="1" applyAlignment="1">
      <alignment horizontal="left" vertical="center"/>
    </xf>
    <xf numFmtId="4" fontId="46" fillId="13" borderId="0" xfId="0" applyNumberFormat="1" applyFont="1" applyFill="1" applyAlignment="1">
      <alignment horizontal="right" vertical="center"/>
    </xf>
    <xf numFmtId="4" fontId="47" fillId="13" borderId="0" xfId="0" applyNumberFormat="1" applyFont="1" applyFill="1" applyAlignment="1">
      <alignment horizontal="right" vertical="center"/>
    </xf>
    <xf numFmtId="0" fontId="0" fillId="13" borderId="0" xfId="0" applyFont="1" applyFill="1" applyAlignment="1">
      <alignment horizontal="right" vertical="center"/>
    </xf>
    <xf numFmtId="0" fontId="50" fillId="13" borderId="0" xfId="4" applyFont="1" applyFill="1" applyAlignment="1">
      <alignment horizontal="right" vertical="center"/>
    </xf>
    <xf numFmtId="10" fontId="0" fillId="13" borderId="0" xfId="0" applyNumberFormat="1" applyFont="1" applyFill="1" applyAlignment="1">
      <alignment horizontal="right" vertical="center"/>
    </xf>
    <xf numFmtId="4" fontId="0" fillId="13" borderId="0" xfId="0" applyNumberFormat="1" applyFont="1" applyFill="1" applyAlignment="1">
      <alignment horizontal="right" vertical="center"/>
    </xf>
    <xf numFmtId="187" fontId="0" fillId="13" borderId="0" xfId="0" applyNumberFormat="1" applyFont="1" applyFill="1" applyAlignment="1">
      <alignment horizontal="right" vertical="center"/>
    </xf>
    <xf numFmtId="4" fontId="3" fillId="13" borderId="0" xfId="0" applyNumberFormat="1" applyFont="1" applyFill="1" applyAlignment="1">
      <alignment horizontal="right" vertical="center"/>
    </xf>
    <xf numFmtId="0" fontId="6" fillId="13" borderId="0" xfId="4" applyFont="1" applyFill="1" applyAlignment="1">
      <alignment horizontal="right" vertical="center"/>
    </xf>
    <xf numFmtId="10" fontId="3" fillId="13" borderId="0" xfId="0" applyNumberFormat="1" applyFont="1" applyFill="1" applyAlignment="1">
      <alignment horizontal="right" vertical="center"/>
    </xf>
    <xf numFmtId="187" fontId="3" fillId="13" borderId="0" xfId="0" applyNumberFormat="1" applyFont="1" applyFill="1" applyAlignment="1">
      <alignment horizontal="right" vertical="center"/>
    </xf>
    <xf numFmtId="0" fontId="0" fillId="0" borderId="6" xfId="0" applyBorder="1"/>
    <xf numFmtId="169" fontId="51" fillId="2" borderId="11" xfId="0" applyNumberFormat="1" applyFont="1" applyFill="1" applyBorder="1" applyAlignment="1">
      <alignment horizontal="right" vertical="center"/>
    </xf>
    <xf numFmtId="169" fontId="51" fillId="2" borderId="12" xfId="0" applyNumberFormat="1" applyFont="1" applyFill="1" applyBorder="1" applyAlignment="1">
      <alignment horizontal="right" vertical="center"/>
    </xf>
    <xf numFmtId="2" fontId="51" fillId="2" borderId="14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" fillId="2" borderId="0" xfId="0" applyFont="1" applyFill="1" applyBorder="1"/>
    <xf numFmtId="169" fontId="51" fillId="2" borderId="0" xfId="0" applyNumberFormat="1" applyFont="1" applyFill="1" applyBorder="1" applyAlignment="1">
      <alignment horizontal="right" vertical="center"/>
    </xf>
    <xf numFmtId="1" fontId="0" fillId="0" borderId="0" xfId="0" applyNumberFormat="1"/>
    <xf numFmtId="0" fontId="14" fillId="11" borderId="0" xfId="0" applyFont="1" applyFill="1"/>
    <xf numFmtId="0" fontId="3" fillId="11" borderId="0" xfId="0" applyFont="1" applyFill="1" applyAlignment="1">
      <alignment horizontal="right"/>
    </xf>
    <xf numFmtId="44" fontId="0" fillId="0" borderId="0" xfId="3" applyFont="1"/>
    <xf numFmtId="43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Border="1"/>
    <xf numFmtId="0" fontId="0" fillId="0" borderId="13" xfId="0" applyBorder="1"/>
    <xf numFmtId="174" fontId="51" fillId="0" borderId="8" xfId="0" applyNumberFormat="1" applyFont="1" applyBorder="1"/>
    <xf numFmtId="174" fontId="51" fillId="0" borderId="11" xfId="0" applyNumberFormat="1" applyFont="1" applyBorder="1"/>
    <xf numFmtId="174" fontId="51" fillId="0" borderId="0" xfId="0" applyNumberFormat="1" applyFont="1" applyBorder="1"/>
    <xf numFmtId="174" fontId="51" fillId="0" borderId="12" xfId="0" applyNumberFormat="1" applyFont="1" applyBorder="1"/>
    <xf numFmtId="174" fontId="51" fillId="0" borderId="1" xfId="0" applyNumberFormat="1" applyFont="1" applyBorder="1"/>
    <xf numFmtId="174" fontId="51" fillId="0" borderId="14" xfId="0" applyNumberFormat="1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13" xfId="0" applyFont="1" applyBorder="1"/>
    <xf numFmtId="0" fontId="0" fillId="0" borderId="0" xfId="0" quotePrefix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right"/>
    </xf>
    <xf numFmtId="9" fontId="0" fillId="0" borderId="0" xfId="2" quotePrefix="1" applyFont="1" applyBorder="1" applyAlignment="1">
      <alignment horizontal="right"/>
    </xf>
    <xf numFmtId="9" fontId="0" fillId="0" borderId="0" xfId="2" applyFont="1" applyBorder="1" applyAlignment="1">
      <alignment horizontal="right"/>
    </xf>
    <xf numFmtId="9" fontId="0" fillId="0" borderId="12" xfId="2" applyFon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0" fontId="0" fillId="0" borderId="0" xfId="0" quotePrefix="1" applyBorder="1" applyAlignment="1">
      <alignment horizontal="right"/>
    </xf>
    <xf numFmtId="164" fontId="7" fillId="0" borderId="1" xfId="2" applyNumberFormat="1" applyFont="1" applyBorder="1" applyAlignment="1">
      <alignment horizontal="right"/>
    </xf>
    <xf numFmtId="164" fontId="7" fillId="0" borderId="14" xfId="2" applyNumberFormat="1" applyFont="1" applyBorder="1" applyAlignment="1">
      <alignment horizontal="right"/>
    </xf>
    <xf numFmtId="0" fontId="2" fillId="4" borderId="7" xfId="0" applyFont="1" applyFill="1" applyBorder="1"/>
    <xf numFmtId="9" fontId="19" fillId="0" borderId="0" xfId="2" applyFont="1" applyAlignment="1">
      <alignment horizontal="right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169" fontId="19" fillId="0" borderId="0" xfId="1" applyNumberFormat="1" applyFont="1" applyAlignment="1">
      <alignment horizontal="right"/>
    </xf>
    <xf numFmtId="43" fontId="0" fillId="0" borderId="0" xfId="1" applyFont="1"/>
    <xf numFmtId="169" fontId="3" fillId="0" borderId="8" xfId="1" applyNumberFormat="1" applyFont="1" applyBorder="1" applyAlignment="1">
      <alignment horizontal="right"/>
    </xf>
    <xf numFmtId="4" fontId="42" fillId="14" borderId="16" xfId="0" applyNumberFormat="1" applyFont="1" applyFill="1" applyBorder="1" applyAlignment="1">
      <alignment horizontal="right" vertical="center"/>
    </xf>
    <xf numFmtId="4" fontId="52" fillId="13" borderId="0" xfId="0" applyNumberFormat="1" applyFont="1" applyFill="1" applyAlignment="1">
      <alignment horizontal="right" vertical="center"/>
    </xf>
    <xf numFmtId="4" fontId="49" fillId="13" borderId="0" xfId="0" applyNumberFormat="1" applyFont="1" applyFill="1" applyAlignment="1">
      <alignment horizontal="right" vertical="center"/>
    </xf>
    <xf numFmtId="4" fontId="52" fillId="13" borderId="16" xfId="0" applyNumberFormat="1" applyFont="1" applyFill="1" applyBorder="1" applyAlignment="1">
      <alignment horizontal="right" vertical="center"/>
    </xf>
    <xf numFmtId="0" fontId="52" fillId="13" borderId="0" xfId="0" applyFont="1" applyFill="1" applyAlignment="1">
      <alignment horizontal="right" vertical="center"/>
    </xf>
    <xf numFmtId="0" fontId="3" fillId="14" borderId="16" xfId="0" applyFont="1" applyFill="1" applyBorder="1" applyAlignment="1">
      <alignment horizontal="left" vertical="center"/>
    </xf>
    <xf numFmtId="4" fontId="52" fillId="14" borderId="16" xfId="0" applyNumberFormat="1" applyFont="1" applyFill="1" applyBorder="1" applyAlignment="1">
      <alignment horizontal="right" vertical="center"/>
    </xf>
    <xf numFmtId="3" fontId="0" fillId="0" borderId="0" xfId="0" applyNumberFormat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4" fontId="42" fillId="13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9" fillId="2" borderId="0" xfId="0" applyFont="1" applyFill="1" applyBorder="1" applyAlignment="1">
      <alignment horizontal="right" vertical="center"/>
    </xf>
    <xf numFmtId="0" fontId="31" fillId="13" borderId="0" xfId="0" applyFont="1" applyFill="1" applyBorder="1" applyAlignment="1">
      <alignment horizontal="right" vertical="center"/>
    </xf>
    <xf numFmtId="4" fontId="43" fillId="13" borderId="0" xfId="0" applyNumberFormat="1" applyFont="1" applyFill="1" applyBorder="1" applyAlignment="1">
      <alignment horizontal="right" vertical="center"/>
    </xf>
    <xf numFmtId="4" fontId="31" fillId="13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Border="1"/>
    <xf numFmtId="0" fontId="6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167" fontId="0" fillId="2" borderId="0" xfId="0" applyNumberFormat="1" applyFill="1" applyAlignment="1">
      <alignment horizontal="right"/>
    </xf>
    <xf numFmtId="3" fontId="0" fillId="0" borderId="0" xfId="0" applyNumberFormat="1" applyBorder="1"/>
    <xf numFmtId="1" fontId="0" fillId="0" borderId="0" xfId="0" applyNumberFormat="1" applyBorder="1"/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7" fontId="3" fillId="5" borderId="0" xfId="0" applyNumberFormat="1" applyFont="1" applyFill="1" applyAlignment="1">
      <alignment horizontal="right"/>
    </xf>
    <xf numFmtId="1" fontId="0" fillId="12" borderId="0" xfId="0" applyNumberFormat="1" applyFill="1" applyBorder="1" applyAlignment="1">
      <alignment horizontal="right"/>
    </xf>
    <xf numFmtId="1" fontId="0" fillId="12" borderId="0" xfId="0" applyNumberFormat="1" applyFill="1" applyBorder="1"/>
    <xf numFmtId="9" fontId="46" fillId="11" borderId="0" xfId="2" applyFont="1" applyFill="1" applyAlignment="1">
      <alignment horizontal="right" vertical="center"/>
    </xf>
    <xf numFmtId="9" fontId="31" fillId="13" borderId="0" xfId="2" applyFont="1" applyFill="1" applyAlignment="1">
      <alignment horizontal="right" vertical="center"/>
    </xf>
    <xf numFmtId="3" fontId="3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8" fillId="0" borderId="0" xfId="0" applyFont="1" applyAlignment="1">
      <alignment horizontal="left"/>
    </xf>
    <xf numFmtId="169" fontId="0" fillId="0" borderId="0" xfId="0" applyNumberFormat="1" applyBorder="1"/>
    <xf numFmtId="169" fontId="3" fillId="0" borderId="0" xfId="0" applyNumberFormat="1" applyFont="1" applyBorder="1"/>
    <xf numFmtId="1" fontId="3" fillId="0" borderId="0" xfId="0" applyNumberFormat="1" applyFont="1" applyBorder="1"/>
    <xf numFmtId="3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/>
    <xf numFmtId="169" fontId="0" fillId="12" borderId="1" xfId="1" applyNumberFormat="1" applyFont="1" applyFill="1" applyBorder="1"/>
    <xf numFmtId="3" fontId="3" fillId="0" borderId="0" xfId="0" applyNumberFormat="1" applyFont="1" applyBorder="1"/>
    <xf numFmtId="43" fontId="0" fillId="0" borderId="0" xfId="1" quotePrefix="1" applyFont="1"/>
    <xf numFmtId="0" fontId="43" fillId="13" borderId="0" xfId="0" applyFont="1" applyFill="1" applyAlignment="1">
      <alignment horizontal="right" vertical="center"/>
    </xf>
    <xf numFmtId="4" fontId="45" fillId="13" borderId="0" xfId="0" applyNumberFormat="1" applyFont="1" applyFill="1" applyAlignment="1">
      <alignment horizontal="right" vertical="center"/>
    </xf>
    <xf numFmtId="4" fontId="53" fillId="13" borderId="16" xfId="0" applyNumberFormat="1" applyFont="1" applyFill="1" applyBorder="1" applyAlignment="1">
      <alignment horizontal="right" vertical="center"/>
    </xf>
    <xf numFmtId="0" fontId="53" fillId="13" borderId="16" xfId="0" applyFont="1" applyFill="1" applyBorder="1" applyAlignment="1">
      <alignment horizontal="right" vertical="center"/>
    </xf>
    <xf numFmtId="0" fontId="49" fillId="13" borderId="0" xfId="0" applyFont="1" applyFill="1" applyAlignment="1">
      <alignment horizontal="right" vertical="center"/>
    </xf>
    <xf numFmtId="4" fontId="48" fillId="13" borderId="0" xfId="0" applyNumberFormat="1" applyFont="1" applyFill="1" applyAlignment="1">
      <alignment horizontal="right" vertical="center"/>
    </xf>
    <xf numFmtId="4" fontId="54" fillId="13" borderId="16" xfId="0" applyNumberFormat="1" applyFont="1" applyFill="1" applyBorder="1" applyAlignment="1">
      <alignment horizontal="right" vertical="center"/>
    </xf>
    <xf numFmtId="0" fontId="52" fillId="13" borderId="16" xfId="0" applyFont="1" applyFill="1" applyBorder="1" applyAlignment="1">
      <alignment horizontal="right" vertical="center"/>
    </xf>
    <xf numFmtId="0" fontId="54" fillId="13" borderId="16" xfId="0" applyFont="1" applyFill="1" applyBorder="1" applyAlignment="1">
      <alignment horizontal="right" vertical="center"/>
    </xf>
    <xf numFmtId="166" fontId="3" fillId="12" borderId="0" xfId="0" applyNumberFormat="1" applyFont="1" applyFill="1" applyAlignment="1">
      <alignment horizontal="right"/>
    </xf>
    <xf numFmtId="0" fontId="56" fillId="13" borderId="0" xfId="0" applyFont="1" applyFill="1" applyAlignment="1">
      <alignment horizontal="right" vertical="center"/>
    </xf>
    <xf numFmtId="10" fontId="56" fillId="13" borderId="0" xfId="0" applyNumberFormat="1" applyFont="1" applyFill="1" applyAlignment="1">
      <alignment horizontal="right" vertical="center"/>
    </xf>
    <xf numFmtId="10" fontId="55" fillId="13" borderId="0" xfId="0" applyNumberFormat="1" applyFont="1" applyFill="1" applyAlignment="1">
      <alignment horizontal="right" vertical="center"/>
    </xf>
    <xf numFmtId="0" fontId="0" fillId="12" borderId="0" xfId="1" applyNumberFormat="1" applyFont="1" applyFill="1" applyAlignment="1">
      <alignment horizontal="left"/>
    </xf>
    <xf numFmtId="9" fontId="0" fillId="12" borderId="0" xfId="2" applyFont="1" applyFill="1"/>
    <xf numFmtId="3" fontId="0" fillId="12" borderId="0" xfId="0" applyNumberFormat="1" applyFill="1" applyBorder="1"/>
    <xf numFmtId="169" fontId="15" fillId="0" borderId="0" xfId="1" applyNumberFormat="1" applyFont="1" applyBorder="1" applyAlignment="1">
      <alignment horizontal="right"/>
    </xf>
    <xf numFmtId="169" fontId="0" fillId="0" borderId="12" xfId="1" applyNumberFormat="1" applyFont="1" applyBorder="1" applyAlignment="1">
      <alignment horizontal="right"/>
    </xf>
    <xf numFmtId="0" fontId="7" fillId="0" borderId="0" xfId="0" applyFont="1" applyBorder="1"/>
    <xf numFmtId="0" fontId="0" fillId="4" borderId="8" xfId="0" applyFill="1" applyBorder="1"/>
    <xf numFmtId="0" fontId="0" fillId="4" borderId="11" xfId="0" applyFill="1" applyBorder="1"/>
    <xf numFmtId="0" fontId="2" fillId="4" borderId="8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43" fontId="0" fillId="0" borderId="12" xfId="1" applyNumberFormat="1" applyFont="1" applyBorder="1" applyAlignment="1">
      <alignment horizontal="right"/>
    </xf>
    <xf numFmtId="169" fontId="1" fillId="2" borderId="0" xfId="1" applyNumberFormat="1" applyFont="1" applyFill="1" applyBorder="1" applyAlignment="1">
      <alignment horizontal="right"/>
    </xf>
    <xf numFmtId="169" fontId="1" fillId="2" borderId="12" xfId="1" applyNumberFormat="1" applyFont="1" applyFill="1" applyBorder="1" applyAlignment="1">
      <alignment horizontal="right"/>
    </xf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Revenue</a:t>
            </a:r>
            <a:r>
              <a:rPr lang="en-IN" baseline="0"/>
              <a:t> and Growth%</a:t>
            </a:r>
            <a:endParaRPr lang="en-IN"/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F470-449A-B69C-422B94E4E965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F470-449A-B69C-422B94E4E965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Summary!$D$11:$R$11</c:f>
              <c:numCache>
                <c:formatCode>_ * #,##0_ ;_ * \-#,##0_ ;_ * "-"??_ ;_ @_ </c:formatCode>
                <c:ptCount val="15"/>
                <c:pt idx="0">
                  <c:v>74989</c:v>
                </c:pt>
                <c:pt idx="1">
                  <c:v>90272</c:v>
                </c:pt>
                <c:pt idx="2">
                  <c:v>110855</c:v>
                </c:pt>
                <c:pt idx="3">
                  <c:v>136819</c:v>
                </c:pt>
                <c:pt idx="4">
                  <c:v>161857</c:v>
                </c:pt>
                <c:pt idx="5">
                  <c:v>182527</c:v>
                </c:pt>
                <c:pt idx="6">
                  <c:v>257637</c:v>
                </c:pt>
                <c:pt idx="7">
                  <c:v>282836</c:v>
                </c:pt>
                <c:pt idx="8">
                  <c:v>307394</c:v>
                </c:pt>
                <c:pt idx="9">
                  <c:v>350018</c:v>
                </c:pt>
                <c:pt idx="10">
                  <c:v>394235.78</c:v>
                </c:pt>
                <c:pt idx="11">
                  <c:v>439217.15</c:v>
                </c:pt>
                <c:pt idx="12">
                  <c:v>494718.10560664587</c:v>
                </c:pt>
                <c:pt idx="13">
                  <c:v>555204.15742699755</c:v>
                </c:pt>
                <c:pt idx="14">
                  <c:v>622332.90525321569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Summary!$B$12</c:f>
              <c:strCache>
                <c:ptCount val="1"/>
                <c:pt idx="0">
                  <c:v>growth%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E-412C-A6E6-F2D99874C39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4-B4BE-412C-A6E6-F2D99874C391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A-DBE0-449D-BB5A-3F778E5494E0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Summary!$D$12:$R$12</c:f>
              <c:numCache>
                <c:formatCode>0%</c:formatCode>
                <c:ptCount val="15"/>
                <c:pt idx="0">
                  <c:v>0</c:v>
                </c:pt>
                <c:pt idx="1">
                  <c:v>0.20380322447292265</c:v>
                </c:pt>
                <c:pt idx="2">
                  <c:v>0.22801090038993266</c:v>
                </c:pt>
                <c:pt idx="3">
                  <c:v>0.23421586757475987</c:v>
                </c:pt>
                <c:pt idx="4">
                  <c:v>0.18300089899794614</c:v>
                </c:pt>
                <c:pt idx="5">
                  <c:v>0.12770532012826141</c:v>
                </c:pt>
                <c:pt idx="6">
                  <c:v>0.41150076427049154</c:v>
                </c:pt>
                <c:pt idx="7">
                  <c:v>9.7808156437157789E-2</c:v>
                </c:pt>
                <c:pt idx="8">
                  <c:v>8.6827702272695095E-2</c:v>
                </c:pt>
                <c:pt idx="9">
                  <c:v>0.13866243322901561</c:v>
                </c:pt>
                <c:pt idx="10">
                  <c:v>0.12633001731339544</c:v>
                </c:pt>
                <c:pt idx="11">
                  <c:v>0.11409763466928347</c:v>
                </c:pt>
                <c:pt idx="12">
                  <c:v>0.12636336173723151</c:v>
                </c:pt>
                <c:pt idx="13">
                  <c:v>0.12226367123997013</c:v>
                </c:pt>
                <c:pt idx="14">
                  <c:v>0.12090822254882837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EBIT and % of Sale</a:t>
            </a:r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C80A-46C6-AC42-FC22683CA5DB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C80A-46C6-AC42-FC22683CA5DB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Summary!$C$14:$R$14</c:f>
              <c:numCache>
                <c:formatCode>_ * #,##0_ ;_ * \-#,##0_ ;_ * "-"??_ ;_ @_ </c:formatCode>
                <c:ptCount val="16"/>
                <c:pt idx="1">
                  <c:v>19360</c:v>
                </c:pt>
                <c:pt idx="2">
                  <c:v>23716</c:v>
                </c:pt>
                <c:pt idx="3">
                  <c:v>26178</c:v>
                </c:pt>
                <c:pt idx="4">
                  <c:v>27524</c:v>
                </c:pt>
                <c:pt idx="5">
                  <c:v>34231</c:v>
                </c:pt>
                <c:pt idx="6">
                  <c:v>41224</c:v>
                </c:pt>
                <c:pt idx="7">
                  <c:v>78714</c:v>
                </c:pt>
                <c:pt idx="8">
                  <c:v>74842</c:v>
                </c:pt>
                <c:pt idx="9">
                  <c:v>84293</c:v>
                </c:pt>
                <c:pt idx="10">
                  <c:v>112390</c:v>
                </c:pt>
                <c:pt idx="11">
                  <c:v>130441.53999999998</c:v>
                </c:pt>
                <c:pt idx="12">
                  <c:v>147085.24</c:v>
                </c:pt>
                <c:pt idx="13">
                  <c:v>162737.54150380593</c:v>
                </c:pt>
                <c:pt idx="14">
                  <c:v>184087.63502931772</c:v>
                </c:pt>
                <c:pt idx="15">
                  <c:v>206489.63559694329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A-C80A-46C6-AC42-FC22683C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Summary!$B$15</c:f>
              <c:strCache>
                <c:ptCount val="1"/>
                <c:pt idx="0">
                  <c:v>% of Sale 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80A-46C6-AC42-FC22683CA5DB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D-C80A-46C6-AC42-FC22683CA5DB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E-C80A-46C6-AC42-FC22683CA5DB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Summary!$C$15:$R$15</c:f>
              <c:numCache>
                <c:formatCode>0%</c:formatCode>
                <c:ptCount val="16"/>
                <c:pt idx="1">
                  <c:v>0.25817119844243824</c:v>
                </c:pt>
                <c:pt idx="2">
                  <c:v>0.26271712158808935</c:v>
                </c:pt>
                <c:pt idx="3">
                  <c:v>0.23614631726128726</c:v>
                </c:pt>
                <c:pt idx="4">
                  <c:v>0.20117089000796673</c:v>
                </c:pt>
                <c:pt idx="5">
                  <c:v>0.21148915400631421</c:v>
                </c:pt>
                <c:pt idx="6">
                  <c:v>0.22585151785763202</c:v>
                </c:pt>
                <c:pt idx="7">
                  <c:v>0.3055228868524319</c:v>
                </c:pt>
                <c:pt idx="8">
                  <c:v>0.26461270842467011</c:v>
                </c:pt>
                <c:pt idx="9">
                  <c:v>0.27421810445226646</c:v>
                </c:pt>
                <c:pt idx="10">
                  <c:v>0.32109777211457696</c:v>
                </c:pt>
                <c:pt idx="11">
                  <c:v>0.33087189600091593</c:v>
                </c:pt>
                <c:pt idx="12">
                  <c:v>0.33488045719526205</c:v>
                </c:pt>
                <c:pt idx="13">
                  <c:v>0.32895004177025167</c:v>
                </c:pt>
                <c:pt idx="14">
                  <c:v>0.3315674649888099</c:v>
                </c:pt>
                <c:pt idx="15">
                  <c:v>0.33179932131810785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C80A-46C6-AC42-FC22683C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41232287"/>
        <c:crosses val="max"/>
        <c:crossBetween val="between"/>
        <c:majorUnit val="25000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FCF</a:t>
            </a:r>
            <a:r>
              <a:rPr lang="en-IN" baseline="0"/>
              <a:t> Growth (%) &amp; EBITDA Growth (%)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Summary!$B$63:$D$63</c:f>
              <c:strCache>
                <c:ptCount val="3"/>
                <c:pt idx="0">
                  <c:v>EBITDA Growth %</c:v>
                </c:pt>
                <c:pt idx="2">
                  <c:v>--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Summary!$E$55:$M$55</c:f>
              <c:strCache>
                <c:ptCount val="9"/>
                <c:pt idx="0">
                  <c:v>2021A</c:v>
                </c:pt>
                <c:pt idx="1">
                  <c:v>2022A</c:v>
                </c:pt>
                <c:pt idx="2">
                  <c:v>2023A</c:v>
                </c:pt>
                <c:pt idx="3">
                  <c:v>2024A</c:v>
                </c:pt>
                <c:pt idx="4">
                  <c:v>2025E</c:v>
                </c:pt>
                <c:pt idx="5">
                  <c:v>2026E</c:v>
                </c:pt>
                <c:pt idx="6">
                  <c:v>2027E</c:v>
                </c:pt>
                <c:pt idx="7">
                  <c:v>2028E</c:v>
                </c:pt>
                <c:pt idx="8">
                  <c:v>2029E</c:v>
                </c:pt>
              </c:strCache>
            </c:strRef>
          </c:cat>
          <c:val>
            <c:numRef>
              <c:f>Summary!$E$63:$M$63</c:f>
              <c:numCache>
                <c:formatCode>0%;\(0%\)</c:formatCode>
                <c:ptCount val="9"/>
                <c:pt idx="0" formatCode="0%">
                  <c:v>0.6208039633535507</c:v>
                </c:pt>
                <c:pt idx="1">
                  <c:v>-7.5291896569161798E-3</c:v>
                </c:pt>
                <c:pt idx="2" formatCode="0%">
                  <c:v>8.9699604832591762E-2</c:v>
                </c:pt>
                <c:pt idx="3" formatCode="0%">
                  <c:v>0.345577156869876</c:v>
                </c:pt>
                <c:pt idx="4" formatCode="0%">
                  <c:v>0.33348085283828954</c:v>
                </c:pt>
                <c:pt idx="5" formatCode="0%">
                  <c:v>0.13483745273169245</c:v>
                </c:pt>
                <c:pt idx="6">
                  <c:v>-0.13249848608224024</c:v>
                </c:pt>
                <c:pt idx="7" formatCode="0%">
                  <c:v>9.9173747999484085E-2</c:v>
                </c:pt>
                <c:pt idx="8" formatCode="0%">
                  <c:v>0.12812679711218045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9-4BDE-9B26-4DB052CE5A37}"/>
            </c:ext>
          </c:extLst>
        </c:ser>
        <c:ser>
          <c:idx val="1"/>
          <c:order val="1"/>
          <c:tx>
            <c:strRef>
              <c:f>Summary!$B$65:$D$65</c:f>
              <c:strCache>
                <c:ptCount val="3"/>
                <c:pt idx="0">
                  <c:v>FCF Growth %</c:v>
                </c:pt>
                <c:pt idx="2">
                  <c:v>--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Summary!$E$55:$M$55</c:f>
              <c:strCache>
                <c:ptCount val="9"/>
                <c:pt idx="0">
                  <c:v>2021A</c:v>
                </c:pt>
                <c:pt idx="1">
                  <c:v>2022A</c:v>
                </c:pt>
                <c:pt idx="2">
                  <c:v>2023A</c:v>
                </c:pt>
                <c:pt idx="3">
                  <c:v>2024A</c:v>
                </c:pt>
                <c:pt idx="4">
                  <c:v>2025E</c:v>
                </c:pt>
                <c:pt idx="5">
                  <c:v>2026E</c:v>
                </c:pt>
                <c:pt idx="6">
                  <c:v>2027E</c:v>
                </c:pt>
                <c:pt idx="7">
                  <c:v>2028E</c:v>
                </c:pt>
                <c:pt idx="8">
                  <c:v>2029E</c:v>
                </c:pt>
              </c:strCache>
            </c:strRef>
          </c:cat>
          <c:val>
            <c:numRef>
              <c:f>Summary!$E$65:$M$65</c:f>
              <c:numCache>
                <c:formatCode>0%;\(0%\)</c:formatCode>
                <c:ptCount val="9"/>
                <c:pt idx="0" formatCode="0%">
                  <c:v>1.2247391304347826</c:v>
                </c:pt>
                <c:pt idx="1">
                  <c:v>-6.7579980066055589E-2</c:v>
                </c:pt>
                <c:pt idx="2" formatCode="0%">
                  <c:v>0.17186812265515283</c:v>
                </c:pt>
                <c:pt idx="3" formatCode="0%">
                  <c:v>0.14244066462771188</c:v>
                </c:pt>
                <c:pt idx="4" formatCode="0%">
                  <c:v>0.29455196523648675</c:v>
                </c:pt>
                <c:pt idx="5" formatCode="0%">
                  <c:v>0.2456009397245873</c:v>
                </c:pt>
                <c:pt idx="6" formatCode="0%">
                  <c:v>0.17220027132834681</c:v>
                </c:pt>
                <c:pt idx="7" formatCode="0%">
                  <c:v>0.20857302460795601</c:v>
                </c:pt>
                <c:pt idx="8" formatCode="0%">
                  <c:v>0.19636471679845746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9-4BDE-9B26-4DB052CE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172399"/>
        <c:axId val="1039146959"/>
      </c:lineChart>
      <c:catAx>
        <c:axId val="103917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46959"/>
        <c:crosses val="autoZero"/>
        <c:auto val="1"/>
        <c:lblAlgn val="ctr"/>
        <c:lblOffset val="100"/>
        <c:noMultiLvlLbl val="0"/>
      </c:catAx>
      <c:valAx>
        <c:axId val="10391469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72399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10.jpeg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12</xdr:row>
      <xdr:rowOff>38100</xdr:rowOff>
    </xdr:from>
    <xdr:to>
      <xdr:col>10</xdr:col>
      <xdr:colOff>266700</xdr:colOff>
      <xdr:row>42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1806A-4083-3B20-67D7-9E59504DEF88}"/>
            </a:ext>
          </a:extLst>
        </xdr:cNvPr>
        <xdr:cNvSpPr/>
      </xdr:nvSpPr>
      <xdr:spPr>
        <a:xfrm>
          <a:off x="144780" y="2232660"/>
          <a:ext cx="6217920" cy="55702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u="sng"/>
            <a:t>Company</a:t>
          </a:r>
          <a:r>
            <a:rPr lang="en-IN" sz="1100" b="1" u="sng" baseline="0"/>
            <a:t> Overview: </a:t>
          </a:r>
          <a:endParaRPr lang="en-IN" sz="1100" b="1" u="sng"/>
        </a:p>
        <a:p>
          <a:pPr algn="l"/>
          <a:r>
            <a:rPr lang="en-IN" sz="1100" b="0"/>
            <a:t>Company Name: Alphabet</a:t>
          </a:r>
          <a:r>
            <a:rPr lang="en-IN" sz="1100" b="0" baseline="0"/>
            <a:t> Inc. </a:t>
          </a:r>
        </a:p>
        <a:p>
          <a:pPr algn="l"/>
          <a:r>
            <a:rPr lang="en-IN" sz="1100" baseline="0"/>
            <a:t>Ticker: GOOG</a:t>
          </a:r>
        </a:p>
        <a:p>
          <a:pPr algn="l"/>
          <a:r>
            <a:rPr lang="en-IN" sz="1100" baseline="0"/>
            <a:t>Exchange: NASDAQ</a:t>
          </a:r>
        </a:p>
        <a:p>
          <a:pPr algn="l"/>
          <a:r>
            <a:rPr lang="en-IN" sz="1100" baseline="0"/>
            <a:t>Founders: Larry Page and Sergy Brin</a:t>
          </a:r>
        </a:p>
        <a:p>
          <a:pPr algn="l"/>
          <a:r>
            <a:rPr lang="en-IN" sz="1100" baseline="0"/>
            <a:t>Ceo: Sundar Pichai</a:t>
          </a:r>
        </a:p>
        <a:p>
          <a:pPr algn="l"/>
          <a:r>
            <a:rPr lang="en-IN" sz="1100" baseline="0"/>
            <a:t>Sector: Communiucation Services</a:t>
          </a:r>
        </a:p>
        <a:p>
          <a:pPr algn="l"/>
          <a:r>
            <a:rPr lang="en-IN" sz="1100" baseline="0"/>
            <a:t>Business Segment: Google Services,  Google Cloud, Others (inc. Waymo, Other Bets, etc.)</a:t>
          </a:r>
        </a:p>
        <a:p>
          <a:pPr algn="l"/>
          <a:endParaRPr lang="en-IN" sz="1100"/>
        </a:p>
        <a:p>
          <a:pPr algn="l"/>
          <a:r>
            <a:rPr lang="en-IN" sz="1100" b="1" u="sng"/>
            <a:t>Valuation Summary:</a:t>
          </a:r>
          <a:r>
            <a:rPr lang="en-IN" sz="1100" u="sng"/>
            <a:t> </a:t>
          </a:r>
        </a:p>
        <a:p>
          <a:pPr algn="l"/>
          <a:r>
            <a:rPr lang="en-IN" sz="1100"/>
            <a:t>DCF Implied Share Price: $214.95</a:t>
          </a:r>
        </a:p>
        <a:p>
          <a:pPr algn="l"/>
          <a:r>
            <a:rPr lang="en-IN" sz="1100"/>
            <a:t>Current</a:t>
          </a:r>
          <a:r>
            <a:rPr lang="en-IN" sz="1100" baseline="0"/>
            <a:t> Market Price (CMP): $212.91</a:t>
          </a:r>
        </a:p>
        <a:p>
          <a:pPr algn="l"/>
          <a:r>
            <a:rPr lang="en-IN" sz="1100" baseline="0"/>
            <a:t>Upside / Downside (%): 0.96%</a:t>
          </a:r>
        </a:p>
        <a:p>
          <a:pPr algn="l"/>
          <a:r>
            <a:rPr lang="en-IN" sz="1100"/>
            <a:t>Recommendation:</a:t>
          </a:r>
          <a:r>
            <a:rPr lang="en-IN" sz="1100" baseline="0"/>
            <a:t> Buy/Hold (for long-term investors) and Sell (for short-term investors).</a:t>
          </a:r>
        </a:p>
        <a:p>
          <a:pPr algn="l"/>
          <a:endParaRPr lang="en-IN" sz="1100"/>
        </a:p>
        <a:p>
          <a:pPr algn="l"/>
          <a:r>
            <a:rPr lang="en-IN" sz="1100" b="1" u="sng"/>
            <a:t>Financial Highlights:</a:t>
          </a:r>
          <a:r>
            <a:rPr lang="en-IN" sz="1100" b="1" u="sng" baseline="0"/>
            <a:t> </a:t>
          </a:r>
        </a:p>
        <a:p>
          <a:pPr algn="l"/>
          <a:r>
            <a:rPr lang="en-IN" sz="1100" b="0" baseline="0"/>
            <a:t>Revenue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350,018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(2024A):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112,390 </a:t>
          </a:r>
          <a:endParaRPr lang="en-IN" sz="1100" b="0"/>
        </a:p>
        <a:p>
          <a:pPr algn="l"/>
          <a:r>
            <a:rPr lang="en-IN" sz="1100" b="0"/>
            <a:t>UFCF</a:t>
          </a:r>
          <a:r>
            <a:rPr lang="en-IN" sz="1100" b="0" baseline="0"/>
            <a:t> (2024A): $72,764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(2025E):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394,236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(2025E):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130,442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UFCF (2025E):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$82,690</a:t>
          </a:r>
        </a:p>
        <a:p>
          <a:endParaRPr lang="en-IN" sz="1100" b="0"/>
        </a:p>
        <a:p>
          <a:pPr algn="l"/>
          <a:r>
            <a:rPr lang="en-IN" sz="1100" b="1" u="sng"/>
            <a:t>Key Assumtions:</a:t>
          </a:r>
        </a:p>
        <a:p>
          <a:pPr algn="l"/>
          <a:r>
            <a:rPr lang="en-IN" sz="1100" b="0"/>
            <a:t>Revenue</a:t>
          </a:r>
          <a:r>
            <a:rPr lang="en-IN" sz="1100" b="0" baseline="0"/>
            <a:t> Growth CAGR: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12.09%</a:t>
          </a:r>
          <a:r>
            <a:rPr lang="en-IN"/>
            <a:t> (2025E - 2029E)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Rtae: 2.5%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WACC: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8.46%</a:t>
          </a:r>
          <a:r>
            <a:rPr lang="en-IN"/>
            <a:t> 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cast Horizon: (2025E - 2029E)</a:t>
          </a:r>
        </a:p>
        <a:p>
          <a:pPr algn="l"/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Analyst Name: Siddhant Bhardwaj</a:t>
          </a: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Valuation: 08/30/2025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10-K, 10-Q,  Tikr.com, Macrotrends, etc.</a:t>
          </a:r>
        </a:p>
        <a:p>
          <a:pPr algn="l"/>
          <a:r>
            <a:rPr lang="en-IN"/>
            <a:t> </a:t>
          </a:r>
          <a:endParaRPr lang="en-IN" sz="1100" b="0"/>
        </a:p>
      </xdr:txBody>
    </xdr:sp>
    <xdr:clientData/>
  </xdr:twoCellAnchor>
  <xdr:twoCellAnchor editAs="oneCell">
    <xdr:from>
      <xdr:col>10</xdr:col>
      <xdr:colOff>601980</xdr:colOff>
      <xdr:row>16</xdr:row>
      <xdr:rowOff>106681</xdr:rowOff>
    </xdr:from>
    <xdr:to>
      <xdr:col>18</xdr:col>
      <xdr:colOff>400967</xdr:colOff>
      <xdr:row>27</xdr:row>
      <xdr:rowOff>5975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C16842-5061-31CD-7362-6501C6FE8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980" y="3032761"/>
          <a:ext cx="4675787" cy="1910974"/>
        </a:xfrm>
        <a:prstGeom prst="rect">
          <a:avLst/>
        </a:prstGeom>
      </xdr:spPr>
    </xdr:pic>
    <xdr:clientData/>
  </xdr:twoCellAnchor>
  <xdr:twoCellAnchor editAs="oneCell">
    <xdr:from>
      <xdr:col>10</xdr:col>
      <xdr:colOff>218760</xdr:colOff>
      <xdr:row>16</xdr:row>
      <xdr:rowOff>58680</xdr:rowOff>
    </xdr:from>
    <xdr:to>
      <xdr:col>12</xdr:col>
      <xdr:colOff>287280</xdr:colOff>
      <xdr:row>20</xdr:row>
      <xdr:rowOff>74520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07A01-1EB9-D9AB-8965-1A42592EBF58}"/>
                </a:ext>
              </a:extLst>
            </xdr14:cNvPr>
            <xdr14:cNvContentPartPr/>
          </xdr14:nvContentPartPr>
          <xdr14:nvPr macro=""/>
          <xdr14:xfrm>
            <a:off x="6314760" y="2984760"/>
            <a:ext cx="1287720" cy="747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07A01-1EB9-D9AB-8965-1A42592EBF5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308640" y="2978640"/>
              <a:ext cx="1299960" cy="75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104640</xdr:colOff>
      <xdr:row>13</xdr:row>
      <xdr:rowOff>49680</xdr:rowOff>
    </xdr:from>
    <xdr:to>
      <xdr:col>11</xdr:col>
      <xdr:colOff>88680</xdr:colOff>
      <xdr:row>17</xdr:row>
      <xdr:rowOff>145080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B7E13B6-5D16-52A8-3816-34CD6C476F2F}"/>
                </a:ext>
              </a:extLst>
            </xdr14:cNvPr>
            <xdr14:cNvContentPartPr/>
          </xdr14:nvContentPartPr>
          <xdr14:nvPr macro=""/>
          <xdr14:xfrm>
            <a:off x="6200640" y="2427120"/>
            <a:ext cx="593640" cy="8269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B7E13B6-5D16-52A8-3816-34CD6C476F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138000" y="2364120"/>
              <a:ext cx="719280" cy="9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213360</xdr:colOff>
      <xdr:row>16</xdr:row>
      <xdr:rowOff>159840</xdr:rowOff>
    </xdr:from>
    <xdr:to>
      <xdr:col>10</xdr:col>
      <xdr:colOff>272040</xdr:colOff>
      <xdr:row>17</xdr:row>
      <xdr:rowOff>63000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E1FFE66-CB2E-4D64-3232-836C99E2FB72}"/>
                </a:ext>
              </a:extLst>
            </xdr14:cNvPr>
            <xdr14:cNvContentPartPr/>
          </xdr14:nvContentPartPr>
          <xdr14:nvPr macro=""/>
          <xdr14:xfrm>
            <a:off x="6309360" y="3085920"/>
            <a:ext cx="58680" cy="86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E1FFE66-CB2E-4D64-3232-836C99E2FB7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246720" y="3023280"/>
              <a:ext cx="184320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91200</xdr:colOff>
      <xdr:row>17</xdr:row>
      <xdr:rowOff>152280</xdr:rowOff>
    </xdr:from>
    <xdr:to>
      <xdr:col>11</xdr:col>
      <xdr:colOff>579720</xdr:colOff>
      <xdr:row>18</xdr:row>
      <xdr:rowOff>46080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95BC26-0DC0-69E0-84B4-0351E954B6F7}"/>
                </a:ext>
              </a:extLst>
            </xdr14:cNvPr>
            <xdr14:cNvContentPartPr/>
          </xdr14:nvContentPartPr>
          <xdr14:nvPr macro=""/>
          <xdr14:xfrm>
            <a:off x="6796800" y="3261240"/>
            <a:ext cx="488520" cy="766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95BC26-0DC0-69E0-84B4-0351E954B6F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733800" y="3198240"/>
              <a:ext cx="614160" cy="20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68160</xdr:colOff>
      <xdr:row>18</xdr:row>
      <xdr:rowOff>68400</xdr:rowOff>
    </xdr:from>
    <xdr:to>
      <xdr:col>11</xdr:col>
      <xdr:colOff>594480</xdr:colOff>
      <xdr:row>18</xdr:row>
      <xdr:rowOff>69120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4F642ED-9CC3-8BBF-B8FD-AD4CD0E4A516}"/>
                </a:ext>
              </a:extLst>
            </xdr14:cNvPr>
            <xdr14:cNvContentPartPr/>
          </xdr14:nvContentPartPr>
          <xdr14:nvPr macro=""/>
          <xdr14:xfrm>
            <a:off x="6773760" y="3360240"/>
            <a:ext cx="526320" cy="7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4F642ED-9CC3-8BBF-B8FD-AD4CD0E4A51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711120" y="3234240"/>
              <a:ext cx="65196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533846</xdr:colOff>
      <xdr:row>17</xdr:row>
      <xdr:rowOff>143721</xdr:rowOff>
    </xdr:from>
    <xdr:to>
      <xdr:col>12</xdr:col>
      <xdr:colOff>94234</xdr:colOff>
      <xdr:row>19</xdr:row>
      <xdr:rowOff>14319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7905981-C587-2E3B-A4EB-5DCA767A7EE8}"/>
                </a:ext>
              </a:extLst>
            </xdr14:cNvPr>
            <xdr14:cNvContentPartPr/>
          </xdr14:nvContentPartPr>
          <xdr14:nvPr macro=""/>
          <xdr14:xfrm rot="-10799999">
            <a:off x="6629846" y="3252681"/>
            <a:ext cx="779588" cy="236358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7905981-C587-2E3B-A4EB-5DCA767A7EE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 rot="-10799999">
              <a:off x="6566831" y="3190084"/>
              <a:ext cx="905258" cy="361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45120</xdr:colOff>
      <xdr:row>18</xdr:row>
      <xdr:rowOff>53280</xdr:rowOff>
    </xdr:from>
    <xdr:to>
      <xdr:col>12</xdr:col>
      <xdr:colOff>30600</xdr:colOff>
      <xdr:row>18</xdr:row>
      <xdr:rowOff>54000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75AD06D-6EDA-34DF-D6F8-B77639A69747}"/>
                </a:ext>
              </a:extLst>
            </xdr14:cNvPr>
            <xdr14:cNvContentPartPr/>
          </xdr14:nvContentPartPr>
          <xdr14:nvPr macro=""/>
          <xdr14:xfrm>
            <a:off x="6750720" y="3345120"/>
            <a:ext cx="595080" cy="7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75AD06D-6EDA-34DF-D6F8-B77639A6974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688080" y="3219120"/>
              <a:ext cx="72072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151C78-383F-4EFF-5B37-87D04057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9735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0</xdr:rowOff>
    </xdr:from>
    <xdr:to>
      <xdr:col>8</xdr:col>
      <xdr:colOff>556260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F1F367-7BBD-F613-5D66-CCEBE5F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2133600" cy="2011680"/>
        </a:xfrm>
        <a:prstGeom prst="rect">
          <a:avLst/>
        </a:prstGeom>
      </xdr:spPr>
    </xdr:pic>
    <xdr:clientData/>
  </xdr:twoCellAnchor>
  <xdr:twoCellAnchor>
    <xdr:from>
      <xdr:col>11</xdr:col>
      <xdr:colOff>510540</xdr:colOff>
      <xdr:row>16</xdr:row>
      <xdr:rowOff>7620</xdr:rowOff>
    </xdr:from>
    <xdr:to>
      <xdr:col>17</xdr:col>
      <xdr:colOff>251460</xdr:colOff>
      <xdr:row>18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343F7DB-B1E5-471F-841C-6FD7CAAD7C5C}"/>
            </a:ext>
          </a:extLst>
        </xdr:cNvPr>
        <xdr:cNvSpPr/>
      </xdr:nvSpPr>
      <xdr:spPr>
        <a:xfrm>
          <a:off x="7216140" y="2933700"/>
          <a:ext cx="3398520" cy="35814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</a:t>
          </a:r>
          <a:r>
            <a:rPr lang="en-IN" sz="1400"/>
            <a:t> </a:t>
          </a:r>
          <a:r>
            <a:rPr lang="en-IN" sz="1400" b="1"/>
            <a:t>Implied Share Price Sensitivity Table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C97372-4D4A-473F-979D-587ADD44FECB}"/>
            </a:ext>
          </a:extLst>
        </xdr:cNvPr>
        <xdr:cNvCxnSpPr/>
      </xdr:nvCxnSpPr>
      <xdr:spPr>
        <a:xfrm>
          <a:off x="660654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F265A1-E9A2-42A3-BE92-53F734B702B1}"/>
            </a:ext>
          </a:extLst>
        </xdr:cNvPr>
        <xdr:cNvCxnSpPr/>
      </xdr:nvCxnSpPr>
      <xdr:spPr>
        <a:xfrm>
          <a:off x="661416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20</xdr:row>
      <xdr:rowOff>68580</xdr:rowOff>
    </xdr:from>
    <xdr:to>
      <xdr:col>6</xdr:col>
      <xdr:colOff>579120</xdr:colOff>
      <xdr:row>34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351A17-43E0-25FD-38B6-5CFA09C2A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251460</xdr:colOff>
      <xdr:row>20</xdr:row>
      <xdr:rowOff>144780</xdr:rowOff>
    </xdr:from>
    <xdr:to>
      <xdr:col>15</xdr:col>
      <xdr:colOff>205740</xdr:colOff>
      <xdr:row>35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C408D6-765B-E702-C0AB-54BF0BFE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121920</xdr:colOff>
      <xdr:row>57</xdr:row>
      <xdr:rowOff>30480</xdr:rowOff>
    </xdr:from>
    <xdr:to>
      <xdr:col>18</xdr:col>
      <xdr:colOff>594360</xdr:colOff>
      <xdr:row>66</xdr:row>
      <xdr:rowOff>53340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8EFC77-A695-DEEF-3031-A00CB749D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6068D-A049-4917-98A9-36E8B3075E58}"/>
            </a:ext>
          </a:extLst>
        </xdr:cNvPr>
        <xdr:cNvCxnSpPr/>
      </xdr:nvCxnSpPr>
      <xdr:spPr>
        <a:xfrm>
          <a:off x="720090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BCCBB8-9BC3-477B-8ED4-9579769DC73E}"/>
            </a:ext>
          </a:extLst>
        </xdr:cNvPr>
        <xdr:cNvCxnSpPr/>
      </xdr:nvCxnSpPr>
      <xdr:spPr>
        <a:xfrm>
          <a:off x="720852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%20HUB\Trading%20Comps%20of%20SUNPHARMA%20GIT.xlsx" TargetMode="External"/><Relationship Id="rId1" Type="http://schemas.openxmlformats.org/officeDocument/2006/relationships/externalLinkPath" Target="Trading%20Comps%20of%20SUNPHARMA%20G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rading Comps"/>
      <sheetName val="Database"/>
      <sheetName val="XLinkMeta"/>
    </sheetNames>
    <sheetDataSet>
      <sheetData sheetId="0"/>
      <sheetData sheetId="1"/>
      <sheetData sheetId="2">
        <row r="4"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</row>
        <row r="8">
          <cell r="B8" t="str">
            <v>NVDA</v>
          </cell>
          <cell r="C8" t="str">
            <v>NVIDIA Corporation</v>
          </cell>
          <cell r="D8">
            <v>173.5</v>
          </cell>
          <cell r="E8">
            <v>24611</v>
          </cell>
          <cell r="F8">
            <v>4189994</v>
          </cell>
          <cell r="G8">
            <v>4233400</v>
          </cell>
          <cell r="I8">
            <v>130497</v>
          </cell>
          <cell r="J8">
            <v>199809.65</v>
          </cell>
          <cell r="K8">
            <v>250795.05</v>
          </cell>
          <cell r="L8">
            <v>118236.88</v>
          </cell>
          <cell r="M8">
            <v>149501.66</v>
          </cell>
          <cell r="N8">
            <v>105175.35</v>
          </cell>
          <cell r="O8">
            <v>138863.49</v>
          </cell>
        </row>
        <row r="9">
          <cell r="B9" t="str">
            <v>QCOM</v>
          </cell>
          <cell r="C9" t="str">
            <v>Qualcomm Incorporated</v>
          </cell>
          <cell r="D9">
            <v>160.38</v>
          </cell>
          <cell r="E9">
            <v>1115</v>
          </cell>
          <cell r="F9">
            <v>172121.85</v>
          </cell>
          <cell r="G9">
            <v>171344.85</v>
          </cell>
          <cell r="I9">
            <v>38944</v>
          </cell>
          <cell r="J9">
            <v>43508.68</v>
          </cell>
          <cell r="K9">
            <v>44169.48</v>
          </cell>
          <cell r="L9">
            <v>16790.82</v>
          </cell>
          <cell r="M9">
            <v>16593.650000000001</v>
          </cell>
          <cell r="N9">
            <v>13091.58</v>
          </cell>
          <cell r="O9">
            <v>12995.31</v>
          </cell>
        </row>
        <row r="10">
          <cell r="B10" t="str">
            <v>AVGO</v>
          </cell>
          <cell r="C10" t="str">
            <v>Broadcom Inc.</v>
          </cell>
          <cell r="D10">
            <v>291.67</v>
          </cell>
          <cell r="E10">
            <v>4826</v>
          </cell>
          <cell r="F10">
            <v>1422663.21</v>
          </cell>
          <cell r="G10">
            <v>1364853.21</v>
          </cell>
          <cell r="I10">
            <v>51574</v>
          </cell>
          <cell r="J10">
            <v>62752.82</v>
          </cell>
          <cell r="K10">
            <v>75433.98</v>
          </cell>
          <cell r="L10">
            <v>41755.24</v>
          </cell>
          <cell r="M10">
            <v>50455.37</v>
          </cell>
          <cell r="N10">
            <v>32629.27</v>
          </cell>
          <cell r="O10">
            <v>40174.43</v>
          </cell>
        </row>
        <row r="11">
          <cell r="B11" t="str">
            <v>INTC</v>
          </cell>
          <cell r="C11" t="str">
            <v>Intel Corporation</v>
          </cell>
          <cell r="D11">
            <v>20.7</v>
          </cell>
          <cell r="E11">
            <v>4369</v>
          </cell>
          <cell r="F11">
            <v>127555.9</v>
          </cell>
          <cell r="G11">
            <v>90603.9</v>
          </cell>
          <cell r="I11">
            <v>53101</v>
          </cell>
          <cell r="J11">
            <v>50399.11</v>
          </cell>
          <cell r="K11">
            <v>53053.120000000003</v>
          </cell>
          <cell r="L11">
            <v>13092.22</v>
          </cell>
          <cell r="M11">
            <v>17249.32</v>
          </cell>
          <cell r="N11">
            <v>1361.24</v>
          </cell>
          <cell r="O11">
            <v>3601.38</v>
          </cell>
        </row>
        <row r="12">
          <cell r="B12" t="str">
            <v>AMD</v>
          </cell>
          <cell r="C12" t="str">
            <v>Advanced Micro Devices, Inc.</v>
          </cell>
          <cell r="D12">
            <v>166.47</v>
          </cell>
          <cell r="E12">
            <v>1626</v>
          </cell>
          <cell r="F12">
            <v>267336.15999999997</v>
          </cell>
          <cell r="G12">
            <v>269915.15999999997</v>
          </cell>
          <cell r="I12">
            <v>25785</v>
          </cell>
          <cell r="J12">
            <v>31747.81</v>
          </cell>
          <cell r="K12">
            <v>37438.129999999997</v>
          </cell>
          <cell r="L12">
            <v>6675.37</v>
          </cell>
          <cell r="M12">
            <v>9772.98</v>
          </cell>
          <cell r="N12">
            <v>6338.78</v>
          </cell>
          <cell r="O12">
            <v>9265.7999999999993</v>
          </cell>
        </row>
        <row r="13">
          <cell r="B13" t="str">
            <v>MRVL</v>
          </cell>
          <cell r="C13" t="str">
            <v>Marvell Technology</v>
          </cell>
          <cell r="D13">
            <v>74.209999999999994</v>
          </cell>
          <cell r="E13">
            <v>875</v>
          </cell>
          <cell r="F13">
            <v>67609.960000000006</v>
          </cell>
          <cell r="G13">
            <v>63983.86</v>
          </cell>
          <cell r="I13">
            <v>5767.3</v>
          </cell>
          <cell r="J13">
            <v>8248.64</v>
          </cell>
          <cell r="K13">
            <v>9782.81</v>
          </cell>
          <cell r="L13">
            <v>3247.4</v>
          </cell>
          <cell r="M13">
            <v>3949.05</v>
          </cell>
          <cell r="N13">
            <v>2442.37</v>
          </cell>
          <cell r="O13">
            <v>3097.35</v>
          </cell>
        </row>
        <row r="14">
          <cell r="B14" t="str">
            <v>ARM</v>
          </cell>
          <cell r="C14" t="str">
            <v>Arm Holdings</v>
          </cell>
          <cell r="D14">
            <v>163.16999999999999</v>
          </cell>
          <cell r="E14">
            <v>1065</v>
          </cell>
          <cell r="F14">
            <v>169922.35</v>
          </cell>
          <cell r="G14">
            <v>172391.35</v>
          </cell>
          <cell r="I14">
            <v>4007</v>
          </cell>
          <cell r="J14">
            <v>4777.62</v>
          </cell>
          <cell r="K14">
            <v>5814.68</v>
          </cell>
          <cell r="L14">
            <v>2319.52</v>
          </cell>
          <cell r="M14">
            <v>3113.42</v>
          </cell>
          <cell r="N14">
            <v>1909.28</v>
          </cell>
          <cell r="O14">
            <v>2549.67</v>
          </cell>
        </row>
        <row r="15">
          <cell r="B15" t="str">
            <v>TXN</v>
          </cell>
          <cell r="C15" t="str">
            <v>Texas Instruments Incorporated</v>
          </cell>
          <cell r="D15">
            <v>184.99</v>
          </cell>
          <cell r="E15">
            <v>912</v>
          </cell>
          <cell r="F15">
            <v>176042.25</v>
          </cell>
          <cell r="G15">
            <v>168058.25</v>
          </cell>
          <cell r="I15">
            <v>15641</v>
          </cell>
          <cell r="J15">
            <v>17255.27</v>
          </cell>
          <cell r="K15">
            <v>18960.689999999999</v>
          </cell>
          <cell r="L15">
            <v>7942.24</v>
          </cell>
          <cell r="M15">
            <v>9267.01</v>
          </cell>
          <cell r="N15">
            <v>5097</v>
          </cell>
          <cell r="O15">
            <v>5865.74</v>
          </cell>
        </row>
        <row r="16">
          <cell r="B16" t="str">
            <v>APPL</v>
          </cell>
          <cell r="C16" t="str">
            <v>Apple Inc.</v>
          </cell>
          <cell r="D16">
            <v>232.14</v>
          </cell>
          <cell r="E16">
            <v>14948.18</v>
          </cell>
          <cell r="F16">
            <v>3413760.13</v>
          </cell>
          <cell r="G16">
            <v>3445048.13</v>
          </cell>
          <cell r="I16">
            <v>391035</v>
          </cell>
          <cell r="J16">
            <v>407341.31</v>
          </cell>
          <cell r="K16">
            <v>431340.79</v>
          </cell>
          <cell r="L16">
            <v>139515.15</v>
          </cell>
          <cell r="M16">
            <v>147838.18</v>
          </cell>
          <cell r="N16">
            <v>107818.29</v>
          </cell>
          <cell r="O16">
            <v>114634.61</v>
          </cell>
        </row>
        <row r="17">
          <cell r="B17" t="str">
            <v>MSFT</v>
          </cell>
          <cell r="C17" t="str">
            <v>Microsoft Corporation</v>
          </cell>
          <cell r="D17">
            <v>506.59</v>
          </cell>
          <cell r="E17">
            <v>7461</v>
          </cell>
          <cell r="F17">
            <v>3783930.07</v>
          </cell>
          <cell r="G17">
            <v>3766311.07</v>
          </cell>
          <cell r="I17">
            <v>245122</v>
          </cell>
          <cell r="J17">
            <v>279029.28000000003</v>
          </cell>
          <cell r="K17">
            <v>316492.86</v>
          </cell>
          <cell r="L17">
            <v>55721.51</v>
          </cell>
          <cell r="M17">
            <v>178744.69</v>
          </cell>
          <cell r="N17">
            <v>99973.45</v>
          </cell>
          <cell r="O17">
            <v>113022.48</v>
          </cell>
        </row>
        <row r="18">
          <cell r="B18" t="str">
            <v>GOOGL</v>
          </cell>
          <cell r="C18" t="str">
            <v>Alphabet Inc. Class A</v>
          </cell>
          <cell r="D18">
            <v>212.91</v>
          </cell>
          <cell r="E18">
            <v>12198</v>
          </cell>
          <cell r="F18">
            <v>2524820.14</v>
          </cell>
          <cell r="G18">
            <v>2578300.14</v>
          </cell>
          <cell r="I18">
            <v>350018</v>
          </cell>
          <cell r="J18">
            <v>387817.32</v>
          </cell>
          <cell r="K18">
            <v>428897.93</v>
          </cell>
          <cell r="L18">
            <v>172681.77</v>
          </cell>
          <cell r="M18">
            <v>195965.74</v>
          </cell>
          <cell r="N18">
            <v>116876.3</v>
          </cell>
          <cell r="O18">
            <v>122718.11</v>
          </cell>
        </row>
        <row r="19">
          <cell r="B19" t="str">
            <v>AMZN</v>
          </cell>
          <cell r="C19" t="str">
            <v>Amazon.com, Inc.</v>
          </cell>
          <cell r="D19">
            <v>229</v>
          </cell>
          <cell r="E19">
            <v>10806</v>
          </cell>
          <cell r="F19">
            <v>2508654.87</v>
          </cell>
          <cell r="G19">
            <v>2442264.87</v>
          </cell>
          <cell r="I19">
            <v>637959</v>
          </cell>
          <cell r="J19">
            <v>695217.39</v>
          </cell>
          <cell r="K19">
            <v>762821.81</v>
          </cell>
          <cell r="L19">
            <v>161644.92000000001</v>
          </cell>
          <cell r="M19">
            <v>191295.24</v>
          </cell>
          <cell r="N19">
            <v>67124.19</v>
          </cell>
          <cell r="O19">
            <v>79700.67</v>
          </cell>
        </row>
        <row r="20">
          <cell r="B20" t="str">
            <v>A005930</v>
          </cell>
          <cell r="C20" t="str">
            <v>Samsung Electronics CO., Ltd.</v>
          </cell>
          <cell r="D20">
            <v>37.89</v>
          </cell>
          <cell r="E20">
            <v>6778.6</v>
          </cell>
          <cell r="F20">
            <v>252514.89</v>
          </cell>
          <cell r="G20">
            <v>3012900.73</v>
          </cell>
          <cell r="I20">
            <v>206589</v>
          </cell>
          <cell r="J20">
            <v>237162</v>
          </cell>
          <cell r="K20">
            <v>250458</v>
          </cell>
          <cell r="L20">
            <v>57380</v>
          </cell>
          <cell r="M20">
            <v>65833</v>
          </cell>
          <cell r="N20">
            <v>22806</v>
          </cell>
          <cell r="O20">
            <v>28444</v>
          </cell>
        </row>
        <row r="21">
          <cell r="B21" t="str">
            <v>TSMC</v>
          </cell>
          <cell r="C21" t="str">
            <v>Taiwan Semiconductor Manufacturing</v>
          </cell>
          <cell r="D21">
            <v>245.6</v>
          </cell>
          <cell r="E21">
            <v>25929.4</v>
          </cell>
          <cell r="F21">
            <v>950397.38</v>
          </cell>
          <cell r="G21">
            <v>1006537.11</v>
          </cell>
          <cell r="I21">
            <v>87885</v>
          </cell>
          <cell r="J21">
            <v>126263</v>
          </cell>
          <cell r="K21">
            <v>146894</v>
          </cell>
          <cell r="L21">
            <v>85302</v>
          </cell>
          <cell r="M21">
            <v>98724</v>
          </cell>
          <cell r="N21">
            <v>52765</v>
          </cell>
          <cell r="O21">
            <v>60785</v>
          </cell>
        </row>
        <row r="22">
          <cell r="B22" t="str">
            <v>MU</v>
          </cell>
          <cell r="C22" t="str">
            <v>Micron Technology</v>
          </cell>
          <cell r="D22">
            <v>111.26</v>
          </cell>
          <cell r="E22">
            <v>1125</v>
          </cell>
          <cell r="F22">
            <v>128513.86</v>
          </cell>
          <cell r="G22">
            <v>124513.86</v>
          </cell>
          <cell r="I22">
            <v>25111</v>
          </cell>
          <cell r="J22">
            <v>36797.78</v>
          </cell>
          <cell r="K22">
            <v>47135.58</v>
          </cell>
          <cell r="L22">
            <v>17877.099999999999</v>
          </cell>
          <cell r="M22">
            <v>24833.21</v>
          </cell>
          <cell r="N22">
            <v>8862.82</v>
          </cell>
          <cell r="O22">
            <v>13632.91</v>
          </cell>
        </row>
        <row r="23">
          <cell r="B23" t="str">
            <v>A000660</v>
          </cell>
          <cell r="C23" t="str">
            <v>SK hynix Inc.</v>
          </cell>
          <cell r="D23">
            <v>191.62</v>
          </cell>
          <cell r="E23">
            <v>715.3</v>
          </cell>
          <cell r="F23">
            <v>136759.49</v>
          </cell>
          <cell r="G23">
            <v>133219.9</v>
          </cell>
          <cell r="I23">
            <v>46089</v>
          </cell>
          <cell r="J23">
            <v>63143</v>
          </cell>
          <cell r="K23">
            <v>73495</v>
          </cell>
          <cell r="L23">
            <v>38139</v>
          </cell>
          <cell r="M23">
            <v>43705</v>
          </cell>
          <cell r="N23">
            <v>22467</v>
          </cell>
          <cell r="O23">
            <v>24705</v>
          </cell>
        </row>
        <row r="24">
          <cell r="B24" t="str">
            <v>META</v>
          </cell>
          <cell r="C24" t="str">
            <v xml:space="preserve">META Platforms, Inc. </v>
          </cell>
          <cell r="D24">
            <v>738.7</v>
          </cell>
          <cell r="E24">
            <v>2570</v>
          </cell>
          <cell r="F24">
            <v>1858207.91</v>
          </cell>
          <cell r="G24">
            <v>1855718.91</v>
          </cell>
          <cell r="I24">
            <v>164501</v>
          </cell>
          <cell r="J24">
            <v>196001.85</v>
          </cell>
          <cell r="K24">
            <v>227655.15</v>
          </cell>
          <cell r="L24">
            <v>119791.72</v>
          </cell>
          <cell r="M24">
            <v>137842.76</v>
          </cell>
          <cell r="N24">
            <v>71334.179999999993</v>
          </cell>
          <cell r="O24">
            <v>76079.899999999994</v>
          </cell>
        </row>
        <row r="25">
          <cell r="B25" t="str">
            <v>WMT</v>
          </cell>
          <cell r="C25" t="str">
            <v>Walmart Inc.</v>
          </cell>
          <cell r="D25">
            <v>96.83</v>
          </cell>
          <cell r="E25">
            <v>8016</v>
          </cell>
          <cell r="F25">
            <v>835073.89</v>
          </cell>
          <cell r="G25">
            <v>772743.89</v>
          </cell>
          <cell r="I25">
            <v>674538</v>
          </cell>
          <cell r="J25">
            <v>704388.23</v>
          </cell>
          <cell r="K25">
            <v>739556.37</v>
          </cell>
          <cell r="L25">
            <v>44488.45</v>
          </cell>
          <cell r="M25">
            <v>48676.84</v>
          </cell>
          <cell r="N25">
            <v>21026.63</v>
          </cell>
          <cell r="O25">
            <v>23459.88</v>
          </cell>
        </row>
        <row r="26">
          <cell r="B26" t="str">
            <v>SUNPHARMA</v>
          </cell>
          <cell r="C26" t="str">
            <v>Sun Pharmaceutical Industries Ltd.</v>
          </cell>
          <cell r="D26">
            <v>1600.3</v>
          </cell>
          <cell r="E26">
            <v>2399.33</v>
          </cell>
          <cell r="F26">
            <v>3604729.75</v>
          </cell>
          <cell r="G26">
            <v>3839655.75</v>
          </cell>
          <cell r="I26">
            <v>525784</v>
          </cell>
          <cell r="J26">
            <v>572731</v>
          </cell>
          <cell r="K26">
            <v>631547</v>
          </cell>
          <cell r="L26">
            <v>161517</v>
          </cell>
          <cell r="M26">
            <v>184479</v>
          </cell>
          <cell r="N26">
            <v>117125</v>
          </cell>
          <cell r="O26">
            <v>135843</v>
          </cell>
        </row>
        <row r="27">
          <cell r="B27" t="str">
            <v>DIVISLAB</v>
          </cell>
          <cell r="C27" t="str">
            <v>Divi's Laboratories Limited </v>
          </cell>
          <cell r="D27">
            <v>6190.5</v>
          </cell>
          <cell r="E27">
            <v>265.47000000000003</v>
          </cell>
          <cell r="F27">
            <v>1608153.24</v>
          </cell>
          <cell r="G27">
            <v>1643383.24</v>
          </cell>
          <cell r="I27">
            <v>93600</v>
          </cell>
          <cell r="J27">
            <v>106997</v>
          </cell>
          <cell r="K27">
            <v>126951</v>
          </cell>
          <cell r="L27">
            <v>35230</v>
          </cell>
          <cell r="M27">
            <v>44255</v>
          </cell>
          <cell r="N27">
            <v>25345</v>
          </cell>
          <cell r="O27">
            <v>32236</v>
          </cell>
        </row>
        <row r="28">
          <cell r="B28" t="str">
            <v>CIPLA</v>
          </cell>
          <cell r="C28" t="str">
            <v>Cipla Ltd.</v>
          </cell>
          <cell r="D28">
            <v>1579.8</v>
          </cell>
          <cell r="E28">
            <v>807.75</v>
          </cell>
          <cell r="F28">
            <v>1175270.19</v>
          </cell>
          <cell r="G28">
            <v>1276089.8899999999</v>
          </cell>
          <cell r="I28">
            <v>275476</v>
          </cell>
          <cell r="J28">
            <v>293410</v>
          </cell>
          <cell r="K28">
            <v>316896</v>
          </cell>
          <cell r="L28">
            <v>71201</v>
          </cell>
          <cell r="M28">
            <v>74830</v>
          </cell>
          <cell r="N28">
            <v>49889</v>
          </cell>
          <cell r="O28">
            <v>52679</v>
          </cell>
        </row>
        <row r="29">
          <cell r="B29" t="str">
            <v>TORNTPHARM</v>
          </cell>
          <cell r="C29" t="str">
            <v>Torrent Pharma</v>
          </cell>
          <cell r="D29">
            <v>3604.8</v>
          </cell>
          <cell r="E29">
            <v>338.45</v>
          </cell>
          <cell r="F29">
            <v>1244849.18</v>
          </cell>
          <cell r="G29">
            <v>1219232.78</v>
          </cell>
          <cell r="I29">
            <v>115160</v>
          </cell>
          <cell r="J29">
            <v>130457</v>
          </cell>
          <cell r="K29">
            <v>146051</v>
          </cell>
          <cell r="L29">
            <v>43080</v>
          </cell>
          <cell r="M29">
            <v>49402</v>
          </cell>
          <cell r="N29">
            <v>24778</v>
          </cell>
          <cell r="O29">
            <v>30257</v>
          </cell>
        </row>
        <row r="30">
          <cell r="B30" t="str">
            <v>DRREDDY</v>
          </cell>
          <cell r="C30" t="str">
            <v>Dr. Reddy's Laboratories Limited</v>
          </cell>
          <cell r="D30">
            <v>1263.2</v>
          </cell>
          <cell r="E30">
            <v>832.88</v>
          </cell>
          <cell r="F30">
            <v>1037232.97</v>
          </cell>
          <cell r="G30">
            <v>1051580.97</v>
          </cell>
          <cell r="I30">
            <v>325535</v>
          </cell>
          <cell r="J30">
            <v>344261</v>
          </cell>
          <cell r="K30">
            <v>348656</v>
          </cell>
          <cell r="L30">
            <v>85548</v>
          </cell>
          <cell r="M30">
            <v>77053</v>
          </cell>
          <cell r="N30">
            <v>54123</v>
          </cell>
          <cell r="O30">
            <v>47252</v>
          </cell>
        </row>
        <row r="31">
          <cell r="B31" t="str">
            <v>MANKIND</v>
          </cell>
          <cell r="C31" t="str">
            <v>Mankind Pharma Limited</v>
          </cell>
          <cell r="D31">
            <v>2502</v>
          </cell>
          <cell r="E31">
            <v>412.73</v>
          </cell>
          <cell r="F31">
            <v>1094871.73</v>
          </cell>
          <cell r="G31">
            <v>1032647.33</v>
          </cell>
          <cell r="I31">
            <v>122074</v>
          </cell>
          <cell r="J31">
            <v>147733</v>
          </cell>
          <cell r="K31">
            <v>166018</v>
          </cell>
          <cell r="L31">
            <v>38140</v>
          </cell>
          <cell r="M31">
            <v>44655</v>
          </cell>
          <cell r="N31">
            <v>20972</v>
          </cell>
          <cell r="O31">
            <v>26997</v>
          </cell>
        </row>
        <row r="32">
          <cell r="B32" t="str">
            <v>ZYDUSLIFE</v>
          </cell>
          <cell r="C32" t="str">
            <v>Zydus Lifescience Ltd.</v>
          </cell>
          <cell r="D32">
            <v>987.85</v>
          </cell>
          <cell r="E32">
            <v>1006.23</v>
          </cell>
          <cell r="F32">
            <v>993869.25</v>
          </cell>
          <cell r="G32">
            <v>994008.25</v>
          </cell>
          <cell r="I32">
            <v>232415</v>
          </cell>
          <cell r="J32">
            <v>251879</v>
          </cell>
          <cell r="K32">
            <v>260541</v>
          </cell>
          <cell r="L32">
            <v>68171</v>
          </cell>
          <cell r="M32">
            <v>63820</v>
          </cell>
          <cell r="N32">
            <v>45171</v>
          </cell>
          <cell r="O32">
            <v>41610</v>
          </cell>
        </row>
        <row r="33">
          <cell r="B33" t="str">
            <v>NFLX</v>
          </cell>
          <cell r="C33" t="str">
            <v>Netflix, Inc.</v>
          </cell>
          <cell r="D33">
            <v>1208.25</v>
          </cell>
          <cell r="E33">
            <v>434.88</v>
          </cell>
          <cell r="F33">
            <v>521960.7</v>
          </cell>
          <cell r="G33">
            <v>513417.26</v>
          </cell>
          <cell r="I33">
            <v>39000.97</v>
          </cell>
          <cell r="J33">
            <v>45061.34</v>
          </cell>
          <cell r="K33">
            <v>50899.07</v>
          </cell>
          <cell r="L33">
            <v>14202.37</v>
          </cell>
          <cell r="M33">
            <v>17142.07</v>
          </cell>
          <cell r="N33">
            <v>11411.88</v>
          </cell>
          <cell r="O33">
            <v>13856.91</v>
          </cell>
        </row>
        <row r="34">
          <cell r="B34" t="str">
            <v>CRM</v>
          </cell>
          <cell r="C34" t="str">
            <v>Salesforce, Inc.</v>
          </cell>
          <cell r="D34">
            <v>256.25</v>
          </cell>
          <cell r="E34">
            <v>970</v>
          </cell>
          <cell r="F34">
            <v>239587</v>
          </cell>
          <cell r="G34">
            <v>244975</v>
          </cell>
          <cell r="I34">
            <v>37895</v>
          </cell>
          <cell r="J34">
            <v>41237.230000000003</v>
          </cell>
          <cell r="K34">
            <v>44980.81</v>
          </cell>
          <cell r="L34">
            <v>16061.58</v>
          </cell>
          <cell r="M34">
            <v>17698.39</v>
          </cell>
          <cell r="N34">
            <v>10984.53</v>
          </cell>
          <cell r="O34">
            <v>12338.89</v>
          </cell>
        </row>
      </sheetData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6:15.771"/>
    </inkml:context>
    <inkml:brush xml:id="br0">
      <inkml:brushProperty name="width" value="0.035" units="cm"/>
      <inkml:brushProperty name="height" value="0.035" units="cm"/>
      <inkml:brushProperty name="color" value="#FFFFFF"/>
    </inkml:brush>
  </inkml:definitions>
  <inkml:trace contextRef="#ctx0" brushRef="#br0">2504 854 24575,'-11'12'0,"0"1"0,1 0 0,-11 21 0,-11 14 0,32-48 0,0 0 0,0 0 0,-1 0 0,1 0 0,0 0 0,0 0 0,0 0 0,0 0 0,0 0 0,0 0 0,0 0 0,0 0 0,0-1 0,0 1 0,0 0 0,0 0 0,0 0 0,0 0 0,0 0 0,0 0 0,-1 0 0,1 0 0,0 0 0,0 0 0,0 0 0,0 0 0,0 0 0,0 0 0,0 0 0,0 0 0,0 0 0,0 0 0,0 0 0,-1 0 0,1 0 0,0 0 0,0 0 0,0 0 0,0 0 0,0 0 0,0 0 0,0 0 0,0 1 0,0-1 0,0 0 0,0 0 0,0 0 0,0 0 0,3-14 0,8-19 0,-3 12 0,-4 10 0,1 0 0,-2-1 0,1 1 0,-2-1 0,1 0 0,0-20 0,-3 31 0,0 1 0,0 0 0,0 0 0,0-1 0,0 1 0,1 0 0,-1 0 0,0-1 0,0 1 0,0 0 0,0-1 0,-1 1 0,1 0 0,0 0 0,0-1 0,0 1 0,0 0 0,0 0 0,0-1 0,0 1 0,0 0 0,-1 0 0,1-1 0,0 1 0,0 0 0,0 0 0,0 0 0,-1-1 0,1 1 0,0 0 0,0 0 0,0 0 0,-1 0 0,1 0 0,0-1 0,0 1 0,-1 0 0,1 0 0,0 0 0,-1 0 0,1 0 0,0 0 0,0 0 0,-1 0 0,1 0 0,0 0 0,0 0 0,-1 0 0,1 0 0,0 0 0,0 0 0,-1 0 0,1 0 0,-1 1 0,-12 9 0,-6 13 0,1 1 0,1 0 0,0 2 0,-24 53 0,30-56 0,-6 9 0,2 0 0,1 2 0,2-1 0,1 1 0,-8 47 0,18-78 0,1 0 0,0 0 0,-1 1 0,1-1 0,1 0 0,-1 0 0,0 1 0,1-1 0,0 0 0,0 0 0,0 0 0,1 4 0,-2-6 0,1-1 0,-1 1 0,0-1 0,1 0 0,-1 1 0,1-1 0,-1 1 0,0-1 0,1 0 0,-1 1 0,1-1 0,-1 0 0,1 1 0,-1-1 0,1 0 0,-1 0 0,1 0 0,-1 1 0,1-1 0,0 0 0,-1 0 0,1 0 0,-1 0 0,1 0 0,-1 0 0,2 0 0,-1-1 0,1 1 0,0-1 0,0 0 0,-1 0 0,1 0 0,0 0 0,-1 0 0,1 0 0,-1 0 0,0 0 0,1-1 0,1-1 0,8-13 0,0-1 0,0 0 0,-2 0 0,0-1 0,-1-1 0,7-24 0,-5 15 0,2-1 0,-1-1 0,-1 0 0,-2 0 0,-1-1 0,5-54 0,-12 83 0,0 1 0,0 0 0,0 0 0,0 0 0,0-1 0,-1 1 0,1 0 0,0 0 0,0-1 0,-1 1 0,1 0 0,-1 0 0,1 0 0,-2-2 0,2 3 0,0 0 0,-1 0 0,1-1 0,0 1 0,-1 0 0,1 0 0,-1 0 0,1 0 0,0-1 0,-1 1 0,1 0 0,0 0 0,-1 0 0,1 0 0,-1 0 0,1 0 0,0 0 0,-1 0 0,1 0 0,0 0 0,-1 0 0,1 1 0,-1-1 0,1 0 0,0 0 0,-1 0 0,1 0 0,-1 1 0,-2 1 0,1 0 0,-1 0 0,1 0 0,-1 0 0,1 1 0,0-1 0,0 1 0,-3 4 0,-3 8 0,0 1 0,1 0 0,1 1 0,0-1 0,1 1 0,-4 25 0,9-40 0,-1 1 0,1-1 0,0 1 0,0 0 0,0-1 0,0 1 0,0-1 0,0 1 0,1 0 0,-1-1 0,1 1 0,0-1 0,-1 1 0,1-1 0,2 3 0,-3-5 0,1 1 0,-1-1 0,0 1 0,1-1 0,0 0 0,-1 1 0,1-1 0,-1 0 0,1 1 0,-1-1 0,1 0 0,0 1 0,-1-1 0,1 0 0,0 0 0,-1 0 0,1 0 0,0 0 0,-1 0 0,1 0 0,0 0 0,0 0 0,1 0 0,1-1 0,-1 0 0,0 0 0,0 1 0,0-1 0,0-1 0,1 1 0,-2 0 0,4-2 0,11-11 0,-1 0 0,0 0 0,-1-1 0,0-1 0,-2 0 0,0-1 0,14-25 0,-8 8 0,-2-1 0,-1 0 0,11-41 0,-23 67 0,7-30 0,-9 37 0,-1 1 0,1-1 0,-1 0 0,0 0 0,0 0 0,0 0 0,0 0 0,0 1 0,-1-1 0,1 0 0,0 0 0,-1 0 0,1 0 0,-1 1 0,-1-4 0,1 5 0,1-1 0,-1 1 0,0 0 0,1 0 0,-1-1 0,0 1 0,1 0 0,-1 0 0,0 0 0,0 0 0,1-1 0,-1 1 0,0 0 0,0 0 0,1 1 0,-1-1 0,0 0 0,1 0 0,-1 0 0,0 0 0,0 1 0,1-1 0,-1 0 0,0 1 0,1-1 0,-1 0 0,1 1 0,-1-1 0,0 1 0,1-1 0,-1 1 0,1-1 0,-1 1 0,1-1 0,-1 2 0,-21 22 0,9-6 0,1 0 0,0 1 0,2 1 0,-15 37 0,-22 89 0,43-134 0,-2 9 0,-8 43 0,14-60 0,-1 1 0,1 0 0,0-1 0,0 1 0,0 0 0,0-1 0,1 1 0,0-1 0,0 1 0,0 0 0,1-1 0,-1 0 0,1 1 0,0-1 0,3 6 0,-3-9 0,0 1 0,0 0 0,0-1 0,0 1 0,0-1 0,0 1 0,1-1 0,-1 0 0,0 0 0,1 0 0,-1 0 0,0 0 0,1-1 0,-1 1 0,1-1 0,0 1 0,-1-1 0,1 0 0,-1 0 0,1 0 0,-1 0 0,1-1 0,-1 1 0,1-1 0,-1 0 0,5-1 0,5-2 0,0-1 0,-1 0 0,21-12 0,-16 6 0,0-1 0,-1 0 0,0-1 0,-1 0 0,-1-1 0,0-1 0,-1 0 0,0-1 0,-1 0 0,-1 0 0,-1-1 0,0-1 0,9-28 0,-7 15 0,-2 0 0,-1 0 0,-2-1 0,-1 0 0,-1 0 0,-2-1 0,-3-44 0,1 73 0,0 1 0,0-1 0,0 0 0,-1 0 0,0 0 0,0 0 0,0 1 0,0-1 0,0 0 0,-1 1 0,1-1 0,-1 1 0,0-1 0,0 1 0,0 0 0,-1 0 0,1 0 0,-1 0 0,0 0 0,0 1 0,0-1 0,0 1 0,0 0 0,0 0 0,-1 0 0,1 0 0,-1 0 0,1 1 0,-1 0 0,0-1 0,1 1 0,-1 1 0,0-1 0,0 1 0,-4-1 0,-9 0 0,-1 1 0,1 1 0,0 0 0,0 1 0,0 1 0,0 1 0,0 0 0,0 2 0,1-1 0,0 2 0,1 0 0,-1 1 0,-27 19 0,17-9 0,1 2 0,1 1 0,0 0 0,2 2 0,0 1 0,-30 43 0,34-38 0,0 0 0,2 1 0,1 0 0,2 1 0,1 1 0,1 0 0,2 1 0,-8 49 0,15-63 0,1 0 0,0 0 0,2 0 0,0-1 0,1 1 0,0 0 0,7 22 0,-5-28 0,1 0 0,0-1 0,1 1 0,0-1 0,0-1 0,2 1 0,-1-1 0,1 0 0,1-1 0,19 19 0,-20-22 0,1 0 0,0 0 0,0-1 0,1 0 0,0-1 0,0 0 0,0 0 0,1-1 0,-1-1 0,1 1 0,0-2 0,0 1 0,13 0 0,-9-3 0,1 0 0,0 0 0,0-2 0,-1 0 0,1-1 0,-1 0 0,1-1 0,22-10 0,-12 2 0,0-1 0,-1 0 0,-1-2 0,0-1 0,-2-1 0,1-1 0,-2-1 0,-1-1 0,0-1 0,17-24 0,-18 18 0,-2-1 0,-1 0 0,-1-1 0,-2-1 0,-1 0 0,16-60 0,-22 61 0,0 0 0,-2-1 0,-1 1 0,-1-1 0,-1 0 0,-2 0 0,-8-50 0,6 67 0,0 1 0,0-1 0,-1 1 0,-1 0 0,0 0 0,-1 0 0,0 1 0,-1-1 0,0 1 0,-10-11 0,10 14 0,-1 1 0,1 0 0,-1 0 0,-1 1 0,1 0 0,-1 1 0,0-1 0,0 2 0,-1-1 0,1 1 0,-1 1 0,0 0 0,-13-3 0,4 3 0,-1 1 0,0 1 0,0 1 0,0 0 0,0 1 0,0 2 0,0 0 0,0 1 0,1 0 0,-1 2 0,1 1 0,1 0 0,-1 1 0,1 1 0,1 1 0,0 0 0,0 1 0,1 1 0,0 1 0,1 0 0,1 1 0,0 0 0,1 1 0,0 1 0,1 0 0,1 1 0,1 0 0,0 1 0,2 0 0,0 0 0,-11 35 0,17-45 0,1 0 0,-1 1 0,1-1 0,1 1 0,-1-1 0,1 1 0,3 14 0,-3-22 0,0 1 0,0-1 0,1 0 0,-1 1 0,1-1 0,-1 0 0,1 0 0,-1 0 0,1 1 0,0-1 0,-1 0 0,1 0 0,0 0 0,0 0 0,0 0 0,0 0 0,0-1 0,0 1 0,0 0 0,0 0 0,2 0 0,-1 0 0,0-1 0,0 0 0,1 0 0,-1 0 0,0-1 0,0 1 0,0 0 0,0-1 0,0 1 0,0-1 0,0 0 0,0 1 0,0-1 0,0 0 0,0 0 0,-1 0 0,1-1 0,2-1 0,8-6 0,-1-1 0,0 0 0,-1-1 0,0 0 0,0-1 0,-1 0 0,10-19 0,2-5 0,22-57 0,-11 7 0,-29 76 0,-1 0 0,1-1 0,-2 1 0,1-1 0,-1 1 0,-1-15 0,0 24 0,0 0 0,0-1 0,0 1 0,-1-1 0,1 1 0,0-1 0,-1 1 0,1 0 0,-1-1 0,1 1 0,-1 0 0,0-1 0,1 1 0,-1 0 0,0 0 0,0 0 0,0-1 0,0 1 0,0 0 0,0 0 0,0 1 0,0-1 0,-1 0 0,1 0 0,0 0 0,0 1 0,-2-1 0,-1 0 0,1 0 0,-1 1 0,0 0 0,1 0 0,-1 0 0,0 0 0,1 0 0,-1 1 0,0-1 0,-5 3 0,-9 3 0,0 0 0,1 2 0,0 0 0,0 1 0,1 1 0,0 0 0,1 1 0,0 1 0,-21 21 0,9-6 0,2 2 0,1 1 0,-37 59 0,46-64 0,1 2 0,1 0 0,1 1 0,-15 57 0,22-67 0,2 0 0,0 1 0,1-1 0,1 1 0,1-1 0,1 1 0,0-1 0,1 1 0,5 19 0,-4-31 0,-1 1 0,1 0 0,0-1 0,1 1 0,0-1 0,0 0 0,1 0 0,-1-1 0,1 1 0,1-1 0,-1 0 0,1-1 0,0 1 0,1-1 0,-1 0 0,1-1 0,0 1 0,0-1 0,0-1 0,1 1 0,0-1 0,-1-1 0,1 1 0,0-1 0,9 1 0,2 0 0,0-1 0,0-1 0,0-1 0,1 0 0,-1-1 0,0-1 0,0-1 0,0-1 0,33-11 0,-14-1 0,0-1 0,-2-2 0,0-2 0,-1-1 0,-2-1 0,0-2 0,-2-2 0,0-1 0,-2-1 0,-1-1 0,-2-2 0,-1 0 0,-1-2 0,-2-1 0,-2 0 0,21-50 0,-34 67 0,-1-1 0,-1 0 0,-1-1 0,0 1 0,-2-1 0,0 0 0,-1 0 0,-2 0 0,0 1 0,0-1 0,-6-24 0,4 34 0,1-1 0,-1 0 0,-1 1 0,0 0 0,-1 0 0,0 0 0,0 0 0,-1 1 0,0 0 0,0 0 0,-1 1 0,-1-1 0,1 2 0,-1-1 0,-1 1 0,1 0 0,-1 1 0,0 0 0,-1 0 0,1 1 0,-16-6 0,19 9 0,0-1 0,0 2 0,-1-1 0,1 1 0,-1 0 0,1 0 0,-1 1 0,1 0 0,-1 0 0,0 0 0,1 1 0,-1 0 0,1 0 0,0 1 0,-1 0 0,-6 3 0,5-1 0,0 0 0,1 1 0,-1 0 0,1 1 0,0-1 0,1 1 0,-1 0 0,1 1 0,1 0 0,-1 0 0,-7 13 0,-7 18 0,1 1 0,2 0 0,1 2 0,3 0 0,1 0 0,2 1 0,2 1 0,2-1 0,1 1 0,3 0 0,4 70 0,-1-99 0,1 0 0,1 0 0,0-1 0,0 1 0,1-1 0,1 0 0,11 22 0,-11-28 0,-1 0 0,1 0 0,0 0 0,0-1 0,1 0 0,0 0 0,0 0 0,0-1 0,1 0 0,0 0 0,0-1 0,0 0 0,0 0 0,11 4 0,-3-4 0,1 1 0,0-2 0,-1 0 0,1-1 0,0-1 0,0 0 0,1-1 0,-1-1 0,0 0 0,0-1 0,-1-1 0,1-1 0,24-8 0,-3-2 0,-1-1 0,-1-2 0,-1-2 0,49-34 0,-44 25 0,-1-2 0,-1-1 0,-2-2 0,-2-1 0,0-2 0,39-58 0,-52 64 0,-2-2 0,0 0 0,-2-1 0,-2 0 0,-1-1 0,-1-1 0,-2 0 0,-2-1 0,5-41 0,-11 65 0,-2 1 0,1-1 0,-1 0 0,-1 0 0,0 0 0,-4-16 0,4 24 0,-1-1 0,1 0 0,-1 1 0,0-1 0,0 1 0,-1 0 0,1-1 0,-1 1 0,0 1 0,0-1 0,-1 0 0,1 1 0,-1-1 0,1 1 0,-1 0 0,0 0 0,0 1 0,-5-3 0,-3 0 0,0 1 0,-1 0 0,1 1 0,-1 0 0,1 1 0,-1 0 0,0 1 0,0 1 0,1 0 0,-1 1 0,0 0 0,0 1 0,-19 5 0,-3 2 0,0 2 0,1 2 0,-52 26 0,45-18 0,1 2 0,1 2 0,1 2 0,1 1 0,-41 42 0,62-55 0,1 0 0,1 2 0,1 0 0,0 0 0,1 1 0,1 1 0,1 0 0,1 0 0,0 1 0,1 1 0,2-1 0,0 1 0,-5 30 0,10-44 0,1-1 0,0 0 0,0 1 0,0-1 0,2 13 0,-2-18 0,1 0 0,-1 0 0,0 0 0,1 0 0,-1 1 0,1-1 0,-1 0 0,1 0 0,0 0 0,-1 0 0,1 0 0,0 0 0,0-1 0,-1 1 0,1 0 0,0 0 0,0 0 0,0-1 0,0 1 0,0-1 0,0 1 0,0-1 0,1 1 0,-1-1 0,0 1 0,0-1 0,0 0 0,0 0 0,1 1 0,-1-1 0,0 0 0,0 0 0,0 0 0,1 0 0,-1-1 0,0 1 0,0 0 0,0 0 0,2-1 0,6-3 0,1 1 0,-1-1 0,1-1 0,-1 0 0,0 0 0,-1-1 0,0 0 0,0 0 0,10-10 0,-5 3 0,0 0 0,-2-1 0,1 0 0,15-28 0,-20 29 0,-1 0 0,0 0 0,-1 0 0,-1 0 0,0-1 0,0 0 0,-2 0 0,0 0 0,0 0 0,-1-21 0,-1 28 0,-1 0 0,0 0 0,0 0 0,0 0 0,-1 0 0,0 1 0,0-1 0,-1 1 0,0-1 0,0 1 0,0 0 0,-1 0 0,0 1 0,0-1 0,0 1 0,-1-1 0,0 2 0,0-1 0,0 0 0,-1 1 0,1 0 0,-1 0 0,-7-3 0,7 4 0,-1 0 0,0 0 0,0 1 0,-1 0 0,1 0 0,0 0 0,-1 1 0,1 0 0,-1 1 0,1 0 0,-1 0 0,-14 2 0,11 1 0,-1 0 0,0 1 0,1 0 0,0 0 0,0 1 0,0 1 0,-14 9 0,1 3 0,1 0 0,0 2 0,2 1 0,0 1 0,-31 41 0,19-15 0,1 1 0,3 2 0,-34 81 0,45-89 0,3 2 0,1 0 0,2 0 0,-10 85 0,20-118 0,2 0 0,-1 0 0,2 0 0,-1 0 0,2 0 0,-1 0 0,2 0 0,0-1 0,0 1 0,6 11 0,-7-19 0,0 0 0,0 1 0,1-2 0,0 1 0,0 0 0,0-1 0,0 1 0,1-1 0,-1 0 0,1 0 0,0 0 0,0 0 0,0-1 0,0 0 0,0 0 0,1 0 0,-1 0 0,1-1 0,-1 1 0,1-1 0,-1 0 0,1-1 0,0 1 0,-1-1 0,1 0 0,0 0 0,0 0 0,7-2 0,8-2 0,0 0 0,0-1 0,-1-2 0,0 0 0,0 0 0,0-2 0,-1 0 0,30-22 0,-11 5 0,-2-2 0,-1-1 0,31-36 0,-39 37 0,-2 0 0,-1-2 0,-1-1 0,-2-1 0,-1-1 0,-2 0 0,-1-2 0,-1 1 0,13-51 0,-23 64 0,-1-1 0,-1 0 0,-1 1 0,0-1 0,-2 0 0,-1 0 0,-4-33 0,1 38 0,0 0 0,0 1 0,-2-1 0,0 1 0,-1 1 0,-1-1 0,0 1 0,-1 0 0,0 1 0,-17-19 0,11 17 0,-1 0 0,0 1 0,-1 1 0,-1 1 0,0 1 0,-1 0 0,0 1 0,-1 1 0,0 1 0,0 1 0,-1 0 0,0 2 0,0 0 0,-1 2 0,0 0 0,0 1 0,0 2 0,-36 1 0,26 1 0,0 2 0,1 2 0,0 1 0,0 1 0,0 1 0,1 2 0,0 1 0,1 1 0,1 2 0,0 1 0,0 1 0,-38 30 0,32-17 0,2 1 0,1 2 0,1 1 0,2 1 0,1 1 0,2 1 0,2 2 0,-21 44 0,20-31 0,3 1 0,3 1 0,1 0 0,3 2 0,3-1 0,-6 60 0,15-91 0,0 0 0,1 0 0,2 0 0,0 1 0,2-1 0,7 33 0,-7-45 0,1 0 0,0 0 0,1 0 0,0-1 0,1 0 0,0 0 0,0 0 0,1-1 0,0 0 0,1 0 0,0 0 0,0-1 0,1-1 0,16 12 0,-7-8 0,2 0 0,-1-2 0,1 0 0,0-2 0,1 0 0,0-1 0,0-1 0,0-1 0,1-1 0,-1-1 0,1 0 0,0-2 0,35-4 0,-11-1 0,1-3 0,-1-2 0,-1-2 0,0-2 0,55-24 0,-64 21 0,1-1 0,-2-2 0,-1-2 0,-1-1 0,0-1 0,52-52 0,-65 55 0,-1 0 0,0-1 0,-2-1 0,-1-1 0,-1-1 0,-1 0 0,-1-1 0,-1 0 0,-1-1 0,9-37 0,-17 50 0,0 0 0,-2 0 0,1 0 0,-1 0 0,-1 0 0,-1-1 0,0 1 0,-1 0 0,0 0 0,-1 0 0,-1 0 0,0 1 0,-1-1 0,0 1 0,-1 0 0,0 1 0,-1-1 0,-1 1 0,0 0 0,-13-14 0,4 8 0,-1 1 0,0 0 0,-2 1 0,0 2 0,0 0 0,-1 0 0,-1 2 0,0 1 0,-1 1 0,-45-14 0,15 9 0,-1 3 0,-93-10 0,110 19 0,0 2 0,0 1 0,0 2 0,1 2 0,-38 8 0,55-7 0,0 0 0,1 1 0,0 1 0,0 1 0,-31 18 0,41-21 0,1 0 0,0 0 0,0 1 0,0 0 0,1 0 0,0 1 0,0 0 0,0 0 0,1 0 0,0 0 0,1 1 0,0 0 0,0 0 0,-5 16 0,7-16 0,0 0 0,0 0 0,1 1 0,0-1 0,0 1 0,1-1 0,1 0 0,-1 1 0,1-1 0,0 1 0,1-1 0,0 0 0,1 0 0,3 10 0,-1-10 0,-1 0 0,1 0 0,1 0 0,-1-1 0,1 0 0,1 0 0,-1-1 0,1 0 0,0 0 0,0 0 0,1-1 0,0 0 0,9 5 0,8 1 0,0 0 0,0-2 0,0 0 0,1-2 0,48 7 0,-15-8 0,95-1 0,-108-7 0,0-1 0,0-2 0,77-20 0,-99 19 0,0-2 0,-1-1 0,0 0 0,0-2 0,-1 0 0,0-2 0,-1 0 0,28-25 0,-42 32 0,0 0 0,-1-1 0,0 0 0,0-1 0,0 1 0,-1-1 0,-1 0 0,1 0 0,-1-1 0,0 0 0,3-14 0,-5 18 0,-1-1 0,0 1 0,-1-1 0,1 0 0,-1 1 0,0-1 0,-1 1 0,1-1 0,-1 0 0,0 1 0,-1-1 0,1 1 0,-1 0 0,0-1 0,0 1 0,-1 0 0,0 0 0,0 0 0,0 1 0,-4-6 0,-3 0 0,0 1 0,0 0 0,-1 0 0,0 1 0,-1 0 0,0 1 0,0 1 0,-1-1 0,1 2 0,-1 0 0,0 1 0,-28-6 0,-12 1 0,-105-5 0,97 12 0,0 3 0,0 2 0,-83 16 0,99-9 0,-1 1 0,1 2 0,1 2 0,1 2 0,-44 24 0,81-38 0,-51 32 0,54-33 0,1 0 0,0-1 0,-1 1 0,1 0 0,0 0 0,0 0 0,0 1 0,1-1 0,-1 0 0,0 1 0,1-1 0,0 1 0,-1 0 0,1-1 0,0 1 0,0 0 0,1 0 0,-1 3 0,1-5 0,0 0 0,0 1 0,0-1 0,1 0 0,-1 0 0,0 0 0,1 0 0,-1 0 0,1 0 0,-1 0 0,1 0 0,0 0 0,-1-1 0,1 1 0,0 0 0,0 0 0,0 0 0,-1-1 0,1 1 0,0 0 0,0-1 0,0 1 0,0-1 0,0 1 0,0-1 0,2 1 0,17 5 0,0 0 0,0-2 0,0 0 0,1-1 0,0-1 0,28-1 0,-9 0 0,621-5 0,-613 0 0,-45 3 0,-5 0 0,-24-1 0,-123-1 0,1 6 0,-249 38 0,391-40 0,-66 15 0,68-15 0,1 0 0,-1 0 0,0 1 0,1-1 0,-1 1 0,1 0 0,0 0 0,-1 0 0,1 0 0,0 1 0,0-1 0,1 1 0,-1 0 0,-2 3 0,4-5 0,1 0 0,0 0 0,-1 0 0,1 0 0,0 0 0,-1 0 0,1 0 0,0 0 0,0 1 0,0-1 0,0 0 0,0 0 0,0 0 0,0 0 0,0 0 0,1 0 0,-1 0 0,0 0 0,0 0 0,1 0 0,-1 0 0,1 0 0,-1 0 0,1 0 0,0 0 0,-1 0 0,1 0 0,0 0 0,0-1 0,-1 1 0,1 0 0,0 0 0,1 0 0,5 4 0,1 0 0,-1-1 0,1 0 0,-1 0 0,1 0 0,0-1 0,1-1 0,9 3 0,80 12 0,-85-15 0,530 32 0,-632-36 0,-249 0 0,270 5 0,0 3 0,-128 30 0,126-14 0,66-21 0,0 1 0,1-1 0,-1 1 0,0 0 0,1 0 0,-1 0 0,1 1 0,0-1 0,0 1 0,0 0 0,0 0 0,-4 5 0,6-7 0,1-1 0,0 1 0,0-1 0,0 1 0,-1-1 0,1 1 0,0-1 0,0 1 0,0-1 0,0 1 0,0-1 0,0 1 0,0-1 0,0 1 0,0-1 0,0 1 0,1-1 0,-1 1 0,0-1 0,0 1 0,0-1 0,0 1 0,1-1 0,-1 1 0,1 0 0,18 11 0,11-4 0,1 0 0,0-3 0,1 0 0,60 0 0,-53-3 0,723 6 0,-668-14 0,-87 4 0,-19-1 0,-29-1 0,-39 3 0,-1 4 0,1 3 0,1 4 0,-104 27 0,164-33 0,0 2 0,0 0 0,1 2 0,-34 17 0,48-22 0,-1 0 0,1 1 0,-1-1 0,1 1 0,0 0 0,0 0 0,1 0 0,-1 1 0,-3 6 0,5-8 0,1 0 0,0 0 0,0 0 0,0 0 0,0 0 0,0 1 0,1-1 0,-1 0 0,1 0 0,0 1 0,0-1 0,0 0 0,0 1 0,1-1 0,-1 0 0,1 0 0,1 4 0,0-2 0,1 0 0,-1 0 0,1 0 0,0 0 0,0 0 0,1-1 0,0 0 0,-1 1 0,1-1 0,1 0 0,-1-1 0,1 1 0,-1-1 0,1 0 0,0 0 0,0-1 0,6 3 0,9 3 0,1 0 0,0-1 0,25 3 0,7 0 0,0-3 0,1-3 0,-1-1 0,87-8 0,-28-7 0,128-31 0,50-35 0,-255 66 0,-1-1 0,0-2 0,-1-2 0,-1-1 0,59-43 0,-87 59 0,0-1 0,-1 0 0,1 0 0,-1 0 0,0-1 0,0 1 0,0-1 0,-1 0 0,1 1 0,-1-1 0,1 0 0,-1-1 0,-1 1 0,1 0 0,1-9 0,-2 11 0,-1 1 0,-1-1 0,1 0 0,0 0 0,0 1 0,-1-1 0,1 0 0,-1 1 0,1-1 0,-1 0 0,0 1 0,0-1 0,0 1 0,0-1 0,0 1 0,-1-3 0,-2 1 0,1 0 0,0 0 0,-1 1 0,0-1 0,1 1 0,-1 0 0,0 0 0,-7-3 0,-21-4 0,0 0 0,-1 3 0,0 0 0,-57-1 0,-44 0 0,-137 11 0,181 3 0,0 3 0,-126 33 0,212-42 0,-21 5 0,-46 19 0,65-23 0,0 1 0,1 0 0,-1 0 0,1 0 0,0 1 0,0 0 0,0 0 0,1 0 0,-1 1 0,1-1 0,0 1 0,0 0 0,-3 6 0,6-10 0,1 0 0,-1-1 0,1 1 0,-1 0 0,1 0 0,0 0 0,-1-1 0,1 1 0,0 0 0,0 0 0,0 0 0,0 0 0,0 0 0,-1 0 0,2 0 0,-1 0 0,0-1 0,0 1 0,0 0 0,0 0 0,0 0 0,1 0 0,-1 0 0,0 0 0,1-1 0,-1 1 0,1 0 0,-1 0 0,1 0 0,-1-1 0,1 1 0,0 0 0,-1-1 0,1 1 0,0-1 0,-1 1 0,1-1 0,1 2 0,4 0 0,0 1 0,0-1 0,-1 0 0,2-1 0,5 2 0,-12-3 0,38 7 0,-1-2 0,1-2 0,41-1 0,119-13 0,-186 10 0,361-50 0,-307 36 0,0-2 0,-1-3 0,95-45 0,-145 59 0,0-1 0,0-1 0,-1-1 0,0 0 0,-1 0 0,0-1 0,-1-1 0,0 0 0,20-24 0,-31 33 0,1-1 0,0 1 0,0-1 0,-1 0 0,0 0 0,1 1 0,-1-1 0,0 0 0,0 0 0,-1 0 0,1 0 0,-1 0 0,1 0 0,-1-1 0,0 1 0,0 0 0,0 0 0,-1 0 0,1 0 0,-1 0 0,0 0 0,0 0 0,0 0 0,0 0 0,0 0 0,0 0 0,-1 1 0,0-1 0,1 0 0,-1 1 0,0 0 0,0-1 0,0 1 0,-3-2 0,-5-4 0,0 1 0,0 1 0,0-1 0,-1 2 0,0 0 0,0 0 0,-21-6 0,-27-4 0,-2 2 0,-113-10 0,-126 16 0,242 8 0,0 1 0,0 4 0,0 1 0,-102 29 0,145-31 0,-1 1 0,1 0 0,-17 11 0,29-16 0,0 1 0,-1 0 0,1 0 0,0 0 0,0 1 0,1-1 0,-1 1 0,1-1 0,-1 1 0,1 0 0,0 0 0,0 0 0,0 0 0,0 0 0,0 1 0,1-1 0,0 1 0,-1-1 0,0 5 0,2-7 0,0 0 0,0-1 0,1 1 0,-1 0 0,0 0 0,0 0 0,0 0 0,1 0 0,-1 0 0,0 0 0,1 0 0,-1-1 0,1 1 0,-1 0 0,1 0 0,-1-1 0,1 1 0,-1 0 0,1 0 0,0-1 0,-1 1 0,1-1 0,0 1 0,0-1 0,0 1 0,-1-1 0,1 1 0,0-1 0,0 0 0,0 1 0,0-1 0,1 0 0,7 3 0,1-1 0,0-1 0,-1 0 0,1 0 0,0 0 0,19-3 0,66-11 0,-93 12 0,220-47 0,-212 46 0,-1-1 0,0 0 0,18-9 0,-23 5 0,-15 3 0,-14 3 0,1 2 0,-1 1 0,1 0 0,-33 9 0,44-9 0,-193 45 0,173-38 0,1 2 0,0 2 0,1 0 0,-36 23 0,30-10 0,35-25 0,0 1 0,0 0 0,0 0 0,0 0 0,0-1 0,1 2 0,-1-1 0,1 0 0,0 0 0,-1 0 0,1 1 0,0-1 0,-1 3 0,2-4 0,0 0 0,0-1 0,0 1 0,0 0 0,0-1 0,1 1 0,-1-1 0,0 1 0,0 0 0,0-1 0,0 1 0,1-1 0,-1 1 0,0 0 0,1-1 0,-1 1 0,0-1 0,1 1 0,-1-1 0,1 1 0,-1-1 0,0 0 0,1 1 0,-1-1 0,1 1 0,0-1 0,-1 0 0,1 0 0,-1 1 0,1-1 0,-1 0 0,1 0 0,0 0 0,-1 1 0,1-1 0,0 0 0,0 0 0,6 1 0,1 0 0,-1-1 0,1 1 0,-1-1 0,1-1 0,-1 1 0,15-4 0,58-19 0,-65 18 0,47-15 0,-1-3 0,-1-2 0,-2-3 0,-1-3 0,-1-2 0,79-61 0,-122 84 0,-1-1 0,1 0 0,-2-1 0,1 0 0,-2-1 0,0 0 0,9-15 0,-18 26 0,1 0 0,-1 0 0,0 0 0,0 0 0,0-1 0,0 1 0,-1 0 0,1-1 0,0 1 0,-1 0 0,0-1 0,1 1 0,-1 0 0,0-1 0,0 1 0,-1-1 0,1 1 0,0 0 0,-1-1 0,1 1 0,-1 0 0,0-1 0,0 1 0,0 0 0,0 0 0,0 0 0,0 0 0,-1 0 0,1 0 0,-1 0 0,1 0 0,-3-2 0,-3 0 0,0 0 0,0 0 0,0 0 0,0 1 0,0 0 0,-1 0 0,1 0 0,-1 1 0,-8-1 0,-32-4 0,-1 1 0,1 2 0,-1 3 0,0 2 0,-50 7 0,5 5 0,-157 43 0,139-22-121,1 5 0,2 5 0,1 5 0,3 4 0,-119 82 0,189-111 121,-47 42 0,72-57 0,1 0 0,0 1 0,1 0 0,0 0 0,0 1 0,1 0 0,1 0 0,-10 21 0,16-31 0,-1 1 0,0-1 0,1 0 0,-1 1 0,1-1 0,0 1 0,-1-1 0,1 1 0,0-1 0,0 1 0,0-1 0,0 1 0,0-1 0,0 1 0,0-1 0,0 0 0,1 1 0,-1-1 0,1 1 0,-1-1 0,1 1 0,-1-1 0,1 0 0,0 1 0,0-1 0,-1 0 0,1 0 0,0 0 0,0 0 0,2 2 0,1-1 0,0 0 0,1 0 0,-1 0 0,0 0 0,1-1 0,0 0 0,-1 0 0,1 0 0,5 0 0,26 0 101,1-1 0,-1-1-1,0-3 1,-1 0 0,57-16 0,84-26-406,323-129 0,-425 145 256,-2-3 0,86-52 1,-139 73 48,29-25 0,-44 33 0,-1 1 0,1-1 0,0 0 0,-1 0 0,0 0 0,0-1 0,0 1 0,0-1 0,-1 0 0,0 1 0,3-9 0,-5 11 0,0 1 0,1-1 0,-1 1 0,0-1 0,0 1 0,0-1 0,-1 1 0,1-1 0,0 1 0,0 0 0,-1-1 0,1 1 0,-1-1 0,1 1 0,-1 0 0,0-1 0,0 1 0,1 0 0,-1 0 0,0 0 0,0-1 0,0 1 0,0 0 0,0 0 0,0 0 0,-1 1 0,1-1 0,0 0 0,0 0 0,-1 1 0,-1-2 0,-5-1 0,0 0 0,-1 0 0,1 1 0,-11-1 0,18 2 0,-74-8 166,-1 3 1,-1 3 0,-84 8 0,146-4-103,-69 2-11,0 4 0,-106 23 0,163-24-54,1 1 0,1 1 0,-1 1 0,1 1 0,1 1 0,0 1 0,0 1 0,2 2-1,-1 0 1,2 1 0,-25 24 0,36-29 1,1 0 0,0 0 0,1 1 0,0 0 0,1 0 0,0 1 0,1 0 0,1 0 0,0 0 0,0 1 0,2 0 0,-1 0 0,-1 27 0,4-34 0,1 1 0,1-1 0,-1 1 0,1-1 0,0 0 0,1 1 0,0-1 0,0 0 0,1 0 0,-1 0 0,2 0 0,-1 0 0,1-1 0,0 1 0,0-1 0,0 0 0,1-1 0,0 1 0,0-1 0,1 0 0,0 0 0,0 0 0,0-1 0,0 0 0,0 0 0,1 0 0,0-1 0,9 3 0,19 4 0,0 0 0,1-3 0,0-1 0,0-2 0,68 0 0,-5-5 0,0-5 0,-1-4 0,0-4 0,-1-5 0,-1-4 0,112-41 0,-172 52 0,0-2 0,-1 0 0,-1-3 0,58-37 0,-84 49 0,-1-1 0,0 0 0,0-1 0,-1 1 0,0-1 0,0-1 0,0 1 0,6-12 0,-10 15 0,0 1 0,-1-1 0,0 0 0,1 1 0,-1-1 0,0 0 0,-1 0 0,1 0 0,-1 0 0,0 0 0,0 0 0,0 0 0,0 0 0,-1 0 0,1 0 0,-1 0 0,0 0 0,0 1 0,-1-1 0,1 0 0,-3-3 0,0 0 0,0 1 0,-1 0 0,0 0 0,0 1 0,0 0 0,0-1 0,-1 2 0,0-1 0,0 1 0,0 0 0,-1 0 0,1 0 0,-1 1 0,-11-3 0,-8-3 0,0 2 0,-48-7 0,11 5 0,-1 3 0,1 3 0,-1 2 0,-114 15 0,133-7 0,1 1 0,0 3 0,0 2 0,1 1 0,1 2 0,1 2 0,-63 38 0,87-45 0,0 0 0,1 2 0,-23 22 0,35-32 0,1 1 0,-1 0 0,1 0 0,0 0 0,0 0 0,0 1 0,0-1 0,1 1 0,0 0 0,0 0 0,0 0 0,0 0 0,1 0 0,0 0 0,0 0 0,0 0 0,1 10 0,0-12 0,1 0 0,0 0 0,0 0 0,0 0 0,0-1 0,0 1 0,0-1 0,1 1 0,-1 0 0,1-1 0,-1 0 0,1 1 0,0-1 0,0 0 0,0 0 0,1 0 0,-1-1 0,0 1 0,1 0 0,-1-1 0,1 1 0,0-1 0,3 1 0,4 2 0,1-1 0,0 0 0,-1-1 0,1 0 0,20 1 0,11-3 0,0-2 0,0-1 0,-1-3 0,68-16 0,159-67 0,-203 64 0,63-36 0,-108 50 0,0-1 0,-1-1 0,-1-1 0,0 0 0,-1-1 0,31-35 0,-43 43 0,0 1 0,0-1 0,-1 1 0,0-1 0,0-1 0,-1 1 0,0 0 0,0-1 0,-1 0 0,0 1 0,2-15 0,-4 17 0,0-1 0,0 0 0,-1 0 0,0 1 0,0-1 0,0 0 0,0 1 0,-1-1 0,0 1 0,-1 0 0,1-1 0,-1 1 0,0 0 0,0 1 0,0-1 0,-1 0 0,-4-4 0,-7-6 0,-1 1 0,-1 1 0,0 0 0,-1 1 0,0 1 0,-1 1 0,0 0 0,-1 2 0,-35-12 0,4 6 0,0 2 0,-98-11 0,114 20 0,0 2 0,-1 2 0,1 1 0,0 1 0,0 2 0,1 2 0,-1 1 0,1 1 0,1 3 0,0 0 0,0 2 0,-37 22 0,46-22 0,1 1 0,1 1 0,0 1 0,2 1 0,0 1 0,0 1 0,2 0 0,1 1 0,0 1 0,2 1 0,0 0 0,2 1 0,1 1 0,0 0 0,2 0 0,-8 33 0,15-47 0,0 0 0,1 0 0,1 0 0,0 0 0,0 19 0,2-24 0,0-1 0,-1 0 0,2 0 0,-1 0 0,1 0 0,-1 0 0,1-1 0,1 1 0,-1 0 0,1-1 0,-1 1 0,1-1 0,1 0 0,5 6 0,-1-3 0,0 0 0,1-1 0,-1 0 0,1 0 0,1-1 0,-1 0 0,1-1 0,14 5 0,0-2 0,0-1 0,44 5 0,-30-8 0,-1-1 0,1-3 0,0-1 0,72-13 0,141-53 0,-180 45 0,-1-3 0,115-61 0,-170 78 0,-1 0 0,1-1 0,-1-1 0,-1 0 0,0-1 0,-1 0 0,18-23 0,-26 30 0,0-1 0,0 0 0,-1 0 0,0 0 0,0-1 0,-1 1 0,0-1 0,0 1 0,0-1 0,-1 0 0,0 0 0,0 0 0,0 0 0,-1 0 0,-1 0 0,1 0 0,-1 0 0,0 1 0,0-1 0,-1 0 0,-3-7 0,1 3 0,-2 0 0,0 0 0,0 0 0,-1 1 0,0 1 0,-1-1 0,0 1 0,0 0 0,-1 1 0,0 0 0,-1 0 0,0 1 0,-16-10 0,-5 1 0,0 0 0,-1 3 0,-57-18 0,25 14 0,0 2 0,-1 4 0,-1 2 0,0 3 0,-94 3 0,103 6 0,1 3 0,-1 1 0,1 4 0,0 1 0,1 3 0,-82 35 0,113-40 0,1 2 0,1 0 0,0 1 0,1 1 0,1 2 0,0 0 0,-19 20 0,28-25 0,1 1 0,0 0 0,1 0 0,1 1 0,0 1 0,1-1 0,0 1 0,1 1 0,1-1 0,0 1 0,1 0 0,-4 24 0,6-24 0,1-1 0,1 1 0,0-1 0,0 1 0,2-1 0,0 1 0,0-1 0,10 27 0,-10-33 0,2-1 0,-1 1 0,1-1 0,0 0 0,1 0 0,-1 0 0,1 0 0,1-1 0,-1 0 0,1 0 0,0 0 0,1-1 0,-1 0 0,1 0 0,0-1 0,0 0 0,9 4 0,-2-3 0,1 0 0,-1-1 0,1-1 0,-1 0 0,1-1 0,0 0 0,0-2 0,0 1 0,27-5 0,-2-2 0,-1-2 0,61-20 0,-17-2 0,-2-4 0,-1-3 0,-1-4 0,-3-3 0,-1-3 0,-3-4 0,71-64 0,-122 98 0,-1 0 0,0-2 0,-1 0 0,-1-1 0,-1-1 0,20-33 0,-35 51 0,0 0 0,-1 0 0,1 0 0,-1 0 0,0 0 0,0 0 0,0-1 0,0 1 0,-1 0 0,1-1 0,-1 1 0,0 0 0,0-1 0,0 1 0,-1 0 0,1-1 0,-1 1 0,1 0 0,-3-5 0,1 4 0,0 1 0,0 0 0,0 0 0,-1 0 0,1 0 0,-1 1 0,0-1 0,1 1 0,-1 0 0,0-1 0,-1 1 0,1 1 0,0-1 0,-7-2 0,-8-2 0,0 1 0,0 1 0,0 0 0,0 2 0,-36-1 0,17 2 0,-1 2 0,0 2 0,0 2 0,1 1 0,0 1 0,0 3 0,1 1 0,0 1 0,-34 18 0,42-16 0,1 2 0,0 0 0,2 2 0,-1 1 0,2 1 0,1 1 0,1 1 0,0 1 0,2 1 0,0 1 0,-20 35 0,-36 83 0,68-125 0,0 1 0,2 0 0,0 0 0,1 0 0,-4 39 0,12-38 0,-3-19 0,0-1 0,1 0 0,-1 1 0,0-1 0,1 1 0,-1-1 0,0 0 0,1 0 0,-1 1 0,0-1 0,1 0 0,-1 1 0,1-1 0,-1 0 0,1 0 0,-1 0 0,0 0 0,1 1 0,-1-1 0,1 0 0,-1 0 0,1 0 0,-1 0 0,1 0 0,0 0 0,3-1 0,1-1 0,-1 1 0,1-1 0,-1 0 0,0 0 0,1 0 0,5-5 0,28-19 0,0-2 0,-2-2 0,-1-1 0,46-52 0,109-160 0,-149 183 0,59-115 0,-96 167 0,0-1 0,-1 1 0,4-16 0,-7 24 0,0 0 0,0 0 0,0-1 0,0 1 0,0 0 0,0-1 0,0 1 0,1 0 0,-1 0 0,0-1 0,0 1 0,0 0 0,0-1 0,-1 1 0,1 0 0,0 0 0,0-1 0,0 1 0,0 0 0,0 0 0,0-1 0,0 1 0,0 0 0,-1 0 0,1-1 0,0 1 0,0 0 0,0 0 0,0-1 0,-1 1 0,1 0 0,0 0 0,0 0 0,-1 0 0,1-1 0,0 1 0,0 0 0,-1 0 0,1 0 0,0 0 0,-1 0 0,-1 0 0,0 1 0,0 0 0,0 0 0,0 0 0,0 0 0,0 0 0,1 0 0,-1 0 0,0 1 0,-2 2 0,-31 31 0,0 3 0,-56 81 0,-32 57-247,8 4-1,-148 318 0,221-390 248,40-105 0,1 0 0,0 1 0,0-1 0,0 1 0,1-1 0,-1 1 0,1-1 0,0 1 0,0-1 0,0 1 0,1-1 0,-1 1 0,1-1 0,1 5 0,-2-8 0,0 1 0,1-1 0,-1 1 0,1 0 0,0-1 0,-1 1 0,1-1 0,-1 1 0,1-1 0,0 1 0,0-1 0,-1 0 0,1 1 0,0-1 0,-1 0 0,1 0 0,0 1 0,0-1 0,0 0 0,-1 0 0,1 0 0,0 0 0,1 0 0,2 0 0,0-1 0,0 0 0,-1 0 0,1 0 0,0 0 0,-1 0 0,6-4 0,19-10 0,-1-2 0,28-23 0,68-56-291,-5-4 0,-5-6-1,193-231 1,-280 304 388,-1-1 0,-1 0 0,-3-2 1,0-1-1,18-47 0,-36 77-88,-1 0 0,0-1 0,0 1-1,0-1 1,-1 0 0,0 1 0,0-1 0,-1 0 0,0 0 0,-1 1 0,0-1 0,0 0 0,-3-10 0,2 13-10,0 1 1,0-1-1,-1 0 1,0 1 0,0-1-1,0 1 1,-1 0-1,1 0 1,-1 0 0,0 1-1,0-1 1,0 1-1,-1 0 1,1 0-1,-1 0 1,1 1 0,-1 0-1,0 0 1,-9-3-1,-2 1 36,0 1 0,0 0 0,-1 1 0,1 1 0,-1 1 0,1 0 0,-1 1 0,1 0 0,0 2 0,-1 0 0,1 1 0,0 0 0,1 1 0,-18 9 0,-10 5 136,0 3 0,1 1 0,-62 47 0,62-38-171,1 2 0,2 2 0,2 1 0,1 2 0,2 2 0,1 1 0,-36 64 0,46-65 0,1 0 0,3 2 0,1 0 0,3 2 0,1-1 0,2 2 0,3-1 0,-7 73 0,14-98 0,2 0 0,0 0 0,1 0 0,1 0 0,1 0 0,1 0 0,9 28 0,-11-42 0,0 1 0,1-1 0,0 0 0,0 0 0,1 0 0,-1-1 0,1 1 0,1-1 0,-1 0 0,1 0 0,0 0 0,0-1 0,0 0 0,0 0 0,1 0 0,0 0 0,0-1 0,0 0 0,0 0 0,0-1 0,0 0 0,1 0 0,-1 0 0,1-1 0,11 1 0,-4-1 0,0-1 0,-1-1 0,1-1 0,0 1 0,-1-2 0,1 0 0,22-9 0,-2-1 0,-2-2 0,32-20 0,-10 2-53,-1-2 1,-2-3-1,-1-2 0,-2-2 0,-3-2 0,46-55 1,-61 62 5,-2 0-1,-2-2 1,-2 0 0,-1-2 0,-2-1 0,-2 0 0,-2-1 0,-1-1 0,11-55 0,-23 75 47,0 0 0,-2 0 0,0 0 0,-2-1 0,-1 1 0,0 0 0,-2 0 0,-7-28 0,7 41 0,0-1 0,-1 1 0,0 0 0,-1 0 0,0 0 0,-1 1 0,0 0 0,0 0 0,-1 1 0,-1-1 0,0 1 0,0 1 0,0 0 0,-1 0 0,0 0 0,-1 1 0,0 1 0,-18-10 0,11 9 8,0 1-1,0 1 1,0 0 0,0 2-1,-1 0 1,1 0-1,-1 2 1,0 0 0,-30 3-1,10 3 149,0 1 0,1 1 0,-61 22 0,44-9-179,2 2-1,0 3 1,1 2 0,2 3-1,-86 66 1,67-40-142,4 4 1,1 2-1,-62 83 1,82-90 164,3 2 0,3 1 0,-51 107 0,71-127 0,2 0 0,2 1 0,1 1 0,2 0 0,1 1 0,3 0 0,-3 62 0,9-98-1,0 1 0,0 0 0,0 0 1,0 0-1,1 0 0,0-1 0,0 1 1,1 0-1,0-1 0,0 1 0,0-1 0,0 0 1,1 1-1,6 8 0,-7-12 3,0 0 0,0 0 0,1-1 0,-1 1-1,0-1 1,1 1 0,-1-1 0,0 0 0,1 0 0,0 0-1,-1 0 1,1-1 0,2 2 0,1-2 16,0 1-1,0-1 1,1 0 0,-1-1 0,0 1 0,0-1-1,6-2 1,13-4 95,0-1 0,-1-1 1,0-1-1,0-1 0,-1-1 0,27-20 0,125-105-144,-151 117 52,76-66-193,105-116-1,-166 158 116,-2-1-1,-2-3 1,-1-1-1,-3-1 0,27-62 1,-45 85 57,-2-2 0,-1 1 0,8-40 0,-16 58 0,0 0 0,-1-1 0,0 1 0,-1 0 0,0-1 0,0 1 0,-1 0 0,-1-1 0,0 1 0,0 0 0,-1 0 0,0 0 0,-5-9 0,5 14 7,1 1 0,-1-1 1,0 1-1,0 0 0,-1 0 0,1 0 0,-1 1 0,0-1 1,0 1-1,0 0 0,0 0 0,0 0 0,-1 1 1,1 0-1,-1-1 0,0 2 0,0-1 0,0 0 1,0 1-1,0 0 0,0 0 0,0 1 0,0-1 1,0 1-1,0 0 0,-1 0 0,-7 2 0,-7 1 56,1 2-1,-1 0 0,1 0 1,0 2-1,-35 17 0,8 1-31,2 2 1,0 2-1,-76 66 0,58-38-36,-91 111 0,118-125 5,3 2 0,1 2 0,-31 64 0,46-76 0,1 0 0,1 1 0,2 1 0,2 0 0,-8 59 0,16-87 0,1 0 0,0 1 0,0-1 0,1 0 0,1 0 0,0 1 0,0-1 0,0 0 0,1 0 0,1 0 0,-1 0 0,2-1 0,5 13 0,-6-17 0,-1 0 0,1 0 0,0-1 0,1 1 0,-1-1 0,1 0 0,-1 0 0,1 0 0,0 0 0,0-1 0,6 3 0,-2-2 0,0 0 0,-1-1 0,1 0 0,0 0 0,0-1 0,0 0 0,16 0 0,1-3 0,0 0 0,0-2 0,-1 0 0,46-16 0,-17 1 0,62-31 0,-69 26 0,-2-2 0,0-2 0,-2-1 0,-1-3 0,61-60 0,-75 64 0,-2-1 0,0-1 0,-3-1 0,0-1 0,-2-1 0,-2 0 0,0-2 0,14-45 0,-25 60 0,-2 0 0,0 0 0,-1-1 0,-1 0 0,-1 1 0,-1-1 0,-1 0 0,-3-28 0,1 33 0,-1 1 0,-1 0 0,0 0 0,-1 0 0,0 0 0,-2 0 0,1 1 0,-2 0 0,0 1 0,0 0 0,-17-20 0,11 19 0,0 0 0,0 0 0,-2 2 0,1 0 0,-2 0 0,1 2 0,-2 0 0,1 1 0,-1 1 0,0 0 0,-1 1 0,0 1 0,0 1 0,0 1 0,-1 1 0,1 0 0,-1 2 0,0 0 0,0 1 0,0 1 0,1 1 0,-1 0 0,1 2 0,-1 0 0,1 1 0,0 1 0,1 1 0,0 1 0,0 0 0,-26 17 0,22-10 0,1 1 0,1 0 0,0 2 0,1 0 0,1 2 0,1 0 0,-17 25 0,14-14 0,2 1 0,1 1 0,1 0 0,-17 56 0,15-26 0,3 1 0,4 1 0,1 0 0,4 0 0,3 91 0,3-145 0,0 3 0,0 1 0,4 20 0,-4-33 0,1 0 0,-1 0 0,0 0 0,1-1 0,-1 1 0,1 0 0,-1 0 0,1 0 0,0-1 0,0 1 0,0 0 0,0-1 0,0 1 0,0-1 0,0 1 0,1-1 0,-1 0 0,0 1 0,1-1 0,-1 0 0,1 0 0,-1 0 0,1 0 0,0 0 0,-1 0 0,4 0 0,-1-1 0,1-1 0,0 1 0,-1-1 0,1 0 0,-1-1 0,1 1 0,-1-1 0,0 0 0,1 0 0,-1 0 0,0-1 0,0 1 0,6-6 0,23-18 0,0-1 0,-2-1 0,-1-2 0,35-45 0,-10 3 0,47-84 0,-66 95 0,-2-2 0,-4-1 0,28-81 0,-47 109 0,-1 1 0,-1-1 0,-2-1 0,-2 1 0,-1-1 0,-2 0 0,-5-69 0,1 94 0,1 0 0,-2 0 0,0 0 0,0 0 0,-1 0 0,0 1 0,-1 0 0,-1 0 0,1 0 0,-2 0 0,-10-14 0,10 18 0,0 0 0,-1 0 0,0 0 0,0 1 0,0 0 0,-1 0 0,0 1 0,0 1 0,0-1 0,0 1 0,-1 1 0,0 0 0,-18-4 0,12 5 0,0 0 0,-1 1 0,1 0 0,-1 1 0,1 1 0,-1 1 0,1 0 0,0 2 0,0-1 0,0 2 0,-28 12 0,7 1 0,0 1 0,2 2 0,-54 42 0,16-4-105,3 3-1,3 2 1,3 4 0,2 3-1,-90 135 1,87-102 97,4 3 0,6 2-1,-78 217 1,111-264 8,3 1 0,3 0 0,-12 102 0,27-156 0,0 0 0,1 0 0,0 0 0,1 0 0,-1-1 0,2 1 0,-1 0 0,1-1 0,6 16 0,-6-21 0,0 0 0,0 0 0,0 0 0,0 0 0,1-1 0,-1 1 0,1-1 0,0 0 0,-1 1 0,1-1 0,0-1 0,0 1 0,1 0 0,-1-1 0,0 1 0,0-1 0,1 0 0,-1 0 0,1 0 0,-1-1 0,1 1 0,-1-1 0,1 0 0,-1 0 0,1 0 0,-1 0 0,6-2 0,11-1 0,0-2 0,-1 0 0,0-1 0,0-1 0,-1 0 0,25-15 0,25-16-217,-1-4 0,-3-2-1,81-71 1,157-186-652,-90 36 822,-176 211 25,-2-2 0,-3-1 1,28-70-1,-51 109 59,-2-1-1,0 1 1,-1-1 0,0 0 0,-2-1 0,0 1-1,-1-31 1,-2 44-27,0 0 0,-1 0-1,1 1 1,-1-1 0,-1 0-1,1 1 1,-1-1-1,0 0 1,-1 1 0,1 0-1,-1 0 1,0 0 0,0 0-1,0 0 1,-1 0 0,0 1-1,0-1 1,0 1 0,0 0-1,-1 1 1,0-1 0,1 1-1,-1 0 1,-1 0 0,1 0-1,0 1 1,-1 0 0,-7-3-1,-2 2 60,-1 0-1,0 0 1,0 2-1,0 0 1,0 0-1,0 2 1,0 0-1,0 1 1,0 0-1,0 1 1,1 1-1,-27 11 1,-1 2 153,1 2 1,2 2-1,-55 37 1,33-16-223,2 2 0,2 3 0,3 3 0,-97 110 0,120-120 0,2 0 0,2 2 0,2 2 0,2 0 0,2 1 0,2 1 0,2 2 0,-17 66 0,24-66 10,3 0 1,2 0 0,2 1-1,4 85 1,1-108-2,2 1 0,1-1 0,1 0 0,1 0 0,2 0 0,0-1 0,1 0 0,2-1 0,1 0 0,17 27 0,-21-39-7,0-1 0,2 0 0,-1-1 1,1 0-1,0-1 0,1 0 0,0 0 0,1-1 1,0-1-1,0 0 0,0 0 0,24 7 0,-18-8-1,1-1-1,0-1 1,0-1-1,1-1 1,-1-1-1,0 0 1,1-1-1,26-4 1,-7-3-1,1-2-1,-1-1 1,-1-2 0,0-1-1,0-3 1,-2-1 0,0-1 0,39-27-1,-34 17 1,-2-2 0,-1-1 0,54-57 0,-70 63 0,-1-1 0,0-1 0,-2 0 0,-2-2 0,0 0 0,13-35 0,-29 63 0,3-9 0,0 0 0,-1 0 0,0-1 0,2-12 0,-4 21 0,-1 1 0,0-1 0,0 0 0,0 0 0,0 0 0,0 0 0,0 0 0,0 0 0,-1 0 0,1 0 0,-1 0 0,1 0 0,-1 0 0,0 0 0,0 1 0,0-1 0,0 0 0,0 0 0,0 1 0,0-1 0,-1 1 0,1-1 0,0 1 0,-1 0 0,1-1 0,-1 1 0,0 0 0,-3-2 0,1 2 0,0 0 0,-1-1 0,1 1 0,0 1 0,-1-1 0,1 1 0,-1 0 0,1 0 0,0 0 0,-1 0 0,1 1 0,-1 0 0,1 0 0,0 0 0,-5 2 0,-8 4 0,0 0 0,-24 14 0,4 3-151,0 1-1,2 1 0,0 3 0,3 0 1,0 2-1,2 2 0,1 1 1,-32 49-1,19-17-6674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6:57.253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1319 2297 24575,'2'-1'0,"1"1"0,0-1 0,0 0 0,0 0 0,0 1 0,-1-2 0,1 1 0,0 0 0,-1-1 0,1 1 0,-1-1 0,1 0 0,-1 1 0,2-4 0,29-32 0,-19 16 0,-1-1 0,-2 0 0,0-1 0,-1 0 0,-1-1 0,-2 0 0,6-28 0,-1-7 0,6-114 0,-17 156 0,0 0 0,-2-1 0,0 1 0,-1 0 0,0-1 0,-8-24 0,9 38 0,-1-1 0,0 1 0,0-1 0,0 1 0,0 0 0,-1 0 0,1 0 0,-1 0 0,0 0 0,0 0 0,-1 1 0,1 0 0,-1 0 0,0 0 0,0 0 0,0 0 0,0 1 0,0-1 0,0 1 0,-1 0 0,1 0 0,-1 1 0,1 0 0,-1-1 0,0 1 0,1 1 0,-9-1 0,-1 1 0,0 1 0,0 1 0,0 0 0,0 0 0,1 2 0,-1 0 0,1 0 0,0 1 0,0 1 0,1 0 0,-1 1 0,2 0 0,-1 1 0,-18 16 0,5-3 0,2 1 0,1 2 0,1 0 0,1 1 0,-23 39 0,22-29 0,1 1 0,2 1 0,2 1 0,2 0 0,1 1 0,2 0 0,-10 68 0,20-103 0,0-1 0,1 0 0,-1 0 0,1 0 0,0 0 0,0 0 0,0 1 0,1-1 0,-1 0 0,1 0 0,0 0 0,-1 0 0,1 0 0,1 0 0,-1 0 0,2 4 0,-1-6 0,0 0 0,0 0 0,0 0 0,1 0 0,-1 0 0,0 0 0,0 0 0,0-1 0,1 1 0,-1-1 0,0 0 0,1 1 0,-1-1 0,0 0 0,1-1 0,-1 1 0,0 0 0,1-1 0,-1 1 0,0-1 0,1 1 0,3-3 0,16-4 0,-1-1 0,1-1 0,-2-1 0,1-1 0,-1 0 0,-1-2 0,0 0 0,-1-1 0,0-1 0,-1-1 0,-1 0 0,26-33 0,-27 28 0,-1 1 0,0-2 0,-2 0 0,0-1 0,-2 0 0,0 0 0,-1-1 0,-2 0 0,-1-1 0,0 0 0,2-40 0,-8 49 0,-1-1 0,0 1 0,-2 0 0,0-1 0,0 1 0,-2 1 0,0-1 0,0 0 0,-2 1 0,0 0 0,-1 1 0,0 0 0,-1 0 0,-1 1 0,0 0 0,0 0 0,-2 1 0,1 0 0,-2 1 0,1 1 0,-1 0 0,-1 1 0,0 0 0,0 1 0,-1 0 0,0 2 0,0 0 0,-1 0 0,-19-4 0,28 10 0,0-1 0,0 1 0,0 0 0,0 1 0,-1-1 0,1 2 0,0-1 0,0 1 0,0 0 0,1 0 0,-1 1 0,0 0 0,1 0 0,-1 0 0,1 1 0,0 0 0,1 0 0,-1 1 0,1-1 0,-8 9 0,-7 9 0,1 1 0,1 1 0,-24 41 0,11-8 0,1 2 0,4 1 0,2 1 0,2 1 0,4 2 0,-20 119 0,36-169 0,-1-2 0,2 0 0,-1 0 0,2 0 0,-1 1 0,3 20 0,-1-30 0,0 0 0,-1 0 0,1-1 0,0 1 0,0 0 0,1 0 0,-1-1 0,1 1 0,-1-1 0,1 1 0,0-1 0,-1 0 0,1 0 0,1 0 0,-1 0 0,0 0 0,0 0 0,1 0 0,-1-1 0,1 1 0,-1-1 0,1 0 0,0 0 0,-1 0 0,1 0 0,0 0 0,0 0 0,0-1 0,5 1 0,7 0 0,1-1 0,-1-1 0,1 0 0,-1 0 0,0-2 0,27-7 0,96-41 0,-93 32 0,-2-3 0,0-1 0,-1-2 0,-1-2 0,-2-1 0,-1-3 0,-1-1 0,-2-1 0,-1-2 0,-1-2 0,-3-1 0,-1-1 0,-2-1 0,-1-2 0,-2 0 0,-3-2 0,-1 0 0,14-49 0,-20 45 0,-2 0 0,-2-1 0,-2 0 0,-3-1 0,0-79 0,-6 99 0,-2 0 0,0 1 0,-2-1 0,-2 1 0,0 1 0,-2-1 0,-1 1 0,-1 0 0,-1 1 0,-27-41 0,29 54 0,0 0 0,-2 0 0,1 1 0,-2 1 0,0 0 0,0 1 0,-1 0 0,-1 1 0,1 1 0,-1 0 0,-1 1 0,0 1 0,0 0 0,-1 1 0,1 1 0,-1 0 0,0 1 0,-20-1 0,15 3 0,0 1 0,0 1 0,0 0 0,1 2 0,-1 1 0,0 1 0,1 0 0,0 2 0,0 0 0,0 2 0,1 0 0,0 1 0,0 1 0,-19 14 0,9-2 0,2 1 0,1 2 0,0 1 0,2 1 0,1 0 0,1 2 0,2 1 0,1 1 0,1 1 0,2 0 0,-18 47 0,10-13 0,2 2 0,4 1 0,3 0 0,-15 138 0,25-145 0,2-1 0,3 1 0,13 114 0,-11-170 0,0 0 0,0 0 0,1 0 0,-1 0 0,1 0 0,0 0 0,1-1 0,0 1 0,0-1 0,0 1 0,0-1 0,1 0 0,0-1 0,0 1 0,0-1 0,1 1 0,5 3 0,-3-4 0,-1-1 0,1 0 0,0 0 0,0-1 0,1 0 0,-1 0 0,0-1 0,1 0 0,-1 0 0,0 0 0,1-1 0,-1 0 0,1-1 0,9-1 0,14-4 0,0 0 0,0-2 0,-1-2 0,0 0 0,-1-2 0,37-21 0,-15 4 0,-2-2 0,74-60 0,-91 62 0,0-1 0,-2-2 0,-1 0 0,-2-2 0,-1-1 0,-2-1 0,-1-2 0,-2 0 0,-2-1 0,-1-1 0,-3 0 0,-1-1 0,-1-1 0,-3-1 0,-1 1 0,-3-1 0,-1-1 0,-2 1 0,-5-73 0,-2 60 0,-21-101 0,18 129 0,-1-1 0,-1 1 0,-2 1 0,0 0 0,-19-30 0,25 48 0,-1 1 0,0 0 0,0 0 0,0 0 0,-1 1 0,0 0 0,-1 0 0,1 1 0,-1 0 0,-1 1 0,1-1 0,-1 1 0,0 1 0,0 0 0,-11-4 0,8 5 0,1 1 0,-1 0 0,0 1 0,0 0 0,0 0 0,0 2 0,0-1 0,0 2 0,0-1 0,0 2 0,1-1 0,-13 6 0,-1 2 0,0 0 0,0 3 0,1 0 0,1 1 0,0 1 0,1 1 0,0 1 0,1 1 0,2 1 0,0 1 0,0 1 0,2 0 0,-21 35 0,19-27 0,2 1 0,2 1 0,1 0 0,1 1 0,1 1 0,2-1 0,2 2 0,1-1 0,1 1 0,-1 49 0,6-59 0,2 0 0,1 0 0,1 0 0,1 0 0,1-1 0,1 1 0,14 36 0,-18-56 0,0 0 0,0-1 0,0 1 0,0-1 0,0 0 0,0 0 0,1 0 0,0 0 0,0 0 0,-1 0 0,2-1 0,-1 0 0,0 1 0,0-1 0,1 0 0,-1 0 0,1-1 0,3 2 0,0-1 0,0-1 0,0 0 0,0 0 0,0 0 0,-1-1 0,1 0 0,0 0 0,0-1 0,11-2 0,5-3 0,0-2 0,-1 0 0,1-1 0,-2-1 0,23-14 0,-18 8 0,0-1 0,-1-2 0,0 0 0,-2-2 0,-1-1 0,0 0 0,-2-2 0,0 0 0,-2-1 0,-1-1 0,22-45 0,-28 48 0,-1-1 0,-1 0 0,-1-1 0,-1 0 0,-1 0 0,-2-1 0,0 1 0,-2-1 0,-1 0 0,-1 0 0,-1 1 0,-1-1 0,-1 0 0,-9-32 0,8 43 0,0 1 0,-2 0 0,0-1 0,0 2 0,-1-1 0,-1 1 0,0 0 0,-1 0 0,-11-11 0,14 17 0,0 1 0,-1 0 0,-1 0 0,1 0 0,-1 1 0,0 0 0,0 0 0,0 1 0,0 0 0,-1 1 0,0 0 0,0 0 0,0 1 0,0 0 0,0 0 0,-10 1 0,1 1 0,0 0 0,0 2 0,0 0 0,0 2 0,0 0 0,1 0 0,0 2 0,0 0 0,0 1 0,-21 12 0,8-2 0,2 1 0,0 2 0,1 1 0,-41 39 0,39-28 0,1 0 0,1 2 0,2 2 0,1 0 0,2 1 0,2 1 0,1 1 0,2 1 0,-13 48 0,14-33 0,3 1 0,3 0 0,2 1 0,2 0 0,3 0 0,6 82 0,-3-132 0,0 1 0,1-1 0,0 1 0,1 0 0,-1-1 0,1 0 0,1 1 0,0-1 0,0 0 0,6 11 0,-7-16 0,0 0 0,-1 0 0,1 0 0,0-1 0,0 1 0,0-1 0,0 1 0,0-1 0,1 0 0,-1 1 0,0-1 0,1 0 0,-1-1 0,4 2 0,-2-1 0,1-1 0,0 1 0,-1-1 0,1 0 0,0-1 0,0 1 0,-1-1 0,1 0 0,8-3 0,13-5 0,-1-2 0,0 0 0,0-2 0,-2-1 0,37-27 0,-21 11 0,-1-3 0,48-52 0,-53 46 0,-2-1 0,-1-2 0,-3-1 0,-1-1 0,-2-1 0,18-49 0,-25 51 0,-3 0 0,-1-2 0,-2 1 0,-2-2 0,-2 1 0,1-87 0,-8 117 0,0 0 0,-2 0 0,0 0 0,0 0 0,-2 0 0,1 1 0,-2 0 0,0-1 0,-13-22 0,13 28 0,0 1 0,-1 0 0,0 1 0,-1-1 0,0 1 0,0 0 0,0 1 0,-1 0 0,0 0 0,0 0 0,0 1 0,-1 1 0,0-1 0,0 1 0,-14-4 0,8 5 0,1-1 0,-1 2 0,0 0 0,0 1 0,0 1 0,0 0 0,0 1 0,0 0 0,0 1 0,0 1 0,1 1 0,-1 0 0,1 0 0,0 2 0,0 0 0,-21 12 0,8-1 0,0 0 0,1 2 0,1 0 0,1 2 0,1 1 0,-37 46 0,39-41 0,2 1 0,1 1 0,2 1 0,0 1 0,2 0 0,2 0 0,1 1 0,-9 42 0,12-36 0,2-1 0,1 2 0,2-1 0,2 0 0,1 1 0,2-1 0,8 40 0,-7-59 0,1 0 0,1-1 0,1 1 0,1-1 0,9 19 0,-13-31 0,1 0 0,-1 0 0,1 0 0,0 0 0,1 0 0,0-1 0,0 0 0,0 0 0,0 0 0,1-1 0,-1 0 0,1 0 0,0 0 0,1-1 0,-1 0 0,1 0 0,7 2 0,4-2 0,0-1 0,-1-1 0,1 0 0,0-1 0,0-1 0,0-1 0,0-1 0,-1 0 0,1-1 0,16-7 0,3 0 0,-1-2 0,-1-2 0,0-1 0,-1-2 0,0-1 0,-2-2 0,0 0 0,53-51 0,-66 54 0,-1-1 0,-1-1 0,-1 0 0,0-1 0,-2-1 0,0-1 0,-2 0 0,-1 0 0,0-1 0,-2 0 0,-1-1 0,0 0 0,-2-1 0,3-27 0,-7 28 0,-1-1 0,0 1 0,-2-1 0,-1 1 0,-1-1 0,-2 1 0,0 0 0,-15-44 0,16 58 0,-1 1 0,0-1 0,0 1 0,-1 0 0,0 0 0,0 1 0,-1-1 0,-1 1 0,0 1 0,0 0 0,0 0 0,-1 0 0,0 1 0,-1 1 0,0-1 0,0 2 0,0-1 0,0 1 0,-1 1 0,0 0 0,-17-4 0,11 5 0,1 1 0,-1 1 0,0 1 0,1 0 0,-1 1 0,0 0 0,1 2 0,-1 0 0,1 1 0,0 0 0,0 2 0,1 0 0,-1 0 0,1 2 0,1 0 0,-1 0 0,1 1 0,-14 13 0,3-1 0,0 1 0,2 1 0,1 2 0,1 0 0,1 1 0,1 1 0,2 0 0,-20 43 0,15-22 0,3 1 0,2 2 0,3-1 0,1 2 0,-9 83 0,15-59 0,4-1 0,3 1 0,12 96 0,-12-167 0,1 13 0,2-1 0,0 1 0,0 0 0,2-1 0,0 1 0,8 16 0,-12-32 0,0 1 0,0-1 0,0 0 0,0 0 0,1 0 0,-1 0 0,1 0 0,-1 0 0,1-1 0,0 1 0,0-1 0,0 1 0,0-1 0,0 1 0,0-1 0,0 0 0,0 0 0,0 0 0,1 0 0,-1 0 0,0-1 0,1 1 0,-1-1 0,1 0 0,-1 1 0,0-1 0,1 0 0,-1 0 0,1 0 0,-1-1 0,0 1 0,5-2 0,1-1 0,-1 0 0,1 0 0,-1-1 0,0 0 0,0-1 0,0 1 0,-1-1 0,11-11 0,1-3 0,0-2 0,-2 0 0,0 0 0,-2-2 0,0 1 0,-1-2 0,-2 0 0,14-40 0,-11 20 0,-2 0 0,-2 0 0,-2-2 0,3-54 0,-8 57 0,-4-52 0,0 82 0,-1 0 0,0-1 0,0 2 0,-1-1 0,-1 0 0,0 1 0,-1-1 0,-9-15 0,12 25 0,0 0 0,0 0 0,0 0 0,-1 0 0,1 0 0,-1 1 0,0-1 0,1 1 0,-1 0 0,0 0 0,0 0 0,-1 0 0,1 1 0,0-1 0,0 1 0,-1 0 0,1 0 0,-1 0 0,1 0 0,-1 1 0,0-1 0,1 1 0,-1 0 0,1 0 0,-1 0 0,0 0 0,1 1 0,-1 0 0,-5 1 0,-7 3 0,0 1 0,0 0 0,1 1 0,-1 1 0,-13 10 0,-6 4 0,2 2 0,0 1 0,2 1 0,1 2 0,1 1 0,-45 58 0,53-58 0,2 0 0,1 1 0,1 0 0,2 2 0,1 0 0,1 0 0,2 2 0,-10 46 0,19-68 0,0 0 0,1 0 0,0 0 0,1 16 0,0-25 0,0 0 0,0-1 0,1 1 0,-1-1 0,1 1 0,0-1 0,-1 1 0,1-1 0,0 0 0,0 1 0,1-1 0,-1 0 0,0 0 0,1 0 0,-1 0 0,1 0 0,0 0 0,0 0 0,0 0 0,0-1 0,0 1 0,0-1 0,0 1 0,0-1 0,1 0 0,-1 0 0,3 1 0,0-1 0,0 0 0,0 0 0,0-1 0,0 0 0,1 0 0,-1 0 0,0 0 0,0-1 0,0 0 0,0 0 0,0 0 0,0-1 0,8-4 0,8-3 0,36-26 0,-45 28 0,39-28 0,-1-2 0,-2-1 0,-1-3 0,-2-2 0,-2-2 0,-3-2 0,-1-1 0,-2-3 0,34-62 0,-51 75 0,-1-1 0,-2-1 0,-2 0 0,-2-2 0,16-82 0,-24 91 0,-2-1 0,-1 0 0,-2 0 0,-1 0 0,-2 1 0,-1-1 0,-2 1 0,-12-42 0,9 43 0,-3 0 0,0 1 0,-23-40 0,29 60 0,-1 0 0,1 1 0,-2 0 0,0 1 0,0-1 0,0 1 0,-1 1 0,-1 0 0,1 0 0,-1 1 0,-1 0 0,-12-7 0,17 12 0,0 0 0,0 0 0,1 1 0,-1 0 0,0 0 0,0 0 0,0 1 0,0 0 0,0 0 0,0 1 0,0-1 0,0 1 0,0 0 0,0 1 0,1 0 0,-1 0 0,1 0 0,-1 0 0,1 1 0,-1 0 0,1 0 0,0 0 0,-6 6 0,-8 7 0,1 1 0,0 1 0,1 0 0,-19 29 0,7-7 0,2 3 0,2 0 0,3 1 0,1 1 0,2 1 0,2 1 0,-13 58 0,12-23 0,3 1 0,4 0 0,0 125 0,10-178 0,2-1 0,1 1 0,1-1 0,1 0 0,10 33 0,-13-55 0,2 0 0,-1-1 0,1 1 0,0 0 0,0-1 0,1 1 0,0-1 0,0 0 0,1-1 0,-1 1 0,1-1 0,1 1 0,-1-2 0,1 1 0,-1 0 0,1-1 0,1 0 0,-1-1 0,0 1 0,1-1 0,0-1 0,0 1 0,0-1 0,0 0 0,0 0 0,10 0 0,7-1 0,-1-1 0,1-1 0,-1-1 0,0-1 0,0-1 0,0-1 0,0-1 0,-1-1 0,42-19 0,-22 6 0,-2-2 0,-1-2 0,-1-1 0,43-37 0,-41 27 0,-2-2 0,-2-1 0,-1-2 0,-2-1 0,-1-2 0,-3-1 0,29-59 0,-42 71 0,-1-1 0,-2-1 0,-1 1 0,-2-2 0,-1 0 0,-2 0 0,-1 0 0,-2-1 0,-1 0 0,-2 1 0,-6-57 0,3 72 0,-2 0 0,0 1 0,-1 0 0,-1 0 0,-1 0 0,0 1 0,-17-29 0,18 38 0,0 0 0,0 1 0,-1-1 0,-1 1 0,1 1 0,-1-1 0,0 1 0,-1 1 0,0-1 0,0 1 0,0 1 0,-1 0 0,1 0 0,-1 1 0,-17-5 0,8 5 0,1 1 0,-1 0 0,0 1 0,0 1 0,0 1 0,0 1 0,0 0 0,-34 8 0,4 3 0,1 2 0,-51 23 0,59-22 0,2 2 0,0 2 0,1 2 0,0 1 0,2 1 0,1 2 0,1 2 0,1 1 0,2 1 0,-34 42 0,34-31 0,2 1 0,2 1 0,2 2 0,2 0 0,-29 84 0,38-89 0,3 0 0,1 1 0,1 1 0,3-1 0,1 1 0,2 0 0,4 57 0,0-79 0,0 0 0,1-1 0,1 1 0,10 27 0,-12-40 0,1 0 0,-1 0 0,1-1 0,0 1 0,1-1 0,0 0 0,0 0 0,0 0 0,0 0 0,1-1 0,-1 0 0,1 0 0,0 0 0,0-1 0,1 1 0,-1-1 0,8 3 0,-3-3 0,0 0 0,0 0 0,0-1 0,0-1 0,0 1 0,0-2 0,1 1 0,-1-1 0,12-2 0,2-2 0,1-1 0,46-15 0,-6-5 0,-1-3 0,-1-3 0,-2-2 0,-1-3 0,-2-3 0,84-71 0,-113 83 0,0-1 0,-2-1 0,-2-1 0,0-2 0,-2 0 0,-1-2 0,-2 0 0,-2-1 0,-1-1 0,-1-1 0,10-39 0,-19 52 0,-2-1 0,-1 0 0,0 0 0,-2 0 0,-1-1 0,-1 1 0,-7-47 0,4 51 0,-2 0 0,-1 1 0,0-1 0,-2 2 0,0-1 0,-1 1 0,-1 0 0,-1 1 0,-1 0 0,-16-20 0,18 27 0,0 0 0,0 1 0,-1 0 0,-1 0 0,1 1 0,-1 1 0,-1 0 0,-15-7 0,21 12 0,-1-1 0,1 2 0,-1-1 0,0 1 0,0 0 0,0 1 0,0-1 0,-1 2 0,1-1 0,0 1 0,0 0 0,0 1 0,-1 0 0,1 0 0,-16 6 0,7 0 0,-1 0 0,2 2 0,-1 0 0,1 1 0,-24 19 0,31-21 0,0-1 0,0 1 0,1 1 0,1-1 0,-1 1 0,1 1 0,1-1 0,0 1 0,0 0 0,-5 16 0,8-8-1365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02.842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1 24575,'3'3'0,"2"13"0,6 6 0,6 8 0,0 1 0,7 3 0,7 0 0,-1 0 0,-7-1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16.543"/>
    </inkml:context>
    <inkml:brush xml:id="br0">
      <inkml:brushProperty name="width" value="0.35" units="cm"/>
      <inkml:brushProperty name="height" value="0.35" units="cm"/>
    </inkml:brush>
  </inkml:definitions>
  <inkml:trace contextRef="#ctx0" brushRef="#br0">0 0 24575,'1356'213'0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24.351"/>
    </inkml:context>
    <inkml:brush xml:id="br0">
      <inkml:brushProperty name="width" value="0.35" units="cm"/>
      <inkml:brushProperty name="height" value="0.35" units="cm"/>
    </inkml:brush>
  </inkml:definitions>
  <inkml:trace contextRef="#ctx0" brushRef="#br0">1 8 23778,'1461'0'0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40.072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0 1 24502,'0'655'0,"2164"-655"0,-2164-655 0,-2164 655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44.841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0 21389,'1652'0'0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upgrade?ref=51qasz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upgrade?ref=51qasz" TargetMode="External"/><Relationship Id="rId18" Type="http://schemas.openxmlformats.org/officeDocument/2006/relationships/hyperlink" Target="https://app.tikr.com/account/upgrade?ref=51qasz" TargetMode="External"/><Relationship Id="rId26" Type="http://schemas.openxmlformats.org/officeDocument/2006/relationships/hyperlink" Target="https://app.tikr.com/account/upgrade?ref=51qasz" TargetMode="External"/><Relationship Id="rId3" Type="http://schemas.openxmlformats.org/officeDocument/2006/relationships/hyperlink" Target="https://app.tikr.com/account/upgrade?ref=51qasz" TargetMode="External"/><Relationship Id="rId21" Type="http://schemas.openxmlformats.org/officeDocument/2006/relationships/hyperlink" Target="https://app.tikr.com/account/upgrade?ref=51qasz" TargetMode="External"/><Relationship Id="rId34" Type="http://schemas.openxmlformats.org/officeDocument/2006/relationships/hyperlink" Target="https://app.tikr.com/account/upgrade?ref=51qasz" TargetMode="External"/><Relationship Id="rId7" Type="http://schemas.openxmlformats.org/officeDocument/2006/relationships/hyperlink" Target="https://app.tikr.com/account/upgrade?ref=51qasz" TargetMode="External"/><Relationship Id="rId12" Type="http://schemas.openxmlformats.org/officeDocument/2006/relationships/hyperlink" Target="https://app.tikr.com/account/upgrade?ref=51qasz" TargetMode="External"/><Relationship Id="rId17" Type="http://schemas.openxmlformats.org/officeDocument/2006/relationships/hyperlink" Target="https://app.tikr.com/account/upgrade?ref=51qasz" TargetMode="External"/><Relationship Id="rId25" Type="http://schemas.openxmlformats.org/officeDocument/2006/relationships/hyperlink" Target="https://app.tikr.com/account/upgrade?ref=51qasz" TargetMode="External"/><Relationship Id="rId33" Type="http://schemas.openxmlformats.org/officeDocument/2006/relationships/hyperlink" Target="https://app.tikr.com/account/upgrade?ref=51qasz" TargetMode="External"/><Relationship Id="rId2" Type="http://schemas.openxmlformats.org/officeDocument/2006/relationships/hyperlink" Target="https://app.tikr.com/account/upgrade?ref=51qasz" TargetMode="External"/><Relationship Id="rId16" Type="http://schemas.openxmlformats.org/officeDocument/2006/relationships/hyperlink" Target="https://app.tikr.com/account/upgrade?ref=51qasz" TargetMode="External"/><Relationship Id="rId20" Type="http://schemas.openxmlformats.org/officeDocument/2006/relationships/hyperlink" Target="https://app.tikr.com/account/upgrade?ref=51qasz" TargetMode="External"/><Relationship Id="rId29" Type="http://schemas.openxmlformats.org/officeDocument/2006/relationships/hyperlink" Target="https://app.tikr.com/account/upgrade?ref=51qasz" TargetMode="External"/><Relationship Id="rId1" Type="http://schemas.openxmlformats.org/officeDocument/2006/relationships/hyperlink" Target="https://app.tikr.com/account/upgrade?ref=51qasz" TargetMode="External"/><Relationship Id="rId6" Type="http://schemas.openxmlformats.org/officeDocument/2006/relationships/hyperlink" Target="https://app.tikr.com/account/upgrade?ref=51qasz" TargetMode="External"/><Relationship Id="rId11" Type="http://schemas.openxmlformats.org/officeDocument/2006/relationships/hyperlink" Target="https://app.tikr.com/account/upgrade?ref=51qasz" TargetMode="External"/><Relationship Id="rId24" Type="http://schemas.openxmlformats.org/officeDocument/2006/relationships/hyperlink" Target="https://app.tikr.com/account/upgrade?ref=51qasz" TargetMode="External"/><Relationship Id="rId32" Type="http://schemas.openxmlformats.org/officeDocument/2006/relationships/hyperlink" Target="https://app.tikr.com/account/upgrade?ref=51qasz" TargetMode="External"/><Relationship Id="rId5" Type="http://schemas.openxmlformats.org/officeDocument/2006/relationships/hyperlink" Target="https://app.tikr.com/account/upgrade?ref=51qasz" TargetMode="External"/><Relationship Id="rId15" Type="http://schemas.openxmlformats.org/officeDocument/2006/relationships/hyperlink" Target="https://app.tikr.com/account/upgrade?ref=51qasz" TargetMode="External"/><Relationship Id="rId23" Type="http://schemas.openxmlformats.org/officeDocument/2006/relationships/hyperlink" Target="https://app.tikr.com/account/upgrade?ref=51qasz" TargetMode="External"/><Relationship Id="rId28" Type="http://schemas.openxmlformats.org/officeDocument/2006/relationships/hyperlink" Target="https://app.tikr.com/account/upgrade?ref=51qasz" TargetMode="External"/><Relationship Id="rId10" Type="http://schemas.openxmlformats.org/officeDocument/2006/relationships/hyperlink" Target="https://app.tikr.com/account/upgrade?ref=51qasz" TargetMode="External"/><Relationship Id="rId19" Type="http://schemas.openxmlformats.org/officeDocument/2006/relationships/hyperlink" Target="https://app.tikr.com/account/upgrade?ref=51qasz" TargetMode="External"/><Relationship Id="rId31" Type="http://schemas.openxmlformats.org/officeDocument/2006/relationships/hyperlink" Target="https://app.tikr.com/account/upgrade?ref=51qasz" TargetMode="External"/><Relationship Id="rId4" Type="http://schemas.openxmlformats.org/officeDocument/2006/relationships/hyperlink" Target="https://app.tikr.com/account/upgrade?ref=51qasz" TargetMode="External"/><Relationship Id="rId9" Type="http://schemas.openxmlformats.org/officeDocument/2006/relationships/hyperlink" Target="https://app.tikr.com/account/upgrade?ref=51qasz" TargetMode="External"/><Relationship Id="rId14" Type="http://schemas.openxmlformats.org/officeDocument/2006/relationships/hyperlink" Target="https://app.tikr.com/account/upgrade?ref=51qasz" TargetMode="External"/><Relationship Id="rId22" Type="http://schemas.openxmlformats.org/officeDocument/2006/relationships/hyperlink" Target="https://app.tikr.com/account/upgrade?ref=51qasz" TargetMode="External"/><Relationship Id="rId27" Type="http://schemas.openxmlformats.org/officeDocument/2006/relationships/hyperlink" Target="https://app.tikr.com/account/upgrade?ref=51qasz" TargetMode="External"/><Relationship Id="rId30" Type="http://schemas.openxmlformats.org/officeDocument/2006/relationships/hyperlink" Target="https://app.tikr.com/account/upgrade?ref=51qasz" TargetMode="External"/><Relationship Id="rId8" Type="http://schemas.openxmlformats.org/officeDocument/2006/relationships/hyperlink" Target="https://app.tikr.com/account/upgrade?ref=51qa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36-DB3C-4B16-8CCF-9E1C33115837}">
  <dimension ref="A1"/>
  <sheetViews>
    <sheetView showGridLines="0" topLeftCell="A1048553" workbookViewId="0">
      <selection activeCell="A1048576" sqref="A104857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D8-0D43-4F79-8412-CCBDD8FFF900}">
  <dimension ref="A1:AB68"/>
  <sheetViews>
    <sheetView showGridLines="0" tabSelected="1" topLeftCell="A47" workbookViewId="0">
      <selection activeCell="L48" sqref="L48"/>
    </sheetView>
  </sheetViews>
  <sheetFormatPr defaultColWidth="10.77734375" defaultRowHeight="14.4" x14ac:dyDescent="0.3"/>
  <cols>
    <col min="1" max="1" width="3.77734375" customWidth="1"/>
    <col min="2" max="2" width="24.88671875" bestFit="1" customWidth="1"/>
  </cols>
  <sheetData>
    <row r="1" spans="1:22" x14ac:dyDescent="0.3">
      <c r="L1" s="233" t="str">
        <f ca="1">"Active case : "&amp;OFFSET(DCF!R3,DCF!D13,0)</f>
        <v>Active case : Base</v>
      </c>
    </row>
    <row r="2" spans="1:22" ht="23.4" x14ac:dyDescent="0.45">
      <c r="B2" s="234" t="s">
        <v>241</v>
      </c>
    </row>
    <row r="3" spans="1:22" x14ac:dyDescent="0.3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</row>
    <row r="4" spans="1:22" x14ac:dyDescent="0.3">
      <c r="B4" s="354" t="str">
        <f>DCF!B4</f>
        <v>Ticker</v>
      </c>
      <c r="C4" s="19" t="str">
        <f>DCF!C4</f>
        <v>GOOG</v>
      </c>
      <c r="E4" t="str">
        <f>DCF!E4</f>
        <v>Implied Share Price</v>
      </c>
      <c r="H4" s="316">
        <f ca="1">DCF!H4</f>
        <v>214.95364818966652</v>
      </c>
      <c r="J4" t="str">
        <f>DCF!J4</f>
        <v>Low-end</v>
      </c>
      <c r="K4" s="360">
        <f>DCF!K4</f>
        <v>168.74611280162785</v>
      </c>
      <c r="L4" s="2"/>
      <c r="M4" t="str">
        <f>DCF!M4</f>
        <v>Revenue (1), EBIT (1), WACC (1), TGR(1)</v>
      </c>
      <c r="Q4" s="250">
        <f>DCF!Q4</f>
        <v>1</v>
      </c>
      <c r="R4" t="str">
        <f>DCF!R4</f>
        <v>Conservative</v>
      </c>
    </row>
    <row r="5" spans="1:22" x14ac:dyDescent="0.3">
      <c r="B5" s="354" t="str">
        <f>DCF!B5</f>
        <v>Date</v>
      </c>
      <c r="C5" s="238">
        <v>45899</v>
      </c>
      <c r="E5" t="str">
        <f>DCF!E5</f>
        <v>Current Price</v>
      </c>
      <c r="H5">
        <f>DCF!H5</f>
        <v>212.91</v>
      </c>
      <c r="J5" t="str">
        <f>DCF!J5</f>
        <v>High-end</v>
      </c>
      <c r="K5" s="360">
        <f>DCF!K5</f>
        <v>276.4745185082495</v>
      </c>
      <c r="L5" s="2"/>
      <c r="M5" t="str">
        <f>DCF!M5</f>
        <v>Revenue (3), EBIT(3),  WACC(3), TGR(3)</v>
      </c>
      <c r="Q5" s="250">
        <f>DCF!Q5</f>
        <v>2</v>
      </c>
      <c r="R5" t="str">
        <f>DCF!R5</f>
        <v>Base</v>
      </c>
    </row>
    <row r="6" spans="1:22" x14ac:dyDescent="0.3">
      <c r="B6" s="354" t="str">
        <f>DCF!B6</f>
        <v>Year end</v>
      </c>
      <c r="C6" s="238">
        <v>46022</v>
      </c>
      <c r="E6" t="str">
        <f>DCF!E6</f>
        <v>Implied Upside/Downside</v>
      </c>
      <c r="H6" s="272">
        <f ca="1">DCF!H6</f>
        <v>9.5986482065968382E-3</v>
      </c>
      <c r="K6" s="360"/>
      <c r="Q6" s="250">
        <f>DCF!Q6</f>
        <v>3</v>
      </c>
      <c r="R6" t="str">
        <f>DCF!R6</f>
        <v>Optimistic</v>
      </c>
    </row>
    <row r="10" spans="1:22" x14ac:dyDescent="0.3">
      <c r="A10" s="233" t="s">
        <v>115</v>
      </c>
      <c r="B10" s="255" t="s">
        <v>19</v>
      </c>
      <c r="C10" s="256"/>
      <c r="D10" s="257">
        <v>2015</v>
      </c>
      <c r="E10" s="257">
        <v>2016</v>
      </c>
      <c r="F10" s="257">
        <v>2017</v>
      </c>
      <c r="G10" s="257">
        <v>2018</v>
      </c>
      <c r="H10" s="257">
        <v>2019</v>
      </c>
      <c r="I10" s="257">
        <v>2020</v>
      </c>
      <c r="J10" s="257">
        <v>2021</v>
      </c>
      <c r="K10" s="257">
        <v>2022</v>
      </c>
      <c r="L10" s="257">
        <v>2023</v>
      </c>
      <c r="M10" s="258" t="s">
        <v>20</v>
      </c>
      <c r="N10" s="258">
        <v>2025</v>
      </c>
      <c r="O10" s="258">
        <v>2026</v>
      </c>
      <c r="P10" s="258">
        <v>2027</v>
      </c>
      <c r="Q10" s="258">
        <v>2028</v>
      </c>
      <c r="R10" s="259">
        <v>2029</v>
      </c>
    </row>
    <row r="11" spans="1:22" x14ac:dyDescent="0.3">
      <c r="B11" s="52" t="s">
        <v>11</v>
      </c>
      <c r="C11" s="235"/>
      <c r="D11" s="260">
        <f>DCF!F47</f>
        <v>74989</v>
      </c>
      <c r="E11" s="260">
        <f>DCF!G47</f>
        <v>90272</v>
      </c>
      <c r="F11" s="260">
        <f>DCF!H47</f>
        <v>110855</v>
      </c>
      <c r="G11" s="260">
        <f>DCF!I47</f>
        <v>136819</v>
      </c>
      <c r="H11" s="260">
        <f>DCF!J47</f>
        <v>161857</v>
      </c>
      <c r="I11" s="260">
        <f>DCF!K47</f>
        <v>182527</v>
      </c>
      <c r="J11" s="260">
        <f>DCF!L47</f>
        <v>257637</v>
      </c>
      <c r="K11" s="260">
        <f>DCF!M47</f>
        <v>282836</v>
      </c>
      <c r="L11" s="260">
        <f>DCF!N47</f>
        <v>307394</v>
      </c>
      <c r="M11" s="260">
        <f>DCF!O47</f>
        <v>350018</v>
      </c>
      <c r="N11" s="260">
        <f ca="1">DCF!P47</f>
        <v>394235.78</v>
      </c>
      <c r="O11" s="260">
        <f ca="1">DCF!Q47</f>
        <v>439217.15</v>
      </c>
      <c r="P11" s="260">
        <f ca="1">DCF!R47</f>
        <v>494718.10560664587</v>
      </c>
      <c r="Q11" s="260">
        <f ca="1">DCF!S47</f>
        <v>555204.15742699755</v>
      </c>
      <c r="R11" s="261">
        <f ca="1">DCF!T47</f>
        <v>622332.90525321569</v>
      </c>
    </row>
    <row r="12" spans="1:22" x14ac:dyDescent="0.3">
      <c r="B12" s="51" t="s">
        <v>21</v>
      </c>
      <c r="C12" s="364"/>
      <c r="D12" s="262" t="str">
        <f>DCF!F48</f>
        <v>--</v>
      </c>
      <c r="E12" s="262">
        <f>DCF!G48</f>
        <v>0.20380322447292265</v>
      </c>
      <c r="F12" s="262">
        <f>DCF!H48</f>
        <v>0.22801090038993266</v>
      </c>
      <c r="G12" s="262">
        <f>DCF!I48</f>
        <v>0.23421586757475987</v>
      </c>
      <c r="H12" s="262">
        <f>DCF!J48</f>
        <v>0.18300089899794614</v>
      </c>
      <c r="I12" s="262">
        <f>DCF!K48</f>
        <v>0.12770532012826141</v>
      </c>
      <c r="J12" s="262">
        <f>DCF!L48</f>
        <v>0.41150076427049154</v>
      </c>
      <c r="K12" s="262">
        <f>DCF!M48</f>
        <v>9.7808156437157789E-2</v>
      </c>
      <c r="L12" s="262">
        <f>DCF!N48</f>
        <v>8.6827702272695095E-2</v>
      </c>
      <c r="M12" s="262">
        <f>DCF!O48</f>
        <v>0.13866243322901561</v>
      </c>
      <c r="N12" s="262">
        <f ca="1">DCF!P48</f>
        <v>0.12633001731339544</v>
      </c>
      <c r="O12" s="262">
        <f ca="1">DCF!Q48</f>
        <v>0.11409763466928347</v>
      </c>
      <c r="P12" s="262">
        <f ca="1">DCF!R48</f>
        <v>0.12636336173723151</v>
      </c>
      <c r="Q12" s="262">
        <f ca="1">DCF!S48</f>
        <v>0.12226367123997013</v>
      </c>
      <c r="R12" s="263">
        <f ca="1">DCF!T48</f>
        <v>0.12090822254882837</v>
      </c>
      <c r="U12" s="277">
        <f ca="1">(R11/N11)^(1/4)-1</f>
        <v>0.12089951636606933</v>
      </c>
    </row>
    <row r="13" spans="1:22" x14ac:dyDescent="0.3">
      <c r="B13" s="236"/>
      <c r="C13" s="364"/>
      <c r="D13" s="453"/>
      <c r="E13" s="453"/>
      <c r="F13" s="453"/>
      <c r="G13" s="453"/>
      <c r="H13" s="453"/>
      <c r="I13" s="453"/>
      <c r="J13" s="453"/>
      <c r="K13" s="453"/>
      <c r="L13" s="453"/>
      <c r="M13" s="453"/>
      <c r="N13" s="453"/>
      <c r="O13" s="453"/>
      <c r="P13" s="453"/>
      <c r="Q13" s="453"/>
      <c r="R13" s="264"/>
    </row>
    <row r="14" spans="1:22" x14ac:dyDescent="0.3">
      <c r="B14" s="51" t="s">
        <v>14</v>
      </c>
      <c r="C14" s="364"/>
      <c r="D14" s="265">
        <f>DCF!F53</f>
        <v>19360</v>
      </c>
      <c r="E14" s="265">
        <f>DCF!G53</f>
        <v>23716</v>
      </c>
      <c r="F14" s="265">
        <f>DCF!H53</f>
        <v>26178</v>
      </c>
      <c r="G14" s="265">
        <f>DCF!I53</f>
        <v>27524</v>
      </c>
      <c r="H14" s="265">
        <f>DCF!J53</f>
        <v>34231</v>
      </c>
      <c r="I14" s="265">
        <f>DCF!K53</f>
        <v>41224</v>
      </c>
      <c r="J14" s="265">
        <f>DCF!L53</f>
        <v>78714</v>
      </c>
      <c r="K14" s="265">
        <f>DCF!M53</f>
        <v>74842</v>
      </c>
      <c r="L14" s="265">
        <f>DCF!N53</f>
        <v>84293</v>
      </c>
      <c r="M14" s="265">
        <f>DCF!O53</f>
        <v>112390</v>
      </c>
      <c r="N14" s="265">
        <f ca="1">DCF!P53</f>
        <v>130441.53999999998</v>
      </c>
      <c r="O14" s="265">
        <f ca="1">DCF!Q53</f>
        <v>147085.24</v>
      </c>
      <c r="P14" s="265">
        <f ca="1">DCF!R53</f>
        <v>162737.54150380593</v>
      </c>
      <c r="Q14" s="265">
        <f ca="1">DCF!S53</f>
        <v>184087.63502931772</v>
      </c>
      <c r="R14" s="266">
        <f ca="1">DCF!T53</f>
        <v>206489.63559694329</v>
      </c>
    </row>
    <row r="15" spans="1:22" x14ac:dyDescent="0.3">
      <c r="B15" s="236" t="s">
        <v>22</v>
      </c>
      <c r="C15" s="364"/>
      <c r="D15" s="267">
        <f>DCF!F54</f>
        <v>0.25817119844243824</v>
      </c>
      <c r="E15" s="267">
        <f>DCF!G54</f>
        <v>0.26271712158808935</v>
      </c>
      <c r="F15" s="267">
        <f>DCF!H54</f>
        <v>0.23614631726128726</v>
      </c>
      <c r="G15" s="267">
        <f>DCF!I54</f>
        <v>0.20117089000796673</v>
      </c>
      <c r="H15" s="267">
        <f>DCF!J54</f>
        <v>0.21148915400631421</v>
      </c>
      <c r="I15" s="267">
        <f>DCF!K54</f>
        <v>0.22585151785763202</v>
      </c>
      <c r="J15" s="267">
        <f>DCF!L54</f>
        <v>0.3055228868524319</v>
      </c>
      <c r="K15" s="267">
        <f>DCF!M54</f>
        <v>0.26461270842467011</v>
      </c>
      <c r="L15" s="267">
        <f>DCF!N54</f>
        <v>0.27421810445226646</v>
      </c>
      <c r="M15" s="267">
        <f>DCF!O54</f>
        <v>0.32109777211457696</v>
      </c>
      <c r="N15" s="267">
        <f ca="1">DCF!P54</f>
        <v>0.33087189600091593</v>
      </c>
      <c r="O15" s="267">
        <f ca="1">DCF!Q54</f>
        <v>0.33488045719526205</v>
      </c>
      <c r="P15" s="267">
        <f ca="1">DCF!R54</f>
        <v>0.32895004177025167</v>
      </c>
      <c r="Q15" s="267">
        <f ca="1">DCF!S54</f>
        <v>0.3315674649888099</v>
      </c>
      <c r="R15" s="268">
        <f ca="1">DCF!T54</f>
        <v>0.33179932131810785</v>
      </c>
    </row>
    <row r="16" spans="1:22" x14ac:dyDescent="0.3">
      <c r="B16" s="51"/>
      <c r="C16" s="364"/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453"/>
      <c r="Q16" s="453"/>
      <c r="R16" s="264"/>
    </row>
    <row r="17" spans="2:18" x14ac:dyDescent="0.3">
      <c r="B17" s="51" t="s">
        <v>23</v>
      </c>
      <c r="C17" s="364"/>
      <c r="D17" s="265">
        <f>DCF!F59</f>
        <v>3303</v>
      </c>
      <c r="E17" s="265">
        <f>DCF!G59</f>
        <v>4672</v>
      </c>
      <c r="F17" s="265">
        <f>DCF!H59</f>
        <v>14531</v>
      </c>
      <c r="G17" s="265">
        <f>DCF!I59</f>
        <v>4177</v>
      </c>
      <c r="H17" s="265">
        <f>DCF!J59</f>
        <v>5282</v>
      </c>
      <c r="I17" s="265">
        <f>DCF!K59</f>
        <v>7813</v>
      </c>
      <c r="J17" s="265">
        <f>DCF!L59</f>
        <v>14701</v>
      </c>
      <c r="K17" s="265">
        <f>DCF!M59</f>
        <v>11356</v>
      </c>
      <c r="L17" s="265">
        <f>DCF!N59</f>
        <v>11922</v>
      </c>
      <c r="M17" s="265">
        <f>DCF!O59</f>
        <v>19697</v>
      </c>
      <c r="N17" s="265">
        <f ca="1">DCF!P59</f>
        <v>22566.386419999995</v>
      </c>
      <c r="O17" s="265">
        <f ca="1">DCF!Q59</f>
        <v>23361.092937810336</v>
      </c>
      <c r="P17" s="265">
        <f ca="1">DCF!R59</f>
        <v>26917.983354323689</v>
      </c>
      <c r="Q17" s="265">
        <f ca="1">DCF!S59</f>
        <v>30511.558339519062</v>
      </c>
      <c r="R17" s="266">
        <f ca="1">DCF!T59</f>
        <v>33725.193996741356</v>
      </c>
    </row>
    <row r="18" spans="2:18" x14ac:dyDescent="0.3">
      <c r="B18" s="237" t="s">
        <v>24</v>
      </c>
      <c r="C18" s="100"/>
      <c r="D18" s="269">
        <f>DCF!F60</f>
        <v>0.16808304920869166</v>
      </c>
      <c r="E18" s="269">
        <f>DCF!G60</f>
        <v>0.19345755693581781</v>
      </c>
      <c r="F18" s="269">
        <f>DCF!H60</f>
        <v>0.53436546169970212</v>
      </c>
      <c r="G18" s="269">
        <f>DCF!I60</f>
        <v>0.1196402486179933</v>
      </c>
      <c r="H18" s="269">
        <f>DCF!J60</f>
        <v>0.13329968454258675</v>
      </c>
      <c r="I18" s="269">
        <f>DCF!K60</f>
        <v>0.16249324071378063</v>
      </c>
      <c r="J18" s="269">
        <f>DCF!L60</f>
        <v>0.16202305640663919</v>
      </c>
      <c r="K18" s="269">
        <f>DCF!M60</f>
        <v>0.1592081650964558</v>
      </c>
      <c r="L18" s="269">
        <f>DCF!N60</f>
        <v>0.13908559562280529</v>
      </c>
      <c r="M18" s="269">
        <f>DCF!O60</f>
        <v>0.16439510912657013</v>
      </c>
      <c r="N18" s="269">
        <f>DCF!P60</f>
        <v>0.17299999999999999</v>
      </c>
      <c r="O18" s="269">
        <f>DCF!Q60</f>
        <v>0.15882690158312512</v>
      </c>
      <c r="P18" s="269">
        <f>DCF!R60</f>
        <v>0.16540733690323176</v>
      </c>
      <c r="Q18" s="269">
        <f>DCF!S60</f>
        <v>0.16574474616211896</v>
      </c>
      <c r="R18" s="270">
        <f>DCF!T60</f>
        <v>0.16332632821615864</v>
      </c>
    </row>
    <row r="40" spans="1:27" x14ac:dyDescent="0.3">
      <c r="B40" s="3" t="str">
        <f ca="1">"Active case : "&amp;OFFSET(DCF!R3,DCF!D13,0)</f>
        <v>Active case : Base</v>
      </c>
    </row>
    <row r="41" spans="1:27" x14ac:dyDescent="0.3">
      <c r="A41" s="233" t="s">
        <v>115</v>
      </c>
      <c r="B41" s="387" t="s">
        <v>235</v>
      </c>
      <c r="C41" s="454"/>
      <c r="D41" s="455"/>
      <c r="E41" s="2"/>
      <c r="F41" s="2"/>
      <c r="G41" s="2"/>
    </row>
    <row r="42" spans="1:27" x14ac:dyDescent="0.3">
      <c r="B42" s="56" t="s">
        <v>236</v>
      </c>
      <c r="C42" s="251"/>
      <c r="D42" s="351">
        <f ca="1">DCF!T79</f>
        <v>3004590.2488712613</v>
      </c>
      <c r="E42" s="355"/>
      <c r="F42" s="2"/>
      <c r="G42" s="2"/>
    </row>
    <row r="43" spans="1:27" x14ac:dyDescent="0.3">
      <c r="B43" s="252" t="s">
        <v>237</v>
      </c>
      <c r="C43" s="355"/>
      <c r="D43" s="352">
        <f ca="1">DCF!T80</f>
        <v>2201185.8619612511</v>
      </c>
      <c r="E43" s="355"/>
      <c r="F43" s="2"/>
      <c r="G43" s="2"/>
    </row>
    <row r="44" spans="1:27" x14ac:dyDescent="0.3">
      <c r="B44" s="252" t="s">
        <v>238</v>
      </c>
      <c r="C44" s="355"/>
      <c r="D44" s="352">
        <f ca="1">DCF!T81</f>
        <v>2672510.264163848</v>
      </c>
      <c r="E44" s="355"/>
      <c r="F44" s="2"/>
      <c r="G44" s="2"/>
    </row>
    <row r="45" spans="1:27" x14ac:dyDescent="0.3">
      <c r="B45" s="252" t="s">
        <v>239</v>
      </c>
      <c r="C45" s="355"/>
      <c r="D45" s="352">
        <f ca="1">DCF!T84</f>
        <v>2669939.264163848</v>
      </c>
      <c r="E45" s="355"/>
      <c r="F45" s="2"/>
      <c r="G45" s="2"/>
    </row>
    <row r="46" spans="1:27" x14ac:dyDescent="0.3">
      <c r="B46" s="253" t="s">
        <v>240</v>
      </c>
      <c r="C46" s="254"/>
      <c r="D46" s="353">
        <f ca="1">H4</f>
        <v>214.95364818966652</v>
      </c>
      <c r="E46" s="355"/>
      <c r="F46" s="2"/>
      <c r="G46" s="2"/>
    </row>
    <row r="48" spans="1:27" x14ac:dyDescent="0.3">
      <c r="W48" s="328"/>
      <c r="X48" s="328"/>
      <c r="Y48" s="328"/>
      <c r="Z48" s="328"/>
      <c r="AA48" s="328"/>
    </row>
    <row r="49" spans="1:28" x14ac:dyDescent="0.3">
      <c r="A49" s="233" t="s">
        <v>115</v>
      </c>
      <c r="B49" s="255" t="s">
        <v>157</v>
      </c>
      <c r="C49" s="456">
        <v>2025</v>
      </c>
      <c r="D49" s="457">
        <v>2026</v>
      </c>
      <c r="F49" s="356"/>
      <c r="AA49" s="328"/>
    </row>
    <row r="50" spans="1:28" x14ac:dyDescent="0.3">
      <c r="B50" s="372" t="s">
        <v>187</v>
      </c>
      <c r="C50" s="366">
        <f>COMPS!AB11</f>
        <v>22.060076679361</v>
      </c>
      <c r="D50" s="367">
        <f>COMPS!AC11</f>
        <v>21.009940097675887</v>
      </c>
      <c r="F50" s="356"/>
      <c r="AA50" s="328"/>
    </row>
    <row r="51" spans="1:28" x14ac:dyDescent="0.3">
      <c r="B51" s="373" t="s">
        <v>361</v>
      </c>
      <c r="C51" s="368">
        <f>COMPS!X11</f>
        <v>6.5103336282144388</v>
      </c>
      <c r="D51" s="369">
        <f>COMPS!Y11</f>
        <v>5.8867622420094223</v>
      </c>
    </row>
    <row r="52" spans="1:28" x14ac:dyDescent="0.3">
      <c r="B52" s="374" t="s">
        <v>362</v>
      </c>
      <c r="C52" s="370">
        <f>COMPS!Z11</f>
        <v>14.621231528956416</v>
      </c>
      <c r="D52" s="371">
        <f>COMPS!AA11</f>
        <v>12.883987476586469</v>
      </c>
      <c r="X52" s="328"/>
      <c r="Y52" s="328"/>
      <c r="Z52" s="328"/>
      <c r="AA52" s="328"/>
      <c r="AB52" s="328"/>
    </row>
    <row r="53" spans="1:28" x14ac:dyDescent="0.3">
      <c r="AA53" s="328"/>
    </row>
    <row r="55" spans="1:28" x14ac:dyDescent="0.3">
      <c r="A55" s="233" t="s">
        <v>115</v>
      </c>
      <c r="B55" s="387" t="s">
        <v>364</v>
      </c>
      <c r="C55" s="257"/>
      <c r="D55" s="257">
        <v>2020</v>
      </c>
      <c r="E55" s="257">
        <v>2021</v>
      </c>
      <c r="F55" s="257">
        <v>2022</v>
      </c>
      <c r="G55" s="257">
        <v>2023</v>
      </c>
      <c r="H55" s="258" t="s">
        <v>20</v>
      </c>
      <c r="I55" s="258">
        <v>2025</v>
      </c>
      <c r="J55" s="258">
        <v>2026</v>
      </c>
      <c r="K55" s="258">
        <v>2027</v>
      </c>
      <c r="L55" s="258">
        <v>2028</v>
      </c>
      <c r="M55" s="259">
        <v>2029</v>
      </c>
    </row>
    <row r="56" spans="1:28" x14ac:dyDescent="0.3">
      <c r="B56" s="350" t="s">
        <v>11</v>
      </c>
      <c r="C56" s="364"/>
      <c r="D56" s="324">
        <v>182527</v>
      </c>
      <c r="E56" s="324">
        <v>257637</v>
      </c>
      <c r="F56" s="324">
        <v>282836</v>
      </c>
      <c r="G56" s="324">
        <v>307394</v>
      </c>
      <c r="H56" s="324">
        <v>350018</v>
      </c>
      <c r="I56" s="451">
        <v>394235.78</v>
      </c>
      <c r="J56" s="451">
        <v>439217.15</v>
      </c>
      <c r="K56" s="324">
        <v>494718.10560664587</v>
      </c>
      <c r="L56" s="324">
        <v>555204.15742699755</v>
      </c>
      <c r="M56" s="452">
        <v>622332.90525321569</v>
      </c>
    </row>
    <row r="57" spans="1:28" x14ac:dyDescent="0.3">
      <c r="B57" s="350" t="s">
        <v>76</v>
      </c>
      <c r="C57" s="364"/>
      <c r="D57" s="324">
        <f>'Income Statement'!C35</f>
        <v>54903</v>
      </c>
      <c r="E57" s="324">
        <f>'Income Statement'!D35</f>
        <v>88987</v>
      </c>
      <c r="F57" s="324">
        <f>'Income Statement'!E35</f>
        <v>88317</v>
      </c>
      <c r="G57" s="324">
        <f>'Income Statement'!F35</f>
        <v>96239</v>
      </c>
      <c r="H57" s="324">
        <f>'Income Statement'!G35</f>
        <v>129497</v>
      </c>
      <c r="I57" s="451">
        <v>172681.77</v>
      </c>
      <c r="J57" s="451">
        <v>195965.74</v>
      </c>
      <c r="K57" s="459">
        <f>K67*K56</f>
        <v>170000.57612601409</v>
      </c>
      <c r="L57" s="459">
        <f>L67*L56</f>
        <v>186860.1704225025</v>
      </c>
      <c r="M57" s="460">
        <f>M67*M56</f>
        <v>210801.96556657393</v>
      </c>
    </row>
    <row r="58" spans="1:28" x14ac:dyDescent="0.3">
      <c r="B58" s="350" t="s">
        <v>14</v>
      </c>
      <c r="C58" s="364"/>
      <c r="D58" s="324">
        <v>41224</v>
      </c>
      <c r="E58" s="324">
        <v>78714</v>
      </c>
      <c r="F58" s="324">
        <v>74842</v>
      </c>
      <c r="G58" s="324">
        <v>84293</v>
      </c>
      <c r="H58" s="324">
        <v>112390</v>
      </c>
      <c r="I58" s="451">
        <v>130441.53999999998</v>
      </c>
      <c r="J58" s="451">
        <v>147085.24</v>
      </c>
      <c r="K58" s="324">
        <v>162737.54150380593</v>
      </c>
      <c r="L58" s="324">
        <v>184087.63502931772</v>
      </c>
      <c r="M58" s="452">
        <v>206489.63559694329</v>
      </c>
    </row>
    <row r="59" spans="1:28" x14ac:dyDescent="0.3">
      <c r="B59" s="350" t="s">
        <v>353</v>
      </c>
      <c r="C59" s="364"/>
      <c r="D59" s="324">
        <f>DCF!K73</f>
        <v>23000</v>
      </c>
      <c r="E59" s="324">
        <f>DCF!L73</f>
        <v>51169</v>
      </c>
      <c r="F59" s="324">
        <f>DCF!M73</f>
        <v>47711</v>
      </c>
      <c r="G59" s="324">
        <f>DCF!N73</f>
        <v>55911</v>
      </c>
      <c r="H59" s="324">
        <f>DCF!O73</f>
        <v>63875</v>
      </c>
      <c r="I59" s="324">
        <f ca="1">DCF!P73</f>
        <v>82689.506779480595</v>
      </c>
      <c r="J59" s="324">
        <f ca="1">DCF!Q73</f>
        <v>102998.12734988367</v>
      </c>
      <c r="K59" s="324">
        <f ca="1">DCF!R73</f>
        <v>120734.43282584526</v>
      </c>
      <c r="L59" s="324">
        <f ca="1">DCF!S73</f>
        <v>145916.37865465789</v>
      </c>
      <c r="M59" s="452">
        <f ca="1">DCF!T73</f>
        <v>174569.20702543628</v>
      </c>
    </row>
    <row r="60" spans="1:28" x14ac:dyDescent="0.3">
      <c r="B60" s="378" t="s">
        <v>354</v>
      </c>
      <c r="C60" s="364"/>
      <c r="D60" s="329">
        <f>D59/IS!G23</f>
        <v>1.5683600409137401</v>
      </c>
      <c r="E60" s="329">
        <f>E59/IS!H23</f>
        <v>3.5381689946065551</v>
      </c>
      <c r="F60" s="329">
        <f>F59/IS!I23</f>
        <v>3.3967677630642177</v>
      </c>
      <c r="G60" s="329">
        <f>G59/IS!J23</f>
        <v>4.1114052503860581</v>
      </c>
      <c r="H60" s="329">
        <f>H59/IS!K23</f>
        <v>4.7979418613385416</v>
      </c>
      <c r="I60" s="329">
        <f ca="1">I59/IS!$L$23</f>
        <v>6.0566560949861268</v>
      </c>
      <c r="J60" s="329">
        <f ca="1">J59/IS!$L$23</f>
        <v>7.5441765235033698</v>
      </c>
      <c r="K60" s="329">
        <f ca="1">K59/IS!$L$23</f>
        <v>8.8432857677995944</v>
      </c>
      <c r="L60" s="329">
        <f ca="1">L59/IS!$L$23</f>
        <v>10.687756627862047</v>
      </c>
      <c r="M60" s="458">
        <f ca="1">M59/IS!$L$23</f>
        <v>12.786454931303014</v>
      </c>
    </row>
    <row r="61" spans="1:28" x14ac:dyDescent="0.3">
      <c r="B61" s="350"/>
      <c r="C61" s="364"/>
      <c r="D61" s="377"/>
      <c r="E61" s="377"/>
      <c r="F61" s="377"/>
      <c r="G61" s="377"/>
      <c r="H61" s="377"/>
      <c r="I61" s="377"/>
      <c r="J61" s="377"/>
      <c r="K61" s="377"/>
      <c r="L61" s="377"/>
      <c r="M61" s="379"/>
    </row>
    <row r="62" spans="1:28" x14ac:dyDescent="0.3">
      <c r="B62" s="350" t="s">
        <v>358</v>
      </c>
      <c r="C62" s="364"/>
      <c r="D62" s="380">
        <v>0.12770532012826141</v>
      </c>
      <c r="E62" s="381">
        <f>E56/D56-1</f>
        <v>0.41150076427049154</v>
      </c>
      <c r="F62" s="381">
        <f>F56/E56-1</f>
        <v>9.7808156437157789E-2</v>
      </c>
      <c r="G62" s="381">
        <f>G56/F56-1</f>
        <v>8.6827702272695095E-2</v>
      </c>
      <c r="H62" s="381">
        <f>H56/G56-1</f>
        <v>0.13866243322901561</v>
      </c>
      <c r="I62" s="381">
        <f>I56/H56-1</f>
        <v>0.12633001731339544</v>
      </c>
      <c r="J62" s="381">
        <f>J56/I56-1</f>
        <v>0.11409763466928347</v>
      </c>
      <c r="K62" s="381">
        <f>K56/J56-1</f>
        <v>0.12636336173723151</v>
      </c>
      <c r="L62" s="381">
        <f>L56/K56-1</f>
        <v>0.12226367123996984</v>
      </c>
      <c r="M62" s="382">
        <f>M56/L56-1</f>
        <v>0.12090822254882827</v>
      </c>
    </row>
    <row r="63" spans="1:28" x14ac:dyDescent="0.3">
      <c r="B63" s="350" t="s">
        <v>363</v>
      </c>
      <c r="C63" s="364"/>
      <c r="D63" s="380" t="s">
        <v>112</v>
      </c>
      <c r="E63" s="381">
        <f>E57/D57-1</f>
        <v>0.6208039633535507</v>
      </c>
      <c r="F63" s="383">
        <f>F57/E57-1</f>
        <v>-7.5291896569161798E-3</v>
      </c>
      <c r="G63" s="381">
        <f>G57/F57-1</f>
        <v>8.9699604832591762E-2</v>
      </c>
      <c r="H63" s="381">
        <f>H57/G57-1</f>
        <v>0.345577156869876</v>
      </c>
      <c r="I63" s="381">
        <f>I57/H57-1</f>
        <v>0.33348085283828954</v>
      </c>
      <c r="J63" s="381">
        <f>J57/I57-1</f>
        <v>0.13483745273169245</v>
      </c>
      <c r="K63" s="383">
        <f>K57/J57-1</f>
        <v>-0.13249848608224024</v>
      </c>
      <c r="L63" s="381">
        <f>L57/K57-1</f>
        <v>9.9173747999484085E-2</v>
      </c>
      <c r="M63" s="382">
        <f>M57/L57-1</f>
        <v>0.12812679711218045</v>
      </c>
    </row>
    <row r="64" spans="1:28" x14ac:dyDescent="0.3">
      <c r="B64" s="350" t="s">
        <v>359</v>
      </c>
      <c r="C64" s="364"/>
      <c r="D64" s="381">
        <v>0.22585151785763202</v>
      </c>
      <c r="E64" s="381">
        <f>E58/D58-1</f>
        <v>0.90942169609935952</v>
      </c>
      <c r="F64" s="383">
        <f>F58/E58-1</f>
        <v>-4.9190741164214735E-2</v>
      </c>
      <c r="G64" s="381">
        <f>G58/F58-1</f>
        <v>0.12627936185564259</v>
      </c>
      <c r="H64" s="381">
        <f>H58/G58-1</f>
        <v>0.33332542441246593</v>
      </c>
      <c r="I64" s="381">
        <f>I58/H58-1</f>
        <v>0.16061517928641322</v>
      </c>
      <c r="J64" s="381">
        <f>J58/I58-1</f>
        <v>0.12759508972371858</v>
      </c>
      <c r="K64" s="381">
        <f>K58/J58-1</f>
        <v>0.1064165344109711</v>
      </c>
      <c r="L64" s="381">
        <f>L58/K58-1</f>
        <v>0.13119341319908329</v>
      </c>
      <c r="M64" s="382">
        <f>M58/L58-1</f>
        <v>0.12169204392276445</v>
      </c>
    </row>
    <row r="65" spans="2:13" x14ac:dyDescent="0.3">
      <c r="B65" s="350" t="s">
        <v>360</v>
      </c>
      <c r="C65" s="364"/>
      <c r="D65" s="384" t="s">
        <v>112</v>
      </c>
      <c r="E65" s="381">
        <f>E59/D59-1</f>
        <v>1.2247391304347826</v>
      </c>
      <c r="F65" s="383">
        <f t="shared" ref="F65:M65" si="0">F59/E59-1</f>
        <v>-6.7579980066055589E-2</v>
      </c>
      <c r="G65" s="381">
        <f t="shared" si="0"/>
        <v>0.17186812265515283</v>
      </c>
      <c r="H65" s="381">
        <f t="shared" si="0"/>
        <v>0.14244066462771188</v>
      </c>
      <c r="I65" s="381">
        <f t="shared" ca="1" si="0"/>
        <v>0.29455196523648675</v>
      </c>
      <c r="J65" s="381">
        <f t="shared" ca="1" si="0"/>
        <v>0.2456009397245873</v>
      </c>
      <c r="K65" s="381">
        <f t="shared" ca="1" si="0"/>
        <v>0.17220027132834681</v>
      </c>
      <c r="L65" s="381">
        <f t="shared" ca="1" si="0"/>
        <v>0.20857302460795601</v>
      </c>
      <c r="M65" s="382">
        <f t="shared" ca="1" si="0"/>
        <v>0.19636471679845746</v>
      </c>
    </row>
    <row r="66" spans="2:13" x14ac:dyDescent="0.3">
      <c r="B66" s="350"/>
      <c r="C66" s="364"/>
      <c r="D66" s="377"/>
      <c r="E66" s="377"/>
      <c r="F66" s="377"/>
      <c r="G66" s="377"/>
      <c r="H66" s="377"/>
      <c r="I66" s="377"/>
      <c r="J66" s="377"/>
      <c r="K66" s="377"/>
      <c r="L66" s="377"/>
      <c r="M66" s="379"/>
    </row>
    <row r="67" spans="2:13" x14ac:dyDescent="0.3">
      <c r="B67" s="350" t="s">
        <v>356</v>
      </c>
      <c r="C67" s="364"/>
      <c r="D67" s="381">
        <f>IS!G20/IS!G4</f>
        <v>0.30089247070296449</v>
      </c>
      <c r="E67" s="381">
        <f>IS!H20/IS!H4</f>
        <v>0.34539681800362526</v>
      </c>
      <c r="F67" s="381">
        <f>IS!I20/IS!I4</f>
        <v>0.3122551584663904</v>
      </c>
      <c r="G67" s="381">
        <f>IS!J20/IS!J4</f>
        <v>0.31308028133275212</v>
      </c>
      <c r="H67" s="381">
        <f>IS!K20/IS!K4</f>
        <v>0.3648412367363964</v>
      </c>
      <c r="I67" s="381">
        <f>AVERAGE(F67:H67)</f>
        <v>0.33005889217851297</v>
      </c>
      <c r="J67" s="381">
        <f t="shared" ref="J67:M67" si="1">AVERAGE(G67:I67)</f>
        <v>0.33599347008255381</v>
      </c>
      <c r="K67" s="381">
        <f t="shared" si="1"/>
        <v>0.34363119966582106</v>
      </c>
      <c r="L67" s="381">
        <f t="shared" si="1"/>
        <v>0.33656118730896262</v>
      </c>
      <c r="M67" s="382">
        <f t="shared" si="1"/>
        <v>0.3387286190191125</v>
      </c>
    </row>
    <row r="68" spans="2:13" x14ac:dyDescent="0.3">
      <c r="B68" s="365" t="s">
        <v>357</v>
      </c>
      <c r="C68" s="100"/>
      <c r="D68" s="385">
        <f>DCF!K68</f>
        <v>-0.12206961161910293</v>
      </c>
      <c r="E68" s="385">
        <f>DCF!L68</f>
        <v>-9.5638437025737766E-2</v>
      </c>
      <c r="F68" s="385">
        <f>DCF!M68</f>
        <v>-0.11131892686928113</v>
      </c>
      <c r="G68" s="385">
        <f>DCF!N68</f>
        <v>-0.10491746748472644</v>
      </c>
      <c r="H68" s="385">
        <f>DCF!O68</f>
        <v>-0.15009228096840735</v>
      </c>
      <c r="I68" s="385">
        <f>DCF!P68</f>
        <v>-0.12210955844080497</v>
      </c>
      <c r="J68" s="385">
        <f>DCF!Q68</f>
        <v>-0.11558216883060372</v>
      </c>
      <c r="K68" s="385">
        <f>DCF!R68</f>
        <v>-0.10905477922040248</v>
      </c>
      <c r="L68" s="385">
        <f>DCF!S68</f>
        <v>-0.10252738961020123</v>
      </c>
      <c r="M68" s="386">
        <f>DCF!T68</f>
        <v>-9.6000000000000002E-2</v>
      </c>
    </row>
  </sheetData>
  <pageMargins left="0.7" right="0.7" top="0.75" bottom="0.75" header="0.3" footer="0.3"/>
  <ignoredErrors>
    <ignoredError xmlns:x16r3="http://schemas.microsoft.com/office/spreadsheetml/2018/08/main" sqref="K4:K5 H4" x16r3:misleadingForma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F97-422A-46DC-9E2B-7D4F4AF0EAFC}">
  <dimension ref="A1:X118"/>
  <sheetViews>
    <sheetView topLeftCell="A14" zoomScaleNormal="100" workbookViewId="0">
      <selection activeCell="H32" sqref="H32"/>
    </sheetView>
  </sheetViews>
  <sheetFormatPr defaultRowHeight="14.4" x14ac:dyDescent="0.3"/>
  <cols>
    <col min="1" max="1" width="3.77734375" style="3" customWidth="1"/>
    <col min="2" max="2" width="8.88671875" style="2"/>
    <col min="3" max="3" width="11.77734375" style="2" bestFit="1" customWidth="1"/>
    <col min="4" max="5" width="8.88671875" style="2"/>
    <col min="6" max="6" width="10" style="25" bestFit="1" customWidth="1"/>
    <col min="7" max="15" width="8.88671875" style="25"/>
    <col min="16" max="16" width="10.21875" style="25" bestFit="1" customWidth="1"/>
    <col min="17" max="17" width="10" style="25" bestFit="1" customWidth="1"/>
    <col min="18" max="19" width="9.109375" style="25" bestFit="1" customWidth="1"/>
    <col min="20" max="20" width="10.44140625" style="25" bestFit="1" customWidth="1"/>
    <col min="21" max="21" width="3.77734375" style="2" customWidth="1"/>
    <col min="22" max="16384" width="8.88671875" style="2"/>
  </cols>
  <sheetData>
    <row r="1" spans="1:24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23.4" x14ac:dyDescent="0.45">
      <c r="B2" s="4" t="s">
        <v>1</v>
      </c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x14ac:dyDescent="0.3">
      <c r="B4" s="3" t="s">
        <v>140</v>
      </c>
      <c r="C4" s="227" t="s">
        <v>151</v>
      </c>
      <c r="D4" s="25"/>
      <c r="E4" s="229" t="s">
        <v>141</v>
      </c>
      <c r="F4" s="230"/>
      <c r="G4" s="229"/>
      <c r="H4" s="231">
        <f ca="1">T87</f>
        <v>214.95364818966652</v>
      </c>
      <c r="I4" s="2"/>
      <c r="J4" s="26" t="s">
        <v>142</v>
      </c>
      <c r="K4" s="88">
        <v>168.74611280162785</v>
      </c>
      <c r="L4" s="2"/>
      <c r="M4" s="2" t="s">
        <v>143</v>
      </c>
      <c r="P4" s="26"/>
      <c r="Q4" s="226">
        <v>1</v>
      </c>
      <c r="R4" s="26" t="s">
        <v>144</v>
      </c>
      <c r="S4" s="2"/>
      <c r="T4" s="2"/>
    </row>
    <row r="5" spans="1:24" x14ac:dyDescent="0.3">
      <c r="B5" s="3" t="s">
        <v>145</v>
      </c>
      <c r="C5" s="228">
        <f>DATE(2025,8,30)</f>
        <v>45899</v>
      </c>
      <c r="D5" s="25"/>
      <c r="E5" s="26" t="s">
        <v>146</v>
      </c>
      <c r="G5" s="26"/>
      <c r="H5" s="89">
        <v>212.91</v>
      </c>
      <c r="I5" s="2"/>
      <c r="J5" s="26" t="s">
        <v>147</v>
      </c>
      <c r="K5" s="88">
        <v>276.4745185082495</v>
      </c>
      <c r="L5" s="2"/>
      <c r="M5" s="26" t="s">
        <v>148</v>
      </c>
      <c r="P5" s="26"/>
      <c r="Q5" s="226">
        <v>2</v>
      </c>
      <c r="R5" s="26" t="s">
        <v>7</v>
      </c>
      <c r="S5" s="2"/>
      <c r="T5" s="2"/>
    </row>
    <row r="6" spans="1:24" x14ac:dyDescent="0.3">
      <c r="B6" s="3" t="s">
        <v>149</v>
      </c>
      <c r="C6" s="228">
        <f>DATE(2025,12,31)</f>
        <v>46022</v>
      </c>
      <c r="D6" s="25"/>
      <c r="E6" s="26" t="s">
        <v>150</v>
      </c>
      <c r="G6" s="26"/>
      <c r="H6" s="32">
        <f ca="1">H4/H5-1</f>
        <v>9.5986482065968382E-3</v>
      </c>
      <c r="I6" s="2"/>
      <c r="K6" s="26"/>
      <c r="L6" s="26"/>
      <c r="N6" s="26"/>
      <c r="Q6" s="226">
        <v>3</v>
      </c>
      <c r="R6" s="26" t="s">
        <v>8</v>
      </c>
      <c r="S6" s="2"/>
      <c r="T6" s="2"/>
    </row>
    <row r="7" spans="1:24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x14ac:dyDescent="0.3">
      <c r="A9" s="3" t="s">
        <v>115</v>
      </c>
      <c r="B9" s="5" t="s">
        <v>3</v>
      </c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6"/>
      <c r="P9" s="6"/>
      <c r="Q9" s="7"/>
      <c r="R9" s="7"/>
      <c r="S9" s="6"/>
      <c r="T9" s="7"/>
      <c r="U9" s="2" t="s">
        <v>2</v>
      </c>
      <c r="V9" s="3" t="s">
        <v>4</v>
      </c>
    </row>
    <row r="10" spans="1:24" x14ac:dyDescent="0.3">
      <c r="B10" s="8"/>
      <c r="C10" s="9"/>
      <c r="D10" s="9"/>
      <c r="E10" s="9"/>
      <c r="F10" s="9"/>
      <c r="G10" s="9"/>
      <c r="H10" s="10"/>
      <c r="I10" s="9"/>
      <c r="J10" s="9"/>
      <c r="K10" s="10"/>
      <c r="L10" s="10"/>
      <c r="M10" s="9"/>
      <c r="N10" s="10"/>
      <c r="O10" s="9"/>
      <c r="P10" s="9"/>
      <c r="Q10" s="10"/>
      <c r="R10" s="10"/>
      <c r="S10" s="9"/>
      <c r="T10" s="10"/>
    </row>
    <row r="11" spans="1:24" x14ac:dyDescent="0.3">
      <c r="B11" s="11" t="s">
        <v>5</v>
      </c>
      <c r="C11" s="12"/>
      <c r="D11" s="12"/>
      <c r="E11" s="9"/>
      <c r="F11" s="13" t="s">
        <v>6</v>
      </c>
      <c r="G11" s="12"/>
      <c r="H11" s="12"/>
      <c r="I11" s="14"/>
      <c r="J11" s="2"/>
      <c r="K11" s="13" t="s">
        <v>7</v>
      </c>
      <c r="L11" s="14"/>
      <c r="M11" s="14"/>
      <c r="N11" s="14"/>
      <c r="O11" s="2"/>
      <c r="P11" s="13" t="s">
        <v>8</v>
      </c>
      <c r="Q11" s="12"/>
      <c r="R11" s="12"/>
      <c r="S11" s="14"/>
      <c r="T11" s="2"/>
      <c r="U11" s="2" t="s">
        <v>2</v>
      </c>
      <c r="V11" s="212" t="s">
        <v>228</v>
      </c>
    </row>
    <row r="12" spans="1:24" x14ac:dyDescent="0.3">
      <c r="B12" s="15" t="s">
        <v>3</v>
      </c>
      <c r="C12" s="16"/>
      <c r="D12" s="17"/>
      <c r="E12" s="17"/>
      <c r="F12" s="15" t="s">
        <v>3</v>
      </c>
      <c r="G12" s="16"/>
      <c r="H12" s="18" t="s">
        <v>9</v>
      </c>
      <c r="I12" s="18" t="s">
        <v>10</v>
      </c>
      <c r="J12" s="2"/>
      <c r="K12" s="16"/>
      <c r="L12" s="16"/>
      <c r="M12" s="16"/>
      <c r="N12" s="16"/>
      <c r="O12" s="2"/>
      <c r="P12" s="15" t="s">
        <v>3</v>
      </c>
      <c r="Q12" s="16"/>
      <c r="R12" s="18" t="s">
        <v>9</v>
      </c>
      <c r="S12" s="18" t="s">
        <v>10</v>
      </c>
      <c r="T12" s="2"/>
      <c r="U12" s="2" t="s">
        <v>2</v>
      </c>
      <c r="V12" s="213" t="s">
        <v>255</v>
      </c>
    </row>
    <row r="13" spans="1:24" x14ac:dyDescent="0.3">
      <c r="B13" s="16" t="s">
        <v>11</v>
      </c>
      <c r="C13" s="16"/>
      <c r="D13" s="19">
        <v>2</v>
      </c>
      <c r="E13" s="16"/>
      <c r="F13" s="16" t="s">
        <v>11</v>
      </c>
      <c r="G13" s="16"/>
      <c r="H13" s="20" t="s">
        <v>12</v>
      </c>
      <c r="I13" s="211">
        <v>-0.1</v>
      </c>
      <c r="J13" s="2"/>
      <c r="K13" s="16"/>
      <c r="L13" s="16"/>
      <c r="M13" s="16"/>
      <c r="N13" s="16"/>
      <c r="O13" s="2"/>
      <c r="P13" s="16" t="s">
        <v>11</v>
      </c>
      <c r="Q13" s="16"/>
      <c r="R13" s="20" t="s">
        <v>12</v>
      </c>
      <c r="S13" s="208">
        <v>0.1</v>
      </c>
      <c r="T13" s="2"/>
      <c r="U13" s="2" t="s">
        <v>2</v>
      </c>
      <c r="V13" s="214" t="s">
        <v>229</v>
      </c>
    </row>
    <row r="14" spans="1:24" x14ac:dyDescent="0.3">
      <c r="B14" s="16" t="s">
        <v>14</v>
      </c>
      <c r="C14" s="16"/>
      <c r="D14" s="19">
        <v>2</v>
      </c>
      <c r="E14" s="16"/>
      <c r="F14" s="16" t="s">
        <v>11</v>
      </c>
      <c r="G14" s="16"/>
      <c r="H14" s="20" t="s">
        <v>15</v>
      </c>
      <c r="I14" s="211">
        <v>-0.05</v>
      </c>
      <c r="J14" s="2"/>
      <c r="K14" s="16"/>
      <c r="L14" s="16"/>
      <c r="M14" s="16"/>
      <c r="N14" s="16"/>
      <c r="O14" s="2"/>
      <c r="P14" s="16" t="s">
        <v>11</v>
      </c>
      <c r="Q14" s="16"/>
      <c r="R14" s="20" t="s">
        <v>15</v>
      </c>
      <c r="S14" s="208">
        <v>0.05</v>
      </c>
      <c r="T14" s="2"/>
      <c r="U14" s="2" t="s">
        <v>2</v>
      </c>
      <c r="V14" s="35" t="s">
        <v>230</v>
      </c>
    </row>
    <row r="15" spans="1:24" x14ac:dyDescent="0.3">
      <c r="B15" s="16" t="s">
        <v>16</v>
      </c>
      <c r="C15" s="16"/>
      <c r="D15" s="19">
        <v>2</v>
      </c>
      <c r="E15" s="16"/>
      <c r="F15" s="16" t="s">
        <v>14</v>
      </c>
      <c r="G15" s="16"/>
      <c r="H15" s="20" t="s">
        <v>12</v>
      </c>
      <c r="I15" s="211">
        <v>-0.1</v>
      </c>
      <c r="J15" s="2"/>
      <c r="K15" s="16"/>
      <c r="L15" s="16"/>
      <c r="M15" s="16"/>
      <c r="N15" s="16"/>
      <c r="O15" s="2"/>
      <c r="P15" s="16" t="s">
        <v>14</v>
      </c>
      <c r="Q15" s="16"/>
      <c r="R15" s="20" t="s">
        <v>12</v>
      </c>
      <c r="S15" s="208">
        <v>0.1</v>
      </c>
      <c r="T15" s="2"/>
      <c r="U15" s="2" t="s">
        <v>2</v>
      </c>
      <c r="V15" s="2" t="s">
        <v>256</v>
      </c>
    </row>
    <row r="16" spans="1:24" x14ac:dyDescent="0.3">
      <c r="B16" s="16" t="s">
        <v>17</v>
      </c>
      <c r="C16" s="16"/>
      <c r="D16" s="19">
        <v>2</v>
      </c>
      <c r="E16" s="21"/>
      <c r="F16" s="16" t="s">
        <v>14</v>
      </c>
      <c r="G16" s="16"/>
      <c r="H16" s="20" t="s">
        <v>15</v>
      </c>
      <c r="I16" s="211">
        <v>-0.05</v>
      </c>
      <c r="J16" s="2"/>
      <c r="K16" s="16"/>
      <c r="L16" s="16"/>
      <c r="M16" s="16"/>
      <c r="N16" s="16"/>
      <c r="O16" s="2"/>
      <c r="P16" s="16" t="s">
        <v>14</v>
      </c>
      <c r="Q16" s="16"/>
      <c r="R16" s="20" t="s">
        <v>15</v>
      </c>
      <c r="S16" s="208">
        <v>0.05</v>
      </c>
      <c r="T16" s="2"/>
    </row>
    <row r="17" spans="1:24" x14ac:dyDescent="0.3">
      <c r="B17" s="16"/>
      <c r="C17" s="16"/>
      <c r="D17" s="16"/>
      <c r="E17" s="16"/>
      <c r="F17" s="18"/>
      <c r="G17" s="16"/>
      <c r="H17" s="16"/>
      <c r="I17" s="18"/>
      <c r="J17" s="2"/>
      <c r="K17" s="18"/>
      <c r="L17" s="16"/>
      <c r="M17" s="16"/>
      <c r="N17" s="18"/>
      <c r="O17" s="2"/>
      <c r="P17" s="18"/>
      <c r="Q17" s="16"/>
      <c r="R17" s="16"/>
      <c r="S17" s="18"/>
      <c r="T17" s="2"/>
    </row>
    <row r="18" spans="1:24" x14ac:dyDescent="0.3">
      <c r="B18" s="16"/>
      <c r="C18" s="16"/>
      <c r="D18" s="16"/>
      <c r="E18" s="16"/>
      <c r="F18" s="18"/>
      <c r="G18" s="16"/>
      <c r="H18" s="16"/>
      <c r="I18" s="18"/>
      <c r="J18" s="2"/>
      <c r="K18" s="18"/>
      <c r="L18" s="16"/>
      <c r="M18" s="16"/>
      <c r="N18" s="18"/>
      <c r="O18" s="2"/>
      <c r="P18" s="18"/>
      <c r="Q18" s="16"/>
      <c r="R18" s="16"/>
      <c r="S18" s="18"/>
      <c r="T18" s="2"/>
    </row>
    <row r="19" spans="1:24" x14ac:dyDescent="0.3">
      <c r="B19" s="18" t="s">
        <v>18</v>
      </c>
      <c r="C19" s="16"/>
      <c r="D19" s="18" t="s">
        <v>10</v>
      </c>
      <c r="E19" s="18"/>
      <c r="F19" s="18" t="s">
        <v>18</v>
      </c>
      <c r="G19" s="16"/>
      <c r="H19" s="16"/>
      <c r="I19" s="18" t="s">
        <v>10</v>
      </c>
      <c r="J19" s="2"/>
      <c r="K19" s="18" t="s">
        <v>18</v>
      </c>
      <c r="L19" s="16"/>
      <c r="M19" s="16"/>
      <c r="N19" s="18" t="s">
        <v>10</v>
      </c>
      <c r="O19" s="2"/>
      <c r="P19" s="18" t="s">
        <v>18</v>
      </c>
      <c r="Q19" s="16"/>
      <c r="R19" s="16"/>
      <c r="S19" s="18" t="s">
        <v>10</v>
      </c>
      <c r="T19" s="2"/>
    </row>
    <row r="20" spans="1:24" x14ac:dyDescent="0.3">
      <c r="B20" s="16" t="s">
        <v>16</v>
      </c>
      <c r="C20" s="16"/>
      <c r="D20" s="22">
        <f>CHOOSE(D15,I20,N20,S20,0)</f>
        <v>8.4553357489691769E-2</v>
      </c>
      <c r="E20" s="23"/>
      <c r="F20" s="16" t="s">
        <v>16</v>
      </c>
      <c r="G20" s="16"/>
      <c r="H20" s="16"/>
      <c r="I20" s="207">
        <v>0.09</v>
      </c>
      <c r="J20" s="2"/>
      <c r="K20" s="16" t="s">
        <v>16</v>
      </c>
      <c r="L20" s="16"/>
      <c r="M20" s="16"/>
      <c r="N20" s="206">
        <f>WACC!E18</f>
        <v>8.4553357489691769E-2</v>
      </c>
      <c r="O20" s="2"/>
      <c r="P20" s="16" t="s">
        <v>16</v>
      </c>
      <c r="Q20" s="16"/>
      <c r="R20" s="16"/>
      <c r="S20" s="209">
        <v>0.08</v>
      </c>
      <c r="T20" s="2"/>
    </row>
    <row r="21" spans="1:24" x14ac:dyDescent="0.3">
      <c r="B21" s="16" t="s">
        <v>17</v>
      </c>
      <c r="C21" s="16"/>
      <c r="D21" s="24">
        <f>CHOOSE(D16,I21,N21,S21,0)</f>
        <v>2.5000000000000001E-2</v>
      </c>
      <c r="E21" s="23"/>
      <c r="F21" s="16" t="s">
        <v>17</v>
      </c>
      <c r="G21" s="16"/>
      <c r="H21" s="16"/>
      <c r="I21" s="208">
        <v>0.02</v>
      </c>
      <c r="J21" s="2"/>
      <c r="K21" s="16" t="s">
        <v>17</v>
      </c>
      <c r="L21" s="16"/>
      <c r="M21" s="16"/>
      <c r="N21" s="210">
        <v>2.5000000000000001E-2</v>
      </c>
      <c r="O21" s="2"/>
      <c r="P21" s="16" t="s">
        <v>17</v>
      </c>
      <c r="Q21" s="16"/>
      <c r="R21" s="16"/>
      <c r="S21" s="208">
        <v>0.03</v>
      </c>
      <c r="T21" s="2"/>
    </row>
    <row r="22" spans="1:24" x14ac:dyDescent="0.3">
      <c r="C22" s="25"/>
      <c r="D22" s="25"/>
      <c r="E22" s="25"/>
      <c r="H22" s="26"/>
      <c r="K22" s="26"/>
      <c r="L22" s="26"/>
      <c r="N22" s="26"/>
      <c r="Q22" s="26"/>
      <c r="R22" s="26"/>
      <c r="T22" s="26"/>
    </row>
    <row r="23" spans="1:24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4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4" x14ac:dyDescent="0.3">
      <c r="A25" s="3" t="s">
        <v>115</v>
      </c>
      <c r="B25" s="27" t="s">
        <v>19</v>
      </c>
      <c r="C25" s="6"/>
      <c r="D25" s="6"/>
      <c r="E25" s="6"/>
      <c r="F25" s="28">
        <v>2015</v>
      </c>
      <c r="G25" s="28">
        <f>F25+1</f>
        <v>2016</v>
      </c>
      <c r="H25" s="28">
        <f t="shared" ref="H25:N25" si="0">G25+1</f>
        <v>2017</v>
      </c>
      <c r="I25" s="28">
        <f t="shared" si="0"/>
        <v>2018</v>
      </c>
      <c r="J25" s="28">
        <f t="shared" si="0"/>
        <v>2019</v>
      </c>
      <c r="K25" s="28">
        <f t="shared" si="0"/>
        <v>2020</v>
      </c>
      <c r="L25" s="28">
        <f t="shared" si="0"/>
        <v>2021</v>
      </c>
      <c r="M25" s="28">
        <f t="shared" si="0"/>
        <v>2022</v>
      </c>
      <c r="N25" s="28">
        <f t="shared" si="0"/>
        <v>2023</v>
      </c>
      <c r="O25" s="29" t="s">
        <v>20</v>
      </c>
      <c r="P25" s="29">
        <v>2025</v>
      </c>
      <c r="Q25" s="29">
        <f>P25+1</f>
        <v>2026</v>
      </c>
      <c r="R25" s="29">
        <f t="shared" ref="R25:T25" si="1">Q25+1</f>
        <v>2027</v>
      </c>
      <c r="S25" s="29">
        <f t="shared" si="1"/>
        <v>2028</v>
      </c>
      <c r="T25" s="29">
        <f t="shared" si="1"/>
        <v>2029</v>
      </c>
    </row>
    <row r="26" spans="1:24" x14ac:dyDescent="0.3">
      <c r="B26" s="2" t="s">
        <v>11</v>
      </c>
      <c r="C26" s="25"/>
      <c r="D26" s="25"/>
      <c r="E26" s="25"/>
      <c r="F26" s="30">
        <f>IS!B4</f>
        <v>74989</v>
      </c>
      <c r="G26" s="30">
        <f>IS!C4</f>
        <v>90272</v>
      </c>
      <c r="H26" s="30">
        <f>IS!D4</f>
        <v>110855</v>
      </c>
      <c r="I26" s="30">
        <f>IS!E4</f>
        <v>136819</v>
      </c>
      <c r="J26" s="30">
        <f>IS!F4</f>
        <v>161857</v>
      </c>
      <c r="K26" s="30">
        <f>IS!G4</f>
        <v>182527</v>
      </c>
      <c r="L26" s="30">
        <f>IS!H4</f>
        <v>257637</v>
      </c>
      <c r="M26" s="30">
        <f>IS!I4</f>
        <v>282836</v>
      </c>
      <c r="N26" s="30">
        <f>IS!J4</f>
        <v>307394</v>
      </c>
      <c r="O26" s="30">
        <f>IS!K4</f>
        <v>350018</v>
      </c>
      <c r="P26" s="197">
        <v>394235.78</v>
      </c>
      <c r="Q26" s="197">
        <v>439217.15</v>
      </c>
      <c r="R26" s="63">
        <f>Q26*(1+R27)</f>
        <v>494718.10560664587</v>
      </c>
      <c r="S26" s="63">
        <f t="shared" ref="S26:T26" si="2">R26*(1+S27)</f>
        <v>555204.15742699755</v>
      </c>
      <c r="T26" s="63">
        <f t="shared" si="2"/>
        <v>622332.90525321569</v>
      </c>
      <c r="U26" s="2" t="s">
        <v>2</v>
      </c>
      <c r="V26" s="2" t="s">
        <v>248</v>
      </c>
    </row>
    <row r="27" spans="1:24" x14ac:dyDescent="0.3">
      <c r="B27" s="2" t="s">
        <v>21</v>
      </c>
      <c r="C27" s="25"/>
      <c r="D27" s="25"/>
      <c r="E27" s="25"/>
      <c r="F27" s="65" t="s">
        <v>112</v>
      </c>
      <c r="G27" s="32">
        <f>G26/F26-1</f>
        <v>0.20380322447292265</v>
      </c>
      <c r="H27" s="32">
        <f t="shared" ref="H27:O27" si="3">H26/G26-1</f>
        <v>0.22801090038993266</v>
      </c>
      <c r="I27" s="32">
        <f t="shared" si="3"/>
        <v>0.23421586757475987</v>
      </c>
      <c r="J27" s="32">
        <f t="shared" si="3"/>
        <v>0.18300089899794614</v>
      </c>
      <c r="K27" s="32">
        <f t="shared" si="3"/>
        <v>0.12770532012826141</v>
      </c>
      <c r="L27" s="32">
        <f t="shared" si="3"/>
        <v>0.41150076427049154</v>
      </c>
      <c r="M27" s="32">
        <f t="shared" si="3"/>
        <v>9.7808156437157789E-2</v>
      </c>
      <c r="N27" s="32">
        <f t="shared" si="3"/>
        <v>8.6827702272695095E-2</v>
      </c>
      <c r="O27" s="32">
        <f t="shared" si="3"/>
        <v>0.13866243322901561</v>
      </c>
      <c r="P27" s="32">
        <f t="shared" ref="P27" si="4">P26/O26-1</f>
        <v>0.12633001731339544</v>
      </c>
      <c r="Q27" s="32">
        <f t="shared" ref="Q27" si="5">Q26/P26-1</f>
        <v>0.11409763466928347</v>
      </c>
      <c r="R27" s="64">
        <f>AVERAGE(O27:Q27)</f>
        <v>0.12636336173723151</v>
      </c>
      <c r="S27" s="64">
        <f t="shared" ref="S27:T27" si="6">AVERAGE(P27:R27)</f>
        <v>0.12226367123997013</v>
      </c>
      <c r="T27" s="64">
        <f t="shared" si="6"/>
        <v>0.12090822254882837</v>
      </c>
      <c r="V27" s="196"/>
      <c r="W27" s="21"/>
      <c r="X27" s="21"/>
    </row>
    <row r="28" spans="1:24" x14ac:dyDescent="0.3">
      <c r="C28" s="25"/>
      <c r="D28" s="25"/>
      <c r="E28" s="25"/>
    </row>
    <row r="29" spans="1:24" x14ac:dyDescent="0.3">
      <c r="B29" s="2" t="s">
        <v>14</v>
      </c>
      <c r="C29" s="25"/>
      <c r="D29" s="25"/>
      <c r="E29" s="25"/>
      <c r="F29" s="30">
        <f>IS!B11</f>
        <v>19360</v>
      </c>
      <c r="G29" s="30">
        <f>IS!C11</f>
        <v>23716</v>
      </c>
      <c r="H29" s="30">
        <f>IS!D11</f>
        <v>26178</v>
      </c>
      <c r="I29" s="30">
        <f>IS!E11</f>
        <v>27524</v>
      </c>
      <c r="J29" s="30">
        <f>IS!F11</f>
        <v>34231</v>
      </c>
      <c r="K29" s="30">
        <f>IS!G11</f>
        <v>41224</v>
      </c>
      <c r="L29" s="30">
        <f>IS!H11</f>
        <v>78714</v>
      </c>
      <c r="M29" s="30">
        <f>IS!I11</f>
        <v>74842</v>
      </c>
      <c r="N29" s="30">
        <f>IS!J11</f>
        <v>84293</v>
      </c>
      <c r="O29" s="30">
        <f>IS!K11</f>
        <v>112390</v>
      </c>
      <c r="P29" s="197">
        <v>130441.54</v>
      </c>
      <c r="Q29" s="197">
        <v>147085.24</v>
      </c>
      <c r="R29" s="63">
        <f>R30*R26</f>
        <v>162737.54150380593</v>
      </c>
      <c r="S29" s="63">
        <f t="shared" ref="S29:T29" si="7">S30*S26</f>
        <v>184087.63502931772</v>
      </c>
      <c r="T29" s="63">
        <f t="shared" si="7"/>
        <v>206489.63559694329</v>
      </c>
      <c r="U29" s="2" t="s">
        <v>2</v>
      </c>
      <c r="V29" s="2" t="s">
        <v>248</v>
      </c>
    </row>
    <row r="30" spans="1:24" x14ac:dyDescent="0.3">
      <c r="B30" s="31" t="s">
        <v>22</v>
      </c>
      <c r="C30" s="25"/>
      <c r="D30" s="25"/>
      <c r="E30" s="25"/>
      <c r="F30" s="32">
        <f>F29/F$26</f>
        <v>0.25817119844243824</v>
      </c>
      <c r="G30" s="32">
        <f t="shared" ref="G30:Q30" si="8">G29/G$26</f>
        <v>0.26271712158808935</v>
      </c>
      <c r="H30" s="32">
        <f t="shared" si="8"/>
        <v>0.23614631726128726</v>
      </c>
      <c r="I30" s="32">
        <f t="shared" si="8"/>
        <v>0.20117089000796673</v>
      </c>
      <c r="J30" s="32">
        <f t="shared" si="8"/>
        <v>0.21148915400631421</v>
      </c>
      <c r="K30" s="32">
        <f t="shared" si="8"/>
        <v>0.22585151785763202</v>
      </c>
      <c r="L30" s="32">
        <f t="shared" si="8"/>
        <v>0.3055228868524319</v>
      </c>
      <c r="M30" s="32">
        <f t="shared" si="8"/>
        <v>0.26461270842467011</v>
      </c>
      <c r="N30" s="32">
        <f t="shared" si="8"/>
        <v>0.27421810445226646</v>
      </c>
      <c r="O30" s="32">
        <f t="shared" si="8"/>
        <v>0.32109777211457696</v>
      </c>
      <c r="P30" s="32">
        <f t="shared" si="8"/>
        <v>0.33087189600091593</v>
      </c>
      <c r="Q30" s="32">
        <f t="shared" si="8"/>
        <v>0.33488045719526205</v>
      </c>
      <c r="R30" s="64">
        <f>AVERAGE(O30:Q30)</f>
        <v>0.32895004177025167</v>
      </c>
      <c r="S30" s="64">
        <f t="shared" ref="S30:T30" si="9">AVERAGE(P30:R30)</f>
        <v>0.3315674649888099</v>
      </c>
      <c r="T30" s="64">
        <f t="shared" si="9"/>
        <v>0.33179932131810785</v>
      </c>
      <c r="V30" s="33"/>
    </row>
    <row r="31" spans="1:24" x14ac:dyDescent="0.3">
      <c r="C31" s="25"/>
      <c r="D31" s="25"/>
      <c r="E31" s="25"/>
      <c r="P31" s="32"/>
    </row>
    <row r="32" spans="1:24" x14ac:dyDescent="0.3">
      <c r="B32" s="2" t="s">
        <v>23</v>
      </c>
      <c r="C32" s="25"/>
      <c r="D32" s="25"/>
      <c r="E32" s="25"/>
      <c r="F32" s="34">
        <f>IS!B14</f>
        <v>3303</v>
      </c>
      <c r="G32" s="34">
        <f>IS!C14</f>
        <v>4672</v>
      </c>
      <c r="H32" s="34">
        <f>IS!D14</f>
        <v>14531</v>
      </c>
      <c r="I32" s="34">
        <f>IS!E14</f>
        <v>4177</v>
      </c>
      <c r="J32" s="34">
        <f>IS!F14</f>
        <v>5282</v>
      </c>
      <c r="K32" s="34">
        <f>IS!G14</f>
        <v>7813</v>
      </c>
      <c r="L32" s="34">
        <f>IS!H14</f>
        <v>14701</v>
      </c>
      <c r="M32" s="34">
        <f>IS!I14</f>
        <v>11356</v>
      </c>
      <c r="N32" s="34">
        <f>IS!J14</f>
        <v>11922</v>
      </c>
      <c r="O32" s="34">
        <f>IS!K14</f>
        <v>19697</v>
      </c>
      <c r="P32" s="271">
        <f>P33*P29</f>
        <v>22566.386419999999</v>
      </c>
      <c r="Q32" s="66">
        <f t="shared" ref="Q32:T32" si="10">Q33*Q29</f>
        <v>23361.092937810336</v>
      </c>
      <c r="R32" s="66">
        <f t="shared" si="10"/>
        <v>26917.983354323689</v>
      </c>
      <c r="S32" s="66">
        <f t="shared" si="10"/>
        <v>30511.558339519062</v>
      </c>
      <c r="T32" s="66">
        <f t="shared" si="10"/>
        <v>33725.193996741356</v>
      </c>
      <c r="U32" s="2" t="s">
        <v>2</v>
      </c>
      <c r="V32" s="2" t="s">
        <v>254</v>
      </c>
    </row>
    <row r="33" spans="1:22" x14ac:dyDescent="0.3">
      <c r="B33" s="31" t="s">
        <v>24</v>
      </c>
      <c r="C33" s="25"/>
      <c r="D33" s="25"/>
      <c r="E33" s="25"/>
      <c r="F33" s="61">
        <f>IS!B14/IS!B13</f>
        <v>0.16808304920869166</v>
      </c>
      <c r="G33" s="61">
        <f>IS!C14/IS!C13</f>
        <v>0.19345755693581781</v>
      </c>
      <c r="H33" s="61">
        <f>IS!D14/IS!D13</f>
        <v>0.53436546169970212</v>
      </c>
      <c r="I33" s="61">
        <f>IS!E14/IS!E13</f>
        <v>0.1196402486179933</v>
      </c>
      <c r="J33" s="61">
        <f>IS!F14/IS!F13</f>
        <v>0.13329968454258675</v>
      </c>
      <c r="K33" s="61">
        <f>IS!G14/IS!G13</f>
        <v>0.16249324071378063</v>
      </c>
      <c r="L33" s="61">
        <f>IS!H14/IS!H13</f>
        <v>0.16202305640663919</v>
      </c>
      <c r="M33" s="61">
        <f>IS!I14/IS!I13</f>
        <v>0.1592081650964558</v>
      </c>
      <c r="N33" s="61">
        <f>IS!J14/IS!J13</f>
        <v>0.13908559562280529</v>
      </c>
      <c r="O33" s="61">
        <f>IS!K14/IS!K13</f>
        <v>0.16439510912657013</v>
      </c>
      <c r="P33" s="232">
        <v>0.17299999999999999</v>
      </c>
      <c r="Q33" s="64">
        <f t="shared" ref="Q33:T33" si="11">AVERAGE(N33:P33)</f>
        <v>0.15882690158312512</v>
      </c>
      <c r="R33" s="64">
        <f t="shared" si="11"/>
        <v>0.16540733690323176</v>
      </c>
      <c r="S33" s="64">
        <f t="shared" si="11"/>
        <v>0.16574474616211896</v>
      </c>
      <c r="T33" s="64">
        <f t="shared" si="11"/>
        <v>0.16332632821615864</v>
      </c>
      <c r="U33" s="2" t="s">
        <v>2</v>
      </c>
      <c r="V33" s="2" t="s">
        <v>231</v>
      </c>
    </row>
    <row r="34" spans="1:22" x14ac:dyDescent="0.3">
      <c r="C34" s="25"/>
      <c r="D34" s="25"/>
      <c r="E34" s="25"/>
      <c r="V34" s="36"/>
    </row>
    <row r="35" spans="1:22" x14ac:dyDescent="0.3">
      <c r="A35" s="3" t="s">
        <v>115</v>
      </c>
      <c r="B35" s="37" t="s">
        <v>25</v>
      </c>
      <c r="C35" s="38"/>
      <c r="D35" s="38"/>
      <c r="E35" s="38"/>
      <c r="F35" s="28">
        <v>2015</v>
      </c>
      <c r="G35" s="28">
        <f>F35+1</f>
        <v>2016</v>
      </c>
      <c r="H35" s="28">
        <f t="shared" ref="H35:N35" si="12">G35+1</f>
        <v>2017</v>
      </c>
      <c r="I35" s="28">
        <f t="shared" si="12"/>
        <v>2018</v>
      </c>
      <c r="J35" s="28">
        <f t="shared" si="12"/>
        <v>2019</v>
      </c>
      <c r="K35" s="28">
        <f t="shared" si="12"/>
        <v>2020</v>
      </c>
      <c r="L35" s="28">
        <f t="shared" si="12"/>
        <v>2021</v>
      </c>
      <c r="M35" s="28">
        <f t="shared" si="12"/>
        <v>2022</v>
      </c>
      <c r="N35" s="28">
        <f t="shared" si="12"/>
        <v>2023</v>
      </c>
      <c r="O35" s="29" t="s">
        <v>20</v>
      </c>
    </row>
    <row r="36" spans="1:22" x14ac:dyDescent="0.3">
      <c r="B36" s="2" t="s">
        <v>26</v>
      </c>
      <c r="C36" s="25"/>
      <c r="D36" s="25"/>
      <c r="E36" s="25"/>
      <c r="F36" s="34">
        <f>CFS!B7</f>
        <v>5063</v>
      </c>
      <c r="G36" s="34">
        <f>CFS!C7</f>
        <v>6144</v>
      </c>
      <c r="H36" s="34">
        <f>CFS!D7</f>
        <v>6915</v>
      </c>
      <c r="I36" s="34">
        <f>CFS!E7</f>
        <v>9035</v>
      </c>
      <c r="J36" s="34">
        <f>CFS!F7</f>
        <v>11781</v>
      </c>
      <c r="K36" s="34">
        <f>CFS!G7</f>
        <v>13697</v>
      </c>
      <c r="L36" s="34">
        <f>CFS!H7</f>
        <v>10273</v>
      </c>
      <c r="M36" s="34">
        <f>CFS!I7</f>
        <v>13475</v>
      </c>
      <c r="N36" s="34">
        <f>CFS!J7</f>
        <v>11946</v>
      </c>
      <c r="O36" s="34">
        <f>CFS!K7</f>
        <v>15311</v>
      </c>
      <c r="U36" s="2" t="s">
        <v>2</v>
      </c>
      <c r="V36" s="2" t="s">
        <v>27</v>
      </c>
    </row>
    <row r="37" spans="1:22" x14ac:dyDescent="0.3">
      <c r="B37" s="31" t="s">
        <v>28</v>
      </c>
      <c r="C37" s="25"/>
      <c r="D37" s="25"/>
      <c r="E37" s="25"/>
      <c r="F37" s="32">
        <f>F36/F$26</f>
        <v>6.7516569096800857E-2</v>
      </c>
      <c r="G37" s="32">
        <f t="shared" ref="G37" si="13">G36/G$26</f>
        <v>6.8060971286777738E-2</v>
      </c>
      <c r="H37" s="32">
        <f t="shared" ref="H37" si="14">H36/H$26</f>
        <v>6.237878309503405E-2</v>
      </c>
      <c r="I37" s="32">
        <f t="shared" ref="I37" si="15">I36/I$26</f>
        <v>6.6036149949933856E-2</v>
      </c>
      <c r="J37" s="32">
        <f t="shared" ref="J37" si="16">J36/J$26</f>
        <v>7.2786472009242723E-2</v>
      </c>
      <c r="K37" s="32">
        <f t="shared" ref="K37" si="17">K36/K$26</f>
        <v>7.5040952845332465E-2</v>
      </c>
      <c r="L37" s="32">
        <f t="shared" ref="L37" si="18">L36/L$26</f>
        <v>3.9873931151193344E-2</v>
      </c>
      <c r="M37" s="32">
        <f t="shared" ref="M37" si="19">M36/M$26</f>
        <v>4.764245004172029E-2</v>
      </c>
      <c r="N37" s="32">
        <f t="shared" ref="N37" si="20">N36/N$26</f>
        <v>3.8862176880485634E-2</v>
      </c>
      <c r="O37" s="32">
        <f t="shared" ref="O37" si="21">O36/O$26</f>
        <v>4.3743464621819446E-2</v>
      </c>
    </row>
    <row r="38" spans="1:22" x14ac:dyDescent="0.3">
      <c r="C38" s="25"/>
      <c r="D38" s="25"/>
      <c r="E38" s="25"/>
    </row>
    <row r="39" spans="1:22" x14ac:dyDescent="0.3">
      <c r="B39" s="2" t="s">
        <v>29</v>
      </c>
      <c r="C39" s="25"/>
      <c r="D39" s="25"/>
      <c r="E39" s="25"/>
      <c r="F39" s="70">
        <f>CFS!B16</f>
        <v>-9915</v>
      </c>
      <c r="G39" s="70">
        <f>CFS!C16</f>
        <v>-9972</v>
      </c>
      <c r="H39" s="70">
        <f>CFS!D16</f>
        <v>-13184</v>
      </c>
      <c r="I39" s="70">
        <f>CFS!E16</f>
        <v>-25139</v>
      </c>
      <c r="J39" s="70">
        <f>CFS!F16</f>
        <v>-23548</v>
      </c>
      <c r="K39" s="70">
        <f>CFS!G16</f>
        <v>-22281</v>
      </c>
      <c r="L39" s="70">
        <f>CFS!H16</f>
        <v>-24640</v>
      </c>
      <c r="M39" s="70">
        <f>CFS!I16</f>
        <v>-31485</v>
      </c>
      <c r="N39" s="70">
        <f>CFS!J16</f>
        <v>-32251</v>
      </c>
      <c r="O39" s="70">
        <f>CFS!K16</f>
        <v>-52535</v>
      </c>
      <c r="U39" s="2" t="s">
        <v>2</v>
      </c>
      <c r="V39" s="2" t="s">
        <v>30</v>
      </c>
    </row>
    <row r="40" spans="1:22" x14ac:dyDescent="0.3">
      <c r="B40" s="31" t="s">
        <v>31</v>
      </c>
      <c r="C40" s="25"/>
      <c r="D40" s="25"/>
      <c r="E40" s="25"/>
      <c r="F40" s="68">
        <f>F39/F$26</f>
        <v>-0.13221939217751938</v>
      </c>
      <c r="G40" s="68">
        <f t="shared" ref="G40" si="22">G39/G$26</f>
        <v>-0.11046614675646933</v>
      </c>
      <c r="H40" s="68">
        <f t="shared" ref="H40" si="23">H39/H$26</f>
        <v>-0.11893013395877497</v>
      </c>
      <c r="I40" s="68">
        <f t="shared" ref="I40" si="24">I39/I$26</f>
        <v>-0.18373910056351822</v>
      </c>
      <c r="J40" s="68">
        <f t="shared" ref="J40" si="25">J39/J$26</f>
        <v>-0.14548644791389931</v>
      </c>
      <c r="K40" s="68">
        <f t="shared" ref="K40" si="26">K39/K$26</f>
        <v>-0.12206961161910293</v>
      </c>
      <c r="L40" s="68">
        <f t="shared" ref="L40" si="27">L39/L$26</f>
        <v>-9.5638437025737766E-2</v>
      </c>
      <c r="M40" s="68">
        <f t="shared" ref="M40" si="28">M39/M$26</f>
        <v>-0.11131892686928113</v>
      </c>
      <c r="N40" s="68">
        <f t="shared" ref="N40" si="29">N39/N$26</f>
        <v>-0.10491746748472644</v>
      </c>
      <c r="O40" s="68">
        <f t="shared" ref="O40" si="30">O39/O$26</f>
        <v>-0.15009228096840735</v>
      </c>
      <c r="U40" s="2" t="s">
        <v>2</v>
      </c>
      <c r="V40" s="2" t="s">
        <v>252</v>
      </c>
    </row>
    <row r="41" spans="1:22" x14ac:dyDescent="0.3">
      <c r="C41" s="25"/>
      <c r="D41" s="25"/>
      <c r="E41" s="25"/>
    </row>
    <row r="42" spans="1:22" x14ac:dyDescent="0.3">
      <c r="B42" s="2" t="s">
        <v>32</v>
      </c>
      <c r="C42" s="25"/>
      <c r="D42" s="25"/>
      <c r="E42" s="25"/>
      <c r="F42" s="70">
        <f>CFS!B14</f>
        <v>-409</v>
      </c>
      <c r="G42" s="70">
        <f>CFS!C14</f>
        <v>3300</v>
      </c>
      <c r="H42" s="70">
        <f>CFS!D14</f>
        <v>9246</v>
      </c>
      <c r="I42" s="70">
        <f>CFS!E14</f>
        <v>4908</v>
      </c>
      <c r="J42" s="70">
        <f>CFS!F14</f>
        <v>819</v>
      </c>
      <c r="K42" s="70">
        <f>CFS!G14</f>
        <v>1827</v>
      </c>
      <c r="L42" s="70">
        <f>CFS!H14</f>
        <v>-1523</v>
      </c>
      <c r="M42" s="70">
        <f>CFS!I14</f>
        <v>-2235</v>
      </c>
      <c r="N42" s="70">
        <f>CFS!J14</f>
        <v>-3845</v>
      </c>
      <c r="O42" s="70">
        <f>CFS!K14</f>
        <v>-8406</v>
      </c>
      <c r="U42" s="2" t="s">
        <v>2</v>
      </c>
      <c r="V42" s="2" t="s">
        <v>33</v>
      </c>
    </row>
    <row r="43" spans="1:22" x14ac:dyDescent="0.3">
      <c r="B43" s="31" t="s">
        <v>22</v>
      </c>
      <c r="C43" s="25"/>
      <c r="D43" s="25"/>
      <c r="E43" s="25"/>
      <c r="F43" s="68">
        <f>F42/F$26</f>
        <v>-5.4541332728800223E-3</v>
      </c>
      <c r="G43" s="68">
        <f t="shared" ref="G43" si="31">G42/G$26</f>
        <v>3.6556185749734134E-2</v>
      </c>
      <c r="H43" s="68">
        <f t="shared" ref="H43" si="32">H42/H$26</f>
        <v>8.3406251409498894E-2</v>
      </c>
      <c r="I43" s="68">
        <f t="shared" ref="I43" si="33">I42/I$26</f>
        <v>3.5872210730965727E-2</v>
      </c>
      <c r="J43" s="68">
        <f t="shared" ref="J43" si="34">J42/J$26</f>
        <v>5.0600221182896012E-3</v>
      </c>
      <c r="K43" s="68">
        <f t="shared" ref="K43" si="35">K42/K$26</f>
        <v>1.0009478049822766E-2</v>
      </c>
      <c r="L43" s="68">
        <f t="shared" ref="L43" si="36">L42/L$26</f>
        <v>-5.9114180028489701E-3</v>
      </c>
      <c r="M43" s="68">
        <f t="shared" ref="M43" si="37">M42/M$26</f>
        <v>-7.9021058139699327E-3</v>
      </c>
      <c r="N43" s="68">
        <f t="shared" ref="N43" si="38">N42/N$26</f>
        <v>-1.25083768713768E-2</v>
      </c>
      <c r="O43" s="68">
        <f t="shared" ref="O43" si="39">O42/O$26</f>
        <v>-2.4015907753315545E-2</v>
      </c>
    </row>
    <row r="44" spans="1:22" x14ac:dyDescent="0.3">
      <c r="B44" s="31" t="s">
        <v>34</v>
      </c>
      <c r="C44" s="25"/>
      <c r="D44" s="25"/>
      <c r="E44" s="25"/>
      <c r="F44" s="40"/>
      <c r="G44" s="32"/>
      <c r="H44" s="39"/>
      <c r="I44" s="32"/>
      <c r="J44" s="32"/>
      <c r="K44" s="32"/>
      <c r="L44" s="32"/>
      <c r="M44" s="32"/>
      <c r="N44" s="32"/>
      <c r="O44" s="32"/>
    </row>
    <row r="45" spans="1:22" x14ac:dyDescent="0.3">
      <c r="C45" s="25"/>
      <c r="D45" s="25"/>
      <c r="E45" s="25"/>
      <c r="P45" s="71">
        <v>1</v>
      </c>
      <c r="Q45" s="71">
        <f>P45+1</f>
        <v>2</v>
      </c>
      <c r="R45" s="71">
        <f>Q45+1</f>
        <v>3</v>
      </c>
      <c r="S45" s="71">
        <f>R45+1</f>
        <v>4</v>
      </c>
      <c r="T45" s="71">
        <f>S45+1</f>
        <v>5</v>
      </c>
    </row>
    <row r="46" spans="1:22" x14ac:dyDescent="0.3">
      <c r="A46" s="3" t="s">
        <v>115</v>
      </c>
      <c r="B46" s="37" t="s">
        <v>35</v>
      </c>
      <c r="C46" s="38"/>
      <c r="D46" s="38"/>
      <c r="E46" s="38"/>
      <c r="F46" s="28">
        <v>2015</v>
      </c>
      <c r="G46" s="28">
        <f>F46+1</f>
        <v>2016</v>
      </c>
      <c r="H46" s="28">
        <f t="shared" ref="H46:N46" si="40">G46+1</f>
        <v>2017</v>
      </c>
      <c r="I46" s="28">
        <f t="shared" si="40"/>
        <v>2018</v>
      </c>
      <c r="J46" s="28">
        <f t="shared" si="40"/>
        <v>2019</v>
      </c>
      <c r="K46" s="28">
        <f t="shared" si="40"/>
        <v>2020</v>
      </c>
      <c r="L46" s="28">
        <f t="shared" si="40"/>
        <v>2021</v>
      </c>
      <c r="M46" s="28">
        <f t="shared" si="40"/>
        <v>2022</v>
      </c>
      <c r="N46" s="28">
        <f t="shared" si="40"/>
        <v>2023</v>
      </c>
      <c r="O46" s="29" t="s">
        <v>20</v>
      </c>
      <c r="P46" s="29">
        <v>2025</v>
      </c>
      <c r="Q46" s="29">
        <f>P46+1</f>
        <v>2026</v>
      </c>
      <c r="R46" s="29">
        <f t="shared" ref="R46:T46" si="41">Q46+1</f>
        <v>2027</v>
      </c>
      <c r="S46" s="29">
        <f t="shared" si="41"/>
        <v>2028</v>
      </c>
      <c r="T46" s="29">
        <f t="shared" si="41"/>
        <v>2029</v>
      </c>
    </row>
    <row r="47" spans="1:22" x14ac:dyDescent="0.3">
      <c r="B47" s="2" t="s">
        <v>11</v>
      </c>
      <c r="C47" s="25"/>
      <c r="D47" s="25"/>
      <c r="E47" s="25"/>
      <c r="F47" s="41">
        <f>F26</f>
        <v>74989</v>
      </c>
      <c r="G47" s="41">
        <f t="shared" ref="G47:O47" si="42">G26</f>
        <v>90272</v>
      </c>
      <c r="H47" s="41">
        <f t="shared" si="42"/>
        <v>110855</v>
      </c>
      <c r="I47" s="41">
        <f t="shared" si="42"/>
        <v>136819</v>
      </c>
      <c r="J47" s="41">
        <f t="shared" si="42"/>
        <v>161857</v>
      </c>
      <c r="K47" s="41">
        <f t="shared" si="42"/>
        <v>182527</v>
      </c>
      <c r="L47" s="41">
        <f t="shared" si="42"/>
        <v>257637</v>
      </c>
      <c r="M47" s="41">
        <f t="shared" si="42"/>
        <v>282836</v>
      </c>
      <c r="N47" s="41">
        <f t="shared" si="42"/>
        <v>307394</v>
      </c>
      <c r="O47" s="41">
        <f t="shared" si="42"/>
        <v>350018</v>
      </c>
      <c r="P47" s="42">
        <f ca="1">O47*(1+P48)</f>
        <v>394235.78</v>
      </c>
      <c r="Q47" s="42">
        <f t="shared" ref="Q47:T47" ca="1" si="43">P47*(1+Q48)</f>
        <v>439217.15</v>
      </c>
      <c r="R47" s="42">
        <f t="shared" ca="1" si="43"/>
        <v>494718.10560664587</v>
      </c>
      <c r="S47" s="42">
        <f t="shared" ca="1" si="43"/>
        <v>555204.15742699755</v>
      </c>
      <c r="T47" s="42">
        <f t="shared" ca="1" si="43"/>
        <v>622332.90525321569</v>
      </c>
      <c r="V47" s="43"/>
    </row>
    <row r="48" spans="1:22" x14ac:dyDescent="0.3">
      <c r="B48" s="2" t="s">
        <v>21</v>
      </c>
      <c r="C48" s="25"/>
      <c r="D48" s="25"/>
      <c r="E48" s="25"/>
      <c r="F48" s="49" t="str">
        <f t="shared" ref="F48:O48" si="44">F27</f>
        <v>--</v>
      </c>
      <c r="G48" s="49">
        <f t="shared" si="44"/>
        <v>0.20380322447292265</v>
      </c>
      <c r="H48" s="49">
        <f t="shared" si="44"/>
        <v>0.22801090038993266</v>
      </c>
      <c r="I48" s="49">
        <f t="shared" si="44"/>
        <v>0.23421586757475987</v>
      </c>
      <c r="J48" s="49">
        <f t="shared" si="44"/>
        <v>0.18300089899794614</v>
      </c>
      <c r="K48" s="49">
        <f t="shared" si="44"/>
        <v>0.12770532012826141</v>
      </c>
      <c r="L48" s="49">
        <f t="shared" si="44"/>
        <v>0.41150076427049154</v>
      </c>
      <c r="M48" s="49">
        <f t="shared" si="44"/>
        <v>9.7808156437157789E-2</v>
      </c>
      <c r="N48" s="49">
        <f t="shared" si="44"/>
        <v>8.6827702272695095E-2</v>
      </c>
      <c r="O48" s="49">
        <f t="shared" si="44"/>
        <v>0.13866243322901561</v>
      </c>
      <c r="P48" s="32">
        <f ca="1">OFFSET(P48,$D$13,0)</f>
        <v>0.12633001731339544</v>
      </c>
      <c r="Q48" s="32">
        <f t="shared" ref="Q48:T48" ca="1" si="45">OFFSET(Q48,$D$13,0)</f>
        <v>0.11409763466928347</v>
      </c>
      <c r="R48" s="32">
        <f t="shared" ca="1" si="45"/>
        <v>0.12636336173723151</v>
      </c>
      <c r="S48" s="32">
        <f t="shared" ca="1" si="45"/>
        <v>0.12226367123997013</v>
      </c>
      <c r="T48" s="32">
        <f t="shared" ca="1" si="45"/>
        <v>0.12090822254882837</v>
      </c>
      <c r="V48" s="44"/>
    </row>
    <row r="49" spans="2:22" x14ac:dyDescent="0.3">
      <c r="B49" s="31" t="s">
        <v>36</v>
      </c>
      <c r="C49" s="25"/>
      <c r="D49" s="25"/>
      <c r="E49" s="25"/>
      <c r="H49" s="45"/>
      <c r="P49" s="46">
        <f>P50*(1+$I$13)</f>
        <v>0.1136970155820559</v>
      </c>
      <c r="Q49" s="46">
        <f>Q50*(1+$I$13)</f>
        <v>0.10268787120235512</v>
      </c>
      <c r="R49" s="46">
        <f t="shared" ref="R49:T49" si="46">R50*(1+$I$14)</f>
        <v>0.12004519365036992</v>
      </c>
      <c r="S49" s="46">
        <f t="shared" si="46"/>
        <v>0.11615048767797162</v>
      </c>
      <c r="T49" s="46">
        <f t="shared" si="46"/>
        <v>0.11486281142138695</v>
      </c>
    </row>
    <row r="50" spans="2:22" x14ac:dyDescent="0.3">
      <c r="B50" s="31" t="s">
        <v>37</v>
      </c>
      <c r="C50" s="25"/>
      <c r="D50" s="25"/>
      <c r="E50" s="25"/>
      <c r="H50" s="45"/>
      <c r="P50" s="46">
        <f>P27</f>
        <v>0.12633001731339544</v>
      </c>
      <c r="Q50" s="46">
        <f t="shared" ref="Q50:T50" si="47">Q27</f>
        <v>0.11409763466928347</v>
      </c>
      <c r="R50" s="46">
        <f t="shared" si="47"/>
        <v>0.12636336173723151</v>
      </c>
      <c r="S50" s="46">
        <f t="shared" si="47"/>
        <v>0.12226367123997013</v>
      </c>
      <c r="T50" s="46">
        <f t="shared" si="47"/>
        <v>0.12090822254882837</v>
      </c>
    </row>
    <row r="51" spans="2:22" x14ac:dyDescent="0.3">
      <c r="B51" s="31" t="s">
        <v>38</v>
      </c>
      <c r="C51" s="25"/>
      <c r="D51" s="25"/>
      <c r="E51" s="25"/>
      <c r="P51" s="46">
        <f>P50*(1+$S$13)</f>
        <v>0.13896301904473499</v>
      </c>
      <c r="Q51" s="46">
        <f>Q50*(1+$S$13)</f>
        <v>0.12550739813621181</v>
      </c>
      <c r="R51" s="46">
        <f t="shared" ref="R51:T51" si="48">R50*(1+$S$14)</f>
        <v>0.13268152982409309</v>
      </c>
      <c r="S51" s="46">
        <f t="shared" si="48"/>
        <v>0.12837685480196864</v>
      </c>
      <c r="T51" s="46">
        <f t="shared" si="48"/>
        <v>0.1269536336762698</v>
      </c>
    </row>
    <row r="52" spans="2:22" x14ac:dyDescent="0.3">
      <c r="C52" s="25"/>
      <c r="D52" s="25"/>
      <c r="E52" s="25"/>
    </row>
    <row r="53" spans="2:22" x14ac:dyDescent="0.3">
      <c r="B53" s="2" t="s">
        <v>14</v>
      </c>
      <c r="C53" s="25"/>
      <c r="D53" s="25"/>
      <c r="E53" s="25"/>
      <c r="F53" s="47">
        <f>F29</f>
        <v>19360</v>
      </c>
      <c r="G53" s="47">
        <f t="shared" ref="G53:O53" si="49">G29</f>
        <v>23716</v>
      </c>
      <c r="H53" s="47">
        <f t="shared" si="49"/>
        <v>26178</v>
      </c>
      <c r="I53" s="47">
        <f t="shared" si="49"/>
        <v>27524</v>
      </c>
      <c r="J53" s="47">
        <f t="shared" si="49"/>
        <v>34231</v>
      </c>
      <c r="K53" s="47">
        <f t="shared" si="49"/>
        <v>41224</v>
      </c>
      <c r="L53" s="47">
        <f t="shared" si="49"/>
        <v>78714</v>
      </c>
      <c r="M53" s="47">
        <f t="shared" si="49"/>
        <v>74842</v>
      </c>
      <c r="N53" s="47">
        <f t="shared" si="49"/>
        <v>84293</v>
      </c>
      <c r="O53" s="47">
        <f t="shared" si="49"/>
        <v>112390</v>
      </c>
      <c r="P53" s="48">
        <f ca="1">P54*P47</f>
        <v>130441.53999999998</v>
      </c>
      <c r="Q53" s="48">
        <f t="shared" ref="Q53:T53" ca="1" si="50">Q54*Q47</f>
        <v>147085.24</v>
      </c>
      <c r="R53" s="48">
        <f t="shared" ca="1" si="50"/>
        <v>162737.54150380593</v>
      </c>
      <c r="S53" s="48">
        <f t="shared" ca="1" si="50"/>
        <v>184087.63502931772</v>
      </c>
      <c r="T53" s="48">
        <f t="shared" ca="1" si="50"/>
        <v>206489.63559694329</v>
      </c>
    </row>
    <row r="54" spans="2:22" x14ac:dyDescent="0.3">
      <c r="B54" s="31" t="s">
        <v>22</v>
      </c>
      <c r="C54" s="25"/>
      <c r="D54" s="25"/>
      <c r="E54" s="25"/>
      <c r="F54" s="49">
        <f t="shared" ref="F54:O54" si="51">F30</f>
        <v>0.25817119844243824</v>
      </c>
      <c r="G54" s="49">
        <f t="shared" si="51"/>
        <v>0.26271712158808935</v>
      </c>
      <c r="H54" s="49">
        <f t="shared" si="51"/>
        <v>0.23614631726128726</v>
      </c>
      <c r="I54" s="49">
        <f t="shared" si="51"/>
        <v>0.20117089000796673</v>
      </c>
      <c r="J54" s="49">
        <f t="shared" si="51"/>
        <v>0.21148915400631421</v>
      </c>
      <c r="K54" s="49">
        <f t="shared" si="51"/>
        <v>0.22585151785763202</v>
      </c>
      <c r="L54" s="49">
        <f t="shared" si="51"/>
        <v>0.3055228868524319</v>
      </c>
      <c r="M54" s="49">
        <f t="shared" si="51"/>
        <v>0.26461270842467011</v>
      </c>
      <c r="N54" s="49">
        <f t="shared" si="51"/>
        <v>0.27421810445226646</v>
      </c>
      <c r="O54" s="49">
        <f t="shared" si="51"/>
        <v>0.32109777211457696</v>
      </c>
      <c r="P54" s="32">
        <f ca="1">OFFSET(P54,$D$14,0)</f>
        <v>0.33087189600091593</v>
      </c>
      <c r="Q54" s="32">
        <f t="shared" ref="Q54:T54" ca="1" si="52">OFFSET(Q54,$D$14,0)</f>
        <v>0.33488045719526205</v>
      </c>
      <c r="R54" s="32">
        <f t="shared" ca="1" si="52"/>
        <v>0.32895004177025167</v>
      </c>
      <c r="S54" s="32">
        <f t="shared" ca="1" si="52"/>
        <v>0.3315674649888099</v>
      </c>
      <c r="T54" s="32">
        <f t="shared" ca="1" si="52"/>
        <v>0.33179932131810785</v>
      </c>
    </row>
    <row r="55" spans="2:22" x14ac:dyDescent="0.3">
      <c r="B55" s="31" t="s">
        <v>36</v>
      </c>
      <c r="C55" s="25"/>
      <c r="D55" s="25"/>
      <c r="E55" s="25"/>
      <c r="P55" s="46">
        <f>P56*(1+I15)</f>
        <v>0.29778470640082433</v>
      </c>
      <c r="Q55" s="46">
        <f t="shared" ref="Q55:T55" si="53">Q56*(1+$I$16)</f>
        <v>0.31813643433549893</v>
      </c>
      <c r="R55" s="46">
        <f t="shared" si="53"/>
        <v>0.31250253968173908</v>
      </c>
      <c r="S55" s="46">
        <f t="shared" si="53"/>
        <v>0.3149890917393694</v>
      </c>
      <c r="T55" s="46">
        <f t="shared" si="53"/>
        <v>0.31520935525220245</v>
      </c>
    </row>
    <row r="56" spans="2:22" x14ac:dyDescent="0.3">
      <c r="B56" s="31" t="s">
        <v>37</v>
      </c>
      <c r="C56" s="25"/>
      <c r="D56" s="25"/>
      <c r="E56" s="25"/>
      <c r="P56" s="46">
        <f>P30</f>
        <v>0.33087189600091593</v>
      </c>
      <c r="Q56" s="46">
        <f t="shared" ref="Q56:T56" si="54">Q30</f>
        <v>0.33488045719526205</v>
      </c>
      <c r="R56" s="46">
        <f t="shared" si="54"/>
        <v>0.32895004177025167</v>
      </c>
      <c r="S56" s="46">
        <f t="shared" si="54"/>
        <v>0.3315674649888099</v>
      </c>
      <c r="T56" s="46">
        <f t="shared" si="54"/>
        <v>0.33179932131810785</v>
      </c>
      <c r="V56" s="2" t="s">
        <v>249</v>
      </c>
    </row>
    <row r="57" spans="2:22" x14ac:dyDescent="0.3">
      <c r="B57" s="31" t="s">
        <v>38</v>
      </c>
      <c r="C57" s="25"/>
      <c r="D57" s="25"/>
      <c r="E57" s="25"/>
      <c r="P57" s="46">
        <f>P56*(1+$S$15)</f>
        <v>0.36395908560100754</v>
      </c>
      <c r="Q57" s="46">
        <f t="shared" ref="Q57:T57" si="55">Q56*(1+$S$16)</f>
        <v>0.35162448005502517</v>
      </c>
      <c r="R57" s="46">
        <f t="shared" si="55"/>
        <v>0.34539754385876426</v>
      </c>
      <c r="S57" s="46">
        <f t="shared" si="55"/>
        <v>0.3481458382382504</v>
      </c>
      <c r="T57" s="46">
        <f t="shared" si="55"/>
        <v>0.34838928738401326</v>
      </c>
    </row>
    <row r="58" spans="2:22" x14ac:dyDescent="0.3">
      <c r="B58" s="31"/>
      <c r="C58" s="25"/>
      <c r="D58" s="25"/>
      <c r="E58" s="25"/>
    </row>
    <row r="59" spans="2:22" x14ac:dyDescent="0.3">
      <c r="B59" s="2" t="s">
        <v>23</v>
      </c>
      <c r="C59" s="25" t="s">
        <v>39</v>
      </c>
      <c r="D59" s="25"/>
      <c r="E59" s="25"/>
      <c r="F59" s="50">
        <f>F32</f>
        <v>3303</v>
      </c>
      <c r="G59" s="50">
        <f t="shared" ref="G59:O59" si="56">G32</f>
        <v>4672</v>
      </c>
      <c r="H59" s="50">
        <f t="shared" si="56"/>
        <v>14531</v>
      </c>
      <c r="I59" s="50">
        <f t="shared" si="56"/>
        <v>4177</v>
      </c>
      <c r="J59" s="50">
        <f t="shared" si="56"/>
        <v>5282</v>
      </c>
      <c r="K59" s="50">
        <f t="shared" si="56"/>
        <v>7813</v>
      </c>
      <c r="L59" s="50">
        <f t="shared" si="56"/>
        <v>14701</v>
      </c>
      <c r="M59" s="50">
        <f t="shared" si="56"/>
        <v>11356</v>
      </c>
      <c r="N59" s="50">
        <f t="shared" si="56"/>
        <v>11922</v>
      </c>
      <c r="O59" s="50">
        <f t="shared" si="56"/>
        <v>19697</v>
      </c>
      <c r="P59" s="48">
        <f ca="1">P60*P53</f>
        <v>22566.386419999995</v>
      </c>
      <c r="Q59" s="48">
        <f t="shared" ref="Q59:T59" ca="1" si="57">Q60*Q53</f>
        <v>23361.092937810336</v>
      </c>
      <c r="R59" s="48">
        <f t="shared" ca="1" si="57"/>
        <v>26917.983354323689</v>
      </c>
      <c r="S59" s="48">
        <f t="shared" ca="1" si="57"/>
        <v>30511.558339519062</v>
      </c>
      <c r="T59" s="48">
        <f t="shared" ca="1" si="57"/>
        <v>33725.193996741356</v>
      </c>
    </row>
    <row r="60" spans="2:22" x14ac:dyDescent="0.3">
      <c r="B60" s="31" t="s">
        <v>24</v>
      </c>
      <c r="C60" s="25"/>
      <c r="D60" s="25"/>
      <c r="E60" s="25"/>
      <c r="F60" s="49">
        <f t="shared" ref="F60:O60" si="58">F33</f>
        <v>0.16808304920869166</v>
      </c>
      <c r="G60" s="49">
        <f t="shared" si="58"/>
        <v>0.19345755693581781</v>
      </c>
      <c r="H60" s="49">
        <f t="shared" si="58"/>
        <v>0.53436546169970212</v>
      </c>
      <c r="I60" s="49">
        <f t="shared" si="58"/>
        <v>0.1196402486179933</v>
      </c>
      <c r="J60" s="49">
        <f t="shared" si="58"/>
        <v>0.13329968454258675</v>
      </c>
      <c r="K60" s="49">
        <f t="shared" si="58"/>
        <v>0.16249324071378063</v>
      </c>
      <c r="L60" s="49">
        <f t="shared" si="58"/>
        <v>0.16202305640663919</v>
      </c>
      <c r="M60" s="49">
        <f t="shared" si="58"/>
        <v>0.1592081650964558</v>
      </c>
      <c r="N60" s="49">
        <f t="shared" si="58"/>
        <v>0.13908559562280529</v>
      </c>
      <c r="O60" s="49">
        <f t="shared" si="58"/>
        <v>0.16439510912657013</v>
      </c>
      <c r="P60" s="215">
        <f>P33</f>
        <v>0.17299999999999999</v>
      </c>
      <c r="Q60" s="215">
        <f t="shared" ref="Q60:T60" si="59">Q33</f>
        <v>0.15882690158312512</v>
      </c>
      <c r="R60" s="215">
        <f t="shared" si="59"/>
        <v>0.16540733690323176</v>
      </c>
      <c r="S60" s="215">
        <f t="shared" si="59"/>
        <v>0.16574474616211896</v>
      </c>
      <c r="T60" s="215">
        <f t="shared" si="59"/>
        <v>0.16332632821615864</v>
      </c>
    </row>
    <row r="62" spans="2:22" x14ac:dyDescent="0.3">
      <c r="B62" s="223" t="s">
        <v>40</v>
      </c>
      <c r="C62" s="224"/>
      <c r="D62" s="224"/>
      <c r="E62" s="224"/>
      <c r="F62" s="225">
        <f t="shared" ref="F62:J62" si="60">F53-F59</f>
        <v>16057</v>
      </c>
      <c r="G62" s="225">
        <f t="shared" si="60"/>
        <v>19044</v>
      </c>
      <c r="H62" s="225">
        <f t="shared" si="60"/>
        <v>11647</v>
      </c>
      <c r="I62" s="225">
        <f t="shared" si="60"/>
        <v>23347</v>
      </c>
      <c r="J62" s="225">
        <f t="shared" ref="J62:P62" si="61">J53-J59</f>
        <v>28949</v>
      </c>
      <c r="K62" s="225">
        <f t="shared" si="61"/>
        <v>33411</v>
      </c>
      <c r="L62" s="225">
        <f t="shared" si="61"/>
        <v>64013</v>
      </c>
      <c r="M62" s="225">
        <f t="shared" si="61"/>
        <v>63486</v>
      </c>
      <c r="N62" s="225">
        <f t="shared" si="61"/>
        <v>72371</v>
      </c>
      <c r="O62" s="225">
        <f t="shared" si="61"/>
        <v>92693</v>
      </c>
      <c r="P62" s="225">
        <f ca="1">P53-P59</f>
        <v>107875.15357999998</v>
      </c>
      <c r="Q62" s="225">
        <f t="shared" ref="Q62:T62" ca="1" si="62">Q53-Q59</f>
        <v>123724.14706218966</v>
      </c>
      <c r="R62" s="225">
        <f t="shared" ca="1" si="62"/>
        <v>135819.55814948224</v>
      </c>
      <c r="S62" s="225">
        <f t="shared" ca="1" si="62"/>
        <v>153576.07668979868</v>
      </c>
      <c r="T62" s="225">
        <f t="shared" ca="1" si="62"/>
        <v>172764.44160020194</v>
      </c>
      <c r="U62" s="51" t="s">
        <v>2</v>
      </c>
      <c r="V62" s="2" t="s">
        <v>41</v>
      </c>
    </row>
    <row r="64" spans="2:22" x14ac:dyDescent="0.3">
      <c r="B64" s="2" t="s">
        <v>232</v>
      </c>
      <c r="F64" s="50">
        <f>F36</f>
        <v>5063</v>
      </c>
      <c r="G64" s="50">
        <f t="shared" ref="G64:O64" si="63">G36</f>
        <v>6144</v>
      </c>
      <c r="H64" s="50">
        <f t="shared" si="63"/>
        <v>6915</v>
      </c>
      <c r="I64" s="50">
        <f t="shared" si="63"/>
        <v>9035</v>
      </c>
      <c r="J64" s="50">
        <f t="shared" si="63"/>
        <v>11781</v>
      </c>
      <c r="K64" s="50">
        <f t="shared" si="63"/>
        <v>13697</v>
      </c>
      <c r="L64" s="50">
        <f t="shared" si="63"/>
        <v>10273</v>
      </c>
      <c r="M64" s="50">
        <f t="shared" si="63"/>
        <v>13475</v>
      </c>
      <c r="N64" s="50">
        <f t="shared" si="63"/>
        <v>11946</v>
      </c>
      <c r="O64" s="50">
        <f t="shared" si="63"/>
        <v>15311</v>
      </c>
      <c r="P64" s="48">
        <f ca="1">P65*P$47</f>
        <v>17116.15265445675</v>
      </c>
      <c r="Q64" s="48">
        <f t="shared" ref="Q64:T64" ca="1" si="64">Q65*Q$47</f>
        <v>22526.140023976481</v>
      </c>
      <c r="R64" s="48">
        <f t="shared" ca="1" si="64"/>
        <v>29266.541239559087</v>
      </c>
      <c r="S64" s="48">
        <f t="shared" ca="1" si="64"/>
        <v>37214.783703642839</v>
      </c>
      <c r="T64" s="48">
        <f t="shared" ca="1" si="64"/>
        <v>46612.734603465855</v>
      </c>
    </row>
    <row r="65" spans="2:22" x14ac:dyDescent="0.3">
      <c r="B65" s="31" t="s">
        <v>28</v>
      </c>
      <c r="F65" s="49">
        <f t="shared" ref="F65:O65" si="65">F37</f>
        <v>6.7516569096800857E-2</v>
      </c>
      <c r="G65" s="49">
        <f t="shared" si="65"/>
        <v>6.8060971286777738E-2</v>
      </c>
      <c r="H65" s="49">
        <f t="shared" si="65"/>
        <v>6.237878309503405E-2</v>
      </c>
      <c r="I65" s="49">
        <f t="shared" si="65"/>
        <v>6.6036149949933856E-2</v>
      </c>
      <c r="J65" s="49">
        <f t="shared" si="65"/>
        <v>7.2786472009242723E-2</v>
      </c>
      <c r="K65" s="49">
        <f t="shared" si="65"/>
        <v>7.5040952845332465E-2</v>
      </c>
      <c r="L65" s="49">
        <f t="shared" si="65"/>
        <v>3.9873931151193344E-2</v>
      </c>
      <c r="M65" s="49">
        <f t="shared" si="65"/>
        <v>4.764245004172029E-2</v>
      </c>
      <c r="N65" s="49">
        <f t="shared" si="65"/>
        <v>3.8862176880485634E-2</v>
      </c>
      <c r="O65" s="49">
        <f t="shared" si="65"/>
        <v>4.3743464621819446E-2</v>
      </c>
      <c r="P65" s="217">
        <f>AVERAGE(M65:O65)</f>
        <v>4.3416030514675123E-2</v>
      </c>
      <c r="Q65" s="76">
        <f>P65+($T$65-$P$65)/($T$46-$P$46)</f>
        <v>5.1287022886006339E-2</v>
      </c>
      <c r="R65" s="76">
        <f t="shared" ref="R65:S65" si="66">Q65+($T$65-$P$65)/($T$46-$P$46)</f>
        <v>5.9158015257337555E-2</v>
      </c>
      <c r="S65" s="76">
        <f t="shared" si="66"/>
        <v>6.7029007628668771E-2</v>
      </c>
      <c r="T65" s="216">
        <v>7.4899999999999994E-2</v>
      </c>
    </row>
    <row r="66" spans="2:22" x14ac:dyDescent="0.3">
      <c r="F66" s="50"/>
      <c r="G66" s="50"/>
      <c r="H66" s="50"/>
      <c r="I66" s="50"/>
      <c r="J66" s="50"/>
      <c r="K66" s="50"/>
      <c r="L66" s="50"/>
      <c r="M66" s="50"/>
      <c r="N66" s="50"/>
    </row>
    <row r="67" spans="2:22" x14ac:dyDescent="0.3">
      <c r="B67" s="2" t="s">
        <v>233</v>
      </c>
      <c r="F67" s="72">
        <f>F39</f>
        <v>-9915</v>
      </c>
      <c r="G67" s="72">
        <f t="shared" ref="G67:O67" si="67">G39</f>
        <v>-9972</v>
      </c>
      <c r="H67" s="72">
        <f t="shared" si="67"/>
        <v>-13184</v>
      </c>
      <c r="I67" s="72">
        <f t="shared" si="67"/>
        <v>-25139</v>
      </c>
      <c r="J67" s="72">
        <f t="shared" si="67"/>
        <v>-23548</v>
      </c>
      <c r="K67" s="72">
        <f t="shared" si="67"/>
        <v>-22281</v>
      </c>
      <c r="L67" s="72">
        <f t="shared" si="67"/>
        <v>-24640</v>
      </c>
      <c r="M67" s="72">
        <f t="shared" si="67"/>
        <v>-31485</v>
      </c>
      <c r="N67" s="72">
        <f t="shared" si="67"/>
        <v>-32251</v>
      </c>
      <c r="O67" s="72">
        <f t="shared" si="67"/>
        <v>-52535</v>
      </c>
      <c r="P67" s="48">
        <f ca="1">P68*P$47</f>
        <v>-48139.957017366331</v>
      </c>
      <c r="Q67" s="48">
        <f t="shared" ref="Q67" ca="1" si="68">Q68*Q$47</f>
        <v>-50765.670784596601</v>
      </c>
      <c r="R67" s="48">
        <f t="shared" ref="R67" ca="1" si="69">R68*R$47</f>
        <v>-53951.373783268522</v>
      </c>
      <c r="S67" s="48">
        <f t="shared" ref="S67" ca="1" si="70">S68*S$47</f>
        <v>-56923.632961721276</v>
      </c>
      <c r="T67" s="48">
        <f t="shared" ref="T67" ca="1" si="71">T68*T$47</f>
        <v>-59743.958904308711</v>
      </c>
    </row>
    <row r="68" spans="2:22" x14ac:dyDescent="0.3">
      <c r="B68" s="31" t="s">
        <v>31</v>
      </c>
      <c r="F68" s="69">
        <f t="shared" ref="F68:O68" si="72">F40</f>
        <v>-0.13221939217751938</v>
      </c>
      <c r="G68" s="69">
        <f t="shared" si="72"/>
        <v>-0.11046614675646933</v>
      </c>
      <c r="H68" s="69">
        <f t="shared" si="72"/>
        <v>-0.11893013395877497</v>
      </c>
      <c r="I68" s="69">
        <f t="shared" si="72"/>
        <v>-0.18373910056351822</v>
      </c>
      <c r="J68" s="69">
        <f t="shared" si="72"/>
        <v>-0.14548644791389931</v>
      </c>
      <c r="K68" s="69">
        <f t="shared" si="72"/>
        <v>-0.12206961161910293</v>
      </c>
      <c r="L68" s="69">
        <f t="shared" si="72"/>
        <v>-9.5638437025737766E-2</v>
      </c>
      <c r="M68" s="69">
        <f t="shared" si="72"/>
        <v>-0.11131892686928113</v>
      </c>
      <c r="N68" s="69">
        <f t="shared" si="72"/>
        <v>-0.10491746748472644</v>
      </c>
      <c r="O68" s="69">
        <f t="shared" si="72"/>
        <v>-0.15009228096840735</v>
      </c>
      <c r="P68" s="218">
        <f>AVERAGE(M68:O68)</f>
        <v>-0.12210955844080497</v>
      </c>
      <c r="Q68" s="76">
        <f>P68+($T$68-$P$68)/($T$46-$P$46)</f>
        <v>-0.11558216883060372</v>
      </c>
      <c r="R68" s="76">
        <f t="shared" ref="R68:S68" si="73">Q68+($T$68-$P$68)/($T$46-$P$46)</f>
        <v>-0.10905477922040248</v>
      </c>
      <c r="S68" s="76">
        <f t="shared" si="73"/>
        <v>-0.10252738961020123</v>
      </c>
      <c r="T68" s="216">
        <v>-9.6000000000000002E-2</v>
      </c>
      <c r="U68" s="2" t="s">
        <v>2</v>
      </c>
      <c r="V68" s="2" t="s">
        <v>379</v>
      </c>
    </row>
    <row r="69" spans="2:22" x14ac:dyDescent="0.3">
      <c r="F69" s="50"/>
      <c r="G69" s="50"/>
      <c r="H69" s="50"/>
      <c r="I69" s="50"/>
      <c r="J69" s="50"/>
      <c r="K69" s="50"/>
      <c r="L69" s="50"/>
      <c r="M69" s="50"/>
      <c r="N69" s="50"/>
    </row>
    <row r="70" spans="2:22" x14ac:dyDescent="0.3">
      <c r="B70" s="2" t="s">
        <v>234</v>
      </c>
      <c r="F70" s="72">
        <f>F42</f>
        <v>-409</v>
      </c>
      <c r="G70" s="72">
        <f t="shared" ref="G70:O70" si="74">G42</f>
        <v>3300</v>
      </c>
      <c r="H70" s="72">
        <f t="shared" si="74"/>
        <v>9246</v>
      </c>
      <c r="I70" s="72">
        <f t="shared" si="74"/>
        <v>4908</v>
      </c>
      <c r="J70" s="72">
        <f t="shared" si="74"/>
        <v>819</v>
      </c>
      <c r="K70" s="72">
        <f t="shared" si="74"/>
        <v>1827</v>
      </c>
      <c r="L70" s="72">
        <f t="shared" si="74"/>
        <v>-1523</v>
      </c>
      <c r="M70" s="72">
        <f t="shared" si="74"/>
        <v>-2235</v>
      </c>
      <c r="N70" s="72">
        <f t="shared" si="74"/>
        <v>-3845</v>
      </c>
      <c r="O70" s="72">
        <f t="shared" si="74"/>
        <v>-8406</v>
      </c>
      <c r="P70" s="48">
        <f ca="1">P71*P$47</f>
        <v>-5838.1575623901881</v>
      </c>
      <c r="Q70" s="48">
        <f t="shared" ref="Q70" ca="1" si="75">Q71*Q$47</f>
        <v>-7513.5110483141243</v>
      </c>
      <c r="R70" s="48">
        <f t="shared" ref="R70" ca="1" si="76">R71*R$47</f>
        <v>-9599.7072200724506</v>
      </c>
      <c r="S70" s="48">
        <f t="shared" ref="S70" ca="1" si="77">S71*S$47</f>
        <v>-12049.151222937648</v>
      </c>
      <c r="T70" s="48">
        <f t="shared" ref="T70" ca="1" si="78">T71*T$47</f>
        <v>-14935.989726077178</v>
      </c>
      <c r="U70" s="2" t="s">
        <v>2</v>
      </c>
      <c r="V70" s="2" t="s">
        <v>257</v>
      </c>
    </row>
    <row r="71" spans="2:22" x14ac:dyDescent="0.3">
      <c r="B71" s="31" t="s">
        <v>22</v>
      </c>
      <c r="F71" s="69">
        <f t="shared" ref="F71:O71" si="79">F43</f>
        <v>-5.4541332728800223E-3</v>
      </c>
      <c r="G71" s="69">
        <f t="shared" si="79"/>
        <v>3.6556185749734134E-2</v>
      </c>
      <c r="H71" s="69">
        <f t="shared" si="79"/>
        <v>8.3406251409498894E-2</v>
      </c>
      <c r="I71" s="69">
        <f t="shared" si="79"/>
        <v>3.5872210730965727E-2</v>
      </c>
      <c r="J71" s="69">
        <f t="shared" si="79"/>
        <v>5.0600221182896012E-3</v>
      </c>
      <c r="K71" s="69">
        <f t="shared" si="79"/>
        <v>1.0009478049822766E-2</v>
      </c>
      <c r="L71" s="69">
        <f t="shared" si="79"/>
        <v>-5.9114180028489701E-3</v>
      </c>
      <c r="M71" s="69">
        <f t="shared" si="79"/>
        <v>-7.9021058139699327E-3</v>
      </c>
      <c r="N71" s="69">
        <f t="shared" si="79"/>
        <v>-1.25083768713768E-2</v>
      </c>
      <c r="O71" s="69">
        <f t="shared" si="79"/>
        <v>-2.4015907753315545E-2</v>
      </c>
      <c r="P71" s="218">
        <f>AVERAGE(M71:O71)</f>
        <v>-1.4808796812887425E-2</v>
      </c>
      <c r="Q71" s="76">
        <f>P71+($T$71-$P$71)/($T$46-$P$46)</f>
        <v>-1.7106597609665569E-2</v>
      </c>
      <c r="R71" s="76">
        <f t="shared" ref="R71:S71" si="80">Q71+($T$71-$P$71)/($T$46-$P$46)</f>
        <v>-1.9404398406443712E-2</v>
      </c>
      <c r="S71" s="76">
        <f t="shared" si="80"/>
        <v>-2.1702199203221854E-2</v>
      </c>
      <c r="T71" s="216">
        <v>-2.4E-2</v>
      </c>
      <c r="U71" s="2" t="s">
        <v>251</v>
      </c>
      <c r="V71" s="2" t="s">
        <v>258</v>
      </c>
    </row>
    <row r="73" spans="2:22" x14ac:dyDescent="0.3">
      <c r="B73" s="56" t="s">
        <v>42</v>
      </c>
      <c r="C73" s="53"/>
      <c r="D73" s="53"/>
      <c r="E73" s="53"/>
      <c r="F73" s="221">
        <f t="shared" ref="F73:J73" si="81">F62+F64-(-F67)-F70</f>
        <v>11614</v>
      </c>
      <c r="G73" s="221">
        <f t="shared" si="81"/>
        <v>11916</v>
      </c>
      <c r="H73" s="221">
        <f t="shared" si="81"/>
        <v>-3868</v>
      </c>
      <c r="I73" s="221">
        <f t="shared" si="81"/>
        <v>2335</v>
      </c>
      <c r="J73" s="221">
        <f t="shared" ref="J73:P73" si="82">J62+J64-(-J67)-J70</f>
        <v>16363</v>
      </c>
      <c r="K73" s="221">
        <f t="shared" si="82"/>
        <v>23000</v>
      </c>
      <c r="L73" s="221">
        <f t="shared" si="82"/>
        <v>51169</v>
      </c>
      <c r="M73" s="221">
        <f t="shared" si="82"/>
        <v>47711</v>
      </c>
      <c r="N73" s="221">
        <f t="shared" si="82"/>
        <v>55911</v>
      </c>
      <c r="O73" s="221">
        <f t="shared" si="82"/>
        <v>63875</v>
      </c>
      <c r="P73" s="221">
        <f t="shared" ref="P73:R73" ca="1" si="83">P62+P64-(-P67)-P70</f>
        <v>82689.506779480595</v>
      </c>
      <c r="Q73" s="221">
        <f t="shared" ca="1" si="83"/>
        <v>102998.12734988367</v>
      </c>
      <c r="R73" s="221">
        <f t="shared" ca="1" si="83"/>
        <v>120734.43282584526</v>
      </c>
      <c r="S73" s="221">
        <f ca="1">S62+S64-(-S67)-S70</f>
        <v>145916.37865465789</v>
      </c>
      <c r="T73" s="221">
        <f t="shared" ref="T73" ca="1" si="84">T62+T64-(-T67)-T70</f>
        <v>174569.20702543628</v>
      </c>
      <c r="U73" s="51" t="s">
        <v>2</v>
      </c>
      <c r="V73" s="2" t="s">
        <v>250</v>
      </c>
    </row>
    <row r="74" spans="2:22" ht="15" thickBot="1" x14ac:dyDescent="0.35">
      <c r="B74" s="220" t="s">
        <v>43</v>
      </c>
      <c r="C74" s="54"/>
      <c r="D74" s="54"/>
      <c r="E74" s="54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>
        <f ca="1">(P73*P76)/(1+wacc)^P77</f>
        <v>27192.804032225566</v>
      </c>
      <c r="Q74" s="222">
        <f ca="1">Q73/(1+wacc)^Q77</f>
        <v>96261.707153120718</v>
      </c>
      <c r="R74" s="222">
        <f ca="1">R73/(1+wacc)^R77</f>
        <v>104040.98467279924</v>
      </c>
      <c r="S74" s="222">
        <f ca="1">S73/(1+wacc)^S77</f>
        <v>115938.16630676016</v>
      </c>
      <c r="T74" s="222">
        <f ca="1">T73/(1+wacc)^T77</f>
        <v>127890.74003769142</v>
      </c>
      <c r="U74" s="51" t="s">
        <v>2</v>
      </c>
      <c r="V74" s="2" t="s">
        <v>44</v>
      </c>
    </row>
    <row r="76" spans="2:22" x14ac:dyDescent="0.3">
      <c r="B76" s="2" t="s">
        <v>113</v>
      </c>
      <c r="P76" s="73">
        <f>YEARFRAC(C5,C6,)</f>
        <v>0.33333333333333331</v>
      </c>
      <c r="Q76" s="73"/>
      <c r="R76" s="73"/>
      <c r="S76" s="73"/>
      <c r="T76" s="73"/>
    </row>
    <row r="77" spans="2:22" x14ac:dyDescent="0.3">
      <c r="B77" s="2" t="s">
        <v>45</v>
      </c>
      <c r="P77" s="73">
        <f>P76/2</f>
        <v>0.16666666666666666</v>
      </c>
      <c r="Q77" s="73">
        <f>P76+0.5</f>
        <v>0.83333333333333326</v>
      </c>
      <c r="R77" s="73">
        <f>Q77+1</f>
        <v>1.8333333333333333</v>
      </c>
      <c r="S77" s="73">
        <f t="shared" ref="S77:T77" si="85">R77+1</f>
        <v>2.833333333333333</v>
      </c>
      <c r="T77" s="73">
        <f t="shared" si="85"/>
        <v>3.833333333333333</v>
      </c>
    </row>
    <row r="79" spans="2:22" x14ac:dyDescent="0.3">
      <c r="B79" s="2" t="s">
        <v>46</v>
      </c>
      <c r="T79" s="48">
        <f ca="1">(T73*(1+tgr))/(wacc-tgr)</f>
        <v>3004590.2488712613</v>
      </c>
      <c r="U79" s="2" t="s">
        <v>2</v>
      </c>
      <c r="V79" s="2" t="s">
        <v>47</v>
      </c>
    </row>
    <row r="80" spans="2:22" x14ac:dyDescent="0.3">
      <c r="B80" s="2" t="s">
        <v>48</v>
      </c>
      <c r="T80" s="48">
        <f ca="1">T79/(1+wacc)^T77</f>
        <v>2201185.8619612511</v>
      </c>
      <c r="U80" s="2" t="s">
        <v>2</v>
      </c>
      <c r="V80" s="2" t="s">
        <v>49</v>
      </c>
    </row>
    <row r="81" spans="1:22" x14ac:dyDescent="0.3">
      <c r="B81" s="3" t="s">
        <v>50</v>
      </c>
      <c r="T81" s="74">
        <f ca="1">SUM(P74:T74)+T80</f>
        <v>2672510.264163848</v>
      </c>
      <c r="U81" s="2" t="s">
        <v>2</v>
      </c>
      <c r="V81" s="2" t="s">
        <v>51</v>
      </c>
    </row>
    <row r="82" spans="1:22" x14ac:dyDescent="0.3">
      <c r="B82" s="2" t="s">
        <v>52</v>
      </c>
      <c r="T82" s="90">
        <v>21036</v>
      </c>
      <c r="U82" s="2" t="s">
        <v>2</v>
      </c>
      <c r="V82" s="2" t="s">
        <v>247</v>
      </c>
    </row>
    <row r="83" spans="1:22" x14ac:dyDescent="0.3">
      <c r="B83" s="2" t="s">
        <v>53</v>
      </c>
      <c r="T83" s="90">
        <v>23607</v>
      </c>
      <c r="U83" s="2" t="s">
        <v>2</v>
      </c>
      <c r="V83" s="2" t="s">
        <v>247</v>
      </c>
    </row>
    <row r="84" spans="1:22" x14ac:dyDescent="0.3">
      <c r="B84" s="3" t="s">
        <v>54</v>
      </c>
      <c r="T84" s="74">
        <f ca="1">T81+T82-T83</f>
        <v>2669939.264163848</v>
      </c>
      <c r="U84" s="2" t="s">
        <v>2</v>
      </c>
      <c r="V84" s="2" t="s">
        <v>55</v>
      </c>
    </row>
    <row r="86" spans="1:22" x14ac:dyDescent="0.3">
      <c r="B86" s="2" t="s">
        <v>246</v>
      </c>
      <c r="T86" s="75">
        <f>Shares!E15</f>
        <v>12421</v>
      </c>
      <c r="U86" s="2" t="s">
        <v>2</v>
      </c>
      <c r="V86" s="2" t="s">
        <v>259</v>
      </c>
    </row>
    <row r="87" spans="1:22" x14ac:dyDescent="0.3">
      <c r="B87" s="3" t="s">
        <v>57</v>
      </c>
      <c r="T87" s="219">
        <f ca="1">T84/T86</f>
        <v>214.95364818966652</v>
      </c>
      <c r="U87" s="2" t="s">
        <v>2</v>
      </c>
      <c r="V87" s="2" t="s">
        <v>58</v>
      </c>
    </row>
    <row r="91" spans="1:22" ht="18" x14ac:dyDescent="0.35">
      <c r="A91" s="3" t="s">
        <v>115</v>
      </c>
      <c r="B91" s="58" t="s">
        <v>245</v>
      </c>
      <c r="C91" s="59"/>
      <c r="D91" s="59"/>
      <c r="E91" s="60"/>
      <c r="F91" s="6"/>
      <c r="G91" s="6"/>
      <c r="H91" s="6"/>
      <c r="I91" s="6"/>
      <c r="J91" s="6"/>
      <c r="K91" s="6"/>
      <c r="L91" s="6"/>
    </row>
    <row r="92" spans="1:22" x14ac:dyDescent="0.3">
      <c r="A92" s="2"/>
    </row>
    <row r="93" spans="1:22" x14ac:dyDescent="0.3">
      <c r="A93" s="2"/>
    </row>
    <row r="94" spans="1:22" x14ac:dyDescent="0.3">
      <c r="A94" s="2"/>
    </row>
    <row r="95" spans="1:22" x14ac:dyDescent="0.3">
      <c r="A95" s="2"/>
    </row>
    <row r="96" spans="1:22" x14ac:dyDescent="0.3">
      <c r="A96" s="2"/>
      <c r="G96" s="245" t="s">
        <v>16</v>
      </c>
      <c r="H96" s="246"/>
      <c r="I96" s="246"/>
      <c r="J96" s="246"/>
      <c r="K96" s="246"/>
    </row>
    <row r="97" spans="1:12" x14ac:dyDescent="0.3">
      <c r="A97" s="2"/>
      <c r="F97" s="241">
        <f ca="1">T81</f>
        <v>2672510.264163848</v>
      </c>
      <c r="G97" s="242">
        <v>7.4499999999999997E-2</v>
      </c>
      <c r="H97" s="242">
        <v>7.9500000000000001E-2</v>
      </c>
      <c r="I97" s="242">
        <v>8.4561587985595488E-2</v>
      </c>
      <c r="J97" s="242">
        <v>8.9499999999999996E-2</v>
      </c>
      <c r="K97" s="242">
        <v>9.4500000000000001E-2</v>
      </c>
      <c r="L97" s="32"/>
    </row>
    <row r="98" spans="1:12" x14ac:dyDescent="0.3">
      <c r="A98" s="2"/>
      <c r="F98" s="62">
        <v>1.4999999999999999E-2</v>
      </c>
      <c r="G98" s="243">
        <f t="dataTable" ref="G98:K102" dt2D="1" dtr="1" r1="D20" r2="D21" ca="1"/>
        <v>2742612.1309839739</v>
      </c>
      <c r="H98" s="25">
        <v>2525368.8484396925</v>
      </c>
      <c r="I98" s="25">
        <v>2337365.0019647996</v>
      </c>
      <c r="J98" s="25">
        <v>2178651.2198413149</v>
      </c>
      <c r="K98" s="25">
        <v>2038132.9892606258</v>
      </c>
    </row>
    <row r="99" spans="1:12" x14ac:dyDescent="0.3">
      <c r="A99" s="2"/>
      <c r="F99" s="62">
        <v>0.02</v>
      </c>
      <c r="G99" s="244">
        <v>2962198.8076684903</v>
      </c>
      <c r="H99" s="25">
        <v>2708486.4666519701</v>
      </c>
      <c r="I99" s="25">
        <v>2491786.2286947989</v>
      </c>
      <c r="J99" s="25">
        <v>2310877.9935743399</v>
      </c>
      <c r="K99" s="25">
        <v>2152237.5242292206</v>
      </c>
    </row>
    <row r="100" spans="1:12" x14ac:dyDescent="0.3">
      <c r="A100" s="2"/>
      <c r="E100" s="230" t="s">
        <v>17</v>
      </c>
      <c r="F100" s="62">
        <v>2.5000000000000001E-2</v>
      </c>
      <c r="G100" s="244">
        <v>3226146.4291377575</v>
      </c>
      <c r="H100" s="25">
        <v>2925203.6478389772</v>
      </c>
      <c r="I100" s="240">
        <v>2672133.7666519843</v>
      </c>
      <c r="J100" s="25">
        <v>2463605.0423047328</v>
      </c>
      <c r="K100" s="25">
        <v>2282759.9778983328</v>
      </c>
    </row>
    <row r="101" spans="1:12" x14ac:dyDescent="0.3">
      <c r="A101" s="2"/>
      <c r="F101" s="62">
        <v>0.03</v>
      </c>
      <c r="G101" s="244">
        <v>3549408.1228473093</v>
      </c>
      <c r="H101" s="25">
        <v>3185702.077750633</v>
      </c>
      <c r="I101" s="25">
        <v>2885535.243216089</v>
      </c>
      <c r="J101" s="25">
        <v>2642000.5025864528</v>
      </c>
      <c r="K101" s="25">
        <v>2433518.4708959898</v>
      </c>
    </row>
    <row r="102" spans="1:12" x14ac:dyDescent="0.3">
      <c r="A102" s="2"/>
      <c r="F102" s="62">
        <v>3.5000000000000003E-2</v>
      </c>
      <c r="G102" s="244">
        <v>3954508.2200276335</v>
      </c>
      <c r="H102" s="25">
        <v>3504739.4806761434</v>
      </c>
      <c r="I102" s="25">
        <v>3141994.5565521154</v>
      </c>
      <c r="J102" s="25">
        <v>2853129.0748464693</v>
      </c>
      <c r="K102" s="25">
        <v>2609614.5257419925</v>
      </c>
    </row>
    <row r="103" spans="1:12" x14ac:dyDescent="0.3">
      <c r="A103" s="2"/>
      <c r="F103" s="32"/>
    </row>
    <row r="104" spans="1:12" x14ac:dyDescent="0.3">
      <c r="A104" s="2"/>
      <c r="F104" s="32"/>
    </row>
    <row r="105" spans="1:12" x14ac:dyDescent="0.3">
      <c r="A105" s="2"/>
    </row>
    <row r="106" spans="1:12" x14ac:dyDescent="0.3">
      <c r="A106" s="2"/>
    </row>
    <row r="107" spans="1:12" ht="18" x14ac:dyDescent="0.35">
      <c r="A107" s="3" t="s">
        <v>115</v>
      </c>
      <c r="B107" s="58" t="s">
        <v>244</v>
      </c>
      <c r="C107" s="59"/>
      <c r="D107" s="59"/>
      <c r="E107" s="60"/>
      <c r="F107" s="6"/>
      <c r="G107" s="6"/>
      <c r="H107" s="6"/>
      <c r="I107" s="6"/>
      <c r="J107" s="6"/>
      <c r="K107" s="6"/>
      <c r="L107" s="6"/>
    </row>
    <row r="112" spans="1:12" x14ac:dyDescent="0.3">
      <c r="G112" s="245" t="s">
        <v>16</v>
      </c>
      <c r="H112" s="246"/>
      <c r="I112" s="246"/>
      <c r="J112" s="246"/>
      <c r="K112" s="246"/>
    </row>
    <row r="113" spans="5:11" x14ac:dyDescent="0.3">
      <c r="F113" s="241">
        <f ca="1">T87</f>
        <v>214.95364818966652</v>
      </c>
      <c r="G113" s="242">
        <v>7.4499999999999997E-2</v>
      </c>
      <c r="H113" s="242">
        <v>7.9500000000000001E-2</v>
      </c>
      <c r="I113" s="242">
        <v>8.4561587985595488E-2</v>
      </c>
      <c r="J113" s="242">
        <v>8.9499999999999996E-2</v>
      </c>
      <c r="K113" s="242">
        <v>9.4500000000000001E-2</v>
      </c>
    </row>
    <row r="114" spans="5:11" x14ac:dyDescent="0.3">
      <c r="F114" s="62">
        <v>1.4999999999999999E-2</v>
      </c>
      <c r="G114" s="247">
        <f t="dataTable" ref="G114:K118" dt2D="1" dtr="1" r1="D20" r2="D21" ca="1"/>
        <v>220.59746646678801</v>
      </c>
      <c r="H114" s="73">
        <v>203.1074670670391</v>
      </c>
      <c r="I114" s="73">
        <v>187.97150003742047</v>
      </c>
      <c r="J114" s="73">
        <v>175.19364140095925</v>
      </c>
      <c r="K114" s="73">
        <v>163.88068507049559</v>
      </c>
    </row>
    <row r="115" spans="5:11" x14ac:dyDescent="0.3">
      <c r="F115" s="62">
        <v>0.02</v>
      </c>
      <c r="G115" s="248">
        <v>238.27612975352147</v>
      </c>
      <c r="H115" s="73">
        <v>217.85004964591982</v>
      </c>
      <c r="I115" s="73">
        <v>200.40377012275977</v>
      </c>
      <c r="J115" s="73">
        <v>185.8390623600628</v>
      </c>
      <c r="K115" s="73">
        <v>173.06710604856457</v>
      </c>
    </row>
    <row r="116" spans="5:11" x14ac:dyDescent="0.3">
      <c r="E116" s="230" t="s">
        <v>17</v>
      </c>
      <c r="F116" s="62">
        <v>2.5000000000000001E-2</v>
      </c>
      <c r="G116" s="248">
        <v>259.52624016888797</v>
      </c>
      <c r="H116" s="73">
        <v>235.29769324844835</v>
      </c>
      <c r="I116" s="249">
        <v>214.92333682086661</v>
      </c>
      <c r="J116" s="73">
        <v>198.1349361810428</v>
      </c>
      <c r="K116" s="73">
        <v>183.57531421772262</v>
      </c>
    </row>
    <row r="117" spans="5:11" x14ac:dyDescent="0.3">
      <c r="F117" s="62">
        <v>0.03</v>
      </c>
      <c r="G117" s="248">
        <v>285.55165629557274</v>
      </c>
      <c r="H117" s="73">
        <v>256.27011333633629</v>
      </c>
      <c r="I117" s="73">
        <v>232.10403697094347</v>
      </c>
      <c r="J117" s="73">
        <v>212.49734341731363</v>
      </c>
      <c r="K117" s="73">
        <v>195.7127019479905</v>
      </c>
    </row>
    <row r="118" spans="5:11" x14ac:dyDescent="0.3">
      <c r="F118" s="62">
        <v>3.5000000000000003E-2</v>
      </c>
      <c r="G118" s="248">
        <v>318.16578536572206</v>
      </c>
      <c r="H118" s="73">
        <v>281.95543681476079</v>
      </c>
      <c r="I118" s="73">
        <v>252.75127256679136</v>
      </c>
      <c r="J118" s="73">
        <v>229.49505473363411</v>
      </c>
      <c r="K118" s="73">
        <v>209.88998677578235</v>
      </c>
    </row>
  </sheetData>
  <dataValidations disablePrompts="1" count="1">
    <dataValidation type="list" allowBlank="1" showInputMessage="1" showErrorMessage="1" sqref="D13:D16" xr:uid="{AFE28C46-128C-439A-A572-DCB790C37A90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CF0-7BDE-47C5-A30C-6AB53F4256D9}">
  <dimension ref="A1:Q42"/>
  <sheetViews>
    <sheetView showGridLines="0" topLeftCell="A4" workbookViewId="0">
      <selection activeCell="A5" sqref="A5"/>
    </sheetView>
  </sheetViews>
  <sheetFormatPr defaultRowHeight="14.4" x14ac:dyDescent="0.3"/>
  <cols>
    <col min="1" max="1" width="3.77734375" style="3" customWidth="1"/>
    <col min="2" max="2" width="39.21875" style="2" bestFit="1" customWidth="1"/>
    <col min="3" max="3" width="14.21875" style="2" customWidth="1"/>
    <col min="4" max="4" width="15.21875" style="2" customWidth="1"/>
    <col min="5" max="5" width="16.88671875" style="2" customWidth="1"/>
    <col min="6" max="16384" width="8.88671875" style="2"/>
  </cols>
  <sheetData>
    <row r="1" spans="1:17" x14ac:dyDescent="0.3">
      <c r="A1" s="2"/>
    </row>
    <row r="2" spans="1:17" ht="21" x14ac:dyDescent="0.4">
      <c r="A2" s="1"/>
      <c r="B2" s="183" t="s">
        <v>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</row>
    <row r="4" spans="1:17" x14ac:dyDescent="0.3">
      <c r="A4" s="3" t="s">
        <v>115</v>
      </c>
      <c r="B4" s="184" t="s">
        <v>195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</row>
    <row r="5" spans="1:17" ht="5.4" customHeight="1" x14ac:dyDescent="0.3"/>
    <row r="6" spans="1:17" x14ac:dyDescent="0.3">
      <c r="B6" s="2" t="s">
        <v>196</v>
      </c>
      <c r="E6" s="186">
        <v>212.91</v>
      </c>
    </row>
    <row r="7" spans="1:17" x14ac:dyDescent="0.3">
      <c r="B7" s="2" t="s">
        <v>197</v>
      </c>
      <c r="E7" s="198">
        <v>12122</v>
      </c>
    </row>
    <row r="8" spans="1:17" x14ac:dyDescent="0.3">
      <c r="B8" s="2" t="s">
        <v>198</v>
      </c>
      <c r="E8" s="25">
        <f>E31</f>
        <v>0</v>
      </c>
    </row>
    <row r="9" spans="1:17" x14ac:dyDescent="0.3">
      <c r="B9" s="2" t="s">
        <v>199</v>
      </c>
      <c r="E9" s="25">
        <f>SUMPRODUCT(D20:D29,E20:E29)</f>
        <v>0</v>
      </c>
    </row>
    <row r="10" spans="1:17" x14ac:dyDescent="0.3">
      <c r="B10" s="2" t="s">
        <v>200</v>
      </c>
      <c r="E10" s="25">
        <f>E9/E6</f>
        <v>0</v>
      </c>
    </row>
    <row r="11" spans="1:17" x14ac:dyDescent="0.3">
      <c r="B11" s="2" t="s">
        <v>201</v>
      </c>
      <c r="E11" s="25">
        <f>E8-E10</f>
        <v>0</v>
      </c>
    </row>
    <row r="12" spans="1:17" x14ac:dyDescent="0.3">
      <c r="B12" s="2" t="s">
        <v>224</v>
      </c>
      <c r="E12" s="199">
        <f>299+E41</f>
        <v>299</v>
      </c>
    </row>
    <row r="14" spans="1:17" x14ac:dyDescent="0.3">
      <c r="E14" s="16"/>
    </row>
    <row r="15" spans="1:17" x14ac:dyDescent="0.3">
      <c r="B15" s="3" t="s">
        <v>202</v>
      </c>
      <c r="E15" s="187">
        <f>E7+E11+E12</f>
        <v>12421</v>
      </c>
    </row>
    <row r="17" spans="1:5" x14ac:dyDescent="0.3">
      <c r="A17" s="3" t="s">
        <v>115</v>
      </c>
      <c r="B17" s="184" t="s">
        <v>203</v>
      </c>
      <c r="C17" s="185"/>
      <c r="D17" s="185"/>
      <c r="E17" s="185"/>
    </row>
    <row r="18" spans="1:5" ht="6" customHeight="1" x14ac:dyDescent="0.3"/>
    <row r="19" spans="1:5" x14ac:dyDescent="0.3">
      <c r="C19" s="80" t="s">
        <v>204</v>
      </c>
      <c r="D19" s="80" t="s">
        <v>205</v>
      </c>
      <c r="E19" s="80" t="s">
        <v>206</v>
      </c>
    </row>
    <row r="20" spans="1:5" x14ac:dyDescent="0.3">
      <c r="B20" s="188" t="s">
        <v>207</v>
      </c>
      <c r="C20" s="189"/>
      <c r="D20" s="189"/>
      <c r="E20" s="16">
        <f>IF(D20&lt;$E$6,C20)</f>
        <v>0</v>
      </c>
    </row>
    <row r="21" spans="1:5" x14ac:dyDescent="0.3">
      <c r="B21" s="188" t="s">
        <v>208</v>
      </c>
      <c r="C21" s="189"/>
      <c r="D21" s="189"/>
      <c r="E21" s="16">
        <f t="shared" ref="E21:E29" si="0">IF(D21&lt;$E$6,C21)</f>
        <v>0</v>
      </c>
    </row>
    <row r="22" spans="1:5" x14ac:dyDescent="0.3">
      <c r="B22" s="188" t="s">
        <v>209</v>
      </c>
      <c r="C22" s="189"/>
      <c r="D22" s="189"/>
      <c r="E22" s="16">
        <f t="shared" si="0"/>
        <v>0</v>
      </c>
    </row>
    <row r="23" spans="1:5" x14ac:dyDescent="0.3">
      <c r="B23" s="188" t="s">
        <v>210</v>
      </c>
      <c r="C23" s="189"/>
      <c r="D23" s="189"/>
      <c r="E23" s="16">
        <f t="shared" si="0"/>
        <v>0</v>
      </c>
    </row>
    <row r="24" spans="1:5" x14ac:dyDescent="0.3">
      <c r="B24" s="188" t="s">
        <v>211</v>
      </c>
      <c r="C24" s="189"/>
      <c r="D24" s="189"/>
      <c r="E24" s="16">
        <f t="shared" si="0"/>
        <v>0</v>
      </c>
    </row>
    <row r="25" spans="1:5" x14ac:dyDescent="0.3">
      <c r="B25" s="188" t="s">
        <v>212</v>
      </c>
      <c r="C25" s="189"/>
      <c r="D25" s="189"/>
      <c r="E25" s="16">
        <f t="shared" si="0"/>
        <v>0</v>
      </c>
    </row>
    <row r="26" spans="1:5" x14ac:dyDescent="0.3">
      <c r="B26" s="188" t="s">
        <v>213</v>
      </c>
      <c r="C26" s="189"/>
      <c r="D26" s="189"/>
      <c r="E26" s="16">
        <f t="shared" si="0"/>
        <v>0</v>
      </c>
    </row>
    <row r="27" spans="1:5" x14ac:dyDescent="0.3">
      <c r="B27" s="188" t="s">
        <v>214</v>
      </c>
      <c r="C27" s="189"/>
      <c r="D27" s="189"/>
      <c r="E27" s="16">
        <f t="shared" si="0"/>
        <v>0</v>
      </c>
    </row>
    <row r="28" spans="1:5" x14ac:dyDescent="0.3">
      <c r="B28" s="188" t="s">
        <v>215</v>
      </c>
      <c r="C28" s="189"/>
      <c r="D28" s="189"/>
      <c r="E28" s="16">
        <f t="shared" si="0"/>
        <v>0</v>
      </c>
    </row>
    <row r="29" spans="1:5" x14ac:dyDescent="0.3">
      <c r="B29" s="188" t="s">
        <v>216</v>
      </c>
      <c r="C29" s="189"/>
      <c r="D29" s="189"/>
      <c r="E29" s="16">
        <f t="shared" si="0"/>
        <v>0</v>
      </c>
    </row>
    <row r="30" spans="1:5" ht="6" customHeight="1" x14ac:dyDescent="0.3"/>
    <row r="31" spans="1:5" x14ac:dyDescent="0.3">
      <c r="A31" s="3" t="s">
        <v>115</v>
      </c>
      <c r="B31" s="190" t="s">
        <v>130</v>
      </c>
      <c r="C31" s="191"/>
      <c r="D31" s="191"/>
      <c r="E31" s="190">
        <f>SUM(E20:E29)</f>
        <v>0</v>
      </c>
    </row>
    <row r="34" spans="1:5" x14ac:dyDescent="0.3">
      <c r="A34" s="3" t="s">
        <v>115</v>
      </c>
      <c r="B34" s="184" t="s">
        <v>217</v>
      </c>
      <c r="C34" s="184"/>
      <c r="D34" s="184"/>
      <c r="E34" s="184"/>
    </row>
    <row r="35" spans="1:5" ht="4.8" customHeight="1" x14ac:dyDescent="0.3"/>
    <row r="36" spans="1:5" x14ac:dyDescent="0.3">
      <c r="B36" s="2" t="s">
        <v>218</v>
      </c>
      <c r="E36" s="192">
        <v>0</v>
      </c>
    </row>
    <row r="37" spans="1:5" x14ac:dyDescent="0.3">
      <c r="B37" s="2" t="s">
        <v>219</v>
      </c>
      <c r="E37" s="189">
        <v>0</v>
      </c>
    </row>
    <row r="38" spans="1:5" x14ac:dyDescent="0.3">
      <c r="B38" s="2" t="s">
        <v>220</v>
      </c>
      <c r="E38" s="2">
        <f>IFERROR(E36/E39,0)</f>
        <v>0</v>
      </c>
    </row>
    <row r="39" spans="1:5" x14ac:dyDescent="0.3">
      <c r="B39" s="2" t="s">
        <v>221</v>
      </c>
      <c r="E39" s="2">
        <f>E36*E37/1000</f>
        <v>0</v>
      </c>
    </row>
    <row r="41" spans="1:5" x14ac:dyDescent="0.3">
      <c r="B41" s="2" t="s">
        <v>222</v>
      </c>
      <c r="E41" s="193">
        <f>IF(E6&gt;E38,E39,0)</f>
        <v>0</v>
      </c>
    </row>
    <row r="42" spans="1:5" x14ac:dyDescent="0.3">
      <c r="B42" s="2" t="s">
        <v>223</v>
      </c>
      <c r="E42" s="86">
        <f>-E36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C36-6841-4A7C-A55A-E14CA8B9F12A}">
  <dimension ref="A2:S31"/>
  <sheetViews>
    <sheetView showGridLines="0" topLeftCell="A1048553" workbookViewId="0">
      <selection activeCell="A1048576" sqref="A1048576"/>
    </sheetView>
  </sheetViews>
  <sheetFormatPr defaultRowHeight="14.4" x14ac:dyDescent="0.3"/>
  <cols>
    <col min="1" max="1" width="3.77734375" style="2" customWidth="1"/>
    <col min="2" max="2" width="28" style="2" bestFit="1" customWidth="1"/>
    <col min="3" max="3" width="8.88671875" style="2"/>
    <col min="4" max="4" width="12.5546875" style="2" bestFit="1" customWidth="1"/>
    <col min="5" max="5" width="11.21875" style="2" bestFit="1" customWidth="1"/>
    <col min="6" max="6" width="8.44140625" style="2" bestFit="1" customWidth="1"/>
    <col min="7" max="7" width="7.6640625" style="2" bestFit="1" customWidth="1"/>
    <col min="8" max="8" width="14" style="2" bestFit="1" customWidth="1"/>
    <col min="9" max="18" width="8.88671875" style="2"/>
    <col min="19" max="19" width="13.44140625" style="2" bestFit="1" customWidth="1"/>
    <col min="20" max="16384" width="8.88671875" style="2"/>
  </cols>
  <sheetData>
    <row r="2" spans="1:19" ht="25.8" x14ac:dyDescent="0.5">
      <c r="B2" s="77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.8" customHeight="1" x14ac:dyDescent="0.3"/>
    <row r="4" spans="1:19" x14ac:dyDescent="0.3">
      <c r="A4" s="3" t="s">
        <v>115</v>
      </c>
      <c r="B4" s="78" t="s">
        <v>16</v>
      </c>
      <c r="C4" s="79"/>
      <c r="D4" s="79"/>
      <c r="E4" s="79"/>
      <c r="F4" s="8"/>
      <c r="G4" s="80" t="s">
        <v>4</v>
      </c>
    </row>
    <row r="5" spans="1:19" x14ac:dyDescent="0.3">
      <c r="B5" s="2" t="s">
        <v>116</v>
      </c>
      <c r="D5" s="194">
        <f>COMPS!D11*Shares!E15</f>
        <v>2644555.11</v>
      </c>
      <c r="E5" s="86">
        <v>2644555.11</v>
      </c>
      <c r="F5" s="81" t="s">
        <v>2</v>
      </c>
      <c r="G5" s="2" t="s">
        <v>225</v>
      </c>
      <c r="S5" s="42"/>
    </row>
    <row r="6" spans="1:19" x14ac:dyDescent="0.3">
      <c r="B6" s="2" t="s">
        <v>117</v>
      </c>
      <c r="E6" s="82">
        <f>E5/(E5+E12)</f>
        <v>0.99590161790665876</v>
      </c>
      <c r="F6" s="81" t="s">
        <v>2</v>
      </c>
      <c r="G6" s="2" t="s">
        <v>118</v>
      </c>
    </row>
    <row r="7" spans="1:19" x14ac:dyDescent="0.3">
      <c r="B7" s="2" t="s">
        <v>119</v>
      </c>
      <c r="E7" s="82">
        <f>E8+(E9*E10)</f>
        <v>8.1484000000000001E-2</v>
      </c>
      <c r="F7" s="196" t="s">
        <v>2</v>
      </c>
      <c r="G7" s="2" t="s">
        <v>120</v>
      </c>
    </row>
    <row r="8" spans="1:19" x14ac:dyDescent="0.3">
      <c r="B8" s="2" t="s">
        <v>121</v>
      </c>
      <c r="E8" s="200">
        <v>4.2700000000000002E-2</v>
      </c>
      <c r="F8" s="81" t="s">
        <v>2</v>
      </c>
      <c r="G8" s="57" t="s">
        <v>122</v>
      </c>
    </row>
    <row r="9" spans="1:19" x14ac:dyDescent="0.3">
      <c r="B9" s="2" t="s">
        <v>123</v>
      </c>
      <c r="E9" s="83">
        <v>1.01</v>
      </c>
      <c r="F9" s="81"/>
      <c r="G9" s="57"/>
    </row>
    <row r="10" spans="1:19" x14ac:dyDescent="0.3">
      <c r="B10" s="2" t="s">
        <v>124</v>
      </c>
      <c r="E10" s="201">
        <v>3.8399999999999997E-2</v>
      </c>
      <c r="F10" s="81" t="s">
        <v>2</v>
      </c>
      <c r="G10" s="57" t="s">
        <v>226</v>
      </c>
    </row>
    <row r="11" spans="1:19" x14ac:dyDescent="0.3">
      <c r="F11" s="16"/>
      <c r="G11" s="57"/>
    </row>
    <row r="12" spans="1:19" x14ac:dyDescent="0.3">
      <c r="B12" s="2" t="s">
        <v>125</v>
      </c>
      <c r="E12" s="202">
        <v>10883</v>
      </c>
      <c r="F12" s="81" t="s">
        <v>2</v>
      </c>
      <c r="G12" s="57" t="s">
        <v>126</v>
      </c>
      <c r="S12" s="85"/>
    </row>
    <row r="13" spans="1:19" x14ac:dyDescent="0.3">
      <c r="B13" s="2" t="s">
        <v>127</v>
      </c>
      <c r="E13" s="82">
        <f>E12/E5</f>
        <v>4.115247951856825E-3</v>
      </c>
      <c r="F13" s="81" t="s">
        <v>2</v>
      </c>
      <c r="G13" s="57" t="s">
        <v>128</v>
      </c>
    </row>
    <row r="14" spans="1:19" x14ac:dyDescent="0.3">
      <c r="B14" s="2" t="s">
        <v>129</v>
      </c>
      <c r="E14" s="87">
        <f>(295*2)/E12</f>
        <v>5.421299274097216E-2</v>
      </c>
      <c r="F14" s="81" t="s">
        <v>2</v>
      </c>
      <c r="G14" s="2" t="s">
        <v>227</v>
      </c>
    </row>
    <row r="15" spans="1:19" x14ac:dyDescent="0.3">
      <c r="B15" s="1" t="s">
        <v>24</v>
      </c>
      <c r="C15" s="1"/>
      <c r="D15" s="1"/>
      <c r="E15" s="203">
        <v>0.17299999999999999</v>
      </c>
      <c r="F15" s="81" t="s">
        <v>2</v>
      </c>
      <c r="G15" s="57" t="s">
        <v>253</v>
      </c>
    </row>
    <row r="16" spans="1:19" x14ac:dyDescent="0.3">
      <c r="B16" s="2" t="s">
        <v>130</v>
      </c>
      <c r="E16" s="86">
        <f>E5+E12</f>
        <v>2655438.11</v>
      </c>
      <c r="F16" s="81" t="s">
        <v>2</v>
      </c>
      <c r="G16" s="57" t="s">
        <v>131</v>
      </c>
    </row>
    <row r="17" spans="1:9" x14ac:dyDescent="0.3">
      <c r="F17" s="16"/>
    </row>
    <row r="18" spans="1:9" x14ac:dyDescent="0.3">
      <c r="B18" s="3" t="s">
        <v>16</v>
      </c>
      <c r="E18" s="84">
        <f>E6*E7+E13*(1-E15)</f>
        <v>8.4553357489691769E-2</v>
      </c>
      <c r="F18" s="195" t="s">
        <v>2</v>
      </c>
      <c r="G18" s="2" t="s">
        <v>132</v>
      </c>
    </row>
    <row r="21" spans="1:9" x14ac:dyDescent="0.3">
      <c r="A21" s="3" t="s">
        <v>115</v>
      </c>
      <c r="B21" s="239" t="s">
        <v>243</v>
      </c>
    </row>
    <row r="22" spans="1:9" x14ac:dyDescent="0.3">
      <c r="A22" s="3" t="s">
        <v>115</v>
      </c>
      <c r="B22" s="78" t="s">
        <v>123</v>
      </c>
      <c r="C22" s="79"/>
      <c r="D22" s="79"/>
      <c r="E22" s="79"/>
      <c r="F22" s="79"/>
      <c r="G22" s="79"/>
      <c r="H22" s="79"/>
    </row>
    <row r="23" spans="1:9" ht="4.2" customHeight="1" x14ac:dyDescent="0.3"/>
    <row r="24" spans="1:9" x14ac:dyDescent="0.3">
      <c r="B24" s="92" t="s">
        <v>193</v>
      </c>
      <c r="C24" s="91"/>
      <c r="D24" s="92" t="s">
        <v>133</v>
      </c>
      <c r="E24" s="92" t="s">
        <v>134</v>
      </c>
      <c r="F24" s="92" t="s">
        <v>135</v>
      </c>
      <c r="G24" s="92" t="s">
        <v>24</v>
      </c>
      <c r="H24" s="92" t="s">
        <v>136</v>
      </c>
    </row>
    <row r="25" spans="1:9" x14ac:dyDescent="0.3">
      <c r="A25" s="36"/>
      <c r="B25" s="2" t="s">
        <v>152</v>
      </c>
      <c r="D25" s="204">
        <v>1.2</v>
      </c>
      <c r="E25" s="33">
        <f>COMPS!G15</f>
        <v>3445048.13</v>
      </c>
      <c r="F25" s="93">
        <f>9923+9345+82430-36269-19103</f>
        <v>46326</v>
      </c>
      <c r="G25" s="205">
        <v>0.154</v>
      </c>
      <c r="H25" s="94">
        <f>(D25/(1+(1-G25)*(F25/E25)))</f>
        <v>1.1865020330979354</v>
      </c>
      <c r="I25" s="2" t="s">
        <v>137</v>
      </c>
    </row>
    <row r="26" spans="1:9" x14ac:dyDescent="0.3">
      <c r="B26" s="2" t="s">
        <v>153</v>
      </c>
      <c r="D26" s="204">
        <v>1.05</v>
      </c>
      <c r="E26" s="33">
        <f>COMPS!G14</f>
        <v>3766311.07</v>
      </c>
      <c r="F26" s="93">
        <f>2999+39882-28828-50790</f>
        <v>-36737</v>
      </c>
      <c r="G26" s="205">
        <v>0.18</v>
      </c>
      <c r="H26" s="94">
        <f t="shared" ref="H26:H28" si="0">(D26/(1+(1-G26)*(F26/E26)))</f>
        <v>1.0584660000384938</v>
      </c>
    </row>
    <row r="27" spans="1:9" x14ac:dyDescent="0.3">
      <c r="B27" s="2" t="s">
        <v>177</v>
      </c>
      <c r="D27" s="204">
        <v>1.31</v>
      </c>
      <c r="E27" s="33">
        <f>COMPS!G13</f>
        <v>2442264.87</v>
      </c>
      <c r="F27" s="93">
        <f>50718-57741-35439</f>
        <v>-42462</v>
      </c>
      <c r="G27" s="205">
        <v>0.1699</v>
      </c>
      <c r="H27" s="94">
        <f t="shared" si="0"/>
        <v>1.3291832845300962</v>
      </c>
    </row>
    <row r="28" spans="1:9" x14ac:dyDescent="0.3">
      <c r="B28" s="2" t="s">
        <v>179</v>
      </c>
      <c r="D28" s="204">
        <v>1.27</v>
      </c>
      <c r="E28" s="33">
        <f>COMPS!G16</f>
        <v>1855718.91</v>
      </c>
      <c r="F28" s="93">
        <f>28832-12005-35066</f>
        <v>-18239</v>
      </c>
      <c r="G28" s="205">
        <v>0.1</v>
      </c>
      <c r="H28" s="94">
        <f t="shared" si="0"/>
        <v>1.2813342759834767</v>
      </c>
    </row>
    <row r="30" spans="1:9" x14ac:dyDescent="0.3">
      <c r="B30" s="2" t="s">
        <v>138</v>
      </c>
      <c r="D30" s="95">
        <f>AVERAGE(H25:H28)</f>
        <v>1.2138713984125005</v>
      </c>
    </row>
    <row r="31" spans="1:9" x14ac:dyDescent="0.3">
      <c r="B31" s="3" t="s">
        <v>194</v>
      </c>
      <c r="D31" s="96">
        <f>D30*(1+(1-E15)*(E12-DCF!T82)/WACC!E5)</f>
        <v>1.2100173252686877</v>
      </c>
      <c r="F31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8F2-484D-43EC-BB1D-362F320C26B6}">
  <dimension ref="A1:AD62"/>
  <sheetViews>
    <sheetView showGridLines="0" topLeftCell="H7" workbookViewId="0">
      <selection activeCell="L25" sqref="L25"/>
    </sheetView>
  </sheetViews>
  <sheetFormatPr defaultColWidth="12.44140625" defaultRowHeight="14.4" outlineLevelRow="1" x14ac:dyDescent="0.3"/>
  <cols>
    <col min="1" max="1" width="4.88671875" style="16" customWidth="1"/>
    <col min="2" max="4" width="12.44140625" style="2"/>
    <col min="5" max="5" width="12.5546875" style="2" bestFit="1" customWidth="1"/>
    <col min="6" max="7" width="14" style="2" bestFit="1" customWidth="1"/>
    <col min="8" max="8" width="12.44140625" style="2"/>
    <col min="9" max="11" width="13.6640625" style="2" bestFit="1" customWidth="1"/>
    <col min="12" max="12" width="13.21875" style="2" bestFit="1" customWidth="1"/>
    <col min="13" max="13" width="12.6640625" style="2" bestFit="1" customWidth="1"/>
    <col min="14" max="14" width="13.21875" style="2" bestFit="1" customWidth="1"/>
    <col min="15" max="15" width="12.6640625" style="2" bestFit="1" customWidth="1"/>
    <col min="16" max="16384" width="12.44140625" style="2"/>
  </cols>
  <sheetData>
    <row r="1" spans="1:30" customFormat="1" x14ac:dyDescent="0.3">
      <c r="A1" s="97"/>
    </row>
    <row r="2" spans="1:30" s="100" customFormat="1" ht="21" x14ac:dyDescent="0.4">
      <c r="A2" s="98"/>
      <c r="B2" s="99" t="s">
        <v>155</v>
      </c>
      <c r="F2" s="101"/>
      <c r="R2" s="101"/>
      <c r="U2" s="101"/>
    </row>
    <row r="3" spans="1:30" customFormat="1" x14ac:dyDescent="0.3">
      <c r="A3" s="97"/>
    </row>
    <row r="4" spans="1:30" customFormat="1" ht="15.6" x14ac:dyDescent="0.3">
      <c r="A4" s="97"/>
      <c r="B4" s="102" t="s">
        <v>145</v>
      </c>
      <c r="C4" s="103">
        <f>DATE(2025,8,30)</f>
        <v>45899</v>
      </c>
      <c r="F4" s="104"/>
    </row>
    <row r="5" spans="1:30" customFormat="1" ht="15.6" x14ac:dyDescent="0.3">
      <c r="A5" s="97"/>
      <c r="B5" s="102" t="s">
        <v>156</v>
      </c>
      <c r="C5" s="105" t="s">
        <v>242</v>
      </c>
    </row>
    <row r="6" spans="1:30" customFormat="1" x14ac:dyDescent="0.3">
      <c r="A6" s="97"/>
    </row>
    <row r="7" spans="1:30" customFormat="1" ht="17.399999999999999" x14ac:dyDescent="0.3">
      <c r="A7" s="97"/>
      <c r="B7" s="106"/>
      <c r="C7" s="107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9" t="s">
        <v>157</v>
      </c>
      <c r="Y7" s="109"/>
      <c r="Z7" s="109"/>
      <c r="AA7" s="109"/>
      <c r="AB7" s="109"/>
      <c r="AC7" s="109"/>
    </row>
    <row r="8" spans="1:30" customFormat="1" ht="17.399999999999999" x14ac:dyDescent="0.3">
      <c r="A8" s="97"/>
      <c r="B8" s="106"/>
      <c r="C8" s="106"/>
      <c r="D8" s="108" t="s">
        <v>158</v>
      </c>
      <c r="E8" s="108" t="s">
        <v>159</v>
      </c>
      <c r="F8" s="108" t="s">
        <v>160</v>
      </c>
      <c r="G8" s="108" t="s">
        <v>161</v>
      </c>
      <c r="H8" s="109"/>
      <c r="I8" s="109" t="s">
        <v>11</v>
      </c>
      <c r="J8" s="109"/>
      <c r="K8" s="109"/>
      <c r="L8" s="109" t="s">
        <v>76</v>
      </c>
      <c r="M8" s="109"/>
      <c r="N8" s="109" t="s">
        <v>162</v>
      </c>
      <c r="O8" s="109"/>
      <c r="P8" s="108"/>
      <c r="Q8" s="109" t="s">
        <v>163</v>
      </c>
      <c r="R8" s="109"/>
      <c r="S8" s="109" t="s">
        <v>164</v>
      </c>
      <c r="T8" s="109"/>
      <c r="U8" s="109" t="s">
        <v>165</v>
      </c>
      <c r="V8" s="109"/>
      <c r="W8" s="108"/>
      <c r="X8" s="109" t="s">
        <v>166</v>
      </c>
      <c r="Y8" s="109"/>
      <c r="Z8" s="109" t="s">
        <v>167</v>
      </c>
      <c r="AA8" s="109"/>
      <c r="AB8" s="109" t="s">
        <v>168</v>
      </c>
      <c r="AC8" s="109"/>
    </row>
    <row r="9" spans="1:30" customFormat="1" ht="15.6" customHeight="1" x14ac:dyDescent="0.3">
      <c r="A9" s="97"/>
      <c r="B9" s="110" t="s">
        <v>140</v>
      </c>
      <c r="C9" s="110" t="s">
        <v>169</v>
      </c>
      <c r="D9" s="111" t="s">
        <v>170</v>
      </c>
      <c r="E9" s="111" t="s">
        <v>171</v>
      </c>
      <c r="F9" s="111" t="s">
        <v>172</v>
      </c>
      <c r="G9" s="111" t="s">
        <v>173</v>
      </c>
      <c r="H9" s="112"/>
      <c r="I9" s="112" t="s">
        <v>174</v>
      </c>
      <c r="J9" s="112">
        <f>I9+1</f>
        <v>25</v>
      </c>
      <c r="K9" s="112">
        <f>J9+1</f>
        <v>26</v>
      </c>
      <c r="L9" s="112" t="s">
        <v>175</v>
      </c>
      <c r="M9" s="112" t="s">
        <v>13</v>
      </c>
      <c r="N9" s="112" t="str">
        <f>L9</f>
        <v>'25</v>
      </c>
      <c r="O9" s="112" t="str">
        <f>M9</f>
        <v>'26</v>
      </c>
      <c r="P9" s="111"/>
      <c r="Q9" s="112" t="s">
        <v>176</v>
      </c>
      <c r="R9" s="112" t="s">
        <v>12</v>
      </c>
      <c r="S9" s="112" t="s">
        <v>175</v>
      </c>
      <c r="T9" s="112" t="s">
        <v>13</v>
      </c>
      <c r="U9" s="112" t="str">
        <f>S9</f>
        <v>'25</v>
      </c>
      <c r="V9" s="112" t="str">
        <f>T9</f>
        <v>'26</v>
      </c>
      <c r="W9" s="112"/>
      <c r="X9" s="112" t="s">
        <v>175</v>
      </c>
      <c r="Y9" s="112" t="s">
        <v>13</v>
      </c>
      <c r="Z9" s="112" t="s">
        <v>175</v>
      </c>
      <c r="AA9" s="112" t="s">
        <v>13</v>
      </c>
      <c r="AB9" s="112" t="s">
        <v>175</v>
      </c>
      <c r="AC9" s="112" t="s">
        <v>13</v>
      </c>
    </row>
    <row r="10" spans="1:30" customFormat="1" ht="5.0999999999999996" customHeight="1" x14ac:dyDescent="0.3">
      <c r="A10" s="97"/>
      <c r="B10" s="113"/>
      <c r="C10" s="113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30" customFormat="1" ht="15.6" x14ac:dyDescent="0.3">
      <c r="A11" s="97"/>
      <c r="B11" s="116" t="s">
        <v>154</v>
      </c>
      <c r="C11" s="117" t="str">
        <f>VLOOKUP($B11,[1]Database!$B$8:$O$34,[1]Database!C$4,0)</f>
        <v>Alphabet Inc. Class A</v>
      </c>
      <c r="D11" s="117">
        <f>VLOOKUP($B11,[1]Database!$B$8:$O$34,[1]Database!D$4,0)</f>
        <v>212.91</v>
      </c>
      <c r="E11" s="117">
        <f>VLOOKUP($B11,[1]Database!$B$8:$O$34,[1]Database!E$4,0)</f>
        <v>12198</v>
      </c>
      <c r="F11" s="117">
        <f>VLOOKUP($B11,[1]Database!$B$8:$O$34,[1]Database!F$4,0)</f>
        <v>2524820.14</v>
      </c>
      <c r="G11" s="117">
        <f>VLOOKUP($B11,[1]Database!$B$8:$O$34,[1]Database!G$4,0)</f>
        <v>2578300.14</v>
      </c>
      <c r="H11" s="117"/>
      <c r="I11" s="117">
        <f>VLOOKUP($B11,[1]Database!$B$8:$O$34,[1]Database!I$4,0)</f>
        <v>350018</v>
      </c>
      <c r="J11" s="117">
        <f>VLOOKUP($B11,[1]Database!$B$8:$O$34,[1]Database!J$4,0)</f>
        <v>387817.32</v>
      </c>
      <c r="K11" s="117">
        <f>VLOOKUP($B11,[1]Database!$B$8:$O$34,[1]Database!K$4,0)</f>
        <v>428897.93</v>
      </c>
      <c r="L11" s="117">
        <f>VLOOKUP($B11,[1]Database!$B$8:$O$34,[1]Database!L$4,0)</f>
        <v>172681.77</v>
      </c>
      <c r="M11" s="117">
        <f>VLOOKUP($B11,[1]Database!$B$8:$O$34,[1]Database!M$4,0)</f>
        <v>195965.74</v>
      </c>
      <c r="N11" s="117">
        <f>VLOOKUP($B11,[1]Database!$B$8:$O$34,[1]Database!N$4,0)</f>
        <v>116876.3</v>
      </c>
      <c r="O11" s="117">
        <f>VLOOKUP($B11,[1]Database!$B$8:$O$34,[1]Database!O$4,0)</f>
        <v>122718.11</v>
      </c>
      <c r="P11" s="118"/>
      <c r="Q11" s="119">
        <f>J11/I11-1</f>
        <v>0.1079925032426905</v>
      </c>
      <c r="R11" s="119">
        <f>K11/J11-1</f>
        <v>0.1059277342229068</v>
      </c>
      <c r="S11" s="119">
        <f>L11/J11</f>
        <v>0.44526575037958588</v>
      </c>
      <c r="T11" s="119">
        <f t="shared" ref="T11" si="0">M11/K11</f>
        <v>0.45690530611793811</v>
      </c>
      <c r="U11" s="119">
        <f>N11/J11</f>
        <v>0.30136946952240296</v>
      </c>
      <c r="V11" s="119">
        <f t="shared" ref="V11" si="1">O11/K11</f>
        <v>0.28612427670145202</v>
      </c>
      <c r="W11" s="118"/>
      <c r="X11" s="121">
        <f>$F11/J11</f>
        <v>6.5103336282144388</v>
      </c>
      <c r="Y11" s="121">
        <f>$F11/K11</f>
        <v>5.8867622420094223</v>
      </c>
      <c r="Z11" s="121">
        <f t="shared" ref="Z11:AA11" si="2">$F11/L11</f>
        <v>14.621231528956416</v>
      </c>
      <c r="AA11" s="121">
        <f t="shared" si="2"/>
        <v>12.883987476586469</v>
      </c>
      <c r="AB11" s="121">
        <f>$G11/N11</f>
        <v>22.060076679361</v>
      </c>
      <c r="AC11" s="121">
        <f t="shared" ref="AC11" si="3">$G11/O11</f>
        <v>21.009940097675887</v>
      </c>
      <c r="AD11" s="350"/>
    </row>
    <row r="12" spans="1:30" customFormat="1" ht="4.95" customHeight="1" x14ac:dyDescent="0.3">
      <c r="A12" s="97"/>
      <c r="B12" s="122"/>
      <c r="D12" s="123"/>
      <c r="E12" s="124"/>
      <c r="F12" s="124"/>
      <c r="G12" s="124"/>
      <c r="H12" s="125"/>
      <c r="I12" s="124"/>
      <c r="J12" s="124"/>
      <c r="K12" s="124"/>
      <c r="L12" s="124"/>
      <c r="M12" s="124"/>
      <c r="N12" s="124"/>
      <c r="O12" s="124"/>
      <c r="P12" s="125"/>
      <c r="Q12" s="125"/>
      <c r="R12" s="125"/>
      <c r="S12" s="125"/>
      <c r="T12" s="125"/>
      <c r="U12" s="125"/>
      <c r="V12" s="125"/>
      <c r="W12" s="125"/>
      <c r="X12" s="126"/>
      <c r="Y12" s="126"/>
      <c r="Z12" s="126"/>
      <c r="AA12" s="126"/>
      <c r="AB12" s="126"/>
      <c r="AC12" s="126"/>
    </row>
    <row r="13" spans="1:30" customFormat="1" ht="15.6" x14ac:dyDescent="0.3">
      <c r="A13" s="97">
        <v>1</v>
      </c>
      <c r="B13" s="127" t="s">
        <v>177</v>
      </c>
      <c r="C13" t="str">
        <f>VLOOKUP($B13,[1]Database!$B$8:$O$34,[1]Database!C$4,0)</f>
        <v>Amazon.com, Inc.</v>
      </c>
      <c r="D13">
        <f>VLOOKUP($B13,[1]Database!$B$8:$O$34,[1]Database!D$4,0)</f>
        <v>229</v>
      </c>
      <c r="E13">
        <f>VLOOKUP($B13,[1]Database!$B$8:$O$34,[1]Database!E$4,0)</f>
        <v>10806</v>
      </c>
      <c r="F13">
        <f>VLOOKUP($B13,[1]Database!$B$8:$O$34,[1]Database!F$4,0)</f>
        <v>2508654.87</v>
      </c>
      <c r="G13">
        <f>VLOOKUP($B13,[1]Database!$B$8:$O$34,[1]Database!G$4,0)</f>
        <v>2442264.87</v>
      </c>
      <c r="I13">
        <f>VLOOKUP($B13,[1]Database!$B$8:$O$34,[1]Database!I$4,0)</f>
        <v>637959</v>
      </c>
      <c r="J13">
        <f>VLOOKUP($B13,[1]Database!$B$8:$O$34,[1]Database!J$4,0)</f>
        <v>695217.39</v>
      </c>
      <c r="K13">
        <f>VLOOKUP($B13,[1]Database!$B$8:$O$34,[1]Database!K$4,0)</f>
        <v>762821.81</v>
      </c>
      <c r="L13">
        <f>VLOOKUP($B13,[1]Database!$B$8:$O$34,[1]Database!L$4,0)</f>
        <v>161644.92000000001</v>
      </c>
      <c r="M13">
        <f>VLOOKUP($B13,[1]Database!$B$8:$O$34,[1]Database!M$4,0)</f>
        <v>191295.24</v>
      </c>
      <c r="N13">
        <f>VLOOKUP($B13,[1]Database!$B$8:$O$34,[1]Database!N$4,0)</f>
        <v>67124.19</v>
      </c>
      <c r="O13">
        <f>VLOOKUP($B13,[1]Database!$B$8:$O$34,[1]Database!O$4,0)</f>
        <v>79700.67</v>
      </c>
      <c r="P13" s="120"/>
      <c r="Q13" s="120">
        <f>J13/I13-1</f>
        <v>8.9752460581322691E-2</v>
      </c>
      <c r="R13" s="120">
        <f>K13/J13-1</f>
        <v>9.7242130263743842E-2</v>
      </c>
      <c r="S13" s="120">
        <f>L13/J13</f>
        <v>0.23250989161821745</v>
      </c>
      <c r="T13" s="120">
        <f t="shared" ref="T13:T18" si="4">M13/K13</f>
        <v>0.2507731654919515</v>
      </c>
      <c r="U13" s="120">
        <f>N13/J13</f>
        <v>9.6551367910978181E-2</v>
      </c>
      <c r="V13" s="120">
        <f t="shared" ref="V13:V18" si="5">O13/K13</f>
        <v>0.10448137291722163</v>
      </c>
      <c r="W13" s="120"/>
      <c r="X13" s="126">
        <f>$F13/J13</f>
        <v>3.6084466615543089</v>
      </c>
      <c r="Y13" s="126">
        <f>$F13/K13</f>
        <v>3.2886512120045439</v>
      </c>
      <c r="Z13" s="126">
        <f t="shared" ref="Z13:AA18" si="6">$F13/L13</f>
        <v>15.519540422303404</v>
      </c>
      <c r="AA13" s="126">
        <f t="shared" si="6"/>
        <v>13.114047531972046</v>
      </c>
      <c r="AB13" s="126">
        <f>$G13/N13</f>
        <v>36.384273240392176</v>
      </c>
      <c r="AC13" s="126">
        <f t="shared" ref="AC13:AC18" si="7">$G13/O13</f>
        <v>30.642965360266107</v>
      </c>
    </row>
    <row r="14" spans="1:30" customFormat="1" ht="15.6" x14ac:dyDescent="0.3">
      <c r="A14" s="97">
        <f>A13+1</f>
        <v>2</v>
      </c>
      <c r="B14" s="127" t="s">
        <v>153</v>
      </c>
      <c r="C14" t="str">
        <f>VLOOKUP($B14,[1]Database!$B$8:$O$34,[1]Database!C$4,0)</f>
        <v>Microsoft Corporation</v>
      </c>
      <c r="D14">
        <f>VLOOKUP($B14,[1]Database!$B$8:$O$34,[1]Database!D$4,0)</f>
        <v>506.59</v>
      </c>
      <c r="E14">
        <f>VLOOKUP($B14,[1]Database!$B$8:$O$34,[1]Database!E$4,0)</f>
        <v>7461</v>
      </c>
      <c r="F14">
        <f>VLOOKUP($B14,[1]Database!$B$8:$O$34,[1]Database!F$4,0)</f>
        <v>3783930.07</v>
      </c>
      <c r="G14">
        <f>VLOOKUP($B14,[1]Database!$B$8:$O$34,[1]Database!G$4,0)</f>
        <v>3766311.07</v>
      </c>
      <c r="I14">
        <f>VLOOKUP($B14,[1]Database!$B$8:$O$34,[1]Database!I$4,0)</f>
        <v>245122</v>
      </c>
      <c r="J14">
        <f>VLOOKUP($B14,[1]Database!$B$8:$O$34,[1]Database!J$4,0)</f>
        <v>279029.28000000003</v>
      </c>
      <c r="K14">
        <f>VLOOKUP($B14,[1]Database!$B$8:$O$34,[1]Database!K$4,0)</f>
        <v>316492.86</v>
      </c>
      <c r="L14">
        <f>VLOOKUP($B14,[1]Database!$B$8:$O$34,[1]Database!L$4,0)</f>
        <v>55721.51</v>
      </c>
      <c r="M14">
        <f>VLOOKUP($B14,[1]Database!$B$8:$O$34,[1]Database!M$4,0)</f>
        <v>178744.69</v>
      </c>
      <c r="N14">
        <f>VLOOKUP($B14,[1]Database!$B$8:$O$34,[1]Database!N$4,0)</f>
        <v>99973.45</v>
      </c>
      <c r="O14">
        <f>VLOOKUP($B14,[1]Database!$B$8:$O$34,[1]Database!O$4,0)</f>
        <v>113022.48</v>
      </c>
      <c r="P14" s="120"/>
      <c r="Q14" s="120">
        <f t="shared" ref="Q14:R18" si="8">J14/I14-1</f>
        <v>0.13832817943717823</v>
      </c>
      <c r="R14" s="120">
        <f t="shared" si="8"/>
        <v>0.13426397401735035</v>
      </c>
      <c r="S14" s="120">
        <f t="shared" ref="S14:S18" si="9">L14/J14</f>
        <v>0.19969771631134911</v>
      </c>
      <c r="T14" s="120">
        <f t="shared" si="4"/>
        <v>0.56476689553122938</v>
      </c>
      <c r="U14" s="120">
        <f t="shared" ref="U14:U18" si="10">N14/J14</f>
        <v>0.3582901765721504</v>
      </c>
      <c r="V14" s="120">
        <f t="shared" si="5"/>
        <v>0.35710909876450292</v>
      </c>
      <c r="W14" s="120"/>
      <c r="X14" s="126">
        <f t="shared" ref="X14:Y18" si="11">$F14/J14</f>
        <v>13.561050187994606</v>
      </c>
      <c r="Y14" s="126">
        <f t="shared" si="11"/>
        <v>11.955814958985172</v>
      </c>
      <c r="Z14" s="126">
        <f t="shared" si="6"/>
        <v>67.90788817460259</v>
      </c>
      <c r="AA14" s="126">
        <f t="shared" si="6"/>
        <v>21.169468418894009</v>
      </c>
      <c r="AB14" s="126">
        <f t="shared" ref="AB14:AB18" si="12">$G14/N14</f>
        <v>37.673112911478</v>
      </c>
      <c r="AC14" s="126">
        <f t="shared" si="7"/>
        <v>33.323557136597955</v>
      </c>
    </row>
    <row r="15" spans="1:30" customFormat="1" ht="15.6" x14ac:dyDescent="0.3">
      <c r="A15" s="97">
        <f t="shared" ref="A15:A18" si="13">A14+1</f>
        <v>3</v>
      </c>
      <c r="B15" s="127" t="s">
        <v>178</v>
      </c>
      <c r="C15" t="str">
        <f>VLOOKUP($B15,[1]Database!$B$8:$O$34,[1]Database!C$4,0)</f>
        <v>Apple Inc.</v>
      </c>
      <c r="D15">
        <f>VLOOKUP($B15,[1]Database!$B$8:$O$34,[1]Database!D$4,0)</f>
        <v>232.14</v>
      </c>
      <c r="E15">
        <f>VLOOKUP($B15,[1]Database!$B$8:$O$34,[1]Database!E$4,0)</f>
        <v>14948.18</v>
      </c>
      <c r="F15">
        <f>VLOOKUP($B15,[1]Database!$B$8:$O$34,[1]Database!F$4,0)</f>
        <v>3413760.13</v>
      </c>
      <c r="G15">
        <f>VLOOKUP($B15,[1]Database!$B$8:$O$34,[1]Database!G$4,0)</f>
        <v>3445048.13</v>
      </c>
      <c r="I15">
        <f>VLOOKUP($B15,[1]Database!$B$8:$O$34,[1]Database!I$4,0)</f>
        <v>391035</v>
      </c>
      <c r="J15">
        <f>VLOOKUP($B15,[1]Database!$B$8:$O$34,[1]Database!J$4,0)</f>
        <v>407341.31</v>
      </c>
      <c r="K15">
        <f>VLOOKUP($B15,[1]Database!$B$8:$O$34,[1]Database!K$4,0)</f>
        <v>431340.79</v>
      </c>
      <c r="L15">
        <f>VLOOKUP($B15,[1]Database!$B$8:$O$34,[1]Database!L$4,0)</f>
        <v>139515.15</v>
      </c>
      <c r="M15">
        <f>VLOOKUP($B15,[1]Database!$B$8:$O$34,[1]Database!M$4,0)</f>
        <v>147838.18</v>
      </c>
      <c r="N15">
        <f>VLOOKUP($B15,[1]Database!$B$8:$O$34,[1]Database!N$4,0)</f>
        <v>107818.29</v>
      </c>
      <c r="O15">
        <f>VLOOKUP($B15,[1]Database!$B$8:$O$34,[1]Database!O$4,0)</f>
        <v>114634.61</v>
      </c>
      <c r="P15" s="120"/>
      <c r="Q15" s="120">
        <f t="shared" si="8"/>
        <v>4.1700384876034002E-2</v>
      </c>
      <c r="R15" s="120">
        <f t="shared" si="8"/>
        <v>5.8917373246528681E-2</v>
      </c>
      <c r="S15" s="120">
        <f t="shared" si="9"/>
        <v>0.34250184446060722</v>
      </c>
      <c r="T15" s="120">
        <f t="shared" si="4"/>
        <v>0.34274101459312484</v>
      </c>
      <c r="U15" s="120">
        <f t="shared" si="10"/>
        <v>0.26468783635030779</v>
      </c>
      <c r="V15" s="120">
        <f t="shared" si="5"/>
        <v>0.26576343498605826</v>
      </c>
      <c r="W15" s="120"/>
      <c r="X15" s="126">
        <f t="shared" si="11"/>
        <v>8.3805890691518616</v>
      </c>
      <c r="Y15" s="126">
        <f t="shared" si="11"/>
        <v>7.9142993408993387</v>
      </c>
      <c r="Z15" s="126">
        <f t="shared" si="6"/>
        <v>24.468741423422475</v>
      </c>
      <c r="AA15" s="126">
        <f t="shared" si="6"/>
        <v>23.091194236833815</v>
      </c>
      <c r="AB15" s="126">
        <f t="shared" si="12"/>
        <v>31.952353631280928</v>
      </c>
      <c r="AC15" s="126">
        <f t="shared" si="7"/>
        <v>30.05242596454945</v>
      </c>
    </row>
    <row r="16" spans="1:30" customFormat="1" ht="15.6" x14ac:dyDescent="0.3">
      <c r="A16" s="97">
        <f t="shared" si="13"/>
        <v>4</v>
      </c>
      <c r="B16" s="127" t="s">
        <v>179</v>
      </c>
      <c r="C16" t="str">
        <f>VLOOKUP($B16,[1]Database!$B$8:$O$34,[1]Database!C$4,0)</f>
        <v xml:space="preserve">META Platforms, Inc. </v>
      </c>
      <c r="D16">
        <f>VLOOKUP($B16,[1]Database!$B$8:$O$34,[1]Database!D$4,0)</f>
        <v>738.7</v>
      </c>
      <c r="E16">
        <f>VLOOKUP($B16,[1]Database!$B$8:$O$34,[1]Database!E$4,0)</f>
        <v>2570</v>
      </c>
      <c r="F16">
        <f>VLOOKUP($B16,[1]Database!$B$8:$O$34,[1]Database!F$4,0)</f>
        <v>1858207.91</v>
      </c>
      <c r="G16">
        <f>VLOOKUP($B16,[1]Database!$B$8:$O$34,[1]Database!G$4,0)</f>
        <v>1855718.91</v>
      </c>
      <c r="I16">
        <f>VLOOKUP($B16,[1]Database!$B$8:$O$34,[1]Database!I$4,0)</f>
        <v>164501</v>
      </c>
      <c r="J16">
        <f>VLOOKUP($B16,[1]Database!$B$8:$O$34,[1]Database!J$4,0)</f>
        <v>196001.85</v>
      </c>
      <c r="K16">
        <f>VLOOKUP($B16,[1]Database!$B$8:$O$34,[1]Database!K$4,0)</f>
        <v>227655.15</v>
      </c>
      <c r="L16">
        <f>VLOOKUP($B16,[1]Database!$B$8:$O$34,[1]Database!L$4,0)</f>
        <v>119791.72</v>
      </c>
      <c r="M16">
        <f>VLOOKUP($B16,[1]Database!$B$8:$O$34,[1]Database!M$4,0)</f>
        <v>137842.76</v>
      </c>
      <c r="N16">
        <f>VLOOKUP($B16,[1]Database!$B$8:$O$34,[1]Database!N$4,0)</f>
        <v>71334.179999999993</v>
      </c>
      <c r="O16">
        <f>VLOOKUP($B16,[1]Database!$B$8:$O$34,[1]Database!O$4,0)</f>
        <v>76079.899999999994</v>
      </c>
      <c r="P16" s="120"/>
      <c r="Q16" s="120">
        <f t="shared" si="8"/>
        <v>0.19149336478197698</v>
      </c>
      <c r="R16" s="120">
        <f t="shared" si="8"/>
        <v>0.16149490425728108</v>
      </c>
      <c r="S16" s="120">
        <f t="shared" si="9"/>
        <v>0.61117647614040371</v>
      </c>
      <c r="T16" s="120">
        <f t="shared" si="4"/>
        <v>0.60548931135535489</v>
      </c>
      <c r="U16" s="120">
        <f t="shared" si="10"/>
        <v>0.36394646275022402</v>
      </c>
      <c r="V16" s="120">
        <f t="shared" si="5"/>
        <v>0.3341892331449563</v>
      </c>
      <c r="W16" s="120"/>
      <c r="X16" s="126">
        <f t="shared" si="11"/>
        <v>9.4805631171338423</v>
      </c>
      <c r="Y16" s="126">
        <f t="shared" si="11"/>
        <v>8.1623802931758842</v>
      </c>
      <c r="Z16" s="126">
        <f t="shared" si="6"/>
        <v>15.51198955987943</v>
      </c>
      <c r="AA16" s="126">
        <f t="shared" si="6"/>
        <v>13.480634818977796</v>
      </c>
      <c r="AB16" s="126">
        <f t="shared" si="12"/>
        <v>26.0144423052175</v>
      </c>
      <c r="AC16" s="126">
        <f t="shared" si="7"/>
        <v>24.391710688368413</v>
      </c>
    </row>
    <row r="17" spans="1:29" customFormat="1" ht="15.6" x14ac:dyDescent="0.3">
      <c r="A17" s="97">
        <f t="shared" si="13"/>
        <v>5</v>
      </c>
      <c r="B17" s="127" t="s">
        <v>180</v>
      </c>
      <c r="C17" t="str">
        <f>VLOOKUP($B17,[1]Database!$B$8:$O$34,[1]Database!C$4,0)</f>
        <v>Netflix, Inc.</v>
      </c>
      <c r="D17">
        <f>VLOOKUP($B17,[1]Database!$B$8:$O$34,[1]Database!D$4,0)</f>
        <v>1208.25</v>
      </c>
      <c r="E17">
        <f>VLOOKUP($B17,[1]Database!$B$8:$O$34,[1]Database!E$4,0)</f>
        <v>434.88</v>
      </c>
      <c r="F17">
        <f>VLOOKUP($B17,[1]Database!$B$8:$O$34,[1]Database!F$4,0)</f>
        <v>521960.7</v>
      </c>
      <c r="G17">
        <f>VLOOKUP($B17,[1]Database!$B$8:$O$34,[1]Database!G$4,0)</f>
        <v>513417.26</v>
      </c>
      <c r="I17">
        <f>VLOOKUP($B17,[1]Database!$B$8:$O$34,[1]Database!I$4,0)</f>
        <v>39000.97</v>
      </c>
      <c r="J17">
        <f>VLOOKUP($B17,[1]Database!$B$8:$O$34,[1]Database!J$4,0)</f>
        <v>45061.34</v>
      </c>
      <c r="K17">
        <f>VLOOKUP($B17,[1]Database!$B$8:$O$34,[1]Database!K$4,0)</f>
        <v>50899.07</v>
      </c>
      <c r="L17">
        <f>VLOOKUP($B17,[1]Database!$B$8:$O$34,[1]Database!L$4,0)</f>
        <v>14202.37</v>
      </c>
      <c r="M17">
        <f>VLOOKUP($B17,[1]Database!$B$8:$O$34,[1]Database!M$4,0)</f>
        <v>17142.07</v>
      </c>
      <c r="N17">
        <f>VLOOKUP($B17,[1]Database!$B$8:$O$34,[1]Database!N$4,0)</f>
        <v>11411.88</v>
      </c>
      <c r="O17">
        <f>VLOOKUP($B17,[1]Database!$B$8:$O$34,[1]Database!O$4,0)</f>
        <v>13856.91</v>
      </c>
      <c r="P17" s="120"/>
      <c r="Q17" s="120">
        <f t="shared" si="8"/>
        <v>0.1553902377299845</v>
      </c>
      <c r="R17" s="120">
        <f t="shared" si="8"/>
        <v>0.12955074127844401</v>
      </c>
      <c r="S17" s="120">
        <f t="shared" si="9"/>
        <v>0.31517859877225135</v>
      </c>
      <c r="T17" s="120">
        <f t="shared" si="4"/>
        <v>0.3367855247649908</v>
      </c>
      <c r="U17" s="120">
        <f t="shared" si="10"/>
        <v>0.25325212255117135</v>
      </c>
      <c r="V17" s="120">
        <f t="shared" si="5"/>
        <v>0.27224289166776522</v>
      </c>
      <c r="W17" s="120"/>
      <c r="X17" s="126">
        <f t="shared" si="11"/>
        <v>11.583337290901692</v>
      </c>
      <c r="Y17" s="126">
        <f t="shared" si="11"/>
        <v>10.254818015338984</v>
      </c>
      <c r="Z17" s="126">
        <f t="shared" si="6"/>
        <v>36.751661870518795</v>
      </c>
      <c r="AA17" s="126">
        <f t="shared" si="6"/>
        <v>30.449105621433119</v>
      </c>
      <c r="AB17" s="126">
        <f t="shared" si="12"/>
        <v>44.98971773274868</v>
      </c>
      <c r="AC17" s="126">
        <f t="shared" si="7"/>
        <v>37.051352718607539</v>
      </c>
    </row>
    <row r="18" spans="1:29" customFormat="1" ht="15.6" x14ac:dyDescent="0.3">
      <c r="A18" s="97">
        <f t="shared" si="13"/>
        <v>6</v>
      </c>
      <c r="B18" s="127" t="s">
        <v>181</v>
      </c>
      <c r="C18" t="str">
        <f>VLOOKUP($B18,[1]Database!$B$8:$O$34,[1]Database!C$4,0)</f>
        <v>Salesforce, Inc.</v>
      </c>
      <c r="D18">
        <f>VLOOKUP($B18,[1]Database!$B$8:$O$34,[1]Database!D$4,0)</f>
        <v>256.25</v>
      </c>
      <c r="E18">
        <f>VLOOKUP($B18,[1]Database!$B$8:$O$34,[1]Database!E$4,0)</f>
        <v>970</v>
      </c>
      <c r="F18">
        <f>VLOOKUP($B18,[1]Database!$B$8:$O$34,[1]Database!F$4,0)</f>
        <v>239587</v>
      </c>
      <c r="G18">
        <f>VLOOKUP($B18,[1]Database!$B$8:$O$34,[1]Database!G$4,0)</f>
        <v>244975</v>
      </c>
      <c r="I18">
        <f>VLOOKUP($B18,[1]Database!$B$8:$O$34,[1]Database!I$4,0)</f>
        <v>37895</v>
      </c>
      <c r="J18">
        <f>VLOOKUP($B18,[1]Database!$B$8:$O$34,[1]Database!J$4,0)</f>
        <v>41237.230000000003</v>
      </c>
      <c r="K18">
        <f>VLOOKUP($B18,[1]Database!$B$8:$O$34,[1]Database!K$4,0)</f>
        <v>44980.81</v>
      </c>
      <c r="L18">
        <f>VLOOKUP($B18,[1]Database!$B$8:$O$34,[1]Database!L$4,0)</f>
        <v>16061.58</v>
      </c>
      <c r="M18">
        <f>VLOOKUP($B18,[1]Database!$B$8:$O$34,[1]Database!M$4,0)</f>
        <v>17698.39</v>
      </c>
      <c r="N18">
        <f>VLOOKUP($B18,[1]Database!$B$8:$O$34,[1]Database!N$4,0)</f>
        <v>10984.53</v>
      </c>
      <c r="O18">
        <f>VLOOKUP($B18,[1]Database!$B$8:$O$34,[1]Database!O$4,0)</f>
        <v>12338.89</v>
      </c>
      <c r="P18" s="120"/>
      <c r="Q18" s="120">
        <f t="shared" si="8"/>
        <v>8.8197123631085894E-2</v>
      </c>
      <c r="R18" s="120">
        <f t="shared" si="8"/>
        <v>9.0781558315143673E-2</v>
      </c>
      <c r="S18" s="120">
        <f t="shared" si="9"/>
        <v>0.3894922137107657</v>
      </c>
      <c r="T18" s="120">
        <f t="shared" si="4"/>
        <v>0.393465346666723</v>
      </c>
      <c r="U18" s="120">
        <f t="shared" si="10"/>
        <v>0.26637409932723416</v>
      </c>
      <c r="V18" s="120">
        <f t="shared" si="5"/>
        <v>0.27431453546523504</v>
      </c>
      <c r="W18" s="120"/>
      <c r="X18" s="126">
        <f t="shared" si="11"/>
        <v>5.8099683223145684</v>
      </c>
      <c r="Y18" s="126">
        <f t="shared" si="11"/>
        <v>5.3264269807502354</v>
      </c>
      <c r="Z18" s="126">
        <f t="shared" si="6"/>
        <v>14.916776556229213</v>
      </c>
      <c r="AA18" s="126">
        <f t="shared" si="6"/>
        <v>13.537220052219439</v>
      </c>
      <c r="AB18" s="126">
        <f t="shared" si="12"/>
        <v>22.301819012738822</v>
      </c>
      <c r="AC18" s="126">
        <f t="shared" si="7"/>
        <v>19.853892854219463</v>
      </c>
    </row>
    <row r="19" spans="1:29" customFormat="1" ht="15.6" x14ac:dyDescent="0.3">
      <c r="A19" s="97"/>
      <c r="B19" s="122"/>
      <c r="P19" s="120"/>
      <c r="Q19" s="120"/>
      <c r="R19" s="120"/>
      <c r="S19" s="120"/>
      <c r="T19" s="120"/>
      <c r="U19" s="120"/>
      <c r="V19" s="120"/>
      <c r="W19" s="120"/>
      <c r="X19" s="126"/>
      <c r="Y19" s="126"/>
      <c r="Z19" s="126"/>
      <c r="AA19" s="126"/>
      <c r="AB19" s="126"/>
      <c r="AC19" s="126"/>
    </row>
    <row r="20" spans="1:29" customFormat="1" ht="15.6" x14ac:dyDescent="0.3">
      <c r="A20" s="97"/>
      <c r="B20" s="122"/>
      <c r="P20" s="120"/>
      <c r="Q20" s="120"/>
      <c r="R20" s="120"/>
      <c r="S20" s="120"/>
      <c r="T20" s="120"/>
      <c r="U20" s="120"/>
      <c r="V20" s="120"/>
      <c r="W20" s="120"/>
      <c r="X20" s="126"/>
      <c r="Y20" s="126"/>
      <c r="Z20" s="126"/>
      <c r="AA20" s="126"/>
      <c r="AB20" s="126"/>
      <c r="AC20" s="126"/>
    </row>
    <row r="21" spans="1:29" customFormat="1" ht="5.0999999999999996" customHeight="1" x14ac:dyDescent="0.3">
      <c r="A21" s="97"/>
      <c r="B21" s="122"/>
      <c r="D21" s="97"/>
      <c r="E21" s="97"/>
      <c r="F21" s="128"/>
      <c r="G21" s="12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6"/>
      <c r="Y21" s="126"/>
      <c r="Z21" s="126"/>
      <c r="AA21" s="126"/>
      <c r="AB21" s="126"/>
      <c r="AC21" s="126"/>
    </row>
    <row r="22" spans="1:29" customFormat="1" ht="15.6" outlineLevel="1" x14ac:dyDescent="0.3">
      <c r="A22" s="97"/>
      <c r="B22" s="129" t="s">
        <v>182</v>
      </c>
      <c r="C22" s="130"/>
      <c r="D22" s="130"/>
      <c r="E22" s="130"/>
      <c r="F22" s="130"/>
      <c r="G22" s="130"/>
      <c r="H22" s="131"/>
      <c r="I22" s="131"/>
      <c r="J22" s="131"/>
      <c r="K22" s="131"/>
      <c r="L22" s="131"/>
      <c r="M22" s="131"/>
      <c r="N22" s="131"/>
      <c r="O22" s="131"/>
      <c r="P22" s="131"/>
      <c r="Q22" s="131">
        <f>AVERAGE(Q11:Q20)</f>
        <v>0.11612203632575326</v>
      </c>
      <c r="R22" s="131">
        <f t="shared" ref="R22:V22" si="14">AVERAGE(R11:R20)</f>
        <v>0.11116834508591407</v>
      </c>
      <c r="S22" s="131">
        <f t="shared" si="14"/>
        <v>0.36226035591331146</v>
      </c>
      <c r="T22" s="131">
        <f t="shared" si="14"/>
        <v>0.42156093778875897</v>
      </c>
      <c r="U22" s="131">
        <f t="shared" si="14"/>
        <v>0.27206736214063842</v>
      </c>
      <c r="V22" s="131">
        <f t="shared" si="14"/>
        <v>0.27060354909245593</v>
      </c>
      <c r="W22" s="131"/>
      <c r="X22" s="132">
        <f t="shared" ref="X22:AC22" si="15">AVERAGE(X11:X20)</f>
        <v>8.4191840396093305</v>
      </c>
      <c r="Y22" s="132">
        <f t="shared" si="15"/>
        <v>7.5413075775947975</v>
      </c>
      <c r="Z22" s="132">
        <f t="shared" si="15"/>
        <v>27.099689933701764</v>
      </c>
      <c r="AA22" s="132">
        <f t="shared" si="15"/>
        <v>18.246522593845242</v>
      </c>
      <c r="AB22" s="132">
        <f t="shared" si="15"/>
        <v>31.625113644745305</v>
      </c>
      <c r="AC22" s="133">
        <f t="shared" si="15"/>
        <v>28.046549260040688</v>
      </c>
    </row>
    <row r="23" spans="1:29" customFormat="1" ht="15.6" outlineLevel="1" x14ac:dyDescent="0.3">
      <c r="A23" s="97"/>
      <c r="B23" s="134" t="s">
        <v>183</v>
      </c>
      <c r="C23" s="135"/>
      <c r="D23" s="135"/>
      <c r="E23" s="135"/>
      <c r="F23" s="135"/>
      <c r="G23" s="135"/>
      <c r="H23" s="136"/>
      <c r="I23" s="136"/>
      <c r="J23" s="136"/>
      <c r="K23" s="136"/>
      <c r="L23" s="136"/>
      <c r="M23" s="136"/>
      <c r="N23" s="136"/>
      <c r="O23" s="136"/>
      <c r="P23" s="136"/>
      <c r="Q23" s="136">
        <f>MEDIAN(Q11:Q20)</f>
        <v>0.1079925032426905</v>
      </c>
      <c r="R23" s="136">
        <f t="shared" ref="R23:V23" si="16">MEDIAN(R11:R20)</f>
        <v>0.1059277342229068</v>
      </c>
      <c r="S23" s="136">
        <f t="shared" si="16"/>
        <v>0.34250184446060722</v>
      </c>
      <c r="T23" s="136">
        <f t="shared" si="16"/>
        <v>0.393465346666723</v>
      </c>
      <c r="U23" s="136">
        <f t="shared" si="16"/>
        <v>0.26637409932723416</v>
      </c>
      <c r="V23" s="136">
        <f t="shared" si="16"/>
        <v>0.27431453546523504</v>
      </c>
      <c r="W23" s="136"/>
      <c r="X23" s="137">
        <f t="shared" ref="X23:AC23" si="17">MEDIAN(X11:X20)</f>
        <v>8.3805890691518616</v>
      </c>
      <c r="Y23" s="137">
        <f t="shared" si="17"/>
        <v>7.9142993408993387</v>
      </c>
      <c r="Z23" s="137">
        <f t="shared" si="17"/>
        <v>15.519540422303404</v>
      </c>
      <c r="AA23" s="137">
        <f t="shared" si="17"/>
        <v>13.537220052219439</v>
      </c>
      <c r="AB23" s="137">
        <f t="shared" si="17"/>
        <v>31.952353631280928</v>
      </c>
      <c r="AC23" s="138">
        <f t="shared" si="17"/>
        <v>30.05242596454945</v>
      </c>
    </row>
    <row r="24" spans="1:29" customFormat="1" ht="15.6" customHeight="1" outlineLevel="1" x14ac:dyDescent="0.3">
      <c r="A24" s="97"/>
      <c r="B24" s="113"/>
      <c r="C24" s="113"/>
      <c r="D24" s="114"/>
      <c r="E24" s="114"/>
      <c r="F24" s="114"/>
      <c r="G24" s="114"/>
      <c r="I24" s="114"/>
      <c r="J24" s="114"/>
      <c r="K24" s="114"/>
      <c r="L24" s="114"/>
      <c r="M24" s="114"/>
      <c r="N24" s="114"/>
      <c r="O24" s="114"/>
      <c r="P24" s="114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customFormat="1" ht="15.75" customHeight="1" outlineLevel="1" x14ac:dyDescent="0.3">
      <c r="A25" s="139"/>
      <c r="B25" s="106"/>
      <c r="C25" s="106"/>
      <c r="D25" s="109" t="s">
        <v>184</v>
      </c>
      <c r="E25" s="109"/>
      <c r="F25" s="109"/>
      <c r="G25" s="108"/>
      <c r="H25" s="109" t="s">
        <v>185</v>
      </c>
      <c r="I25" s="109"/>
      <c r="J25" s="109"/>
      <c r="K25" s="108"/>
      <c r="L25" s="109" t="s">
        <v>50</v>
      </c>
      <c r="M25" s="109"/>
      <c r="N25" s="109"/>
      <c r="O25" s="108"/>
      <c r="P25" s="108"/>
      <c r="Q25" s="109"/>
      <c r="R25" s="109"/>
      <c r="S25" s="109"/>
      <c r="T25" s="109" t="s">
        <v>54</v>
      </c>
      <c r="U25" s="109"/>
      <c r="V25" s="109"/>
      <c r="W25" s="108"/>
      <c r="X25" s="109" t="s">
        <v>141</v>
      </c>
      <c r="Y25" s="109"/>
      <c r="Z25" s="109"/>
      <c r="AA25" s="108"/>
      <c r="AB25" s="108"/>
      <c r="AC25" s="108"/>
    </row>
    <row r="26" spans="1:29" customFormat="1" ht="15.6" customHeight="1" outlineLevel="1" x14ac:dyDescent="0.3">
      <c r="A26" s="97"/>
      <c r="B26" s="110" t="s">
        <v>186</v>
      </c>
      <c r="C26" s="110"/>
      <c r="D26" s="111" t="s">
        <v>11</v>
      </c>
      <c r="E26" s="111" t="s">
        <v>76</v>
      </c>
      <c r="F26" s="111" t="s">
        <v>187</v>
      </c>
      <c r="G26" s="111"/>
      <c r="H26" s="111" t="s">
        <v>11</v>
      </c>
      <c r="I26" s="111" t="s">
        <v>76</v>
      </c>
      <c r="J26" s="111" t="s">
        <v>188</v>
      </c>
      <c r="K26" s="111"/>
      <c r="L26" s="111" t="s">
        <v>11</v>
      </c>
      <c r="M26" s="111" t="s">
        <v>76</v>
      </c>
      <c r="N26" s="111" t="s">
        <v>162</v>
      </c>
      <c r="O26" s="111"/>
      <c r="P26" s="111" t="s">
        <v>189</v>
      </c>
      <c r="Q26" s="111" t="s">
        <v>125</v>
      </c>
      <c r="R26" s="111" t="s">
        <v>190</v>
      </c>
      <c r="S26" s="111"/>
      <c r="T26" s="111" t="s">
        <v>11</v>
      </c>
      <c r="U26" s="111" t="s">
        <v>76</v>
      </c>
      <c r="V26" s="111" t="s">
        <v>162</v>
      </c>
      <c r="W26" s="111"/>
      <c r="X26" s="111" t="s">
        <v>11</v>
      </c>
      <c r="Y26" s="111" t="s">
        <v>76</v>
      </c>
      <c r="Z26" s="111" t="s">
        <v>162</v>
      </c>
      <c r="AA26" s="111"/>
      <c r="AB26" s="111"/>
      <c r="AC26" s="111"/>
    </row>
    <row r="27" spans="1:29" customFormat="1" ht="15.6" customHeight="1" outlineLevel="1" x14ac:dyDescent="0.3">
      <c r="A27" s="97"/>
      <c r="B27" s="113" t="s">
        <v>191</v>
      </c>
      <c r="C27" s="113"/>
      <c r="D27" s="140">
        <f>MIN(Y13:Y20)</f>
        <v>3.2886512120045439</v>
      </c>
      <c r="E27" s="140">
        <f>MIN(AA13:AA20)</f>
        <v>13.114047531972046</v>
      </c>
      <c r="F27" s="140">
        <f>MIN(AC13:AC20)</f>
        <v>19.853892854219463</v>
      </c>
      <c r="G27" s="114"/>
      <c r="H27" s="128">
        <v>428897.93</v>
      </c>
      <c r="I27" s="128">
        <v>195965.74</v>
      </c>
      <c r="J27" s="141">
        <v>9.39</v>
      </c>
      <c r="L27" s="128">
        <f>D27*H27</f>
        <v>1410495.69732074</v>
      </c>
      <c r="M27" s="128">
        <f>E27*I27</f>
        <v>2569904.0289980755</v>
      </c>
      <c r="N27" s="128" t="s">
        <v>112</v>
      </c>
      <c r="P27" s="142">
        <v>95148</v>
      </c>
      <c r="Q27" s="142">
        <v>23607</v>
      </c>
      <c r="R27" s="143">
        <v>12421</v>
      </c>
      <c r="S27" s="144"/>
      <c r="T27" s="145">
        <f>L27+P27-Q27</f>
        <v>1482036.69732074</v>
      </c>
      <c r="U27" s="145">
        <f t="shared" ref="U27:U30" si="18">M27+Q27-R27</f>
        <v>2581090.0289980755</v>
      </c>
      <c r="V27" s="145">
        <f>J27*R27*F27</f>
        <v>2315622.8575058212</v>
      </c>
      <c r="W27" s="115"/>
      <c r="X27" s="146">
        <f>T27/$R27</f>
        <v>119.31701934793817</v>
      </c>
      <c r="Y27" s="146">
        <f t="shared" ref="Y27:Z30" si="19">U27/$R27</f>
        <v>207.80050148925815</v>
      </c>
      <c r="Z27" s="146">
        <f t="shared" si="19"/>
        <v>186.42805390112076</v>
      </c>
      <c r="AB27" s="115"/>
      <c r="AC27" s="115"/>
    </row>
    <row r="28" spans="1:29" customFormat="1" ht="15.6" customHeight="1" outlineLevel="1" x14ac:dyDescent="0.3">
      <c r="A28" s="97"/>
      <c r="B28" s="113" t="s">
        <v>182</v>
      </c>
      <c r="C28" s="113"/>
      <c r="D28" s="140">
        <f>Y22</f>
        <v>7.5413075775947975</v>
      </c>
      <c r="E28" s="140">
        <f>AA22</f>
        <v>18.246522593845242</v>
      </c>
      <c r="F28" s="140">
        <f>AC22</f>
        <v>28.046549260040688</v>
      </c>
      <c r="G28" s="114"/>
      <c r="H28" s="128">
        <v>428897.93</v>
      </c>
      <c r="I28" s="128">
        <v>195965.74</v>
      </c>
      <c r="J28" s="141">
        <v>9.39</v>
      </c>
      <c r="K28" s="128"/>
      <c r="L28" s="128">
        <f t="shared" ref="L28:M30" si="20">D28*H28</f>
        <v>3234451.209523723</v>
      </c>
      <c r="M28" s="128">
        <f t="shared" si="20"/>
        <v>3575693.3025296023</v>
      </c>
      <c r="N28" s="128" t="s">
        <v>112</v>
      </c>
      <c r="P28" s="142">
        <v>95148</v>
      </c>
      <c r="Q28" s="142">
        <v>23607</v>
      </c>
      <c r="R28" s="147">
        <v>12421</v>
      </c>
      <c r="T28" s="145">
        <f t="shared" ref="T28:T30" si="21">L28+P28-Q28</f>
        <v>3305992.209523723</v>
      </c>
      <c r="U28" s="145">
        <f t="shared" si="18"/>
        <v>3586879.3025296023</v>
      </c>
      <c r="V28" s="145">
        <f t="shared" ref="V28:V30" si="22">J28*R28*F28</f>
        <v>3271158.508690685</v>
      </c>
      <c r="W28" s="115"/>
      <c r="X28" s="146">
        <f t="shared" ref="X28:X30" si="23">T28/$R28</f>
        <v>266.16151755283175</v>
      </c>
      <c r="Y28" s="146">
        <f t="shared" si="19"/>
        <v>288.77540476045425</v>
      </c>
      <c r="Z28" s="146">
        <f t="shared" si="19"/>
        <v>263.35709755178209</v>
      </c>
      <c r="AA28" s="115"/>
      <c r="AB28" s="115"/>
      <c r="AC28" s="115"/>
    </row>
    <row r="29" spans="1:29" customFormat="1" ht="15.6" customHeight="1" outlineLevel="1" x14ac:dyDescent="0.3">
      <c r="A29" s="97"/>
      <c r="B29" s="113" t="s">
        <v>183</v>
      </c>
      <c r="C29" s="113"/>
      <c r="D29" s="140">
        <f>Y23</f>
        <v>7.9142993408993387</v>
      </c>
      <c r="E29" s="140">
        <f>AA23</f>
        <v>13.537220052219439</v>
      </c>
      <c r="F29" s="140">
        <f>AC23</f>
        <v>30.05242596454945</v>
      </c>
      <c r="G29" s="114"/>
      <c r="H29" s="128">
        <v>428897.93</v>
      </c>
      <c r="I29" s="128">
        <v>195965.74</v>
      </c>
      <c r="J29" s="141">
        <v>9.39</v>
      </c>
      <c r="K29" s="128"/>
      <c r="L29" s="128">
        <f t="shared" si="20"/>
        <v>3394426.6047120905</v>
      </c>
      <c r="M29" s="128">
        <f t="shared" si="20"/>
        <v>2652831.3450760208</v>
      </c>
      <c r="N29" s="128" t="s">
        <v>112</v>
      </c>
      <c r="P29" s="142">
        <v>95148</v>
      </c>
      <c r="Q29" s="142">
        <v>23607</v>
      </c>
      <c r="R29" s="147">
        <v>12421</v>
      </c>
      <c r="T29" s="145">
        <f t="shared" si="21"/>
        <v>3465967.6047120905</v>
      </c>
      <c r="U29" s="145">
        <f t="shared" si="18"/>
        <v>2664017.3450760208</v>
      </c>
      <c r="V29" s="145">
        <f t="shared" si="22"/>
        <v>3505110.3074842291</v>
      </c>
      <c r="W29" s="115"/>
      <c r="X29" s="146">
        <f t="shared" si="23"/>
        <v>279.04094716303763</v>
      </c>
      <c r="Y29" s="146">
        <f t="shared" si="19"/>
        <v>214.47688149714361</v>
      </c>
      <c r="Z29" s="146">
        <f t="shared" si="19"/>
        <v>282.19227980711935</v>
      </c>
      <c r="AA29" s="115"/>
      <c r="AB29" s="115"/>
      <c r="AC29" s="115"/>
    </row>
    <row r="30" spans="1:29" customFormat="1" ht="15.6" customHeight="1" outlineLevel="1" x14ac:dyDescent="0.3">
      <c r="A30" s="97"/>
      <c r="B30" s="113" t="s">
        <v>192</v>
      </c>
      <c r="C30" s="113"/>
      <c r="D30" s="140">
        <f>MAX(Y13:Y20)</f>
        <v>11.955814958985172</v>
      </c>
      <c r="E30" s="140">
        <f>MAX(AA13:AA20)</f>
        <v>30.449105621433119</v>
      </c>
      <c r="F30" s="140">
        <f>MAX(AC13:AC20)</f>
        <v>37.051352718607539</v>
      </c>
      <c r="G30" s="114"/>
      <c r="H30" s="128">
        <v>428897.93</v>
      </c>
      <c r="I30" s="128">
        <v>195965.74</v>
      </c>
      <c r="J30" s="141">
        <v>9.39</v>
      </c>
      <c r="K30" s="128"/>
      <c r="L30" s="128">
        <f>D30*H30</f>
        <v>5127824.2873717751</v>
      </c>
      <c r="M30" s="128">
        <f t="shared" si="20"/>
        <v>5966981.5154423006</v>
      </c>
      <c r="N30" s="128" t="s">
        <v>112</v>
      </c>
      <c r="P30" s="142">
        <v>95148</v>
      </c>
      <c r="Q30" s="142">
        <v>23607</v>
      </c>
      <c r="R30" s="147">
        <v>12421</v>
      </c>
      <c r="T30" s="145">
        <f t="shared" si="21"/>
        <v>5199365.2873717751</v>
      </c>
      <c r="U30" s="145">
        <f t="shared" si="18"/>
        <v>5978167.5154423006</v>
      </c>
      <c r="V30" s="145">
        <f t="shared" si="22"/>
        <v>4321417.4613863695</v>
      </c>
      <c r="W30" s="115"/>
      <c r="X30" s="146">
        <f t="shared" si="23"/>
        <v>418.59474175765035</v>
      </c>
      <c r="Y30" s="146">
        <f t="shared" si="19"/>
        <v>481.29518681606157</v>
      </c>
      <c r="Z30" s="146">
        <f t="shared" si="19"/>
        <v>347.91220202772479</v>
      </c>
      <c r="AA30" s="115"/>
      <c r="AB30" s="115"/>
      <c r="AC30" s="115"/>
    </row>
    <row r="31" spans="1:29" customFormat="1" ht="15.6" customHeight="1" outlineLevel="1" x14ac:dyDescent="0.3">
      <c r="A31" s="97"/>
      <c r="B31" s="113"/>
      <c r="C31" s="113"/>
      <c r="D31" s="140"/>
      <c r="E31" s="140"/>
      <c r="F31" s="140"/>
      <c r="G31" s="114"/>
      <c r="H31" s="97"/>
      <c r="I31" s="128"/>
      <c r="J31" s="128"/>
      <c r="K31" s="128"/>
      <c r="L31" s="128"/>
      <c r="M31" s="128"/>
      <c r="N31" s="128"/>
      <c r="P31" s="128"/>
      <c r="Q31" s="128"/>
      <c r="R31" s="148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s="154" customFormat="1" ht="15.6" customHeight="1" outlineLevel="1" x14ac:dyDescent="0.3">
      <c r="A32" s="149"/>
      <c r="B32" s="150"/>
      <c r="C32" s="150"/>
      <c r="D32" s="151"/>
      <c r="E32" s="151"/>
      <c r="F32" s="151"/>
      <c r="G32" s="152"/>
      <c r="H32" s="149"/>
      <c r="I32" s="153"/>
      <c r="J32" s="153"/>
      <c r="K32" s="153"/>
      <c r="L32" s="153"/>
      <c r="M32" s="153"/>
      <c r="N32" s="153"/>
      <c r="P32" s="153"/>
      <c r="Q32" s="153"/>
      <c r="R32" s="155"/>
      <c r="U32" s="156"/>
      <c r="V32" s="156"/>
      <c r="W32" s="156"/>
      <c r="X32" s="156"/>
      <c r="Y32" s="156"/>
      <c r="Z32" s="156"/>
      <c r="AA32" s="156"/>
      <c r="AB32" s="156"/>
      <c r="AC32" s="156"/>
    </row>
    <row r="33" spans="2:29" ht="15.6" customHeight="1" x14ac:dyDescent="0.3">
      <c r="B33" s="157"/>
      <c r="C33" s="157"/>
      <c r="D33" s="158"/>
      <c r="E33" s="158"/>
      <c r="F33" s="158"/>
      <c r="G33" s="158"/>
      <c r="H33" s="157"/>
      <c r="I33" s="157"/>
      <c r="J33" s="158"/>
      <c r="K33" s="158"/>
      <c r="L33" s="158"/>
      <c r="M33" s="158"/>
      <c r="N33" s="157"/>
      <c r="O33" s="157"/>
      <c r="P33" s="159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</row>
    <row r="34" spans="2:29" ht="15.6" customHeight="1" x14ac:dyDescent="0.3">
      <c r="B34" s="161"/>
      <c r="C34" s="162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</row>
    <row r="35" spans="2:29" ht="15.6" customHeight="1" x14ac:dyDescent="0.3">
      <c r="B35" s="161"/>
      <c r="C35" s="161"/>
      <c r="D35" s="159"/>
      <c r="E35" s="159"/>
      <c r="F35" s="159"/>
      <c r="G35" s="159"/>
      <c r="H35" s="163"/>
      <c r="I35" s="164"/>
      <c r="J35" s="163"/>
      <c r="K35" s="163"/>
      <c r="L35" s="163"/>
      <c r="M35" s="163"/>
      <c r="N35" s="163"/>
      <c r="O35" s="163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</row>
    <row r="36" spans="2:29" ht="15.6" customHeight="1" x14ac:dyDescent="0.3">
      <c r="B36" s="161"/>
      <c r="C36" s="161"/>
      <c r="D36" s="159"/>
      <c r="E36" s="159"/>
      <c r="F36" s="159"/>
      <c r="G36" s="159"/>
      <c r="H36" s="160"/>
      <c r="I36" s="160"/>
      <c r="J36" s="160"/>
      <c r="K36" s="160"/>
      <c r="L36" s="160"/>
      <c r="M36" s="160"/>
      <c r="N36" s="160"/>
      <c r="O36" s="160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</row>
    <row r="37" spans="2:29" ht="15.6" customHeight="1" x14ac:dyDescent="0.3">
      <c r="B37" s="127"/>
      <c r="D37" s="165"/>
      <c r="E37" s="166"/>
      <c r="F37" s="167"/>
      <c r="G37" s="167"/>
      <c r="H37" s="166"/>
      <c r="I37" s="168"/>
      <c r="J37" s="168"/>
      <c r="K37" s="169"/>
      <c r="L37" s="169"/>
      <c r="M37" s="169"/>
      <c r="N37" s="169"/>
      <c r="O37" s="169"/>
      <c r="P37" s="170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60"/>
      <c r="AC37" s="160"/>
    </row>
    <row r="38" spans="2:29" ht="15.6" customHeight="1" x14ac:dyDescent="0.3">
      <c r="B38" s="127"/>
      <c r="D38" s="165"/>
      <c r="E38" s="167"/>
      <c r="F38" s="167"/>
      <c r="G38" s="167"/>
      <c r="H38" s="166"/>
      <c r="I38" s="172"/>
      <c r="J38" s="172"/>
      <c r="K38" s="172"/>
      <c r="L38" s="172"/>
      <c r="M38" s="172"/>
      <c r="N38" s="172"/>
      <c r="O38" s="172"/>
      <c r="P38" s="170"/>
      <c r="Q38" s="170"/>
      <c r="R38" s="170"/>
      <c r="S38" s="170"/>
      <c r="T38" s="171"/>
      <c r="U38" s="171"/>
      <c r="V38" s="171"/>
      <c r="W38" s="171"/>
      <c r="X38" s="171"/>
      <c r="Y38" s="171"/>
      <c r="Z38" s="171"/>
      <c r="AA38" s="171"/>
      <c r="AB38" s="160"/>
      <c r="AC38" s="160"/>
    </row>
    <row r="39" spans="2:29" ht="15.6" customHeight="1" x14ac:dyDescent="0.3">
      <c r="B39" s="127"/>
      <c r="D39" s="165"/>
      <c r="E39" s="167"/>
      <c r="F39" s="167"/>
      <c r="G39" s="167"/>
      <c r="H39" s="166"/>
      <c r="I39" s="172"/>
      <c r="J39" s="172"/>
      <c r="K39" s="172"/>
      <c r="L39" s="172"/>
      <c r="M39" s="172"/>
      <c r="N39" s="172"/>
      <c r="O39" s="172"/>
      <c r="P39" s="170"/>
      <c r="Q39" s="170"/>
      <c r="R39" s="170"/>
      <c r="S39" s="17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</row>
    <row r="40" spans="2:29" ht="15.6" customHeight="1" x14ac:dyDescent="0.3">
      <c r="B40" s="127"/>
      <c r="D40" s="166"/>
      <c r="E40" s="172"/>
      <c r="F40" s="167"/>
      <c r="G40" s="167"/>
      <c r="H40" s="166"/>
      <c r="I40" s="172"/>
      <c r="J40" s="172"/>
      <c r="K40" s="172"/>
      <c r="L40" s="172"/>
      <c r="M40" s="172"/>
      <c r="N40" s="172"/>
      <c r="O40" s="172"/>
      <c r="P40" s="170"/>
      <c r="Q40" s="170"/>
      <c r="R40" s="170"/>
      <c r="S40" s="17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</row>
    <row r="41" spans="2:29" ht="15.6" x14ac:dyDescent="0.3">
      <c r="B41" s="127"/>
      <c r="D41" s="166"/>
      <c r="E41" s="172"/>
      <c r="F41" s="167"/>
      <c r="G41" s="167"/>
      <c r="H41" s="166"/>
      <c r="I41" s="172"/>
      <c r="J41" s="172"/>
      <c r="K41" s="172"/>
      <c r="L41" s="172"/>
      <c r="M41" s="172"/>
      <c r="N41" s="172"/>
      <c r="O41" s="172"/>
      <c r="P41" s="170"/>
      <c r="Q41" s="170"/>
      <c r="R41" s="170"/>
      <c r="S41" s="17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</row>
    <row r="42" spans="2:29" ht="15.6" x14ac:dyDescent="0.3">
      <c r="B42" s="127"/>
      <c r="D42" s="166"/>
      <c r="E42" s="173"/>
      <c r="F42" s="167"/>
      <c r="G42" s="167"/>
      <c r="H42" s="166"/>
      <c r="I42" s="172"/>
      <c r="J42" s="172"/>
      <c r="K42" s="172"/>
      <c r="L42" s="172"/>
      <c r="M42" s="172"/>
      <c r="N42" s="172"/>
      <c r="O42" s="172"/>
      <c r="P42" s="170"/>
      <c r="Q42" s="170"/>
      <c r="R42" s="170"/>
      <c r="S42" s="17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</row>
    <row r="43" spans="2:29" ht="15.6" x14ac:dyDescent="0.3">
      <c r="B43" s="127"/>
      <c r="D43" s="166"/>
      <c r="E43" s="172"/>
      <c r="F43" s="167"/>
      <c r="G43" s="167"/>
      <c r="H43" s="166"/>
      <c r="I43" s="172"/>
      <c r="J43" s="172"/>
      <c r="K43" s="172"/>
      <c r="L43" s="172"/>
      <c r="M43" s="172"/>
      <c r="N43" s="172"/>
      <c r="O43" s="172"/>
      <c r="P43" s="170"/>
      <c r="Q43" s="170"/>
      <c r="R43" s="170"/>
      <c r="S43" s="174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</row>
    <row r="44" spans="2:29" ht="15.6" x14ac:dyDescent="0.3">
      <c r="B44" s="127"/>
      <c r="D44" s="166"/>
      <c r="E44" s="175"/>
      <c r="F44" s="167"/>
      <c r="G44" s="167"/>
      <c r="H44" s="166"/>
      <c r="I44" s="172"/>
      <c r="J44" s="172"/>
      <c r="K44" s="172"/>
      <c r="L44" s="172"/>
      <c r="M44" s="172"/>
      <c r="N44" s="172"/>
      <c r="O44" s="172"/>
      <c r="P44" s="170"/>
      <c r="Q44" s="170"/>
    </row>
    <row r="45" spans="2:29" ht="15.6" x14ac:dyDescent="0.3">
      <c r="B45" s="127"/>
      <c r="D45" s="166"/>
      <c r="E45" s="172"/>
      <c r="F45" s="167"/>
      <c r="G45" s="167"/>
      <c r="H45" s="166"/>
      <c r="I45" s="172"/>
      <c r="J45" s="172"/>
      <c r="K45" s="172"/>
      <c r="L45" s="172"/>
      <c r="M45" s="172"/>
      <c r="N45" s="172"/>
      <c r="O45" s="172"/>
      <c r="P45" s="170"/>
      <c r="Q45" s="170"/>
      <c r="R45" s="170"/>
      <c r="S45" s="17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</row>
    <row r="46" spans="2:29" ht="15.6" x14ac:dyDescent="0.3">
      <c r="B46" s="127"/>
      <c r="D46" s="166"/>
      <c r="E46" s="172"/>
      <c r="F46" s="167"/>
      <c r="G46" s="167"/>
      <c r="H46" s="166"/>
      <c r="I46" s="172"/>
      <c r="J46" s="172"/>
      <c r="K46" s="172"/>
      <c r="L46" s="172"/>
      <c r="M46" s="172"/>
      <c r="N46" s="172"/>
      <c r="O46" s="172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</row>
    <row r="47" spans="2:29" ht="15.6" x14ac:dyDescent="0.3">
      <c r="B47" s="127"/>
      <c r="D47" s="166"/>
      <c r="E47" s="172"/>
      <c r="F47" s="167"/>
      <c r="G47" s="167"/>
      <c r="H47" s="166"/>
      <c r="I47" s="172"/>
      <c r="J47" s="172"/>
      <c r="K47" s="172"/>
      <c r="L47" s="172"/>
      <c r="M47" s="172"/>
      <c r="N47" s="172"/>
      <c r="O47" s="172"/>
      <c r="P47" s="170"/>
      <c r="Q47" s="170"/>
      <c r="R47" s="170"/>
      <c r="S47" s="17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</row>
    <row r="48" spans="2:29" ht="15.6" x14ac:dyDescent="0.3">
      <c r="B48" s="127"/>
      <c r="D48" s="166"/>
      <c r="E48" s="172"/>
      <c r="F48" s="167"/>
      <c r="G48" s="167"/>
      <c r="H48" s="166"/>
      <c r="I48" s="172"/>
      <c r="J48" s="172"/>
      <c r="K48" s="172"/>
      <c r="L48" s="172"/>
      <c r="M48" s="172"/>
      <c r="N48" s="172"/>
      <c r="O48" s="172"/>
      <c r="P48" s="170"/>
      <c r="Q48" s="170"/>
      <c r="R48" s="170"/>
      <c r="S48" s="17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</row>
    <row r="49" spans="2:29" ht="15.6" x14ac:dyDescent="0.3">
      <c r="B49" s="127"/>
      <c r="D49" s="166"/>
      <c r="E49" s="167"/>
      <c r="F49" s="167"/>
      <c r="G49" s="167"/>
      <c r="H49" s="166"/>
      <c r="I49" s="176"/>
      <c r="J49" s="176"/>
      <c r="K49" s="176"/>
      <c r="L49" s="177"/>
      <c r="M49" s="176"/>
      <c r="N49" s="177"/>
      <c r="O49" s="176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</row>
    <row r="50" spans="2:29" ht="15.6" x14ac:dyDescent="0.3">
      <c r="B50" s="127"/>
      <c r="D50" s="55"/>
      <c r="E50" s="178"/>
      <c r="F50" s="167"/>
      <c r="G50" s="167"/>
      <c r="I50" s="167"/>
      <c r="J50" s="167"/>
      <c r="K50" s="167"/>
      <c r="L50" s="167"/>
      <c r="M50" s="167"/>
      <c r="N50" s="167"/>
      <c r="O50" s="167"/>
      <c r="P50" s="179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</row>
    <row r="51" spans="2:29" ht="15.6" x14ac:dyDescent="0.3">
      <c r="B51" s="127"/>
      <c r="D51" s="166"/>
      <c r="E51" s="172"/>
      <c r="F51" s="180"/>
      <c r="G51" s="180"/>
      <c r="H51" s="166"/>
      <c r="I51" s="172"/>
      <c r="J51" s="172"/>
      <c r="K51" s="172"/>
      <c r="L51" s="172"/>
      <c r="M51" s="172"/>
      <c r="N51" s="172"/>
      <c r="O51" s="172"/>
      <c r="P51" s="170"/>
      <c r="Q51" s="170"/>
      <c r="R51" s="170"/>
      <c r="S51" s="17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</row>
    <row r="52" spans="2:29" ht="15.6" x14ac:dyDescent="0.3">
      <c r="B52" s="127"/>
      <c r="D52" s="166"/>
      <c r="E52" s="167"/>
      <c r="F52" s="180"/>
      <c r="G52" s="180"/>
      <c r="H52" s="166"/>
      <c r="I52" s="165"/>
      <c r="J52" s="165"/>
      <c r="K52" s="165"/>
      <c r="L52" s="165"/>
      <c r="M52" s="165"/>
      <c r="N52" s="165"/>
      <c r="O52" s="165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</row>
    <row r="53" spans="2:29" ht="15.6" x14ac:dyDescent="0.3">
      <c r="D53" s="16"/>
      <c r="E53" s="178"/>
      <c r="F53" s="178"/>
      <c r="G53" s="178"/>
      <c r="I53" s="178"/>
      <c r="J53" s="178"/>
      <c r="K53" s="178"/>
      <c r="L53" s="178"/>
      <c r="M53" s="178"/>
      <c r="N53" s="178"/>
      <c r="O53" s="178"/>
      <c r="P53" s="179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</row>
    <row r="54" spans="2:29" ht="15.6" x14ac:dyDescent="0.3">
      <c r="D54" s="16"/>
      <c r="E54" s="178"/>
      <c r="G54" s="178"/>
      <c r="I54" s="178"/>
      <c r="J54" s="178"/>
      <c r="K54" s="178"/>
      <c r="L54" s="178"/>
      <c r="M54" s="178"/>
      <c r="N54" s="178"/>
      <c r="O54" s="178"/>
      <c r="P54" s="179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</row>
    <row r="55" spans="2:29" ht="15.6" x14ac:dyDescent="0.3">
      <c r="D55" s="16"/>
      <c r="E55" s="178"/>
      <c r="F55" s="178"/>
      <c r="G55" s="178"/>
      <c r="I55" s="178"/>
      <c r="J55" s="178"/>
      <c r="K55" s="178"/>
      <c r="L55" s="178"/>
      <c r="M55" s="178"/>
      <c r="N55" s="178"/>
      <c r="O55" s="178"/>
      <c r="P55" s="179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</row>
    <row r="56" spans="2:29" ht="15.6" x14ac:dyDescent="0.3">
      <c r="B56" s="181"/>
      <c r="D56" s="16"/>
      <c r="E56" s="178"/>
      <c r="F56" s="178"/>
      <c r="G56" s="178"/>
      <c r="I56" s="178"/>
      <c r="J56" s="178"/>
      <c r="K56" s="178"/>
      <c r="L56" s="178"/>
      <c r="M56" s="178"/>
      <c r="N56" s="178"/>
      <c r="O56" s="178"/>
      <c r="P56" s="179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</row>
    <row r="57" spans="2:29" ht="15.6" x14ac:dyDescent="0.3">
      <c r="B57" s="181"/>
      <c r="D57" s="16"/>
      <c r="E57" s="178"/>
      <c r="F57" s="178"/>
      <c r="G57" s="178"/>
      <c r="I57" s="178"/>
      <c r="J57" s="178"/>
      <c r="K57" s="178"/>
      <c r="L57" s="178"/>
      <c r="M57" s="178"/>
      <c r="N57" s="178"/>
      <c r="O57" s="178"/>
      <c r="P57" s="179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</row>
    <row r="58" spans="2:29" ht="15.6" x14ac:dyDescent="0.3">
      <c r="B58" s="127"/>
      <c r="D58" s="16"/>
      <c r="E58" s="178"/>
      <c r="F58" s="178"/>
      <c r="G58" s="178"/>
      <c r="I58" s="178"/>
      <c r="J58" s="178"/>
      <c r="K58" s="178"/>
      <c r="L58" s="178"/>
      <c r="M58" s="178"/>
      <c r="N58" s="178"/>
      <c r="O58" s="178"/>
      <c r="P58" s="179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</row>
    <row r="59" spans="2:29" ht="15.6" x14ac:dyDescent="0.3">
      <c r="B59" s="127"/>
      <c r="D59" s="16"/>
      <c r="E59" s="178"/>
      <c r="F59" s="178"/>
      <c r="G59" s="178"/>
      <c r="I59" s="178"/>
      <c r="J59" s="178"/>
      <c r="K59" s="178"/>
      <c r="L59" s="178"/>
      <c r="M59" s="178"/>
      <c r="N59" s="178"/>
      <c r="O59" s="178"/>
      <c r="P59" s="179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</row>
    <row r="60" spans="2:29" ht="15.6" x14ac:dyDescent="0.3">
      <c r="B60" s="127"/>
      <c r="D60" s="16"/>
      <c r="E60" s="178"/>
      <c r="F60" s="178"/>
      <c r="G60" s="178"/>
      <c r="I60" s="178"/>
      <c r="J60" s="178"/>
      <c r="K60" s="178"/>
      <c r="L60" s="178"/>
      <c r="M60" s="178"/>
      <c r="N60" s="178"/>
      <c r="O60" s="178"/>
      <c r="P60" s="179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</row>
    <row r="61" spans="2:29" ht="15.6" x14ac:dyDescent="0.3">
      <c r="B61" s="181"/>
      <c r="D61" s="16"/>
      <c r="E61" s="178"/>
      <c r="F61" s="178"/>
      <c r="G61" s="178"/>
      <c r="I61" s="178"/>
      <c r="J61" s="178"/>
      <c r="K61" s="178"/>
      <c r="L61" s="178"/>
      <c r="M61" s="178"/>
      <c r="N61" s="178"/>
      <c r="O61" s="178"/>
      <c r="P61" s="179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</row>
    <row r="62" spans="2:29" ht="5.0999999999999996" customHeight="1" x14ac:dyDescent="0.3">
      <c r="B62" s="127"/>
      <c r="D62" s="16"/>
      <c r="E62" s="16"/>
      <c r="F62" s="178"/>
      <c r="G62" s="178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82"/>
      <c r="Y62" s="182"/>
      <c r="Z62" s="182"/>
      <c r="AA62" s="182"/>
      <c r="AB62" s="182"/>
      <c r="AC62" s="182"/>
    </row>
  </sheetData>
  <conditionalFormatting sqref="H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P62 P57:P6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P56 P5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:Q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Q56 Q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Q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R56 R5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R6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6 S5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S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2:T4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T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20 V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U4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:U47 U42:U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:U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U6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4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5:V47 V42:V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8:V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:V6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7:X4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43 X4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4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X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:Y4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Y47 Y42:Y4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:Y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AA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7:Z4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5:Z47 Z42:Z4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7:Z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A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A47 AA42:AA4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A6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B4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3 AB4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4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7:AB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C11 AB12:AB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C4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C43 AC4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6:AC4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C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I9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3AF-DB74-425A-80F6-B5BF914E465C}">
  <sheetPr>
    <tabColor theme="4" tint="-0.499984740745262"/>
  </sheetPr>
  <dimension ref="A1"/>
  <sheetViews>
    <sheetView showGridLines="0" topLeftCell="A5"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8CA-64A7-4033-9723-743D2DB7FCDF}">
  <dimension ref="A2:L25"/>
  <sheetViews>
    <sheetView showGridLines="0" topLeftCell="A26" workbookViewId="0">
      <selection activeCell="A27" sqref="A27:K48"/>
    </sheetView>
  </sheetViews>
  <sheetFormatPr defaultRowHeight="14.4" x14ac:dyDescent="0.3"/>
  <cols>
    <col min="1" max="1" width="32.6640625" bestFit="1" customWidth="1"/>
    <col min="2" max="3" width="10.109375" bestFit="1" customWidth="1"/>
    <col min="4" max="11" width="11.109375" bestFit="1" customWidth="1"/>
  </cols>
  <sheetData>
    <row r="2" spans="1:12" x14ac:dyDescent="0.3">
      <c r="A2" s="2" t="s">
        <v>60</v>
      </c>
    </row>
    <row r="3" spans="1:12" ht="18" x14ac:dyDescent="0.35">
      <c r="A3" s="358" t="s">
        <v>59</v>
      </c>
      <c r="B3" s="359">
        <v>2015</v>
      </c>
      <c r="C3" s="359">
        <f t="shared" ref="C3:J3" si="0">B3+1</f>
        <v>2016</v>
      </c>
      <c r="D3" s="359">
        <f t="shared" si="0"/>
        <v>2017</v>
      </c>
      <c r="E3" s="359">
        <f t="shared" si="0"/>
        <v>2018</v>
      </c>
      <c r="F3" s="359">
        <f t="shared" si="0"/>
        <v>2019</v>
      </c>
      <c r="G3" s="359">
        <f t="shared" si="0"/>
        <v>2020</v>
      </c>
      <c r="H3" s="359">
        <f t="shared" si="0"/>
        <v>2021</v>
      </c>
      <c r="I3" s="359">
        <f t="shared" si="0"/>
        <v>2022</v>
      </c>
      <c r="J3" s="359">
        <f t="shared" si="0"/>
        <v>2023</v>
      </c>
      <c r="K3" s="359">
        <v>2024</v>
      </c>
      <c r="L3" t="s">
        <v>340</v>
      </c>
    </row>
    <row r="4" spans="1:12" x14ac:dyDescent="0.3">
      <c r="A4" s="3" t="s">
        <v>61</v>
      </c>
      <c r="B4" s="274">
        <v>74989</v>
      </c>
      <c r="C4" s="274">
        <v>90272</v>
      </c>
      <c r="D4" s="274">
        <v>110855</v>
      </c>
      <c r="E4" s="274">
        <v>136819</v>
      </c>
      <c r="F4" s="274">
        <v>161857</v>
      </c>
      <c r="G4" s="274">
        <v>182527</v>
      </c>
      <c r="H4" s="274">
        <v>257637</v>
      </c>
      <c r="I4" s="274">
        <v>282836</v>
      </c>
      <c r="J4" s="274">
        <v>307394</v>
      </c>
      <c r="K4" s="274">
        <v>350018</v>
      </c>
      <c r="L4">
        <f>AVERAGE(I4:K4)</f>
        <v>313416</v>
      </c>
    </row>
    <row r="5" spans="1:12" x14ac:dyDescent="0.3">
      <c r="A5" s="26" t="s">
        <v>62</v>
      </c>
      <c r="B5" s="274">
        <v>28164</v>
      </c>
      <c r="C5" s="274">
        <v>35138</v>
      </c>
      <c r="D5" s="274">
        <v>45583</v>
      </c>
      <c r="E5" s="274">
        <v>59549</v>
      </c>
      <c r="F5" s="274">
        <v>71896</v>
      </c>
      <c r="G5" s="274">
        <v>84732</v>
      </c>
      <c r="H5" s="274">
        <v>110939</v>
      </c>
      <c r="I5" s="274">
        <v>126203</v>
      </c>
      <c r="J5" s="274">
        <v>133332</v>
      </c>
      <c r="K5" s="274">
        <v>146306</v>
      </c>
      <c r="L5">
        <f t="shared" ref="L5:L25" si="1">AVERAGE(I5:K5)</f>
        <v>135280.33333333334</v>
      </c>
    </row>
    <row r="6" spans="1:12" x14ac:dyDescent="0.3">
      <c r="A6" s="3" t="s">
        <v>63</v>
      </c>
      <c r="B6" s="274">
        <v>46825</v>
      </c>
      <c r="C6" s="274">
        <v>55134</v>
      </c>
      <c r="D6" s="274">
        <v>65272</v>
      </c>
      <c r="E6" s="274" t="s">
        <v>112</v>
      </c>
      <c r="F6" s="274">
        <v>89961</v>
      </c>
      <c r="G6" s="274">
        <v>97795</v>
      </c>
      <c r="H6" s="274">
        <v>146698</v>
      </c>
      <c r="I6" s="274">
        <v>156633</v>
      </c>
      <c r="J6" s="274">
        <v>174062</v>
      </c>
      <c r="K6" s="274">
        <v>203712</v>
      </c>
      <c r="L6">
        <f t="shared" si="1"/>
        <v>178135.66666666666</v>
      </c>
    </row>
    <row r="7" spans="1:12" x14ac:dyDescent="0.3">
      <c r="A7" s="26" t="s">
        <v>64</v>
      </c>
      <c r="B7" s="274">
        <v>12282</v>
      </c>
      <c r="C7" s="274">
        <v>13948</v>
      </c>
      <c r="D7" s="274">
        <v>16625</v>
      </c>
      <c r="E7" s="274">
        <v>21419</v>
      </c>
      <c r="F7" s="274">
        <v>26018</v>
      </c>
      <c r="G7" s="274">
        <v>27573</v>
      </c>
      <c r="H7" s="274">
        <v>31562</v>
      </c>
      <c r="I7" s="274">
        <v>39500</v>
      </c>
      <c r="J7" s="274">
        <v>45427</v>
      </c>
      <c r="K7" s="274">
        <v>49326</v>
      </c>
      <c r="L7">
        <f t="shared" si="1"/>
        <v>44751</v>
      </c>
    </row>
    <row r="8" spans="1:12" x14ac:dyDescent="0.3">
      <c r="A8" s="26" t="s">
        <v>65</v>
      </c>
      <c r="B8" s="274">
        <v>15183</v>
      </c>
      <c r="C8" s="274">
        <v>17470</v>
      </c>
      <c r="D8" s="274">
        <v>19733</v>
      </c>
      <c r="E8" s="274">
        <v>23256</v>
      </c>
      <c r="F8" s="274">
        <v>28015</v>
      </c>
      <c r="G8" s="274">
        <v>28998</v>
      </c>
      <c r="H8" s="274">
        <v>36422</v>
      </c>
      <c r="I8" s="274">
        <v>42291</v>
      </c>
      <c r="J8" s="274">
        <v>44342</v>
      </c>
      <c r="K8" s="274">
        <v>41996</v>
      </c>
      <c r="L8">
        <f t="shared" si="1"/>
        <v>42876.333333333336</v>
      </c>
    </row>
    <row r="9" spans="1:12" x14ac:dyDescent="0.3">
      <c r="A9" s="26" t="s">
        <v>66</v>
      </c>
      <c r="B9" s="274" t="s">
        <v>112</v>
      </c>
      <c r="C9" s="274" t="s">
        <v>112</v>
      </c>
      <c r="D9" s="274">
        <v>-2736</v>
      </c>
      <c r="E9" s="274">
        <v>-5071</v>
      </c>
      <c r="F9" s="274">
        <v>-1697</v>
      </c>
      <c r="G9" s="274" t="s">
        <v>112</v>
      </c>
      <c r="H9" s="274" t="s">
        <v>112</v>
      </c>
      <c r="I9" s="274" t="s">
        <v>112</v>
      </c>
      <c r="J9" s="274" t="s">
        <v>112</v>
      </c>
      <c r="K9" s="274" t="s">
        <v>112</v>
      </c>
    </row>
    <row r="10" spans="1:12" x14ac:dyDescent="0.3">
      <c r="A10" s="2" t="s">
        <v>67</v>
      </c>
      <c r="B10" s="274">
        <v>27465</v>
      </c>
      <c r="C10" s="274">
        <v>31418</v>
      </c>
      <c r="D10" s="274">
        <v>39094</v>
      </c>
      <c r="E10" s="274">
        <v>49746</v>
      </c>
      <c r="F10" s="274">
        <v>55730</v>
      </c>
      <c r="G10" s="274">
        <v>56571</v>
      </c>
      <c r="H10" s="274">
        <v>67984</v>
      </c>
      <c r="I10" s="274">
        <v>81791</v>
      </c>
      <c r="J10" s="274">
        <v>89769</v>
      </c>
      <c r="K10" s="274">
        <v>91322</v>
      </c>
      <c r="L10">
        <f t="shared" si="1"/>
        <v>87627.333333333328</v>
      </c>
    </row>
    <row r="11" spans="1:12" x14ac:dyDescent="0.3">
      <c r="A11" s="3" t="s">
        <v>68</v>
      </c>
      <c r="B11" s="274">
        <v>19360</v>
      </c>
      <c r="C11" s="274">
        <v>23716</v>
      </c>
      <c r="D11" s="274">
        <v>26178</v>
      </c>
      <c r="E11" s="274">
        <v>27524</v>
      </c>
      <c r="F11" s="274">
        <v>34231</v>
      </c>
      <c r="G11" s="274">
        <v>41224</v>
      </c>
      <c r="H11" s="274">
        <v>78714</v>
      </c>
      <c r="I11" s="274">
        <v>74842</v>
      </c>
      <c r="J11" s="274">
        <v>84293</v>
      </c>
      <c r="K11" s="274">
        <v>112390</v>
      </c>
      <c r="L11">
        <f t="shared" si="1"/>
        <v>90508.333333333328</v>
      </c>
    </row>
    <row r="12" spans="1:12" x14ac:dyDescent="0.3">
      <c r="A12" s="2" t="s">
        <v>69</v>
      </c>
      <c r="B12" s="274">
        <v>291</v>
      </c>
      <c r="C12" s="274">
        <v>434</v>
      </c>
      <c r="D12" s="274">
        <v>1015</v>
      </c>
      <c r="E12" s="274">
        <v>7389</v>
      </c>
      <c r="F12" s="274">
        <v>5394</v>
      </c>
      <c r="G12" s="274">
        <v>6858</v>
      </c>
      <c r="H12" s="274">
        <v>12020</v>
      </c>
      <c r="I12" s="274">
        <v>-3514</v>
      </c>
      <c r="J12" s="274">
        <v>1424</v>
      </c>
      <c r="K12" s="274">
        <v>7425</v>
      </c>
      <c r="L12">
        <f t="shared" si="1"/>
        <v>1778.3333333333333</v>
      </c>
    </row>
    <row r="13" spans="1:12" x14ac:dyDescent="0.3">
      <c r="A13" s="3" t="s">
        <v>70</v>
      </c>
      <c r="B13" s="274">
        <v>19651</v>
      </c>
      <c r="C13" s="274">
        <v>24150</v>
      </c>
      <c r="D13" s="274">
        <v>27193</v>
      </c>
      <c r="E13" s="274">
        <v>34913</v>
      </c>
      <c r="F13" s="274">
        <v>39625</v>
      </c>
      <c r="G13" s="274">
        <v>48082</v>
      </c>
      <c r="H13" s="274">
        <v>90734</v>
      </c>
      <c r="I13" s="274">
        <v>71328</v>
      </c>
      <c r="J13" s="274">
        <v>85717</v>
      </c>
      <c r="K13" s="274">
        <v>119815</v>
      </c>
      <c r="L13">
        <f t="shared" si="1"/>
        <v>92286.666666666672</v>
      </c>
    </row>
    <row r="14" spans="1:12" x14ac:dyDescent="0.3">
      <c r="A14" s="2" t="s">
        <v>71</v>
      </c>
      <c r="B14" s="274">
        <v>3303</v>
      </c>
      <c r="C14" s="274">
        <v>4672</v>
      </c>
      <c r="D14" s="274">
        <v>14531</v>
      </c>
      <c r="E14" s="274">
        <v>4177</v>
      </c>
      <c r="F14" s="274">
        <v>5282</v>
      </c>
      <c r="G14" s="274">
        <v>7813</v>
      </c>
      <c r="H14" s="274">
        <v>14701</v>
      </c>
      <c r="I14" s="274">
        <v>11356</v>
      </c>
      <c r="J14" s="274">
        <v>11922</v>
      </c>
      <c r="K14" s="274">
        <v>19697</v>
      </c>
      <c r="L14">
        <f t="shared" si="1"/>
        <v>14325</v>
      </c>
    </row>
    <row r="15" spans="1:12" x14ac:dyDescent="0.3">
      <c r="A15" s="3" t="s">
        <v>290</v>
      </c>
      <c r="B15" s="274">
        <v>16348</v>
      </c>
      <c r="C15" s="274">
        <v>19478</v>
      </c>
      <c r="D15" s="274">
        <v>12662</v>
      </c>
      <c r="E15" s="274">
        <v>30736</v>
      </c>
      <c r="F15" s="274">
        <v>34343</v>
      </c>
      <c r="G15" s="274">
        <v>40269</v>
      </c>
      <c r="H15" s="274">
        <v>76033</v>
      </c>
      <c r="I15" s="274">
        <v>59972</v>
      </c>
      <c r="J15" s="274">
        <v>73795</v>
      </c>
      <c r="K15" s="274">
        <v>100118</v>
      </c>
      <c r="L15">
        <f t="shared" si="1"/>
        <v>77961.666666666672</v>
      </c>
    </row>
    <row r="16" spans="1:12" x14ac:dyDescent="0.3">
      <c r="A16" s="2" t="s">
        <v>72</v>
      </c>
      <c r="B16" s="274" t="s">
        <v>112</v>
      </c>
      <c r="C16" s="274" t="s">
        <v>112</v>
      </c>
      <c r="D16" s="274" t="s">
        <v>112</v>
      </c>
      <c r="E16" s="274" t="s">
        <v>112</v>
      </c>
      <c r="F16" s="274" t="s">
        <v>112</v>
      </c>
      <c r="G16" s="274" t="s">
        <v>112</v>
      </c>
      <c r="H16" s="274" t="s">
        <v>112</v>
      </c>
      <c r="I16" s="274" t="s">
        <v>112</v>
      </c>
      <c r="J16" s="274" t="s">
        <v>112</v>
      </c>
      <c r="K16" s="274" t="s">
        <v>112</v>
      </c>
    </row>
    <row r="17" spans="1:12" x14ac:dyDescent="0.3">
      <c r="A17" s="3" t="s">
        <v>73</v>
      </c>
      <c r="B17" s="274">
        <v>16348</v>
      </c>
      <c r="C17" s="274">
        <v>19478</v>
      </c>
      <c r="D17" s="274">
        <v>12662</v>
      </c>
      <c r="E17" s="274">
        <v>30736</v>
      </c>
      <c r="F17" s="274">
        <v>34343</v>
      </c>
      <c r="G17" s="274">
        <v>40269</v>
      </c>
      <c r="H17" s="274">
        <v>76033</v>
      </c>
      <c r="I17" s="274">
        <v>59972</v>
      </c>
      <c r="J17" s="274">
        <v>73795</v>
      </c>
      <c r="K17" s="274">
        <v>100118</v>
      </c>
      <c r="L17">
        <f t="shared" si="1"/>
        <v>77961.666666666672</v>
      </c>
    </row>
    <row r="18" spans="1:12" x14ac:dyDescent="0.3">
      <c r="A18" s="2" t="s">
        <v>74</v>
      </c>
      <c r="B18" s="274" t="s">
        <v>112</v>
      </c>
      <c r="C18" s="274" t="s">
        <v>112</v>
      </c>
      <c r="D18" s="274" t="s">
        <v>112</v>
      </c>
      <c r="E18" s="274" t="s">
        <v>112</v>
      </c>
      <c r="F18" s="274" t="s">
        <v>112</v>
      </c>
      <c r="G18" s="274" t="s">
        <v>112</v>
      </c>
      <c r="H18" s="274" t="s">
        <v>112</v>
      </c>
      <c r="I18" s="274" t="s">
        <v>112</v>
      </c>
      <c r="J18" s="274" t="s">
        <v>112</v>
      </c>
      <c r="K18" s="274" t="s">
        <v>112</v>
      </c>
    </row>
    <row r="19" spans="1:12" x14ac:dyDescent="0.3">
      <c r="A19" s="3" t="s">
        <v>75</v>
      </c>
      <c r="B19" s="274">
        <v>15826</v>
      </c>
      <c r="C19" s="274">
        <v>19478</v>
      </c>
      <c r="D19" s="274">
        <v>12662</v>
      </c>
      <c r="E19" s="274">
        <v>30736</v>
      </c>
      <c r="F19" s="274">
        <v>34343</v>
      </c>
      <c r="G19" s="274">
        <v>40269</v>
      </c>
      <c r="H19" s="274">
        <v>76033</v>
      </c>
      <c r="I19" s="274">
        <v>59972</v>
      </c>
      <c r="J19" s="274">
        <v>73795</v>
      </c>
      <c r="K19" s="274">
        <v>100118</v>
      </c>
      <c r="L19">
        <f t="shared" si="1"/>
        <v>77961.666666666672</v>
      </c>
    </row>
    <row r="20" spans="1:12" x14ac:dyDescent="0.3">
      <c r="A20" s="2" t="s">
        <v>76</v>
      </c>
      <c r="B20" s="274">
        <v>24423</v>
      </c>
      <c r="C20" s="274">
        <v>29860</v>
      </c>
      <c r="D20" s="274">
        <v>33093</v>
      </c>
      <c r="E20" s="274">
        <v>36559</v>
      </c>
      <c r="F20" s="274">
        <v>46012</v>
      </c>
      <c r="G20" s="274">
        <v>54921</v>
      </c>
      <c r="H20" s="274">
        <v>88987</v>
      </c>
      <c r="I20" s="274">
        <v>88317</v>
      </c>
      <c r="J20" s="274">
        <v>96239</v>
      </c>
      <c r="K20" s="274">
        <v>127701</v>
      </c>
      <c r="L20">
        <f t="shared" si="1"/>
        <v>104085.66666666667</v>
      </c>
    </row>
    <row r="21" spans="1:12" x14ac:dyDescent="0.3">
      <c r="A21" s="2" t="s">
        <v>14</v>
      </c>
      <c r="B21" s="274">
        <v>19360</v>
      </c>
      <c r="C21" s="274">
        <v>23716</v>
      </c>
      <c r="D21" s="274">
        <v>26178</v>
      </c>
      <c r="E21" s="274">
        <v>27524</v>
      </c>
      <c r="F21" s="274">
        <v>34231</v>
      </c>
      <c r="G21" s="274">
        <v>41224</v>
      </c>
      <c r="H21" s="274">
        <v>78714</v>
      </c>
      <c r="I21" s="274">
        <v>74842</v>
      </c>
      <c r="J21" s="274">
        <v>84293</v>
      </c>
      <c r="K21" s="274">
        <v>112390</v>
      </c>
      <c r="L21">
        <f t="shared" si="1"/>
        <v>90508.333333333328</v>
      </c>
    </row>
    <row r="22" spans="1:12" x14ac:dyDescent="0.3">
      <c r="A22" s="2" t="s">
        <v>77</v>
      </c>
      <c r="B22" s="274">
        <v>13692.52</v>
      </c>
      <c r="C22" s="274">
        <v>13755.56</v>
      </c>
      <c r="D22" s="274">
        <v>13858.02</v>
      </c>
      <c r="E22" s="274">
        <v>13902.8</v>
      </c>
      <c r="F22" s="274">
        <v>13851.92</v>
      </c>
      <c r="G22" s="274">
        <v>13616</v>
      </c>
      <c r="H22" s="274">
        <v>13353</v>
      </c>
      <c r="I22" s="274">
        <v>13063</v>
      </c>
      <c r="J22" s="274">
        <v>12630</v>
      </c>
      <c r="K22" s="274">
        <v>12319</v>
      </c>
      <c r="L22">
        <f t="shared" si="1"/>
        <v>12670.666666666666</v>
      </c>
    </row>
    <row r="23" spans="1:12" x14ac:dyDescent="0.3">
      <c r="A23" s="2" t="s">
        <v>78</v>
      </c>
      <c r="B23" s="274">
        <v>14893.5</v>
      </c>
      <c r="C23" s="274">
        <v>14951.3</v>
      </c>
      <c r="D23" s="274">
        <v>15014.6</v>
      </c>
      <c r="E23" s="274">
        <v>15002.98</v>
      </c>
      <c r="F23" s="274">
        <v>14901.66</v>
      </c>
      <c r="G23" s="274">
        <v>14665</v>
      </c>
      <c r="H23" s="274">
        <v>14462</v>
      </c>
      <c r="I23" s="274">
        <v>14046</v>
      </c>
      <c r="J23" s="274">
        <v>13599</v>
      </c>
      <c r="K23" s="274">
        <v>13313</v>
      </c>
      <c r="L23">
        <f t="shared" si="1"/>
        <v>13652.666666666666</v>
      </c>
    </row>
    <row r="24" spans="1:12" x14ac:dyDescent="0.3">
      <c r="A24" s="3" t="s">
        <v>79</v>
      </c>
      <c r="B24" s="275">
        <v>1.1555</v>
      </c>
      <c r="C24" s="275">
        <v>1.4159999999999999</v>
      </c>
      <c r="D24" s="275">
        <v>0.91349999999999998</v>
      </c>
      <c r="E24" s="275">
        <v>2.2109999999999999</v>
      </c>
      <c r="F24" s="275">
        <v>2.4794999999999998</v>
      </c>
      <c r="G24" s="275">
        <v>2.96</v>
      </c>
      <c r="H24" s="275">
        <v>5.69</v>
      </c>
      <c r="I24" s="275">
        <v>4.59</v>
      </c>
      <c r="J24" s="275">
        <v>5.84</v>
      </c>
      <c r="K24" s="275">
        <v>8.1300000000000008</v>
      </c>
      <c r="L24">
        <f t="shared" si="1"/>
        <v>6.1866666666666674</v>
      </c>
    </row>
    <row r="25" spans="1:12" x14ac:dyDescent="0.3">
      <c r="A25" s="3" t="s">
        <v>80</v>
      </c>
      <c r="B25" s="275">
        <v>1.1419999999999999</v>
      </c>
      <c r="C25" s="275">
        <v>1.3925000000000001</v>
      </c>
      <c r="D25" s="275">
        <v>0.9</v>
      </c>
      <c r="E25" s="275">
        <v>2.1850000000000001</v>
      </c>
      <c r="F25" s="275">
        <v>2.4580000000000002</v>
      </c>
      <c r="G25" s="275">
        <v>2.93</v>
      </c>
      <c r="H25" s="275">
        <v>5.61</v>
      </c>
      <c r="I25" s="275">
        <v>4.5599999999999996</v>
      </c>
      <c r="J25" s="275">
        <v>5.8</v>
      </c>
      <c r="K25" s="275">
        <v>8.0399999999999991</v>
      </c>
      <c r="L25">
        <f t="shared" si="1"/>
        <v>6.1333333333333329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7E-08BB-437E-BAD3-CFD571EC0FE8}">
  <dimension ref="A1:K34"/>
  <sheetViews>
    <sheetView showGridLines="0" topLeftCell="A26" workbookViewId="0">
      <selection activeCell="A26" sqref="A26"/>
    </sheetView>
  </sheetViews>
  <sheetFormatPr defaultRowHeight="14.4" x14ac:dyDescent="0.3"/>
  <cols>
    <col min="1" max="1" width="46.109375" bestFit="1" customWidth="1"/>
  </cols>
  <sheetData>
    <row r="1" spans="1:11" x14ac:dyDescent="0.3">
      <c r="A1" s="3" t="s">
        <v>81</v>
      </c>
    </row>
    <row r="2" spans="1:11" x14ac:dyDescent="0.3">
      <c r="A2" s="2" t="s">
        <v>82</v>
      </c>
    </row>
    <row r="3" spans="1:11" x14ac:dyDescent="0.3">
      <c r="A3" s="2" t="s">
        <v>83</v>
      </c>
    </row>
    <row r="4" spans="1:11" x14ac:dyDescent="0.3">
      <c r="A4" s="2" t="s">
        <v>60</v>
      </c>
    </row>
    <row r="5" spans="1:11" x14ac:dyDescent="0.3">
      <c r="B5" s="276">
        <v>2015</v>
      </c>
      <c r="C5" s="276">
        <f t="shared" ref="C5:J5" si="0">B5+1</f>
        <v>2016</v>
      </c>
      <c r="D5" s="276">
        <f t="shared" si="0"/>
        <v>2017</v>
      </c>
      <c r="E5" s="276">
        <f t="shared" si="0"/>
        <v>2018</v>
      </c>
      <c r="F5" s="276">
        <f t="shared" si="0"/>
        <v>2019</v>
      </c>
      <c r="G5" s="276">
        <f t="shared" si="0"/>
        <v>2020</v>
      </c>
      <c r="H5" s="276">
        <f t="shared" si="0"/>
        <v>2021</v>
      </c>
      <c r="I5" s="276">
        <f t="shared" si="0"/>
        <v>2022</v>
      </c>
      <c r="J5" s="276">
        <f t="shared" si="0"/>
        <v>2023</v>
      </c>
      <c r="K5" s="276">
        <v>2024</v>
      </c>
    </row>
    <row r="6" spans="1:11" x14ac:dyDescent="0.3">
      <c r="A6" s="2" t="s">
        <v>84</v>
      </c>
      <c r="B6" s="320">
        <v>16348</v>
      </c>
      <c r="C6" s="320">
        <v>19478</v>
      </c>
      <c r="D6" s="320">
        <v>12662</v>
      </c>
      <c r="E6" s="320">
        <v>30736</v>
      </c>
      <c r="F6" s="320">
        <v>34343</v>
      </c>
      <c r="G6" s="320">
        <v>40269</v>
      </c>
      <c r="H6" s="320">
        <v>76033</v>
      </c>
      <c r="I6" s="320">
        <v>59972</v>
      </c>
      <c r="J6" s="320">
        <v>73795</v>
      </c>
      <c r="K6" s="320">
        <v>100118</v>
      </c>
    </row>
    <row r="7" spans="1:11" x14ac:dyDescent="0.3">
      <c r="A7" s="2" t="s">
        <v>85</v>
      </c>
      <c r="B7" s="320">
        <v>5063</v>
      </c>
      <c r="C7" s="320">
        <v>6144</v>
      </c>
      <c r="D7" s="320">
        <v>6915</v>
      </c>
      <c r="E7" s="320">
        <v>9035</v>
      </c>
      <c r="F7" s="320">
        <v>11781</v>
      </c>
      <c r="G7" s="320">
        <v>13697</v>
      </c>
      <c r="H7" s="320">
        <v>10273</v>
      </c>
      <c r="I7" s="320">
        <v>13475</v>
      </c>
      <c r="J7" s="320">
        <v>11946</v>
      </c>
      <c r="K7" s="320">
        <v>15311</v>
      </c>
    </row>
    <row r="8" spans="1:11" x14ac:dyDescent="0.3">
      <c r="A8" s="2" t="s">
        <v>86</v>
      </c>
      <c r="B8" s="320">
        <v>5570</v>
      </c>
      <c r="C8" s="320">
        <v>7114</v>
      </c>
      <c r="D8" s="320">
        <v>8268</v>
      </c>
      <c r="E8" s="320">
        <v>3292</v>
      </c>
      <c r="F8" s="320">
        <v>7577</v>
      </c>
      <c r="G8" s="320">
        <v>9331</v>
      </c>
      <c r="H8" s="320">
        <v>6869</v>
      </c>
      <c r="I8" s="320">
        <v>20283</v>
      </c>
      <c r="J8" s="320">
        <v>19850</v>
      </c>
      <c r="K8" s="320">
        <v>18276</v>
      </c>
    </row>
    <row r="9" spans="1:11" x14ac:dyDescent="0.3">
      <c r="A9" s="2" t="s">
        <v>87</v>
      </c>
      <c r="B9" s="320">
        <v>10633</v>
      </c>
      <c r="C9" s="320">
        <v>13258</v>
      </c>
      <c r="D9" s="320">
        <v>15183</v>
      </c>
      <c r="E9" s="320">
        <v>12327</v>
      </c>
      <c r="F9" s="320">
        <v>19358</v>
      </c>
      <c r="G9" s="320">
        <v>23028</v>
      </c>
      <c r="H9" s="320">
        <v>17142</v>
      </c>
      <c r="I9" s="320">
        <v>33758</v>
      </c>
      <c r="J9" s="320">
        <v>31796</v>
      </c>
      <c r="K9" s="320">
        <v>33587</v>
      </c>
    </row>
    <row r="10" spans="1:11" x14ac:dyDescent="0.3">
      <c r="A10" s="2" t="s">
        <v>88</v>
      </c>
      <c r="B10" s="320">
        <v>-2094</v>
      </c>
      <c r="C10" s="320">
        <v>-2578</v>
      </c>
      <c r="D10" s="320">
        <v>-3768</v>
      </c>
      <c r="E10" s="320">
        <v>-2169</v>
      </c>
      <c r="F10" s="320">
        <v>-4340</v>
      </c>
      <c r="G10" s="320">
        <v>-6524</v>
      </c>
      <c r="H10" s="320">
        <v>-9095</v>
      </c>
      <c r="I10" s="320">
        <v>-2317</v>
      </c>
      <c r="J10" s="320">
        <v>-7833</v>
      </c>
      <c r="K10" s="320">
        <v>-5891</v>
      </c>
    </row>
    <row r="11" spans="1:11" x14ac:dyDescent="0.3">
      <c r="A11" s="2" t="s">
        <v>89</v>
      </c>
      <c r="B11" s="320" t="s">
        <v>112</v>
      </c>
      <c r="C11" s="320" t="s">
        <v>112</v>
      </c>
      <c r="D11" s="320" t="s">
        <v>112</v>
      </c>
      <c r="E11" s="320" t="s">
        <v>112</v>
      </c>
      <c r="F11" s="320" t="s">
        <v>112</v>
      </c>
      <c r="G11" s="320" t="s">
        <v>112</v>
      </c>
      <c r="H11" s="320" t="s">
        <v>112</v>
      </c>
      <c r="I11" s="320" t="s">
        <v>112</v>
      </c>
      <c r="J11" s="320" t="s">
        <v>112</v>
      </c>
      <c r="K11" s="320" t="s">
        <v>112</v>
      </c>
    </row>
    <row r="12" spans="1:11" x14ac:dyDescent="0.3">
      <c r="A12" s="2" t="s">
        <v>90</v>
      </c>
      <c r="B12" s="320">
        <v>203</v>
      </c>
      <c r="C12" s="320">
        <v>110</v>
      </c>
      <c r="D12" s="320">
        <v>731</v>
      </c>
      <c r="E12" s="320">
        <v>1067</v>
      </c>
      <c r="F12" s="320">
        <v>428</v>
      </c>
      <c r="G12" s="320">
        <v>694</v>
      </c>
      <c r="H12" s="320">
        <v>283</v>
      </c>
      <c r="I12" s="320">
        <v>707</v>
      </c>
      <c r="J12" s="320">
        <v>664</v>
      </c>
      <c r="K12" s="320">
        <v>359</v>
      </c>
    </row>
    <row r="13" spans="1:11" x14ac:dyDescent="0.3">
      <c r="A13" s="2" t="s">
        <v>91</v>
      </c>
      <c r="B13" s="320">
        <v>-275</v>
      </c>
      <c r="C13" s="320">
        <v>535</v>
      </c>
      <c r="D13" s="320">
        <v>-1774</v>
      </c>
      <c r="E13" s="320">
        <v>-836</v>
      </c>
      <c r="F13" s="320">
        <v>-584</v>
      </c>
      <c r="G13" s="320">
        <v>-695</v>
      </c>
      <c r="H13" s="320">
        <v>-1072</v>
      </c>
      <c r="I13" s="320">
        <v>-4679</v>
      </c>
      <c r="J13" s="320">
        <v>-1618</v>
      </c>
      <c r="K13" s="320">
        <v>-354</v>
      </c>
    </row>
    <row r="14" spans="1:11" x14ac:dyDescent="0.3">
      <c r="A14" s="67" t="s">
        <v>92</v>
      </c>
      <c r="B14" s="320">
        <v>-409</v>
      </c>
      <c r="C14" s="320">
        <v>3300</v>
      </c>
      <c r="D14" s="320">
        <v>9246</v>
      </c>
      <c r="E14" s="320">
        <v>4908</v>
      </c>
      <c r="F14" s="320">
        <v>819</v>
      </c>
      <c r="G14" s="320">
        <v>1827</v>
      </c>
      <c r="H14" s="320">
        <v>-1523</v>
      </c>
      <c r="I14" s="320">
        <v>-2235</v>
      </c>
      <c r="J14" s="320">
        <v>-3845</v>
      </c>
      <c r="K14" s="320">
        <v>-8406</v>
      </c>
    </row>
    <row r="15" spans="1:11" x14ac:dyDescent="0.3">
      <c r="A15" s="3" t="s">
        <v>93</v>
      </c>
      <c r="B15" s="320">
        <v>26572</v>
      </c>
      <c r="C15" s="320">
        <v>36036</v>
      </c>
      <c r="D15" s="320">
        <v>37091</v>
      </c>
      <c r="E15" s="320">
        <v>47971</v>
      </c>
      <c r="F15" s="320">
        <v>54520</v>
      </c>
      <c r="G15" s="320">
        <v>65124</v>
      </c>
      <c r="H15" s="320">
        <v>91652</v>
      </c>
      <c r="I15" s="320">
        <v>91495</v>
      </c>
      <c r="J15" s="320">
        <v>101746</v>
      </c>
      <c r="K15" s="320">
        <v>125299</v>
      </c>
    </row>
    <row r="16" spans="1:11" x14ac:dyDescent="0.3">
      <c r="A16" s="67" t="s">
        <v>114</v>
      </c>
      <c r="B16" s="320">
        <v>-9915</v>
      </c>
      <c r="C16" s="320">
        <v>-9972</v>
      </c>
      <c r="D16" s="320">
        <v>-13184</v>
      </c>
      <c r="E16" s="320">
        <v>-25139</v>
      </c>
      <c r="F16" s="320">
        <v>-23548</v>
      </c>
      <c r="G16" s="320">
        <v>-22281</v>
      </c>
      <c r="H16" s="320">
        <v>-24640</v>
      </c>
      <c r="I16" s="320">
        <v>-31485</v>
      </c>
      <c r="J16" s="320">
        <v>-32251</v>
      </c>
      <c r="K16" s="320">
        <v>-52535</v>
      </c>
    </row>
    <row r="17" spans="1:11" x14ac:dyDescent="0.3">
      <c r="A17" s="2" t="s">
        <v>94</v>
      </c>
      <c r="B17" s="320" t="s">
        <v>112</v>
      </c>
      <c r="C17" s="320" t="s">
        <v>112</v>
      </c>
      <c r="D17" s="320" t="s">
        <v>112</v>
      </c>
      <c r="E17" s="320" t="s">
        <v>112</v>
      </c>
      <c r="F17" s="320" t="s">
        <v>112</v>
      </c>
      <c r="G17" s="320" t="s">
        <v>112</v>
      </c>
      <c r="H17" s="320" t="s">
        <v>112</v>
      </c>
      <c r="I17" s="320" t="s">
        <v>112</v>
      </c>
      <c r="J17" s="320" t="s">
        <v>112</v>
      </c>
      <c r="K17" s="320" t="s">
        <v>112</v>
      </c>
    </row>
    <row r="18" spans="1:11" x14ac:dyDescent="0.3">
      <c r="A18" s="2" t="s">
        <v>95</v>
      </c>
      <c r="B18" s="320">
        <v>-236</v>
      </c>
      <c r="C18" s="320">
        <v>-986</v>
      </c>
      <c r="D18" s="320">
        <v>-287</v>
      </c>
      <c r="E18" s="320">
        <v>-1491</v>
      </c>
      <c r="F18" s="320">
        <v>-2515</v>
      </c>
      <c r="G18" s="320">
        <v>-738</v>
      </c>
      <c r="H18" s="320">
        <v>-2618</v>
      </c>
      <c r="I18" s="320">
        <v>-6969</v>
      </c>
      <c r="J18" s="320">
        <v>-495</v>
      </c>
      <c r="K18" s="320">
        <v>-2931</v>
      </c>
    </row>
    <row r="19" spans="1:11" x14ac:dyDescent="0.3">
      <c r="A19" s="2" t="s">
        <v>96</v>
      </c>
      <c r="B19" s="320">
        <v>-11463</v>
      </c>
      <c r="C19" s="320">
        <v>-17614</v>
      </c>
      <c r="D19" s="320">
        <v>-18236</v>
      </c>
      <c r="E19" s="320">
        <v>-1651</v>
      </c>
      <c r="F19" s="320">
        <v>-2490</v>
      </c>
      <c r="G19" s="320">
        <v>-3670</v>
      </c>
      <c r="H19" s="320">
        <v>-6902</v>
      </c>
      <c r="I19" s="320">
        <v>18948</v>
      </c>
      <c r="J19" s="320">
        <v>8814</v>
      </c>
      <c r="K19" s="320">
        <v>16749</v>
      </c>
    </row>
    <row r="20" spans="1:11" x14ac:dyDescent="0.3">
      <c r="A20" s="2" t="s">
        <v>97</v>
      </c>
      <c r="B20" s="320">
        <v>-1747</v>
      </c>
      <c r="C20" s="320">
        <v>-165</v>
      </c>
      <c r="D20" s="320">
        <v>-1212</v>
      </c>
      <c r="E20" s="320">
        <v>-321</v>
      </c>
      <c r="F20" s="320">
        <v>-1527</v>
      </c>
      <c r="G20" s="320">
        <v>-6152</v>
      </c>
      <c r="H20" s="320">
        <v>-1904</v>
      </c>
      <c r="I20" s="320">
        <v>-2381</v>
      </c>
      <c r="J20" s="320">
        <v>-2080</v>
      </c>
      <c r="K20" s="320">
        <v>-4152</v>
      </c>
    </row>
    <row r="21" spans="1:11" x14ac:dyDescent="0.3">
      <c r="A21" s="2" t="s">
        <v>98</v>
      </c>
      <c r="B21" s="320">
        <v>-13210</v>
      </c>
      <c r="C21" s="320">
        <v>-17779</v>
      </c>
      <c r="D21" s="320">
        <v>-19448</v>
      </c>
      <c r="E21" s="320">
        <v>-1972</v>
      </c>
      <c r="F21" s="320">
        <v>-4017</v>
      </c>
      <c r="G21" s="320">
        <v>-9822</v>
      </c>
      <c r="H21" s="320">
        <v>-8806</v>
      </c>
      <c r="I21" s="320">
        <v>16567</v>
      </c>
      <c r="J21" s="320">
        <v>6734</v>
      </c>
      <c r="K21" s="320">
        <v>12597</v>
      </c>
    </row>
    <row r="22" spans="1:11" x14ac:dyDescent="0.3">
      <c r="A22" s="2" t="s">
        <v>99</v>
      </c>
      <c r="B22" s="320">
        <v>-350</v>
      </c>
      <c r="C22" s="320">
        <v>-2428</v>
      </c>
      <c r="D22" s="320">
        <v>1518</v>
      </c>
      <c r="E22" s="320">
        <v>98</v>
      </c>
      <c r="F22" s="320">
        <v>589</v>
      </c>
      <c r="G22" s="320">
        <v>68</v>
      </c>
      <c r="H22" s="320">
        <v>541</v>
      </c>
      <c r="I22" s="320">
        <v>1589</v>
      </c>
      <c r="J22" s="320">
        <v>-1051</v>
      </c>
      <c r="K22" s="320">
        <v>-2667</v>
      </c>
    </row>
    <row r="23" spans="1:11" x14ac:dyDescent="0.3">
      <c r="A23" s="3" t="s">
        <v>100</v>
      </c>
      <c r="B23" s="320">
        <v>-23711</v>
      </c>
      <c r="C23" s="320">
        <v>-31165</v>
      </c>
      <c r="D23" s="320">
        <v>-31401</v>
      </c>
      <c r="E23" s="320">
        <v>-28504</v>
      </c>
      <c r="F23" s="320">
        <v>-29491</v>
      </c>
      <c r="G23" s="320">
        <v>-32773</v>
      </c>
      <c r="H23" s="320">
        <v>-35523</v>
      </c>
      <c r="I23" s="320">
        <v>-20298</v>
      </c>
      <c r="J23" s="320">
        <v>-27063</v>
      </c>
      <c r="K23" s="320">
        <v>-45536</v>
      </c>
    </row>
    <row r="24" spans="1:11" x14ac:dyDescent="0.3">
      <c r="A24" s="2" t="s">
        <v>101</v>
      </c>
      <c r="B24" s="320">
        <v>-23</v>
      </c>
      <c r="C24" s="320">
        <v>-1335</v>
      </c>
      <c r="D24" s="320">
        <v>-86</v>
      </c>
      <c r="E24" s="320">
        <v>-61</v>
      </c>
      <c r="F24" s="320">
        <v>-268</v>
      </c>
      <c r="G24" s="320">
        <v>9661</v>
      </c>
      <c r="H24" s="320">
        <v>-1236</v>
      </c>
      <c r="I24" s="320">
        <v>-1196</v>
      </c>
      <c r="J24" s="320">
        <v>-760</v>
      </c>
      <c r="K24" s="320">
        <v>888</v>
      </c>
    </row>
    <row r="25" spans="1:11" x14ac:dyDescent="0.3">
      <c r="A25" s="2" t="s">
        <v>102</v>
      </c>
      <c r="B25" s="320" t="s">
        <v>112</v>
      </c>
      <c r="C25" s="320" t="s">
        <v>112</v>
      </c>
      <c r="D25" s="320" t="s">
        <v>112</v>
      </c>
      <c r="E25" s="320" t="s">
        <v>112</v>
      </c>
      <c r="F25" s="320" t="s">
        <v>112</v>
      </c>
      <c r="G25" s="320" t="s">
        <v>112</v>
      </c>
      <c r="H25" s="320" t="s">
        <v>112</v>
      </c>
      <c r="I25" s="320" t="s">
        <v>112</v>
      </c>
      <c r="J25" s="320" t="s">
        <v>112</v>
      </c>
      <c r="K25" s="320" t="s">
        <v>112</v>
      </c>
    </row>
    <row r="26" spans="1:11" x14ac:dyDescent="0.3">
      <c r="A26" s="2" t="s">
        <v>103</v>
      </c>
      <c r="B26" s="320">
        <v>-23</v>
      </c>
      <c r="C26" s="320">
        <v>-1335</v>
      </c>
      <c r="D26" s="320">
        <v>-86</v>
      </c>
      <c r="E26" s="320">
        <v>-61</v>
      </c>
      <c r="F26" s="320">
        <v>-268</v>
      </c>
      <c r="G26" s="320">
        <v>9661</v>
      </c>
      <c r="H26" s="320">
        <v>-1236</v>
      </c>
      <c r="I26" s="320">
        <v>-1196</v>
      </c>
      <c r="J26" s="320">
        <v>-760</v>
      </c>
      <c r="K26" s="320">
        <v>888</v>
      </c>
    </row>
    <row r="27" spans="1:11" x14ac:dyDescent="0.3">
      <c r="A27" s="2" t="s">
        <v>104</v>
      </c>
      <c r="B27" s="320">
        <v>-1780</v>
      </c>
      <c r="C27" s="320">
        <v>-3693</v>
      </c>
      <c r="D27" s="320">
        <v>-4046</v>
      </c>
      <c r="E27" s="320">
        <v>-8125</v>
      </c>
      <c r="F27" s="320">
        <v>-18176</v>
      </c>
      <c r="G27" s="320">
        <v>-28349</v>
      </c>
      <c r="H27" s="320">
        <v>-49964</v>
      </c>
      <c r="I27" s="320">
        <v>-59296</v>
      </c>
      <c r="J27" s="320">
        <v>-61504</v>
      </c>
      <c r="K27" s="320">
        <v>-62222</v>
      </c>
    </row>
    <row r="28" spans="1:11" x14ac:dyDescent="0.3">
      <c r="A28" s="2" t="s">
        <v>105</v>
      </c>
      <c r="B28" s="320">
        <v>-1780</v>
      </c>
      <c r="C28" s="320">
        <v>-3693</v>
      </c>
      <c r="D28" s="320">
        <v>-4046</v>
      </c>
      <c r="E28" s="320">
        <v>-8125</v>
      </c>
      <c r="F28" s="320">
        <v>-18176</v>
      </c>
      <c r="G28" s="320">
        <v>-28349</v>
      </c>
      <c r="H28" s="320">
        <v>-49964</v>
      </c>
      <c r="I28" s="320">
        <v>-59296</v>
      </c>
      <c r="J28" s="320">
        <v>-61504</v>
      </c>
      <c r="K28" s="320">
        <v>-62222</v>
      </c>
    </row>
    <row r="29" spans="1:11" x14ac:dyDescent="0.3">
      <c r="A29" s="2" t="s">
        <v>106</v>
      </c>
      <c r="B29" s="320" t="s">
        <v>112</v>
      </c>
      <c r="C29" s="320" t="s">
        <v>112</v>
      </c>
      <c r="D29" s="320" t="s">
        <v>112</v>
      </c>
      <c r="E29" s="320" t="s">
        <v>112</v>
      </c>
      <c r="F29" s="320" t="s">
        <v>112</v>
      </c>
      <c r="G29" s="320" t="s">
        <v>112</v>
      </c>
      <c r="H29" s="320" t="s">
        <v>112</v>
      </c>
      <c r="I29" s="320" t="s">
        <v>112</v>
      </c>
      <c r="J29" s="320" t="s">
        <v>112</v>
      </c>
      <c r="K29" s="320">
        <v>-7363</v>
      </c>
    </row>
    <row r="30" spans="1:11" x14ac:dyDescent="0.3">
      <c r="A30" s="2" t="s">
        <v>107</v>
      </c>
      <c r="B30" s="320">
        <v>-2422</v>
      </c>
      <c r="C30" s="320">
        <v>-3304</v>
      </c>
      <c r="D30" s="320">
        <v>-4166</v>
      </c>
      <c r="E30" s="320">
        <v>-4993</v>
      </c>
      <c r="F30" s="320">
        <v>-4765</v>
      </c>
      <c r="G30" s="320">
        <v>-5720</v>
      </c>
      <c r="H30" s="320">
        <v>-10162</v>
      </c>
      <c r="I30" s="320">
        <v>-9265</v>
      </c>
      <c r="J30" s="320">
        <v>-9829</v>
      </c>
      <c r="K30" s="320">
        <v>-11036</v>
      </c>
    </row>
    <row r="31" spans="1:11" x14ac:dyDescent="0.3">
      <c r="A31" s="3" t="s">
        <v>108</v>
      </c>
      <c r="B31" s="320">
        <v>-4225</v>
      </c>
      <c r="C31" s="320">
        <v>-8332</v>
      </c>
      <c r="D31" s="320">
        <v>-8298</v>
      </c>
      <c r="E31" s="320">
        <v>-13179</v>
      </c>
      <c r="F31" s="320">
        <v>-23209</v>
      </c>
      <c r="G31" s="320">
        <v>-24408</v>
      </c>
      <c r="H31" s="320">
        <v>-61362</v>
      </c>
      <c r="I31" s="320">
        <v>-69757</v>
      </c>
      <c r="J31" s="320">
        <v>-72093</v>
      </c>
      <c r="K31" s="320">
        <v>-79733</v>
      </c>
    </row>
    <row r="32" spans="1:11" x14ac:dyDescent="0.3">
      <c r="A32" s="3" t="s">
        <v>109</v>
      </c>
      <c r="B32" s="320">
        <v>-1798</v>
      </c>
      <c r="C32" s="320">
        <v>-3631</v>
      </c>
      <c r="D32" s="320">
        <v>-2203</v>
      </c>
      <c r="E32" s="320">
        <v>5986</v>
      </c>
      <c r="F32" s="320">
        <v>1797</v>
      </c>
      <c r="G32" s="320">
        <v>7967</v>
      </c>
      <c r="H32" s="320">
        <v>-5520</v>
      </c>
      <c r="I32" s="320">
        <v>934</v>
      </c>
      <c r="J32" s="320">
        <v>2169</v>
      </c>
      <c r="K32" s="320">
        <v>-582</v>
      </c>
    </row>
    <row r="33" spans="1:11" x14ac:dyDescent="0.3">
      <c r="A33" s="3" t="s">
        <v>110</v>
      </c>
      <c r="B33" s="320">
        <v>5203</v>
      </c>
      <c r="C33" s="320">
        <v>6703</v>
      </c>
      <c r="D33" s="320">
        <v>7679</v>
      </c>
      <c r="E33" s="320">
        <v>9353</v>
      </c>
      <c r="F33" s="320">
        <v>10794</v>
      </c>
      <c r="G33" s="320">
        <v>12991</v>
      </c>
      <c r="H33" s="320">
        <v>15376</v>
      </c>
      <c r="I33" s="320">
        <v>19362</v>
      </c>
      <c r="J33" s="320">
        <v>22460</v>
      </c>
      <c r="K33" s="320">
        <v>22785</v>
      </c>
    </row>
    <row r="34" spans="1:11" x14ac:dyDescent="0.3">
      <c r="A34" s="3" t="s">
        <v>111</v>
      </c>
      <c r="B34" s="320" t="s">
        <v>112</v>
      </c>
      <c r="C34" s="320" t="s">
        <v>112</v>
      </c>
      <c r="D34" s="320" t="s">
        <v>112</v>
      </c>
      <c r="E34" s="320" t="s">
        <v>112</v>
      </c>
      <c r="F34" s="320" t="s">
        <v>112</v>
      </c>
      <c r="G34" s="320" t="s">
        <v>112</v>
      </c>
      <c r="H34" s="320" t="s">
        <v>112</v>
      </c>
      <c r="I34" s="320">
        <v>0</v>
      </c>
      <c r="J34" s="320">
        <v>0</v>
      </c>
      <c r="K34" s="320">
        <v>-7363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1111-41A2-4BAD-8658-DD5C83B8FABB}">
  <dimension ref="A1:Q33"/>
  <sheetViews>
    <sheetView showGridLines="0" workbookViewId="0"/>
  </sheetViews>
  <sheetFormatPr defaultRowHeight="14.4" x14ac:dyDescent="0.3"/>
  <cols>
    <col min="1" max="1" width="34.88671875" bestFit="1" customWidth="1"/>
  </cols>
  <sheetData>
    <row r="1" spans="1:17" x14ac:dyDescent="0.3">
      <c r="A1" s="233" t="s">
        <v>263</v>
      </c>
    </row>
    <row r="2" spans="1:17" x14ac:dyDescent="0.3">
      <c r="A2" s="3" t="s">
        <v>82</v>
      </c>
    </row>
    <row r="3" spans="1:17" x14ac:dyDescent="0.3">
      <c r="A3" s="3" t="s">
        <v>83</v>
      </c>
    </row>
    <row r="4" spans="1:17" x14ac:dyDescent="0.3">
      <c r="A4" s="3" t="s">
        <v>60</v>
      </c>
    </row>
    <row r="5" spans="1:17" x14ac:dyDescent="0.3">
      <c r="B5">
        <v>2024</v>
      </c>
      <c r="C5">
        <f>B5-1</f>
        <v>2023</v>
      </c>
      <c r="D5">
        <f t="shared" ref="D5:Q5" si="0">C5-1</f>
        <v>2022</v>
      </c>
      <c r="E5">
        <f t="shared" si="0"/>
        <v>2021</v>
      </c>
      <c r="F5">
        <f t="shared" si="0"/>
        <v>2020</v>
      </c>
      <c r="G5">
        <f t="shared" si="0"/>
        <v>2019</v>
      </c>
      <c r="H5">
        <f t="shared" si="0"/>
        <v>2018</v>
      </c>
      <c r="I5">
        <f t="shared" si="0"/>
        <v>2017</v>
      </c>
      <c r="J5">
        <f t="shared" si="0"/>
        <v>2016</v>
      </c>
      <c r="K5">
        <f t="shared" si="0"/>
        <v>2015</v>
      </c>
      <c r="L5">
        <f t="shared" si="0"/>
        <v>2014</v>
      </c>
      <c r="M5">
        <f t="shared" si="0"/>
        <v>2013</v>
      </c>
      <c r="N5">
        <f t="shared" si="0"/>
        <v>2012</v>
      </c>
      <c r="O5">
        <f t="shared" si="0"/>
        <v>2011</v>
      </c>
      <c r="P5">
        <f t="shared" si="0"/>
        <v>2010</v>
      </c>
      <c r="Q5">
        <f t="shared" si="0"/>
        <v>2009</v>
      </c>
    </row>
    <row r="6" spans="1:17" x14ac:dyDescent="0.3">
      <c r="A6" s="3" t="s">
        <v>264</v>
      </c>
    </row>
    <row r="7" spans="1:17" x14ac:dyDescent="0.3">
      <c r="A7" s="2" t="s">
        <v>265</v>
      </c>
      <c r="B7">
        <v>95657</v>
      </c>
      <c r="C7">
        <v>110916</v>
      </c>
      <c r="D7">
        <v>113762</v>
      </c>
      <c r="E7">
        <v>139649</v>
      </c>
      <c r="F7">
        <v>136694</v>
      </c>
      <c r="G7">
        <v>119675</v>
      </c>
      <c r="H7">
        <v>109140</v>
      </c>
      <c r="I7">
        <v>101871</v>
      </c>
      <c r="J7">
        <v>86333</v>
      </c>
      <c r="K7">
        <v>73066</v>
      </c>
      <c r="L7">
        <v>64395</v>
      </c>
      <c r="M7">
        <v>58717</v>
      </c>
      <c r="N7">
        <v>48088</v>
      </c>
      <c r="O7">
        <v>44626</v>
      </c>
      <c r="P7">
        <v>34975</v>
      </c>
      <c r="Q7">
        <v>24485</v>
      </c>
    </row>
    <row r="8" spans="1:17" x14ac:dyDescent="0.3">
      <c r="A8" s="2" t="s">
        <v>266</v>
      </c>
      <c r="B8">
        <v>52340</v>
      </c>
      <c r="C8">
        <v>47964</v>
      </c>
      <c r="D8">
        <v>40258</v>
      </c>
      <c r="E8">
        <v>39304</v>
      </c>
      <c r="F8">
        <v>31384</v>
      </c>
      <c r="G8">
        <v>27492</v>
      </c>
      <c r="H8">
        <v>21193</v>
      </c>
      <c r="I8">
        <v>18705</v>
      </c>
      <c r="J8">
        <v>14232</v>
      </c>
      <c r="K8">
        <v>13909</v>
      </c>
      <c r="L8">
        <v>10849</v>
      </c>
      <c r="M8">
        <v>9390</v>
      </c>
      <c r="N8">
        <v>8585</v>
      </c>
      <c r="O8">
        <v>6172</v>
      </c>
      <c r="P8">
        <v>5002</v>
      </c>
      <c r="Q8">
        <v>3201</v>
      </c>
    </row>
    <row r="9" spans="1:17" x14ac:dyDescent="0.3">
      <c r="A9" t="s">
        <v>267</v>
      </c>
      <c r="E9">
        <v>1170</v>
      </c>
      <c r="F9">
        <v>728</v>
      </c>
      <c r="G9">
        <v>999</v>
      </c>
      <c r="H9">
        <v>1107</v>
      </c>
      <c r="I9">
        <v>749</v>
      </c>
      <c r="J9">
        <v>268</v>
      </c>
      <c r="K9">
        <v>491</v>
      </c>
      <c r="N9">
        <v>505</v>
      </c>
      <c r="O9">
        <v>35</v>
      </c>
    </row>
    <row r="10" spans="1:17" x14ac:dyDescent="0.3">
      <c r="A10" t="s">
        <v>268</v>
      </c>
      <c r="K10">
        <v>2648</v>
      </c>
      <c r="L10">
        <v>3412</v>
      </c>
      <c r="M10">
        <v>3253</v>
      </c>
      <c r="N10">
        <v>2132</v>
      </c>
      <c r="O10">
        <v>1710</v>
      </c>
      <c r="P10">
        <v>1326</v>
      </c>
      <c r="Q10">
        <v>837</v>
      </c>
    </row>
    <row r="11" spans="1:17" x14ac:dyDescent="0.3">
      <c r="A11" t="s">
        <v>269</v>
      </c>
      <c r="B11">
        <v>15714</v>
      </c>
      <c r="C11">
        <v>12650</v>
      </c>
      <c r="D11">
        <v>10775</v>
      </c>
      <c r="E11">
        <v>8020</v>
      </c>
      <c r="F11">
        <v>5490</v>
      </c>
      <c r="G11">
        <v>4412</v>
      </c>
      <c r="H11">
        <v>4236</v>
      </c>
      <c r="I11">
        <v>2983</v>
      </c>
      <c r="J11">
        <v>4575</v>
      </c>
    </row>
    <row r="12" spans="1:17" x14ac:dyDescent="0.3">
      <c r="A12" t="s">
        <v>270</v>
      </c>
      <c r="B12">
        <v>163711</v>
      </c>
      <c r="C12">
        <v>171530</v>
      </c>
      <c r="D12">
        <v>164795</v>
      </c>
      <c r="E12">
        <v>188143</v>
      </c>
      <c r="F12">
        <v>174296</v>
      </c>
      <c r="G12">
        <v>152578</v>
      </c>
      <c r="H12">
        <v>135676</v>
      </c>
      <c r="I12">
        <v>124308</v>
      </c>
      <c r="J12">
        <v>105408</v>
      </c>
      <c r="K12">
        <v>90114</v>
      </c>
      <c r="L12">
        <v>78656</v>
      </c>
      <c r="M12">
        <v>72886</v>
      </c>
      <c r="N12">
        <v>60454</v>
      </c>
      <c r="O12">
        <v>52758</v>
      </c>
      <c r="P12">
        <v>41562</v>
      </c>
      <c r="Q12">
        <v>29167</v>
      </c>
    </row>
    <row r="13" spans="1:17" x14ac:dyDescent="0.3">
      <c r="A13" t="s">
        <v>271</v>
      </c>
      <c r="B13">
        <v>171036</v>
      </c>
      <c r="C13">
        <v>134345</v>
      </c>
      <c r="D13">
        <v>112668</v>
      </c>
      <c r="E13">
        <v>97599</v>
      </c>
      <c r="F13">
        <v>84749</v>
      </c>
      <c r="G13">
        <v>73646</v>
      </c>
      <c r="H13">
        <v>59719</v>
      </c>
      <c r="I13">
        <v>42383</v>
      </c>
      <c r="J13">
        <v>34234</v>
      </c>
      <c r="K13">
        <v>29016</v>
      </c>
      <c r="L13">
        <v>23883</v>
      </c>
      <c r="M13">
        <v>16524</v>
      </c>
      <c r="N13">
        <v>11854</v>
      </c>
      <c r="O13">
        <v>9603</v>
      </c>
      <c r="P13">
        <v>7759</v>
      </c>
      <c r="Q13">
        <v>4845</v>
      </c>
    </row>
    <row r="14" spans="1:17" x14ac:dyDescent="0.3">
      <c r="A14" t="s">
        <v>272</v>
      </c>
      <c r="B14">
        <v>37982</v>
      </c>
      <c r="C14">
        <v>31008</v>
      </c>
      <c r="D14">
        <v>30492</v>
      </c>
      <c r="E14">
        <v>29549</v>
      </c>
      <c r="F14">
        <v>20703</v>
      </c>
      <c r="G14">
        <v>13078</v>
      </c>
      <c r="H14">
        <v>13859</v>
      </c>
      <c r="I14">
        <v>7813</v>
      </c>
      <c r="J14">
        <v>5878</v>
      </c>
      <c r="K14">
        <v>5183</v>
      </c>
      <c r="L14">
        <v>3079</v>
      </c>
      <c r="M14">
        <v>1976</v>
      </c>
      <c r="N14">
        <v>1469</v>
      </c>
      <c r="O14">
        <v>790</v>
      </c>
      <c r="P14">
        <v>523</v>
      </c>
      <c r="Q14">
        <v>129</v>
      </c>
    </row>
    <row r="15" spans="1:17" x14ac:dyDescent="0.3">
      <c r="A15" t="s">
        <v>274</v>
      </c>
      <c r="B15">
        <v>31885</v>
      </c>
      <c r="C15">
        <v>29198</v>
      </c>
      <c r="D15">
        <v>28960</v>
      </c>
      <c r="E15">
        <v>24373</v>
      </c>
      <c r="F15">
        <v>22620</v>
      </c>
      <c r="G15">
        <v>22603</v>
      </c>
      <c r="H15">
        <v>20108</v>
      </c>
      <c r="I15">
        <v>19439</v>
      </c>
      <c r="J15">
        <v>19775</v>
      </c>
      <c r="K15">
        <v>19716</v>
      </c>
      <c r="L15">
        <v>20206</v>
      </c>
      <c r="M15">
        <v>17558</v>
      </c>
      <c r="N15">
        <v>18010</v>
      </c>
      <c r="O15">
        <v>8924</v>
      </c>
      <c r="P15">
        <v>7300</v>
      </c>
      <c r="Q15">
        <v>5678</v>
      </c>
    </row>
    <row r="16" spans="1:17" x14ac:dyDescent="0.3">
      <c r="A16" t="s">
        <v>273</v>
      </c>
      <c r="B16">
        <v>14874</v>
      </c>
      <c r="C16">
        <v>10051</v>
      </c>
      <c r="D16">
        <v>8707</v>
      </c>
      <c r="E16">
        <v>5361</v>
      </c>
      <c r="F16">
        <v>3953</v>
      </c>
      <c r="G16">
        <v>2342</v>
      </c>
      <c r="H16">
        <v>2693</v>
      </c>
      <c r="I16">
        <v>2672</v>
      </c>
      <c r="J16">
        <v>1819</v>
      </c>
      <c r="K16">
        <v>3181</v>
      </c>
      <c r="L16">
        <v>3187</v>
      </c>
      <c r="M16">
        <v>1976</v>
      </c>
      <c r="N16">
        <v>2011</v>
      </c>
      <c r="O16">
        <v>499</v>
      </c>
      <c r="P16">
        <v>442</v>
      </c>
      <c r="Q16">
        <v>415</v>
      </c>
    </row>
    <row r="17" spans="1:17" x14ac:dyDescent="0.3">
      <c r="A17" t="s">
        <v>275</v>
      </c>
      <c r="B17">
        <v>286545</v>
      </c>
      <c r="C17">
        <v>230862</v>
      </c>
      <c r="D17">
        <v>200469</v>
      </c>
      <c r="E17">
        <v>171125</v>
      </c>
      <c r="F17">
        <v>145320</v>
      </c>
      <c r="G17">
        <v>123331</v>
      </c>
      <c r="H17">
        <v>97116</v>
      </c>
      <c r="I17">
        <v>72987</v>
      </c>
      <c r="J17">
        <v>62089</v>
      </c>
      <c r="K17">
        <v>57347</v>
      </c>
      <c r="L17">
        <v>50531</v>
      </c>
      <c r="M17">
        <v>38034</v>
      </c>
      <c r="N17">
        <v>33344</v>
      </c>
      <c r="O17">
        <v>19816</v>
      </c>
      <c r="P17">
        <v>16289</v>
      </c>
      <c r="Q17">
        <v>11330</v>
      </c>
    </row>
    <row r="18" spans="1:17" x14ac:dyDescent="0.3">
      <c r="A18" s="233" t="s">
        <v>276</v>
      </c>
      <c r="B18" s="233">
        <v>450256</v>
      </c>
      <c r="C18" s="233">
        <v>402392</v>
      </c>
      <c r="D18" s="233">
        <v>365264</v>
      </c>
      <c r="E18" s="233">
        <v>359268</v>
      </c>
      <c r="F18" s="233">
        <v>319616</v>
      </c>
      <c r="G18" s="233">
        <v>275909</v>
      </c>
      <c r="H18" s="233">
        <v>232792</v>
      </c>
      <c r="I18" s="233">
        <v>197295</v>
      </c>
      <c r="J18" s="233">
        <v>167497</v>
      </c>
      <c r="K18" s="233">
        <v>147461</v>
      </c>
      <c r="L18" s="233">
        <v>129187</v>
      </c>
      <c r="M18" s="233">
        <v>110920</v>
      </c>
      <c r="N18" s="233">
        <v>93798</v>
      </c>
      <c r="O18" s="233">
        <v>72574</v>
      </c>
      <c r="P18" s="233">
        <v>57851</v>
      </c>
      <c r="Q18" s="233">
        <v>40497</v>
      </c>
    </row>
    <row r="19" spans="1:17" x14ac:dyDescent="0.3">
      <c r="A19" s="233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</row>
    <row r="20" spans="1:17" x14ac:dyDescent="0.3">
      <c r="A20" s="233" t="s">
        <v>288</v>
      </c>
      <c r="B20" s="233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</row>
    <row r="21" spans="1:17" x14ac:dyDescent="0.3">
      <c r="A21" t="s">
        <v>277</v>
      </c>
      <c r="B21">
        <v>89122</v>
      </c>
      <c r="C21">
        <v>81814</v>
      </c>
      <c r="D21">
        <v>69300</v>
      </c>
      <c r="E21">
        <v>64254</v>
      </c>
      <c r="F21">
        <v>56834</v>
      </c>
      <c r="G21">
        <v>45221</v>
      </c>
      <c r="H21">
        <v>34620</v>
      </c>
      <c r="I21">
        <v>24183</v>
      </c>
      <c r="J21">
        <v>16756</v>
      </c>
      <c r="K21">
        <v>19310</v>
      </c>
      <c r="L21">
        <v>16779</v>
      </c>
      <c r="M21">
        <v>15908</v>
      </c>
      <c r="N21">
        <v>14337</v>
      </c>
      <c r="O21">
        <v>8913</v>
      </c>
      <c r="P21">
        <v>9996</v>
      </c>
      <c r="Q21">
        <v>2747</v>
      </c>
    </row>
    <row r="22" spans="1:17" x14ac:dyDescent="0.3">
      <c r="A22" t="s">
        <v>278</v>
      </c>
      <c r="B22">
        <v>10883</v>
      </c>
      <c r="C22">
        <v>11870</v>
      </c>
      <c r="D22">
        <v>14701</v>
      </c>
      <c r="E22">
        <v>14817</v>
      </c>
      <c r="F22">
        <v>13932</v>
      </c>
      <c r="G22">
        <v>4554</v>
      </c>
      <c r="H22">
        <v>4012</v>
      </c>
      <c r="I22">
        <v>3969</v>
      </c>
      <c r="J22">
        <v>3935</v>
      </c>
      <c r="K22">
        <v>1995</v>
      </c>
      <c r="L22">
        <v>3228</v>
      </c>
      <c r="M22">
        <v>2236</v>
      </c>
      <c r="N22">
        <v>2988</v>
      </c>
      <c r="O22">
        <v>2986</v>
      </c>
    </row>
    <row r="23" spans="1:17" x14ac:dyDescent="0.3">
      <c r="A23" t="s">
        <v>280</v>
      </c>
      <c r="B23">
        <v>13476</v>
      </c>
      <c r="C23">
        <v>12869</v>
      </c>
      <c r="D23">
        <v>11505</v>
      </c>
      <c r="E23">
        <v>11381</v>
      </c>
      <c r="F23">
        <v>11118</v>
      </c>
      <c r="G23">
        <v>12419</v>
      </c>
      <c r="H23">
        <v>14872</v>
      </c>
      <c r="I23">
        <v>15871</v>
      </c>
      <c r="J23">
        <v>7342</v>
      </c>
      <c r="K23">
        <v>5485</v>
      </c>
      <c r="L23">
        <v>4458</v>
      </c>
      <c r="M23">
        <v>3381</v>
      </c>
      <c r="N23">
        <v>2786</v>
      </c>
      <c r="O23">
        <v>2199</v>
      </c>
      <c r="P23">
        <v>1579</v>
      </c>
      <c r="Q23">
        <v>1704</v>
      </c>
    </row>
    <row r="24" spans="1:17" x14ac:dyDescent="0.3">
      <c r="A24" t="s">
        <v>279</v>
      </c>
      <c r="B24">
        <v>36050</v>
      </c>
      <c r="C24">
        <v>37199</v>
      </c>
      <c r="D24">
        <v>39820</v>
      </c>
      <c r="E24">
        <v>43379</v>
      </c>
      <c r="F24">
        <v>40238</v>
      </c>
      <c r="G24">
        <v>29246</v>
      </c>
      <c r="H24">
        <v>20544</v>
      </c>
      <c r="I24">
        <v>20610</v>
      </c>
      <c r="J24">
        <v>11705</v>
      </c>
      <c r="K24">
        <v>7820</v>
      </c>
      <c r="L24">
        <v>8548</v>
      </c>
      <c r="M24">
        <v>7703</v>
      </c>
      <c r="N24">
        <v>7746</v>
      </c>
      <c r="O24">
        <v>5516</v>
      </c>
      <c r="P24">
        <v>1614</v>
      </c>
      <c r="Q24">
        <v>1746</v>
      </c>
    </row>
    <row r="25" spans="1:17" x14ac:dyDescent="0.3">
      <c r="A25" s="233" t="s">
        <v>281</v>
      </c>
      <c r="B25">
        <v>125172</v>
      </c>
      <c r="C25">
        <v>119013</v>
      </c>
      <c r="D25">
        <v>109120</v>
      </c>
      <c r="E25">
        <v>107633</v>
      </c>
      <c r="F25">
        <v>97072</v>
      </c>
      <c r="G25">
        <v>74467</v>
      </c>
      <c r="H25">
        <v>55164</v>
      </c>
      <c r="I25">
        <v>44793</v>
      </c>
      <c r="J25">
        <v>28461</v>
      </c>
      <c r="K25">
        <v>27130</v>
      </c>
      <c r="L25">
        <v>25327</v>
      </c>
      <c r="M25">
        <v>23611</v>
      </c>
      <c r="N25">
        <v>22083</v>
      </c>
      <c r="O25">
        <v>14429</v>
      </c>
      <c r="P25">
        <v>11610</v>
      </c>
      <c r="Q25">
        <v>4493</v>
      </c>
    </row>
    <row r="27" spans="1:17" x14ac:dyDescent="0.3">
      <c r="A27" s="233" t="s">
        <v>298</v>
      </c>
    </row>
    <row r="28" spans="1:17" x14ac:dyDescent="0.3">
      <c r="A28" t="s">
        <v>282</v>
      </c>
      <c r="B28">
        <v>12211</v>
      </c>
      <c r="C28">
        <v>12460</v>
      </c>
      <c r="D28">
        <v>12849</v>
      </c>
      <c r="E28">
        <v>13242</v>
      </c>
      <c r="F28">
        <v>0.67600000000000005</v>
      </c>
      <c r="G28">
        <v>0.68799999999999994</v>
      </c>
      <c r="H28">
        <v>0.69599999999999995</v>
      </c>
      <c r="I28">
        <v>0.69399999999999995</v>
      </c>
      <c r="J28">
        <v>0.69099999999999995</v>
      </c>
      <c r="K28">
        <v>0.68799999999999994</v>
      </c>
      <c r="L28">
        <v>0.68</v>
      </c>
      <c r="M28">
        <v>0.67200000000000004</v>
      </c>
      <c r="N28">
        <v>0.33</v>
      </c>
      <c r="O28">
        <v>0.32500000000000001</v>
      </c>
      <c r="P28">
        <v>0.32100000000000001</v>
      </c>
      <c r="Q28">
        <v>0.318</v>
      </c>
    </row>
    <row r="29" spans="1:17" x14ac:dyDescent="0.3">
      <c r="A29" t="s">
        <v>283</v>
      </c>
      <c r="B29">
        <v>245084</v>
      </c>
      <c r="C29">
        <v>211247</v>
      </c>
      <c r="D29">
        <v>195563</v>
      </c>
      <c r="E29">
        <v>191484</v>
      </c>
      <c r="F29">
        <v>163401</v>
      </c>
      <c r="G29">
        <v>152122</v>
      </c>
      <c r="H29">
        <v>134885</v>
      </c>
      <c r="I29">
        <v>113247</v>
      </c>
      <c r="J29">
        <v>105131</v>
      </c>
      <c r="K29">
        <v>89223</v>
      </c>
      <c r="L29">
        <v>75066</v>
      </c>
      <c r="M29">
        <v>61262</v>
      </c>
      <c r="N29">
        <v>48342</v>
      </c>
      <c r="O29">
        <v>37605</v>
      </c>
      <c r="P29">
        <v>27868</v>
      </c>
      <c r="Q29">
        <v>20082</v>
      </c>
    </row>
    <row r="30" spans="1:17" x14ac:dyDescent="0.3">
      <c r="A30" t="s">
        <v>284</v>
      </c>
      <c r="B30">
        <v>-4800</v>
      </c>
      <c r="C30">
        <v>-4402</v>
      </c>
      <c r="D30">
        <v>-7603</v>
      </c>
      <c r="E30">
        <v>-1623</v>
      </c>
      <c r="F30">
        <v>633</v>
      </c>
      <c r="G30">
        <v>-1232</v>
      </c>
      <c r="H30">
        <v>-2306</v>
      </c>
      <c r="I30">
        <v>-992</v>
      </c>
      <c r="J30">
        <v>-2402</v>
      </c>
      <c r="K30">
        <v>-1874</v>
      </c>
      <c r="L30">
        <v>27</v>
      </c>
      <c r="M30">
        <v>125</v>
      </c>
      <c r="N30">
        <v>538</v>
      </c>
      <c r="O30">
        <v>276</v>
      </c>
      <c r="P30">
        <v>138</v>
      </c>
      <c r="Q30">
        <v>105</v>
      </c>
    </row>
    <row r="31" spans="1:17" x14ac:dyDescent="0.3">
      <c r="A31" t="s">
        <v>287</v>
      </c>
    </row>
    <row r="32" spans="1:17" x14ac:dyDescent="0.3">
      <c r="A32" t="s">
        <v>286</v>
      </c>
      <c r="B32">
        <v>325084</v>
      </c>
      <c r="C32">
        <v>283379</v>
      </c>
      <c r="D32">
        <v>256144</v>
      </c>
      <c r="E32">
        <v>251635</v>
      </c>
      <c r="F32">
        <v>222544</v>
      </c>
      <c r="G32">
        <v>201442</v>
      </c>
      <c r="H32">
        <v>177628</v>
      </c>
      <c r="I32">
        <v>152502</v>
      </c>
      <c r="J32">
        <v>139036</v>
      </c>
      <c r="K32">
        <v>120331</v>
      </c>
      <c r="L32">
        <v>103860</v>
      </c>
      <c r="M32">
        <v>87309</v>
      </c>
      <c r="N32">
        <v>71715</v>
      </c>
      <c r="O32">
        <v>58145</v>
      </c>
      <c r="P32">
        <v>46241</v>
      </c>
      <c r="Q32">
        <v>36004</v>
      </c>
    </row>
    <row r="33" spans="1:17" x14ac:dyDescent="0.3">
      <c r="A33" s="233" t="s">
        <v>285</v>
      </c>
      <c r="B33">
        <v>450256</v>
      </c>
      <c r="C33">
        <v>402392</v>
      </c>
      <c r="D33">
        <v>365264</v>
      </c>
      <c r="E33">
        <v>359268</v>
      </c>
      <c r="F33">
        <v>319616</v>
      </c>
      <c r="G33">
        <v>275909</v>
      </c>
      <c r="H33">
        <v>232792</v>
      </c>
      <c r="I33">
        <v>197295</v>
      </c>
      <c r="J33">
        <v>167497</v>
      </c>
      <c r="K33">
        <v>147461</v>
      </c>
      <c r="L33">
        <v>129187</v>
      </c>
      <c r="M33">
        <v>110920</v>
      </c>
      <c r="N33">
        <v>93798</v>
      </c>
      <c r="O33">
        <v>72574</v>
      </c>
      <c r="P33">
        <v>57851</v>
      </c>
      <c r="Q33">
        <v>40497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330-0B82-4646-866C-F2D07A613960}">
  <dimension ref="A2:M125"/>
  <sheetViews>
    <sheetView showGridLines="0" topLeftCell="A32" workbookViewId="0">
      <selection activeCell="B88" sqref="B88:B125"/>
    </sheetView>
  </sheetViews>
  <sheetFormatPr defaultRowHeight="14.4" x14ac:dyDescent="0.3"/>
  <cols>
    <col min="1" max="1" width="3.77734375" customWidth="1"/>
    <col min="2" max="2" width="46.109375" bestFit="1" customWidth="1"/>
    <col min="3" max="5" width="11.109375" bestFit="1" customWidth="1"/>
    <col min="6" max="7" width="11.44140625" bestFit="1" customWidth="1"/>
  </cols>
  <sheetData>
    <row r="2" spans="1:12" ht="15.6" x14ac:dyDescent="0.3">
      <c r="A2" s="278" t="s">
        <v>260</v>
      </c>
      <c r="B2" s="279" t="s">
        <v>261</v>
      </c>
      <c r="C2" s="310">
        <v>2020</v>
      </c>
      <c r="D2" s="310">
        <f>C2+1</f>
        <v>2021</v>
      </c>
      <c r="E2" s="310">
        <f>D2+1</f>
        <v>2022</v>
      </c>
      <c r="F2" s="310">
        <f>E2+1</f>
        <v>2023</v>
      </c>
      <c r="G2" s="310">
        <f>F2+1</f>
        <v>2024</v>
      </c>
      <c r="H2" s="280"/>
      <c r="I2" s="280"/>
      <c r="J2" s="280"/>
      <c r="K2" s="280"/>
      <c r="L2" s="280"/>
    </row>
    <row r="4" spans="1:12" x14ac:dyDescent="0.3">
      <c r="B4" s="283" t="s">
        <v>262</v>
      </c>
      <c r="H4" s="282">
        <f>G2+1</f>
        <v>2025</v>
      </c>
      <c r="I4" s="282">
        <f t="shared" ref="E4:L4" si="0">H4+1</f>
        <v>2026</v>
      </c>
      <c r="J4" s="282">
        <f t="shared" si="0"/>
        <v>2027</v>
      </c>
      <c r="K4" s="282">
        <f t="shared" si="0"/>
        <v>2028</v>
      </c>
      <c r="L4" s="282">
        <f t="shared" si="0"/>
        <v>2029</v>
      </c>
    </row>
    <row r="5" spans="1:12" x14ac:dyDescent="0.3">
      <c r="B5" s="229" t="s">
        <v>61</v>
      </c>
      <c r="C5" s="274">
        <f>IS!G4</f>
        <v>182527</v>
      </c>
      <c r="D5" s="274">
        <f>IS!H4</f>
        <v>257637</v>
      </c>
      <c r="E5" s="274">
        <f>IS!I4</f>
        <v>282836</v>
      </c>
      <c r="F5" s="274">
        <f>IS!J4</f>
        <v>307394</v>
      </c>
      <c r="G5" s="274">
        <f>IS!K4</f>
        <v>350018</v>
      </c>
      <c r="H5" s="276"/>
      <c r="I5" s="276"/>
      <c r="J5" s="276"/>
      <c r="K5" s="276"/>
      <c r="L5" s="276"/>
    </row>
    <row r="6" spans="1:12" x14ac:dyDescent="0.3">
      <c r="B6" s="26" t="s">
        <v>62</v>
      </c>
      <c r="C6" s="274">
        <f>IS!G5</f>
        <v>84732</v>
      </c>
      <c r="D6" s="274">
        <f>IS!H5</f>
        <v>110939</v>
      </c>
      <c r="E6" s="274">
        <f>IS!I5</f>
        <v>126203</v>
      </c>
      <c r="F6" s="274">
        <f>IS!J5</f>
        <v>133332</v>
      </c>
      <c r="G6" s="274">
        <f>IS!K5</f>
        <v>146306</v>
      </c>
      <c r="H6" s="276"/>
      <c r="I6" s="276"/>
      <c r="J6" s="276"/>
      <c r="K6" s="276"/>
      <c r="L6" s="276"/>
    </row>
    <row r="7" spans="1:12" x14ac:dyDescent="0.3">
      <c r="B7" s="229" t="s">
        <v>63</v>
      </c>
      <c r="C7" s="274">
        <f>IS!G6</f>
        <v>97795</v>
      </c>
      <c r="D7" s="274">
        <f>IS!H6</f>
        <v>146698</v>
      </c>
      <c r="E7" s="274">
        <f>IS!I6</f>
        <v>156633</v>
      </c>
      <c r="F7" s="274">
        <f>IS!J6</f>
        <v>174062</v>
      </c>
      <c r="G7" s="274">
        <f>IS!K6</f>
        <v>203712</v>
      </c>
      <c r="H7" s="276"/>
      <c r="I7" s="276"/>
      <c r="J7" s="276"/>
      <c r="K7" s="276"/>
      <c r="L7" s="276"/>
    </row>
    <row r="8" spans="1:12" x14ac:dyDescent="0.3">
      <c r="B8" s="26" t="s">
        <v>64</v>
      </c>
      <c r="C8" s="274">
        <f>IS!G7</f>
        <v>27573</v>
      </c>
      <c r="D8" s="274">
        <f>IS!H7</f>
        <v>31562</v>
      </c>
      <c r="E8" s="274">
        <f>IS!I7</f>
        <v>39500</v>
      </c>
      <c r="F8" s="274">
        <f>IS!J7</f>
        <v>45427</v>
      </c>
      <c r="G8" s="274">
        <f>IS!K7</f>
        <v>49326</v>
      </c>
      <c r="H8" s="276"/>
      <c r="I8" s="276"/>
      <c r="J8" s="276"/>
      <c r="K8" s="276"/>
      <c r="L8" s="276"/>
    </row>
    <row r="9" spans="1:12" x14ac:dyDescent="0.3">
      <c r="B9" s="26" t="s">
        <v>65</v>
      </c>
      <c r="C9" s="274">
        <f>IS!G8</f>
        <v>28998</v>
      </c>
      <c r="D9" s="274">
        <f>IS!H8</f>
        <v>36422</v>
      </c>
      <c r="E9" s="274">
        <f>IS!I8</f>
        <v>42291</v>
      </c>
      <c r="F9" s="274">
        <f>IS!J8</f>
        <v>44342</v>
      </c>
      <c r="G9" s="274">
        <f>IS!K8</f>
        <v>41996</v>
      </c>
      <c r="H9" s="276"/>
      <c r="I9" s="276"/>
      <c r="J9" s="276"/>
      <c r="K9" s="276"/>
      <c r="L9" s="276"/>
    </row>
    <row r="10" spans="1:12" x14ac:dyDescent="0.3">
      <c r="B10" s="26" t="s">
        <v>66</v>
      </c>
      <c r="C10" s="274" t="str">
        <f>IS!G9</f>
        <v>--</v>
      </c>
      <c r="D10" s="274" t="str">
        <f>IS!H9</f>
        <v>--</v>
      </c>
      <c r="E10" s="274" t="str">
        <f>IS!I9</f>
        <v>--</v>
      </c>
      <c r="F10" s="274" t="str">
        <f>IS!J9</f>
        <v>--</v>
      </c>
      <c r="G10" s="274" t="str">
        <f>IS!K9</f>
        <v>--</v>
      </c>
      <c r="H10" s="276"/>
      <c r="I10" s="276"/>
      <c r="J10" s="276"/>
      <c r="K10" s="276"/>
      <c r="L10" s="276"/>
    </row>
    <row r="11" spans="1:12" x14ac:dyDescent="0.3">
      <c r="B11" s="26" t="s">
        <v>67</v>
      </c>
      <c r="C11" s="274">
        <f>IS!G10</f>
        <v>56571</v>
      </c>
      <c r="D11" s="274">
        <f>IS!H10</f>
        <v>67984</v>
      </c>
      <c r="E11" s="274">
        <f>IS!I10</f>
        <v>81791</v>
      </c>
      <c r="F11" s="274">
        <f>IS!J10</f>
        <v>89769</v>
      </c>
      <c r="G11" s="274">
        <f>IS!K10</f>
        <v>91322</v>
      </c>
      <c r="H11" s="276"/>
      <c r="I11" s="276"/>
      <c r="J11" s="276"/>
      <c r="K11" s="276"/>
      <c r="L11" s="276"/>
    </row>
    <row r="12" spans="1:12" x14ac:dyDescent="0.3">
      <c r="B12" s="229" t="s">
        <v>68</v>
      </c>
      <c r="C12" s="274">
        <f>IS!G11</f>
        <v>41224</v>
      </c>
      <c r="D12" s="274">
        <f>IS!H11</f>
        <v>78714</v>
      </c>
      <c r="E12" s="274">
        <f>IS!I11</f>
        <v>74842</v>
      </c>
      <c r="F12" s="274">
        <f>IS!J11</f>
        <v>84293</v>
      </c>
      <c r="G12" s="274">
        <f>IS!K11</f>
        <v>112390</v>
      </c>
      <c r="H12" s="276"/>
      <c r="I12" s="276"/>
      <c r="J12" s="276"/>
      <c r="K12" s="276"/>
      <c r="L12" s="276"/>
    </row>
    <row r="13" spans="1:12" x14ac:dyDescent="0.3">
      <c r="B13" s="26" t="s">
        <v>69</v>
      </c>
      <c r="C13" s="274">
        <f>IS!G12</f>
        <v>6858</v>
      </c>
      <c r="D13" s="274">
        <f>IS!H12</f>
        <v>12020</v>
      </c>
      <c r="E13" s="274">
        <f>IS!I12</f>
        <v>-3514</v>
      </c>
      <c r="F13" s="274">
        <f>IS!J12</f>
        <v>1424</v>
      </c>
      <c r="G13" s="274">
        <f>IS!K12</f>
        <v>7425</v>
      </c>
      <c r="H13" s="276"/>
      <c r="I13" s="276"/>
      <c r="J13" s="276"/>
      <c r="K13" s="276"/>
      <c r="L13" s="276"/>
    </row>
    <row r="14" spans="1:12" x14ac:dyDescent="0.3">
      <c r="B14" s="229" t="s">
        <v>70</v>
      </c>
      <c r="C14" s="274">
        <f>IS!G13</f>
        <v>48082</v>
      </c>
      <c r="D14" s="274">
        <f>IS!H13</f>
        <v>90734</v>
      </c>
      <c r="E14" s="274">
        <f>IS!I13</f>
        <v>71328</v>
      </c>
      <c r="F14" s="274">
        <f>IS!J13</f>
        <v>85717</v>
      </c>
      <c r="G14" s="274">
        <f>IS!K13</f>
        <v>119815</v>
      </c>
      <c r="H14" s="276"/>
      <c r="I14" s="276"/>
      <c r="J14" s="276"/>
      <c r="K14" s="276"/>
      <c r="L14" s="276"/>
    </row>
    <row r="15" spans="1:12" x14ac:dyDescent="0.3">
      <c r="B15" s="26" t="s">
        <v>71</v>
      </c>
      <c r="C15" s="274">
        <f>IS!G14</f>
        <v>7813</v>
      </c>
      <c r="D15" s="274">
        <f>IS!H14</f>
        <v>14701</v>
      </c>
      <c r="E15" s="274">
        <f>IS!I14</f>
        <v>11356</v>
      </c>
      <c r="F15" s="274">
        <f>IS!J14</f>
        <v>11922</v>
      </c>
      <c r="G15" s="274">
        <f>IS!K14</f>
        <v>19697</v>
      </c>
      <c r="H15" s="276"/>
      <c r="I15" s="276"/>
      <c r="J15" s="276"/>
      <c r="K15" s="276"/>
      <c r="L15" s="276"/>
    </row>
    <row r="16" spans="1:12" x14ac:dyDescent="0.3">
      <c r="B16" s="229" t="s">
        <v>291</v>
      </c>
      <c r="C16" s="274">
        <v>40269</v>
      </c>
      <c r="D16" s="274">
        <v>76033</v>
      </c>
      <c r="E16" s="274">
        <v>59972</v>
      </c>
      <c r="F16" s="274">
        <v>73795</v>
      </c>
      <c r="G16" s="274">
        <v>100118</v>
      </c>
      <c r="H16" s="276"/>
      <c r="I16" s="276"/>
      <c r="J16" s="276"/>
      <c r="K16" s="276"/>
      <c r="L16" s="276"/>
    </row>
    <row r="17" spans="1:12" x14ac:dyDescent="0.3">
      <c r="B17" s="26" t="s">
        <v>72</v>
      </c>
      <c r="C17" s="274" t="str">
        <f>IS!G16</f>
        <v>--</v>
      </c>
      <c r="D17" s="274" t="str">
        <f>IS!H16</f>
        <v>--</v>
      </c>
      <c r="E17" s="274" t="str">
        <f>IS!I16</f>
        <v>--</v>
      </c>
      <c r="F17" s="274" t="str">
        <f>IS!J16</f>
        <v>--</v>
      </c>
      <c r="G17" s="274" t="str">
        <f>IS!K16</f>
        <v>--</v>
      </c>
      <c r="H17" s="276"/>
      <c r="I17" s="276"/>
      <c r="J17" s="276"/>
      <c r="K17" s="276"/>
      <c r="L17" s="276"/>
    </row>
    <row r="18" spans="1:12" x14ac:dyDescent="0.3">
      <c r="B18" s="229" t="s">
        <v>73</v>
      </c>
      <c r="C18" s="274">
        <f>IS!G17</f>
        <v>40269</v>
      </c>
      <c r="D18" s="274">
        <f>IS!H17</f>
        <v>76033</v>
      </c>
      <c r="E18" s="274">
        <f>IS!I17</f>
        <v>59972</v>
      </c>
      <c r="F18" s="274">
        <f>IS!J17</f>
        <v>73795</v>
      </c>
      <c r="G18" s="274">
        <f>IS!K17</f>
        <v>100118</v>
      </c>
      <c r="H18" s="276"/>
      <c r="I18" s="276"/>
      <c r="J18" s="276"/>
      <c r="K18" s="276"/>
      <c r="L18" s="276"/>
    </row>
    <row r="19" spans="1:12" x14ac:dyDescent="0.3">
      <c r="B19" s="26" t="s">
        <v>74</v>
      </c>
      <c r="C19" s="274" t="str">
        <f>IS!G18</f>
        <v>--</v>
      </c>
      <c r="D19" s="274" t="str">
        <f>IS!H18</f>
        <v>--</v>
      </c>
      <c r="E19" s="274" t="str">
        <f>IS!I18</f>
        <v>--</v>
      </c>
      <c r="F19" s="274" t="str">
        <f>IS!J18</f>
        <v>--</v>
      </c>
      <c r="G19" s="274" t="str">
        <f>IS!K18</f>
        <v>--</v>
      </c>
      <c r="H19" s="276"/>
      <c r="I19" s="276"/>
      <c r="J19" s="276"/>
      <c r="K19" s="276"/>
      <c r="L19" s="276"/>
    </row>
    <row r="20" spans="1:12" x14ac:dyDescent="0.3">
      <c r="B20" s="229" t="s">
        <v>75</v>
      </c>
      <c r="C20" s="274">
        <f>IS!G19</f>
        <v>40269</v>
      </c>
      <c r="D20" s="274">
        <f>IS!H19</f>
        <v>76033</v>
      </c>
      <c r="E20" s="274">
        <f>IS!I19</f>
        <v>59972</v>
      </c>
      <c r="F20" s="274">
        <f>IS!J19</f>
        <v>73795</v>
      </c>
      <c r="G20" s="274">
        <f>IS!K19</f>
        <v>100118</v>
      </c>
      <c r="H20" s="276"/>
      <c r="I20" s="276"/>
      <c r="J20" s="276"/>
      <c r="K20" s="276"/>
      <c r="L20" s="276"/>
    </row>
    <row r="21" spans="1:12" x14ac:dyDescent="0.3">
      <c r="B21" s="26" t="s">
        <v>76</v>
      </c>
      <c r="C21" s="274">
        <f>IS!G20</f>
        <v>54921</v>
      </c>
      <c r="D21" s="274">
        <f>IS!H20</f>
        <v>88987</v>
      </c>
      <c r="E21" s="274">
        <f>IS!I20</f>
        <v>88317</v>
      </c>
      <c r="F21" s="274">
        <f>IS!J20</f>
        <v>96239</v>
      </c>
      <c r="G21" s="274">
        <f>IS!K20</f>
        <v>127701</v>
      </c>
      <c r="H21" s="276"/>
      <c r="I21" s="276"/>
      <c r="J21" s="276"/>
      <c r="K21" s="276"/>
      <c r="L21" s="276"/>
    </row>
    <row r="22" spans="1:12" x14ac:dyDescent="0.3">
      <c r="B22" s="26" t="s">
        <v>14</v>
      </c>
      <c r="C22" s="274">
        <f>IS!G21</f>
        <v>41224</v>
      </c>
      <c r="D22" s="274">
        <f>IS!H21</f>
        <v>78714</v>
      </c>
      <c r="E22" s="274">
        <f>IS!I21</f>
        <v>74842</v>
      </c>
      <c r="F22" s="274">
        <f>IS!J21</f>
        <v>84293</v>
      </c>
      <c r="G22" s="274">
        <f>IS!K21</f>
        <v>112390</v>
      </c>
      <c r="H22" s="276"/>
      <c r="I22" s="276"/>
      <c r="J22" s="276"/>
      <c r="K22" s="276"/>
      <c r="L22" s="276"/>
    </row>
    <row r="23" spans="1:12" x14ac:dyDescent="0.3">
      <c r="B23" s="26" t="s">
        <v>77</v>
      </c>
      <c r="C23" s="274">
        <f>IS!G22</f>
        <v>13616</v>
      </c>
      <c r="D23" s="274">
        <f>IS!H22</f>
        <v>13353</v>
      </c>
      <c r="E23" s="274">
        <f>IS!I22</f>
        <v>13063</v>
      </c>
      <c r="F23" s="274">
        <f>IS!J22</f>
        <v>12630</v>
      </c>
      <c r="G23" s="274">
        <f>IS!K22</f>
        <v>12319</v>
      </c>
      <c r="H23" s="276"/>
      <c r="I23" s="276"/>
      <c r="J23" s="276"/>
      <c r="K23" s="276"/>
      <c r="L23" s="276"/>
    </row>
    <row r="24" spans="1:12" x14ac:dyDescent="0.3">
      <c r="B24" s="26" t="s">
        <v>78</v>
      </c>
      <c r="C24" s="274">
        <f>IS!G23</f>
        <v>14665</v>
      </c>
      <c r="D24" s="274">
        <f>IS!H23</f>
        <v>14462</v>
      </c>
      <c r="E24" s="274">
        <f>IS!I23</f>
        <v>14046</v>
      </c>
      <c r="F24" s="274">
        <f>IS!J23</f>
        <v>13599</v>
      </c>
      <c r="G24" s="274">
        <f>IS!K23</f>
        <v>13313</v>
      </c>
      <c r="H24" s="276"/>
      <c r="I24" s="276"/>
      <c r="J24" s="276"/>
      <c r="K24" s="276"/>
      <c r="L24" s="276"/>
    </row>
    <row r="25" spans="1:12" x14ac:dyDescent="0.3">
      <c r="B25" s="229" t="s">
        <v>79</v>
      </c>
      <c r="C25" s="274">
        <f>IS!G24</f>
        <v>2.96</v>
      </c>
      <c r="D25" s="274">
        <f>IS!H24</f>
        <v>5.69</v>
      </c>
      <c r="E25" s="274">
        <f>IS!I24</f>
        <v>4.59</v>
      </c>
      <c r="F25" s="274">
        <f>IS!J24</f>
        <v>5.84</v>
      </c>
      <c r="G25" s="274">
        <f>IS!K24</f>
        <v>8.1300000000000008</v>
      </c>
      <c r="H25" s="276"/>
      <c r="I25" s="276"/>
      <c r="J25" s="276"/>
      <c r="K25" s="276"/>
      <c r="L25" s="276"/>
    </row>
    <row r="26" spans="1:12" x14ac:dyDescent="0.3">
      <c r="B26" s="229" t="s">
        <v>80</v>
      </c>
      <c r="C26" s="274">
        <f>IS!G25</f>
        <v>2.93</v>
      </c>
      <c r="D26" s="274">
        <f>IS!H25</f>
        <v>5.61</v>
      </c>
      <c r="E26" s="274">
        <f>IS!I25</f>
        <v>4.5599999999999996</v>
      </c>
      <c r="F26" s="274">
        <f>IS!J25</f>
        <v>5.8</v>
      </c>
      <c r="G26" s="274">
        <f>IS!K25</f>
        <v>8.0399999999999991</v>
      </c>
      <c r="H26" s="276"/>
      <c r="I26" s="276"/>
      <c r="J26" s="276"/>
      <c r="K26" s="276"/>
      <c r="L26" s="276"/>
    </row>
    <row r="32" spans="1:12" ht="15.6" x14ac:dyDescent="0.3">
      <c r="A32" s="278"/>
      <c r="B32" s="284"/>
      <c r="C32" s="284"/>
      <c r="D32" s="284"/>
      <c r="E32" s="284"/>
      <c r="F32" s="284"/>
      <c r="G32" s="284"/>
    </row>
    <row r="33" spans="1:8" x14ac:dyDescent="0.3">
      <c r="A33" t="s">
        <v>115</v>
      </c>
      <c r="B33" s="311" t="s">
        <v>339</v>
      </c>
      <c r="C33" s="444">
        <v>2020</v>
      </c>
      <c r="D33" s="444">
        <f>C33+1</f>
        <v>2021</v>
      </c>
      <c r="E33" s="444">
        <f>D33+1</f>
        <v>2022</v>
      </c>
      <c r="F33" s="444">
        <v>2023</v>
      </c>
      <c r="G33" s="444">
        <f t="shared" ref="G33" si="1">F33+1</f>
        <v>2024</v>
      </c>
    </row>
    <row r="34" spans="1:8" x14ac:dyDescent="0.3">
      <c r="B34" s="294"/>
      <c r="C34" s="294"/>
      <c r="D34" s="294"/>
      <c r="E34" s="294"/>
      <c r="F34" s="294"/>
      <c r="G34" s="294"/>
    </row>
    <row r="35" spans="1:8" x14ac:dyDescent="0.3">
      <c r="B35" s="307" t="s">
        <v>299</v>
      </c>
      <c r="C35" s="339">
        <v>26465</v>
      </c>
      <c r="D35" s="339">
        <v>20945</v>
      </c>
      <c r="E35" s="339">
        <v>21879</v>
      </c>
      <c r="F35" s="339">
        <v>24048</v>
      </c>
      <c r="G35" s="339">
        <v>23466</v>
      </c>
      <c r="H35" s="298"/>
    </row>
    <row r="36" spans="1:8" x14ac:dyDescent="0.3">
      <c r="B36" s="307" t="s">
        <v>300</v>
      </c>
      <c r="C36" s="339">
        <v>110229</v>
      </c>
      <c r="D36" s="339">
        <v>118704</v>
      </c>
      <c r="E36" s="339">
        <v>91883</v>
      </c>
      <c r="F36" s="339">
        <v>86868</v>
      </c>
      <c r="G36" s="339">
        <v>72191</v>
      </c>
      <c r="H36" s="298"/>
    </row>
    <row r="37" spans="1:8" x14ac:dyDescent="0.3">
      <c r="B37" s="308" t="s">
        <v>301</v>
      </c>
      <c r="C37" s="395">
        <v>136694</v>
      </c>
      <c r="D37" s="395">
        <v>139649</v>
      </c>
      <c r="E37" s="395">
        <v>113762</v>
      </c>
      <c r="F37" s="395">
        <v>110916</v>
      </c>
      <c r="G37" s="395">
        <v>95657</v>
      </c>
      <c r="H37" s="301"/>
    </row>
    <row r="38" spans="1:8" x14ac:dyDescent="0.3">
      <c r="B38" s="307" t="s">
        <v>302</v>
      </c>
      <c r="C38" s="339">
        <v>30930</v>
      </c>
      <c r="D38" s="339">
        <v>39304</v>
      </c>
      <c r="E38" s="339">
        <v>40258</v>
      </c>
      <c r="F38" s="339">
        <v>47964</v>
      </c>
      <c r="G38" s="339">
        <v>52340</v>
      </c>
      <c r="H38" s="298"/>
    </row>
    <row r="39" spans="1:8" x14ac:dyDescent="0.3">
      <c r="B39" s="307" t="s">
        <v>303</v>
      </c>
      <c r="C39" s="337">
        <v>454</v>
      </c>
      <c r="D39" s="337" t="s">
        <v>112</v>
      </c>
      <c r="E39" s="337" t="s">
        <v>112</v>
      </c>
      <c r="F39" s="337" t="s">
        <v>112</v>
      </c>
      <c r="G39" s="337" t="s">
        <v>112</v>
      </c>
      <c r="H39" s="296"/>
    </row>
    <row r="40" spans="1:8" x14ac:dyDescent="0.3">
      <c r="B40" s="307" t="s">
        <v>304</v>
      </c>
      <c r="C40" s="337" t="s">
        <v>112</v>
      </c>
      <c r="D40" s="337" t="s">
        <v>112</v>
      </c>
      <c r="E40" s="337" t="s">
        <v>112</v>
      </c>
      <c r="F40" s="337" t="s">
        <v>112</v>
      </c>
      <c r="G40" s="337" t="s">
        <v>112</v>
      </c>
      <c r="H40" s="296"/>
    </row>
    <row r="41" spans="1:8" x14ac:dyDescent="0.3">
      <c r="B41" s="308" t="s">
        <v>305</v>
      </c>
      <c r="C41" s="395">
        <v>31384</v>
      </c>
      <c r="D41" s="395">
        <v>39304</v>
      </c>
      <c r="E41" s="395">
        <v>40258</v>
      </c>
      <c r="F41" s="395">
        <v>47964</v>
      </c>
      <c r="G41" s="395">
        <v>52340</v>
      </c>
      <c r="H41" s="301"/>
    </row>
    <row r="42" spans="1:8" x14ac:dyDescent="0.3">
      <c r="B42" s="307" t="s">
        <v>267</v>
      </c>
      <c r="C42" s="337">
        <v>728</v>
      </c>
      <c r="D42" s="339">
        <v>1170</v>
      </c>
      <c r="E42" s="337" t="s">
        <v>112</v>
      </c>
      <c r="F42" s="337" t="s">
        <v>112</v>
      </c>
      <c r="G42" s="337" t="s">
        <v>112</v>
      </c>
      <c r="H42" s="296"/>
    </row>
    <row r="43" spans="1:8" x14ac:dyDescent="0.3">
      <c r="B43" s="307" t="s">
        <v>306</v>
      </c>
      <c r="C43" s="337" t="s">
        <v>112</v>
      </c>
      <c r="D43" s="337" t="s">
        <v>112</v>
      </c>
      <c r="E43" s="337" t="s">
        <v>112</v>
      </c>
      <c r="F43" s="337" t="s">
        <v>112</v>
      </c>
      <c r="G43" s="337" t="s">
        <v>112</v>
      </c>
      <c r="H43" s="296"/>
    </row>
    <row r="44" spans="1:8" x14ac:dyDescent="0.3">
      <c r="B44" s="307" t="s">
        <v>307</v>
      </c>
      <c r="C44" s="337" t="s">
        <v>112</v>
      </c>
      <c r="D44" s="337" t="s">
        <v>112</v>
      </c>
      <c r="E44" s="337" t="s">
        <v>112</v>
      </c>
      <c r="F44" s="337" t="s">
        <v>112</v>
      </c>
      <c r="G44" s="337" t="s">
        <v>112</v>
      </c>
      <c r="H44" s="296"/>
    </row>
    <row r="45" spans="1:8" x14ac:dyDescent="0.3">
      <c r="B45" s="307" t="s">
        <v>308</v>
      </c>
      <c r="C45" s="337" t="s">
        <v>112</v>
      </c>
      <c r="D45" s="337" t="s">
        <v>112</v>
      </c>
      <c r="E45" s="337" t="s">
        <v>112</v>
      </c>
      <c r="F45" s="337" t="s">
        <v>112</v>
      </c>
      <c r="G45" s="337" t="s">
        <v>112</v>
      </c>
      <c r="H45" s="296"/>
    </row>
    <row r="46" spans="1:8" x14ac:dyDescent="0.3">
      <c r="B46" s="307" t="s">
        <v>269</v>
      </c>
      <c r="C46" s="339">
        <v>5490</v>
      </c>
      <c r="D46" s="339">
        <v>8020</v>
      </c>
      <c r="E46" s="339">
        <v>10775</v>
      </c>
      <c r="F46" s="339">
        <v>12650</v>
      </c>
      <c r="G46" s="339">
        <v>15714</v>
      </c>
      <c r="H46" s="298"/>
    </row>
    <row r="47" spans="1:8" x14ac:dyDescent="0.3">
      <c r="B47" s="308" t="s">
        <v>270</v>
      </c>
      <c r="C47" s="395">
        <v>174296</v>
      </c>
      <c r="D47" s="395">
        <v>188143</v>
      </c>
      <c r="E47" s="395">
        <v>164795</v>
      </c>
      <c r="F47" s="395">
        <v>171530</v>
      </c>
      <c r="G47" s="395">
        <v>163711</v>
      </c>
      <c r="H47" s="301"/>
    </row>
    <row r="48" spans="1:8" x14ac:dyDescent="0.3">
      <c r="B48" s="307" t="s">
        <v>309</v>
      </c>
      <c r="C48" s="339">
        <v>138673</v>
      </c>
      <c r="D48" s="339">
        <v>159972</v>
      </c>
      <c r="E48" s="339">
        <v>186091</v>
      </c>
      <c r="F48" s="339">
        <v>215894</v>
      </c>
      <c r="G48" s="339">
        <v>264014</v>
      </c>
      <c r="H48" s="298"/>
    </row>
    <row r="49" spans="2:8" x14ac:dyDescent="0.3">
      <c r="B49" s="307" t="s">
        <v>310</v>
      </c>
      <c r="C49" s="396">
        <v>-41713</v>
      </c>
      <c r="D49" s="396">
        <v>-49414</v>
      </c>
      <c r="E49" s="396">
        <v>-59042</v>
      </c>
      <c r="F49" s="396">
        <v>-67458</v>
      </c>
      <c r="G49" s="396">
        <v>-79390</v>
      </c>
      <c r="H49" s="302"/>
    </row>
    <row r="50" spans="2:8" x14ac:dyDescent="0.3">
      <c r="B50" s="308" t="s">
        <v>311</v>
      </c>
      <c r="C50" s="395">
        <v>96960</v>
      </c>
      <c r="D50" s="395">
        <v>110558</v>
      </c>
      <c r="E50" s="395">
        <v>127049</v>
      </c>
      <c r="F50" s="395">
        <v>148436</v>
      </c>
      <c r="G50" s="395">
        <v>184624</v>
      </c>
      <c r="H50" s="301"/>
    </row>
    <row r="51" spans="2:8" x14ac:dyDescent="0.3">
      <c r="B51" s="307" t="s">
        <v>312</v>
      </c>
      <c r="C51" s="339">
        <v>20703</v>
      </c>
      <c r="D51" s="339">
        <v>29549</v>
      </c>
      <c r="E51" s="339">
        <v>30492</v>
      </c>
      <c r="F51" s="339">
        <v>31929</v>
      </c>
      <c r="G51" s="339">
        <v>40882</v>
      </c>
      <c r="H51" s="298"/>
    </row>
    <row r="52" spans="2:8" x14ac:dyDescent="0.3">
      <c r="B52" s="307" t="s">
        <v>313</v>
      </c>
      <c r="C52" s="339">
        <v>21175</v>
      </c>
      <c r="D52" s="339">
        <v>22956</v>
      </c>
      <c r="E52" s="339">
        <v>28960</v>
      </c>
      <c r="F52" s="339">
        <v>29198</v>
      </c>
      <c r="G52" s="339">
        <v>31885</v>
      </c>
      <c r="H52" s="298"/>
    </row>
    <row r="53" spans="2:8" x14ac:dyDescent="0.3">
      <c r="B53" s="307" t="s">
        <v>314</v>
      </c>
      <c r="C53" s="339">
        <v>1445</v>
      </c>
      <c r="D53" s="339">
        <v>1417</v>
      </c>
      <c r="E53" s="337" t="s">
        <v>112</v>
      </c>
      <c r="F53" s="337" t="s">
        <v>112</v>
      </c>
      <c r="G53" s="337" t="s">
        <v>112</v>
      </c>
      <c r="H53" s="296"/>
    </row>
    <row r="54" spans="2:8" x14ac:dyDescent="0.3">
      <c r="B54" s="307" t="s">
        <v>315</v>
      </c>
      <c r="C54" s="337" t="s">
        <v>112</v>
      </c>
      <c r="D54" s="337" t="s">
        <v>112</v>
      </c>
      <c r="E54" s="337" t="s">
        <v>112</v>
      </c>
      <c r="F54" s="337" t="s">
        <v>112</v>
      </c>
      <c r="G54" s="337" t="s">
        <v>112</v>
      </c>
      <c r="H54" s="296"/>
    </row>
    <row r="55" spans="2:8" x14ac:dyDescent="0.3">
      <c r="B55" s="307" t="s">
        <v>316</v>
      </c>
      <c r="C55" s="339">
        <v>1084</v>
      </c>
      <c r="D55" s="339">
        <v>1284</v>
      </c>
      <c r="E55" s="339">
        <v>5261</v>
      </c>
      <c r="F55" s="339">
        <v>12169</v>
      </c>
      <c r="G55" s="339">
        <v>17180</v>
      </c>
      <c r="H55" s="298"/>
    </row>
    <row r="56" spans="2:8" ht="15" thickBot="1" x14ac:dyDescent="0.35">
      <c r="B56" s="307" t="s">
        <v>273</v>
      </c>
      <c r="C56" s="339">
        <v>3953</v>
      </c>
      <c r="D56" s="339">
        <v>5361</v>
      </c>
      <c r="E56" s="339">
        <v>8707</v>
      </c>
      <c r="F56" s="339">
        <v>9130</v>
      </c>
      <c r="G56" s="339">
        <v>11974</v>
      </c>
      <c r="H56" s="298"/>
    </row>
    <row r="57" spans="2:8" x14ac:dyDescent="0.3">
      <c r="B57" s="309" t="s">
        <v>276</v>
      </c>
      <c r="C57" s="397">
        <v>319616</v>
      </c>
      <c r="D57" s="397">
        <v>359268</v>
      </c>
      <c r="E57" s="397">
        <v>365264</v>
      </c>
      <c r="F57" s="397">
        <v>402392</v>
      </c>
      <c r="G57" s="397">
        <v>450256</v>
      </c>
      <c r="H57" s="306"/>
    </row>
    <row r="58" spans="2:8" x14ac:dyDescent="0.3">
      <c r="B58" s="307" t="s">
        <v>317</v>
      </c>
      <c r="C58" s="339">
        <v>5589</v>
      </c>
      <c r="D58" s="339">
        <v>6037</v>
      </c>
      <c r="E58" s="339">
        <v>5128</v>
      </c>
      <c r="F58" s="339">
        <v>7493</v>
      </c>
      <c r="G58" s="339">
        <v>7987</v>
      </c>
      <c r="H58" s="298"/>
    </row>
    <row r="59" spans="2:8" x14ac:dyDescent="0.3">
      <c r="B59" s="307" t="s">
        <v>318</v>
      </c>
      <c r="C59" s="339">
        <v>20445</v>
      </c>
      <c r="D59" s="339">
        <v>27912</v>
      </c>
      <c r="E59" s="339">
        <v>31743</v>
      </c>
      <c r="F59" s="339">
        <v>36142</v>
      </c>
      <c r="G59" s="339">
        <v>41541</v>
      </c>
      <c r="H59" s="298"/>
    </row>
    <row r="60" spans="2:8" x14ac:dyDescent="0.3">
      <c r="B60" s="307" t="s">
        <v>319</v>
      </c>
      <c r="C60" s="337" t="s">
        <v>112</v>
      </c>
      <c r="D60" s="337" t="s">
        <v>112</v>
      </c>
      <c r="E60" s="337" t="s">
        <v>112</v>
      </c>
      <c r="F60" s="337" t="s">
        <v>112</v>
      </c>
      <c r="G60" s="337" t="s">
        <v>112</v>
      </c>
      <c r="H60" s="296"/>
    </row>
    <row r="61" spans="2:8" x14ac:dyDescent="0.3">
      <c r="B61" s="307" t="s">
        <v>320</v>
      </c>
      <c r="C61" s="337">
        <v>999</v>
      </c>
      <c r="D61" s="337" t="s">
        <v>112</v>
      </c>
      <c r="E61" s="337" t="s">
        <v>112</v>
      </c>
      <c r="F61" s="339">
        <v>1000</v>
      </c>
      <c r="G61" s="337">
        <v>999</v>
      </c>
      <c r="H61" s="298"/>
    </row>
    <row r="62" spans="2:8" x14ac:dyDescent="0.3">
      <c r="B62" s="307" t="s">
        <v>321</v>
      </c>
      <c r="C62" s="339">
        <v>1795</v>
      </c>
      <c r="D62" s="339">
        <v>2302</v>
      </c>
      <c r="E62" s="339">
        <v>2775</v>
      </c>
      <c r="F62" s="339">
        <v>3074</v>
      </c>
      <c r="G62" s="339">
        <v>3122</v>
      </c>
      <c r="H62" s="298"/>
    </row>
    <row r="63" spans="2:8" x14ac:dyDescent="0.3">
      <c r="B63" s="307" t="s">
        <v>322</v>
      </c>
      <c r="C63" s="339">
        <v>1485</v>
      </c>
      <c r="D63" s="337" t="s">
        <v>112</v>
      </c>
      <c r="E63" s="339">
        <v>1632</v>
      </c>
      <c r="F63" s="339">
        <v>2748</v>
      </c>
      <c r="G63" s="339">
        <v>2905</v>
      </c>
      <c r="H63" s="296"/>
    </row>
    <row r="64" spans="2:8" x14ac:dyDescent="0.3">
      <c r="B64" s="307" t="s">
        <v>323</v>
      </c>
      <c r="C64" s="339">
        <v>2543</v>
      </c>
      <c r="D64" s="339">
        <v>3288</v>
      </c>
      <c r="E64" s="339">
        <v>3908</v>
      </c>
      <c r="F64" s="339">
        <v>4137</v>
      </c>
      <c r="G64" s="339">
        <v>5036</v>
      </c>
      <c r="H64" s="298"/>
    </row>
    <row r="65" spans="2:13" x14ac:dyDescent="0.3">
      <c r="B65" s="307" t="s">
        <v>324</v>
      </c>
      <c r="C65" s="339">
        <v>23978</v>
      </c>
      <c r="D65" s="339">
        <v>24715</v>
      </c>
      <c r="E65" s="339">
        <v>24114</v>
      </c>
      <c r="F65" s="339">
        <v>27220</v>
      </c>
      <c r="G65" s="339">
        <v>27532</v>
      </c>
      <c r="H65" s="298"/>
    </row>
    <row r="66" spans="2:13" x14ac:dyDescent="0.3">
      <c r="B66" s="307" t="s">
        <v>377</v>
      </c>
      <c r="C66" s="421">
        <f>C65/C5</f>
        <v>0.13136686627183924</v>
      </c>
      <c r="D66" s="421">
        <f t="shared" ref="D66:G66" si="2">D65/D5</f>
        <v>9.5929544281295007E-2</v>
      </c>
      <c r="E66" s="421">
        <f t="shared" si="2"/>
        <v>8.5257887963342716E-2</v>
      </c>
      <c r="F66" s="421">
        <f t="shared" si="2"/>
        <v>8.8550850049122623E-2</v>
      </c>
      <c r="G66" s="421">
        <f t="shared" si="2"/>
        <v>7.8658811832534328E-2</v>
      </c>
      <c r="H66" s="422">
        <f>AVERAGE(C66:G66)</f>
        <v>9.5952792079626786E-2</v>
      </c>
      <c r="I66" s="422">
        <f t="shared" ref="I66:M66" si="3">AVERAGE(D66:H66)</f>
        <v>8.8869977241184284E-2</v>
      </c>
      <c r="J66" s="422">
        <f t="shared" si="3"/>
        <v>8.7458063833162153E-2</v>
      </c>
      <c r="K66" s="422">
        <f t="shared" si="3"/>
        <v>8.7898099007126043E-2</v>
      </c>
      <c r="L66" s="422">
        <f t="shared" si="3"/>
        <v>8.7767548798726711E-2</v>
      </c>
      <c r="M66" s="422">
        <f t="shared" si="3"/>
        <v>8.9589296191965193E-2</v>
      </c>
    </row>
    <row r="67" spans="2:13" x14ac:dyDescent="0.3">
      <c r="B67" s="308" t="s">
        <v>277</v>
      </c>
      <c r="C67" s="395">
        <v>56834</v>
      </c>
      <c r="D67" s="395">
        <v>64254</v>
      </c>
      <c r="E67" s="395">
        <v>69300</v>
      </c>
      <c r="F67" s="395">
        <v>81814</v>
      </c>
      <c r="G67" s="395">
        <v>89122</v>
      </c>
      <c r="H67" s="301"/>
    </row>
    <row r="68" spans="2:13" x14ac:dyDescent="0.3">
      <c r="B68" s="307" t="s">
        <v>278</v>
      </c>
      <c r="C68" s="339">
        <v>12832</v>
      </c>
      <c r="D68" s="339">
        <v>12844</v>
      </c>
      <c r="E68" s="339">
        <v>12857</v>
      </c>
      <c r="F68" s="339">
        <v>11870</v>
      </c>
      <c r="G68" s="339">
        <v>10883</v>
      </c>
      <c r="H68" s="298"/>
    </row>
    <row r="69" spans="2:13" x14ac:dyDescent="0.3">
      <c r="B69" s="307" t="s">
        <v>325</v>
      </c>
      <c r="C69" s="339">
        <v>12246</v>
      </c>
      <c r="D69" s="339">
        <v>13362</v>
      </c>
      <c r="E69" s="339">
        <v>14345</v>
      </c>
      <c r="F69" s="339">
        <v>13843</v>
      </c>
      <c r="G69" s="339">
        <v>13133</v>
      </c>
      <c r="H69" s="298"/>
    </row>
    <row r="70" spans="2:13" x14ac:dyDescent="0.3">
      <c r="B70" s="307" t="s">
        <v>326</v>
      </c>
      <c r="C70" s="337">
        <v>481</v>
      </c>
      <c r="D70" s="337">
        <v>535</v>
      </c>
      <c r="E70" s="337">
        <v>599</v>
      </c>
      <c r="F70" s="337" t="s">
        <v>112</v>
      </c>
      <c r="G70" s="337" t="s">
        <v>112</v>
      </c>
      <c r="H70" s="296"/>
    </row>
    <row r="71" spans="2:13" x14ac:dyDescent="0.3">
      <c r="B71" s="307" t="s">
        <v>327</v>
      </c>
      <c r="C71" s="339">
        <v>3561</v>
      </c>
      <c r="D71" s="339">
        <v>5257</v>
      </c>
      <c r="E71" s="337">
        <v>514</v>
      </c>
      <c r="F71" s="337" t="s">
        <v>112</v>
      </c>
      <c r="G71" s="337" t="s">
        <v>112</v>
      </c>
      <c r="H71" s="296"/>
    </row>
    <row r="72" spans="2:13" ht="15" thickBot="1" x14ac:dyDescent="0.35">
      <c r="B72" s="307" t="s">
        <v>328</v>
      </c>
      <c r="C72" s="339">
        <v>11118</v>
      </c>
      <c r="D72" s="339">
        <v>11381</v>
      </c>
      <c r="E72" s="339">
        <v>11505</v>
      </c>
      <c r="F72" s="339">
        <v>11486</v>
      </c>
      <c r="G72" s="339">
        <v>12034</v>
      </c>
      <c r="H72" s="298"/>
    </row>
    <row r="73" spans="2:13" x14ac:dyDescent="0.3">
      <c r="B73" s="309" t="s">
        <v>281</v>
      </c>
      <c r="C73" s="397">
        <v>97072</v>
      </c>
      <c r="D73" s="397">
        <v>107633</v>
      </c>
      <c r="E73" s="397">
        <v>109120</v>
      </c>
      <c r="F73" s="397">
        <v>119013</v>
      </c>
      <c r="G73" s="397">
        <v>125172</v>
      </c>
      <c r="H73" s="306"/>
    </row>
    <row r="74" spans="2:13" x14ac:dyDescent="0.3">
      <c r="B74" s="307" t="s">
        <v>329</v>
      </c>
      <c r="C74" s="337" t="s">
        <v>112</v>
      </c>
      <c r="D74" s="337" t="s">
        <v>112</v>
      </c>
      <c r="E74" s="337" t="s">
        <v>112</v>
      </c>
      <c r="F74" s="337" t="s">
        <v>112</v>
      </c>
      <c r="G74" s="337" t="s">
        <v>112</v>
      </c>
      <c r="H74" s="296"/>
    </row>
    <row r="75" spans="2:13" x14ac:dyDescent="0.3">
      <c r="B75" s="307" t="s">
        <v>330</v>
      </c>
      <c r="C75" s="337" t="s">
        <v>112</v>
      </c>
      <c r="D75" s="337" t="s">
        <v>112</v>
      </c>
      <c r="E75" s="337" t="s">
        <v>112</v>
      </c>
      <c r="F75" s="337" t="s">
        <v>112</v>
      </c>
      <c r="G75" s="337" t="s">
        <v>112</v>
      </c>
      <c r="H75" s="296"/>
    </row>
    <row r="76" spans="2:13" x14ac:dyDescent="0.3">
      <c r="B76" s="308" t="s">
        <v>331</v>
      </c>
      <c r="C76" s="398" t="s">
        <v>112</v>
      </c>
      <c r="D76" s="398" t="s">
        <v>112</v>
      </c>
      <c r="E76" s="398" t="s">
        <v>112</v>
      </c>
      <c r="F76" s="398" t="s">
        <v>112</v>
      </c>
      <c r="G76" s="398" t="s">
        <v>112</v>
      </c>
      <c r="H76" s="300"/>
    </row>
    <row r="77" spans="2:13" x14ac:dyDescent="0.3">
      <c r="B77" s="307" t="s">
        <v>332</v>
      </c>
      <c r="C77" s="339">
        <v>58510</v>
      </c>
      <c r="D77" s="339">
        <v>61774</v>
      </c>
      <c r="E77" s="339">
        <v>68184</v>
      </c>
      <c r="F77" s="339">
        <v>76534</v>
      </c>
      <c r="G77" s="339">
        <v>84800</v>
      </c>
      <c r="H77" s="298"/>
    </row>
    <row r="78" spans="2:13" x14ac:dyDescent="0.3">
      <c r="B78" s="307" t="s">
        <v>333</v>
      </c>
      <c r="C78" s="337" t="s">
        <v>112</v>
      </c>
      <c r="D78" s="337" t="s">
        <v>112</v>
      </c>
      <c r="E78" s="337" t="s">
        <v>112</v>
      </c>
      <c r="F78" s="337" t="s">
        <v>112</v>
      </c>
      <c r="G78" s="337" t="s">
        <v>112</v>
      </c>
      <c r="H78" s="296"/>
    </row>
    <row r="79" spans="2:13" x14ac:dyDescent="0.3">
      <c r="B79" s="307" t="s">
        <v>334</v>
      </c>
      <c r="C79" s="339">
        <v>163401</v>
      </c>
      <c r="D79" s="339">
        <v>191484</v>
      </c>
      <c r="E79" s="339">
        <v>195563</v>
      </c>
      <c r="F79" s="339">
        <v>211247</v>
      </c>
      <c r="G79" s="339">
        <v>245084</v>
      </c>
      <c r="H79" s="298"/>
    </row>
    <row r="80" spans="2:13" x14ac:dyDescent="0.3">
      <c r="B80" s="307" t="s">
        <v>335</v>
      </c>
      <c r="C80" s="337">
        <v>633</v>
      </c>
      <c r="D80" s="396">
        <v>-1623</v>
      </c>
      <c r="E80" s="396">
        <v>-7603</v>
      </c>
      <c r="F80" s="396">
        <v>-4402</v>
      </c>
      <c r="G80" s="396">
        <v>-4800</v>
      </c>
      <c r="H80" s="302"/>
    </row>
    <row r="81" spans="1:8" ht="15" thickBot="1" x14ac:dyDescent="0.35">
      <c r="B81" s="308" t="s">
        <v>336</v>
      </c>
      <c r="C81" s="395">
        <v>222544</v>
      </c>
      <c r="D81" s="395">
        <v>251635</v>
      </c>
      <c r="E81" s="395">
        <v>256144</v>
      </c>
      <c r="F81" s="395">
        <v>283379</v>
      </c>
      <c r="G81" s="395">
        <v>325084</v>
      </c>
      <c r="H81" s="301"/>
    </row>
    <row r="82" spans="1:8" ht="15" thickBot="1" x14ac:dyDescent="0.35">
      <c r="B82" s="309" t="s">
        <v>337</v>
      </c>
      <c r="C82" s="397">
        <v>222544</v>
      </c>
      <c r="D82" s="397">
        <v>251635</v>
      </c>
      <c r="E82" s="397">
        <v>256144</v>
      </c>
      <c r="F82" s="397">
        <v>283379</v>
      </c>
      <c r="G82" s="397">
        <v>325084</v>
      </c>
      <c r="H82" s="306"/>
    </row>
    <row r="83" spans="1:8" x14ac:dyDescent="0.3">
      <c r="B83" s="399" t="s">
        <v>338</v>
      </c>
      <c r="C83" s="400">
        <v>319616</v>
      </c>
      <c r="D83" s="400">
        <v>359268</v>
      </c>
      <c r="E83" s="400">
        <v>365264</v>
      </c>
      <c r="F83" s="400">
        <v>402392</v>
      </c>
      <c r="G83" s="400">
        <v>450256</v>
      </c>
      <c r="H83" s="394"/>
    </row>
    <row r="84" spans="1:8" x14ac:dyDescent="0.3">
      <c r="C84" t="s">
        <v>112</v>
      </c>
      <c r="D84" t="s">
        <v>112</v>
      </c>
      <c r="E84" t="s">
        <v>112</v>
      </c>
      <c r="F84" t="s">
        <v>112</v>
      </c>
      <c r="G84" t="s">
        <v>112</v>
      </c>
    </row>
    <row r="85" spans="1:8" x14ac:dyDescent="0.3">
      <c r="C85" t="s">
        <v>112</v>
      </c>
      <c r="D85" t="s">
        <v>112</v>
      </c>
      <c r="E85" t="s">
        <v>112</v>
      </c>
      <c r="F85" t="s">
        <v>112</v>
      </c>
      <c r="G85" t="s">
        <v>112</v>
      </c>
    </row>
    <row r="86" spans="1:8" x14ac:dyDescent="0.3">
      <c r="C86" t="s">
        <v>112</v>
      </c>
      <c r="D86" t="s">
        <v>112</v>
      </c>
      <c r="E86" t="s">
        <v>112</v>
      </c>
      <c r="F86" t="s">
        <v>112</v>
      </c>
      <c r="G86" t="s">
        <v>112</v>
      </c>
    </row>
    <row r="87" spans="1:8" x14ac:dyDescent="0.3">
      <c r="C87" t="s">
        <v>112</v>
      </c>
      <c r="D87" t="s">
        <v>112</v>
      </c>
      <c r="E87" t="s">
        <v>112</v>
      </c>
      <c r="F87" t="s">
        <v>112</v>
      </c>
      <c r="G87" t="s">
        <v>112</v>
      </c>
    </row>
    <row r="88" spans="1:8" ht="15.6" x14ac:dyDescent="0.3">
      <c r="A88" s="278" t="s">
        <v>260</v>
      </c>
      <c r="B88" s="279" t="s">
        <v>418</v>
      </c>
      <c r="C88" s="444">
        <v>2020</v>
      </c>
      <c r="D88" s="444">
        <f>C88+1</f>
        <v>2021</v>
      </c>
      <c r="E88" s="444">
        <f>D88+1</f>
        <v>2022</v>
      </c>
      <c r="F88" s="444">
        <v>2023</v>
      </c>
      <c r="G88" s="444">
        <f t="shared" ref="G88" si="4">F88+1</f>
        <v>2024</v>
      </c>
      <c r="H88" s="284"/>
    </row>
    <row r="89" spans="1:8" x14ac:dyDescent="0.3">
      <c r="B89" s="308" t="s">
        <v>162</v>
      </c>
      <c r="C89" s="395">
        <v>40269</v>
      </c>
      <c r="D89" s="395">
        <v>76033</v>
      </c>
      <c r="E89" s="395">
        <v>59972</v>
      </c>
      <c r="F89" s="395">
        <v>73795</v>
      </c>
      <c r="G89" s="395">
        <v>100118</v>
      </c>
      <c r="H89" s="301"/>
    </row>
    <row r="90" spans="1:8" x14ac:dyDescent="0.3">
      <c r="B90" s="307" t="s">
        <v>386</v>
      </c>
      <c r="C90" s="339">
        <v>12905</v>
      </c>
      <c r="D90" s="339">
        <v>10273</v>
      </c>
      <c r="E90" s="339">
        <v>13475</v>
      </c>
      <c r="F90" s="339">
        <v>11946</v>
      </c>
      <c r="G90" s="339">
        <v>15311</v>
      </c>
      <c r="H90" s="298"/>
    </row>
    <row r="91" spans="1:8" x14ac:dyDescent="0.3">
      <c r="B91" s="307" t="s">
        <v>387</v>
      </c>
      <c r="C91" s="337">
        <v>774</v>
      </c>
      <c r="D91" s="337" t="s">
        <v>112</v>
      </c>
      <c r="E91" s="337" t="s">
        <v>112</v>
      </c>
      <c r="F91" s="337" t="s">
        <v>112</v>
      </c>
      <c r="G91" s="337" t="s">
        <v>112</v>
      </c>
      <c r="H91" s="296"/>
    </row>
    <row r="92" spans="1:8" x14ac:dyDescent="0.3">
      <c r="B92" s="308" t="s">
        <v>388</v>
      </c>
      <c r="C92" s="395">
        <v>13679</v>
      </c>
      <c r="D92" s="395">
        <v>10273</v>
      </c>
      <c r="E92" s="395">
        <v>13475</v>
      </c>
      <c r="F92" s="395">
        <v>11946</v>
      </c>
      <c r="G92" s="395">
        <v>15311</v>
      </c>
      <c r="H92" s="301"/>
    </row>
    <row r="93" spans="1:8" x14ac:dyDescent="0.3">
      <c r="B93" s="307" t="s">
        <v>389</v>
      </c>
      <c r="C93" s="337" t="s">
        <v>112</v>
      </c>
      <c r="D93" s="337" t="s">
        <v>112</v>
      </c>
      <c r="E93" s="337" t="s">
        <v>112</v>
      </c>
      <c r="F93" s="337" t="s">
        <v>112</v>
      </c>
      <c r="G93" s="337" t="s">
        <v>112</v>
      </c>
      <c r="H93" s="296"/>
    </row>
    <row r="94" spans="1:8" x14ac:dyDescent="0.3">
      <c r="B94" s="307" t="s">
        <v>390</v>
      </c>
      <c r="C94" s="396">
        <v>-6317</v>
      </c>
      <c r="D94" s="396">
        <v>-12270</v>
      </c>
      <c r="E94" s="339">
        <v>5519</v>
      </c>
      <c r="F94" s="337">
        <v>823</v>
      </c>
      <c r="G94" s="396">
        <v>-2671</v>
      </c>
      <c r="H94" s="302"/>
    </row>
    <row r="95" spans="1:8" x14ac:dyDescent="0.3">
      <c r="B95" s="307" t="s">
        <v>391</v>
      </c>
      <c r="C95" s="337">
        <v>18</v>
      </c>
      <c r="D95" s="337" t="s">
        <v>112</v>
      </c>
      <c r="E95" s="337" t="s">
        <v>112</v>
      </c>
      <c r="F95" s="337" t="s">
        <v>112</v>
      </c>
      <c r="G95" s="337" t="s">
        <v>112</v>
      </c>
      <c r="H95" s="296"/>
    </row>
    <row r="96" spans="1:8" x14ac:dyDescent="0.3">
      <c r="B96" s="307" t="s">
        <v>383</v>
      </c>
      <c r="C96" s="339">
        <v>12991</v>
      </c>
      <c r="D96" s="339">
        <v>15376</v>
      </c>
      <c r="E96" s="339">
        <v>19362</v>
      </c>
      <c r="F96" s="339">
        <v>22460</v>
      </c>
      <c r="G96" s="339">
        <v>22785</v>
      </c>
      <c r="H96" s="298"/>
    </row>
    <row r="97" spans="2:8" x14ac:dyDescent="0.3">
      <c r="B97" s="307" t="s">
        <v>392</v>
      </c>
      <c r="C97" s="337" t="s">
        <v>112</v>
      </c>
      <c r="D97" s="337" t="s">
        <v>112</v>
      </c>
      <c r="E97" s="337" t="s">
        <v>112</v>
      </c>
      <c r="F97" s="337" t="s">
        <v>112</v>
      </c>
      <c r="G97" s="337" t="s">
        <v>112</v>
      </c>
      <c r="H97" s="296"/>
    </row>
    <row r="98" spans="2:8" x14ac:dyDescent="0.3">
      <c r="B98" s="307" t="s">
        <v>393</v>
      </c>
      <c r="C98" s="337" t="s">
        <v>112</v>
      </c>
      <c r="D98" s="337" t="s">
        <v>112</v>
      </c>
      <c r="E98" s="337" t="s">
        <v>112</v>
      </c>
      <c r="F98" s="337" t="s">
        <v>112</v>
      </c>
      <c r="G98" s="337" t="s">
        <v>112</v>
      </c>
      <c r="H98" s="296"/>
    </row>
    <row r="99" spans="2:8" x14ac:dyDescent="0.3">
      <c r="B99" s="307" t="s">
        <v>394</v>
      </c>
      <c r="C99" s="339">
        <v>2657</v>
      </c>
      <c r="D99" s="339">
        <v>3763</v>
      </c>
      <c r="E99" s="396">
        <v>-4598</v>
      </c>
      <c r="F99" s="396">
        <v>-3433</v>
      </c>
      <c r="G99" s="396">
        <v>-1838</v>
      </c>
      <c r="H99" s="435"/>
    </row>
    <row r="100" spans="2:8" x14ac:dyDescent="0.3">
      <c r="B100" s="307" t="s">
        <v>88</v>
      </c>
      <c r="C100" s="396">
        <v>-6524</v>
      </c>
      <c r="D100" s="396">
        <v>-9095</v>
      </c>
      <c r="E100" s="396">
        <v>-2317</v>
      </c>
      <c r="F100" s="396">
        <v>-7833</v>
      </c>
      <c r="G100" s="396">
        <v>-5891</v>
      </c>
      <c r="H100" s="302"/>
    </row>
    <row r="101" spans="2:8" x14ac:dyDescent="0.3">
      <c r="B101" s="307" t="s">
        <v>89</v>
      </c>
      <c r="C101" s="337" t="s">
        <v>112</v>
      </c>
      <c r="D101" s="337" t="s">
        <v>112</v>
      </c>
      <c r="E101" s="337" t="s">
        <v>112</v>
      </c>
      <c r="F101" s="337" t="s">
        <v>112</v>
      </c>
      <c r="G101" s="337" t="s">
        <v>112</v>
      </c>
      <c r="H101" s="296"/>
    </row>
    <row r="102" spans="2:8" x14ac:dyDescent="0.3">
      <c r="B102" s="307" t="s">
        <v>90</v>
      </c>
      <c r="C102" s="337">
        <v>694</v>
      </c>
      <c r="D102" s="337">
        <v>283</v>
      </c>
      <c r="E102" s="337">
        <v>707</v>
      </c>
      <c r="F102" s="337">
        <v>664</v>
      </c>
      <c r="G102" s="337">
        <v>359</v>
      </c>
      <c r="H102" s="296"/>
    </row>
    <row r="103" spans="2:8" x14ac:dyDescent="0.3">
      <c r="B103" s="307" t="s">
        <v>395</v>
      </c>
      <c r="C103" s="337">
        <v>635</v>
      </c>
      <c r="D103" s="337">
        <v>774</v>
      </c>
      <c r="E103" s="337">
        <v>367</v>
      </c>
      <c r="F103" s="337">
        <v>525</v>
      </c>
      <c r="G103" s="339">
        <v>1043</v>
      </c>
      <c r="H103" s="298"/>
    </row>
    <row r="104" spans="2:8" x14ac:dyDescent="0.3">
      <c r="B104" s="307" t="s">
        <v>396</v>
      </c>
      <c r="C104" s="339">
        <v>1209</v>
      </c>
      <c r="D104" s="439">
        <v>-625</v>
      </c>
      <c r="E104" s="337">
        <v>584</v>
      </c>
      <c r="F104" s="337">
        <v>523</v>
      </c>
      <c r="G104" s="396">
        <v>-2418</v>
      </c>
      <c r="H104" s="302"/>
    </row>
    <row r="105" spans="2:8" ht="15" thickBot="1" x14ac:dyDescent="0.35">
      <c r="B105" s="307" t="s">
        <v>397</v>
      </c>
      <c r="C105" s="339">
        <v>5813</v>
      </c>
      <c r="D105" s="339">
        <v>7140</v>
      </c>
      <c r="E105" s="396">
        <v>-1576</v>
      </c>
      <c r="F105" s="339">
        <v>2276</v>
      </c>
      <c r="G105" s="396">
        <v>-1499</v>
      </c>
      <c r="H105" s="296"/>
    </row>
    <row r="106" spans="2:8" x14ac:dyDescent="0.3">
      <c r="B106" s="309" t="s">
        <v>398</v>
      </c>
      <c r="C106" s="397">
        <v>65124</v>
      </c>
      <c r="D106" s="397">
        <v>91652</v>
      </c>
      <c r="E106" s="397">
        <v>91495</v>
      </c>
      <c r="F106" s="397">
        <v>101746</v>
      </c>
      <c r="G106" s="397">
        <v>125299</v>
      </c>
      <c r="H106" s="306"/>
    </row>
    <row r="107" spans="2:8" x14ac:dyDescent="0.3">
      <c r="B107" s="338" t="s">
        <v>399</v>
      </c>
      <c r="C107" s="340">
        <v>1827</v>
      </c>
      <c r="D107" s="440">
        <v>-1523</v>
      </c>
      <c r="E107" s="440">
        <v>-2235</v>
      </c>
      <c r="F107" s="440">
        <v>-3845</v>
      </c>
      <c r="G107" s="440">
        <v>-8406</v>
      </c>
      <c r="H107" s="436"/>
    </row>
    <row r="108" spans="2:8" x14ac:dyDescent="0.3">
      <c r="B108" s="307" t="s">
        <v>400</v>
      </c>
      <c r="C108" s="396">
        <v>-22281</v>
      </c>
      <c r="D108" s="396">
        <v>-24640</v>
      </c>
      <c r="E108" s="396">
        <v>-31485</v>
      </c>
      <c r="F108" s="396">
        <v>-32251</v>
      </c>
      <c r="G108" s="396">
        <v>-52535</v>
      </c>
      <c r="H108" s="302"/>
    </row>
    <row r="109" spans="2:8" x14ac:dyDescent="0.3">
      <c r="B109" s="307" t="s">
        <v>401</v>
      </c>
      <c r="C109" s="337" t="s">
        <v>112</v>
      </c>
      <c r="D109" s="337" t="s">
        <v>112</v>
      </c>
      <c r="E109" s="337" t="s">
        <v>112</v>
      </c>
      <c r="F109" s="337" t="s">
        <v>112</v>
      </c>
      <c r="G109" s="337" t="s">
        <v>112</v>
      </c>
      <c r="H109" s="296"/>
    </row>
    <row r="110" spans="2:8" x14ac:dyDescent="0.3">
      <c r="B110" s="307" t="s">
        <v>402</v>
      </c>
      <c r="C110" s="439">
        <v>-738</v>
      </c>
      <c r="D110" s="396">
        <v>-2618</v>
      </c>
      <c r="E110" s="396">
        <v>-6969</v>
      </c>
      <c r="F110" s="439">
        <v>-495</v>
      </c>
      <c r="G110" s="396">
        <v>-2931</v>
      </c>
      <c r="H110" s="302"/>
    </row>
    <row r="111" spans="2:8" x14ac:dyDescent="0.3">
      <c r="B111" s="307" t="s">
        <v>403</v>
      </c>
      <c r="C111" s="337" t="s">
        <v>112</v>
      </c>
      <c r="D111" s="337" t="s">
        <v>112</v>
      </c>
      <c r="E111" s="337" t="s">
        <v>112</v>
      </c>
      <c r="F111" s="337" t="s">
        <v>112</v>
      </c>
      <c r="G111" s="337" t="s">
        <v>112</v>
      </c>
      <c r="H111" s="296"/>
    </row>
    <row r="112" spans="2:8" x14ac:dyDescent="0.3">
      <c r="B112" s="307" t="s">
        <v>404</v>
      </c>
      <c r="C112" s="337" t="s">
        <v>112</v>
      </c>
      <c r="D112" s="337" t="s">
        <v>112</v>
      </c>
      <c r="E112" s="337" t="s">
        <v>112</v>
      </c>
      <c r="F112" s="337" t="s">
        <v>112</v>
      </c>
      <c r="G112" s="337" t="s">
        <v>112</v>
      </c>
      <c r="H112" s="296"/>
    </row>
    <row r="113" spans="2:8" x14ac:dyDescent="0.3">
      <c r="B113" s="307" t="s">
        <v>405</v>
      </c>
      <c r="C113" s="396">
        <v>-9822</v>
      </c>
      <c r="D113" s="396">
        <v>-8806</v>
      </c>
      <c r="E113" s="339">
        <v>16567</v>
      </c>
      <c r="F113" s="339">
        <v>6734</v>
      </c>
      <c r="G113" s="339">
        <v>12597</v>
      </c>
      <c r="H113" s="302"/>
    </row>
    <row r="114" spans="2:8" ht="15" thickBot="1" x14ac:dyDescent="0.35">
      <c r="B114" s="307" t="s">
        <v>406</v>
      </c>
      <c r="C114" s="337">
        <v>68</v>
      </c>
      <c r="D114" s="337">
        <v>541</v>
      </c>
      <c r="E114" s="339">
        <v>1589</v>
      </c>
      <c r="F114" s="396">
        <v>-1051</v>
      </c>
      <c r="G114" s="396">
        <v>-2667</v>
      </c>
      <c r="H114" s="302"/>
    </row>
    <row r="115" spans="2:8" x14ac:dyDescent="0.3">
      <c r="B115" s="309" t="s">
        <v>407</v>
      </c>
      <c r="C115" s="441">
        <v>-32773</v>
      </c>
      <c r="D115" s="441">
        <v>-35523</v>
      </c>
      <c r="E115" s="441">
        <v>-20298</v>
      </c>
      <c r="F115" s="441">
        <v>-27063</v>
      </c>
      <c r="G115" s="441">
        <v>-45536</v>
      </c>
      <c r="H115" s="437"/>
    </row>
    <row r="116" spans="2:8" x14ac:dyDescent="0.3">
      <c r="B116" s="307" t="s">
        <v>408</v>
      </c>
      <c r="C116" s="339">
        <v>11761</v>
      </c>
      <c r="D116" s="339">
        <v>20199</v>
      </c>
      <c r="E116" s="339">
        <v>52872</v>
      </c>
      <c r="F116" s="339">
        <v>10790</v>
      </c>
      <c r="G116" s="339">
        <v>13589</v>
      </c>
      <c r="H116" s="298"/>
    </row>
    <row r="117" spans="2:8" x14ac:dyDescent="0.3">
      <c r="B117" s="307" t="s">
        <v>409</v>
      </c>
      <c r="C117" s="396">
        <v>-2100</v>
      </c>
      <c r="D117" s="396">
        <v>-21435</v>
      </c>
      <c r="E117" s="396">
        <v>-54068</v>
      </c>
      <c r="F117" s="396">
        <v>-11550</v>
      </c>
      <c r="G117" s="396">
        <v>-12701</v>
      </c>
      <c r="H117" s="302"/>
    </row>
    <row r="118" spans="2:8" x14ac:dyDescent="0.3">
      <c r="B118" s="307" t="s">
        <v>410</v>
      </c>
      <c r="C118" s="337" t="s">
        <v>112</v>
      </c>
      <c r="D118" s="337" t="s">
        <v>112</v>
      </c>
      <c r="E118" s="337" t="s">
        <v>112</v>
      </c>
      <c r="F118" s="337" t="s">
        <v>112</v>
      </c>
      <c r="G118" s="337" t="s">
        <v>112</v>
      </c>
      <c r="H118" s="296"/>
    </row>
    <row r="119" spans="2:8" x14ac:dyDescent="0.3">
      <c r="B119" s="307" t="s">
        <v>411</v>
      </c>
      <c r="C119" s="396">
        <v>-31149</v>
      </c>
      <c r="D119" s="396">
        <v>-50274</v>
      </c>
      <c r="E119" s="396">
        <v>-59296</v>
      </c>
      <c r="F119" s="396">
        <v>-61504</v>
      </c>
      <c r="G119" s="396">
        <v>-62222</v>
      </c>
      <c r="H119" s="302"/>
    </row>
    <row r="120" spans="2:8" x14ac:dyDescent="0.3">
      <c r="B120" s="307" t="s">
        <v>412</v>
      </c>
      <c r="C120" s="337" t="s">
        <v>112</v>
      </c>
      <c r="D120" s="337" t="s">
        <v>112</v>
      </c>
      <c r="E120" s="337" t="s">
        <v>112</v>
      </c>
      <c r="F120" s="337" t="s">
        <v>112</v>
      </c>
      <c r="G120" s="396">
        <v>-7363</v>
      </c>
      <c r="H120" s="302"/>
    </row>
    <row r="121" spans="2:8" x14ac:dyDescent="0.3">
      <c r="B121" s="307" t="s">
        <v>413</v>
      </c>
      <c r="C121" s="337" t="s">
        <v>112</v>
      </c>
      <c r="D121" s="337" t="s">
        <v>112</v>
      </c>
      <c r="E121" s="337" t="s">
        <v>112</v>
      </c>
      <c r="F121" s="337" t="s">
        <v>112</v>
      </c>
      <c r="G121" s="396">
        <v>-7363</v>
      </c>
      <c r="H121" s="302"/>
    </row>
    <row r="122" spans="2:8" ht="15" thickBot="1" x14ac:dyDescent="0.35">
      <c r="B122" s="307" t="s">
        <v>414</v>
      </c>
      <c r="C122" s="396">
        <v>-2920</v>
      </c>
      <c r="D122" s="396">
        <v>-9852</v>
      </c>
      <c r="E122" s="396">
        <v>-9265</v>
      </c>
      <c r="F122" s="396">
        <v>-9829</v>
      </c>
      <c r="G122" s="396">
        <v>-11036</v>
      </c>
      <c r="H122" s="302"/>
    </row>
    <row r="123" spans="2:8" x14ac:dyDescent="0.3">
      <c r="B123" s="309" t="s">
        <v>415</v>
      </c>
      <c r="C123" s="441">
        <v>-24408</v>
      </c>
      <c r="D123" s="441">
        <v>-61362</v>
      </c>
      <c r="E123" s="441">
        <v>-69757</v>
      </c>
      <c r="F123" s="441">
        <v>-72093</v>
      </c>
      <c r="G123" s="441">
        <v>-79733</v>
      </c>
      <c r="H123" s="437"/>
    </row>
    <row r="124" spans="2:8" ht="15" thickBot="1" x14ac:dyDescent="0.35">
      <c r="B124" s="307" t="s">
        <v>416</v>
      </c>
      <c r="C124" s="337">
        <v>24</v>
      </c>
      <c r="D124" s="439">
        <v>-287</v>
      </c>
      <c r="E124" s="439">
        <v>-506</v>
      </c>
      <c r="F124" s="439">
        <v>-421</v>
      </c>
      <c r="G124" s="439">
        <v>-612</v>
      </c>
      <c r="H124" s="296"/>
    </row>
    <row r="125" spans="2:8" x14ac:dyDescent="0.3">
      <c r="B125" s="309" t="s">
        <v>417</v>
      </c>
      <c r="C125" s="397">
        <v>7967</v>
      </c>
      <c r="D125" s="441">
        <v>-5520</v>
      </c>
      <c r="E125" s="442">
        <v>934</v>
      </c>
      <c r="F125" s="397">
        <v>2169</v>
      </c>
      <c r="G125" s="443">
        <v>-582</v>
      </c>
      <c r="H125" s="4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6C8F-4D80-437E-BFE1-4A25C5341217}">
  <dimension ref="A1:U47"/>
  <sheetViews>
    <sheetView showGridLines="0" workbookViewId="0">
      <selection activeCell="P7" sqref="P7:U104857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.77734375" style="290" customWidth="1"/>
    <col min="8" max="12" width="10.77734375" customWidth="1"/>
  </cols>
  <sheetData>
    <row r="1" spans="1:21" x14ac:dyDescent="0.3">
      <c r="B1" s="78" t="s">
        <v>296</v>
      </c>
      <c r="C1"/>
      <c r="D1"/>
      <c r="E1"/>
      <c r="F1"/>
      <c r="G1"/>
    </row>
    <row r="2" spans="1:21" x14ac:dyDescent="0.3">
      <c r="A2" t="s">
        <v>115</v>
      </c>
      <c r="B2" s="330" t="s">
        <v>289</v>
      </c>
      <c r="C2" s="331">
        <v>2020</v>
      </c>
      <c r="D2" s="331">
        <f>C2+1</f>
        <v>2021</v>
      </c>
      <c r="E2" s="331">
        <f t="shared" ref="E2:G2" si="0">D2+1</f>
        <v>2022</v>
      </c>
      <c r="F2" s="331">
        <f t="shared" si="0"/>
        <v>2023</v>
      </c>
      <c r="G2" s="331">
        <f t="shared" si="0"/>
        <v>2024</v>
      </c>
      <c r="H2" s="332">
        <v>2025</v>
      </c>
      <c r="I2" s="332">
        <f>H2+1</f>
        <v>2026</v>
      </c>
      <c r="J2" s="332">
        <f t="shared" ref="J2:L2" si="1">I2+1</f>
        <v>2027</v>
      </c>
      <c r="K2" s="332">
        <f t="shared" si="1"/>
        <v>2028</v>
      </c>
      <c r="L2" s="332">
        <f t="shared" si="1"/>
        <v>2029</v>
      </c>
    </row>
    <row r="3" spans="1:21" x14ac:dyDescent="0.3">
      <c r="B3" s="283" t="s">
        <v>262</v>
      </c>
      <c r="C3" s="276"/>
      <c r="D3" s="276"/>
      <c r="E3" s="276"/>
      <c r="F3" s="276"/>
      <c r="G3" s="276"/>
      <c r="H3" s="276"/>
      <c r="I3" s="276"/>
      <c r="J3" s="276"/>
      <c r="K3" s="276"/>
      <c r="L3" s="276"/>
    </row>
    <row r="4" spans="1:21" x14ac:dyDescent="0.3">
      <c r="B4" s="283"/>
      <c r="C4" s="276"/>
      <c r="D4" s="276"/>
      <c r="E4" s="276"/>
      <c r="F4" s="276"/>
      <c r="G4" s="276"/>
      <c r="H4" s="276"/>
      <c r="I4" s="276"/>
      <c r="J4" s="276"/>
      <c r="K4" s="276"/>
      <c r="L4" s="276"/>
    </row>
    <row r="5" spans="1:21" x14ac:dyDescent="0.3">
      <c r="B5" s="229" t="s">
        <v>11</v>
      </c>
      <c r="C5" s="286">
        <f>'RAW Data'!C5</f>
        <v>182527</v>
      </c>
      <c r="D5" s="286">
        <f>'RAW Data'!D5</f>
        <v>257637</v>
      </c>
      <c r="E5" s="286">
        <f>'RAW Data'!E5</f>
        <v>282836</v>
      </c>
      <c r="F5" s="286">
        <f>'RAW Data'!F5</f>
        <v>307394</v>
      </c>
      <c r="G5" s="286">
        <f>'RAW Data'!G5</f>
        <v>350018</v>
      </c>
      <c r="H5" s="286">
        <f>DCF!P26</f>
        <v>394235.78</v>
      </c>
      <c r="I5" s="286">
        <f>DCF!Q26</f>
        <v>439217.15</v>
      </c>
      <c r="J5" s="286">
        <f>DCF!R26</f>
        <v>494718.10560664587</v>
      </c>
      <c r="K5" s="286">
        <f>DCF!S26</f>
        <v>555204.15742699755</v>
      </c>
      <c r="L5" s="286">
        <f>DCF!T26</f>
        <v>622332.90525321569</v>
      </c>
    </row>
    <row r="6" spans="1:21" x14ac:dyDescent="0.3">
      <c r="B6" s="288" t="s">
        <v>292</v>
      </c>
      <c r="C6" s="285" t="s">
        <v>112</v>
      </c>
      <c r="D6" s="291">
        <f>D5/C5-1</f>
        <v>0.41150076427049154</v>
      </c>
      <c r="E6" s="291">
        <f t="shared" ref="E6:G6" si="2">E5/D5-1</f>
        <v>9.7808156437157789E-2</v>
      </c>
      <c r="F6" s="291">
        <f t="shared" si="2"/>
        <v>8.6827702272695095E-2</v>
      </c>
      <c r="G6" s="291">
        <f t="shared" si="2"/>
        <v>0.13866243322901561</v>
      </c>
      <c r="H6" s="291">
        <f t="shared" ref="H6" si="3">H5/G5-1</f>
        <v>0.12633001731339544</v>
      </c>
      <c r="I6" s="291">
        <f t="shared" ref="I6" si="4">I5/H5-1</f>
        <v>0.11409763466928347</v>
      </c>
      <c r="J6" s="291">
        <f t="shared" ref="J6" si="5">J5/I5-1</f>
        <v>0.12636336173723151</v>
      </c>
      <c r="K6" s="291">
        <f t="shared" ref="K6" si="6">K5/J5-1</f>
        <v>0.12226367123996984</v>
      </c>
      <c r="L6" s="291">
        <f t="shared" ref="L6" si="7">L5/K5-1</f>
        <v>0.12090822254882827</v>
      </c>
    </row>
    <row r="7" spans="1:21" x14ac:dyDescent="0.3">
      <c r="B7" s="287" t="s">
        <v>295</v>
      </c>
      <c r="C7" s="292">
        <f>'RAW Data'!C6</f>
        <v>84732</v>
      </c>
      <c r="D7" s="292">
        <f>'RAW Data'!D6</f>
        <v>110939</v>
      </c>
      <c r="E7" s="292">
        <f>'RAW Data'!E6</f>
        <v>126203</v>
      </c>
      <c r="F7" s="292">
        <f>'RAW Data'!F6</f>
        <v>133332</v>
      </c>
      <c r="G7" s="292">
        <f>'RAW Data'!G6</f>
        <v>146306</v>
      </c>
      <c r="H7" s="292">
        <f>Assumtions!H7</f>
        <v>170566.20760114511</v>
      </c>
      <c r="I7" s="292">
        <f>Assumtions!I7</f>
        <v>188042.83094092921</v>
      </c>
      <c r="J7" s="292">
        <f>Assumtions!J7</f>
        <v>210878.15997186609</v>
      </c>
      <c r="K7" s="292">
        <f>Assumtions!K7</f>
        <v>238190.22385538247</v>
      </c>
      <c r="L7" s="292">
        <f>Assumtions!L7</f>
        <v>266235.01220482111</v>
      </c>
      <c r="R7" s="328"/>
      <c r="S7" s="328"/>
      <c r="T7" s="328"/>
      <c r="U7" s="328"/>
    </row>
    <row r="8" spans="1:21" x14ac:dyDescent="0.3">
      <c r="B8" s="229" t="s">
        <v>63</v>
      </c>
      <c r="C8" s="323">
        <f>C5-C7</f>
        <v>97795</v>
      </c>
      <c r="D8" s="323">
        <f t="shared" ref="D8:G8" si="8">D5-D7</f>
        <v>146698</v>
      </c>
      <c r="E8" s="323">
        <f t="shared" si="8"/>
        <v>156633</v>
      </c>
      <c r="F8" s="323">
        <f t="shared" si="8"/>
        <v>174062</v>
      </c>
      <c r="G8" s="323">
        <f t="shared" si="8"/>
        <v>203712</v>
      </c>
      <c r="H8" s="323">
        <f t="shared" ref="H8" si="9">H5-H7</f>
        <v>223669.57239885491</v>
      </c>
      <c r="I8" s="323">
        <f t="shared" ref="I8" si="10">I5-I7</f>
        <v>251174.31905907081</v>
      </c>
      <c r="J8" s="323">
        <f t="shared" ref="J8" si="11">J5-J7</f>
        <v>283839.94563477975</v>
      </c>
      <c r="K8" s="323">
        <f t="shared" ref="K8" si="12">K5-K7</f>
        <v>317013.93357161508</v>
      </c>
      <c r="L8" s="323">
        <f t="shared" ref="L8" si="13">L5-L7</f>
        <v>356097.89304839459</v>
      </c>
      <c r="U8" s="328"/>
    </row>
    <row r="9" spans="1:21" x14ac:dyDescent="0.3">
      <c r="B9" s="288" t="s">
        <v>292</v>
      </c>
      <c r="C9" s="285" t="s">
        <v>112</v>
      </c>
      <c r="D9" s="291">
        <f>D8/C8-1</f>
        <v>0.50005624009407423</v>
      </c>
      <c r="E9" s="291">
        <f t="shared" ref="E9:G9" si="14">E8/D8-1</f>
        <v>6.7724168018650666E-2</v>
      </c>
      <c r="F9" s="291">
        <f t="shared" si="14"/>
        <v>0.11127284799499471</v>
      </c>
      <c r="G9" s="291">
        <f t="shared" si="14"/>
        <v>0.17034160241752949</v>
      </c>
      <c r="H9" s="291">
        <f t="shared" ref="H9" si="15">H8/G8-1</f>
        <v>9.7969547198274665E-2</v>
      </c>
      <c r="I9" s="291">
        <f t="shared" ref="I9" si="16">I8/H8-1</f>
        <v>0.12297044414771152</v>
      </c>
      <c r="J9" s="291">
        <f t="shared" ref="J9" si="17">J8/I8-1</f>
        <v>0.13005161792845032</v>
      </c>
      <c r="K9" s="291">
        <f t="shared" ref="K9" si="18">K8/J8-1</f>
        <v>0.11687568450820063</v>
      </c>
      <c r="L9" s="291">
        <f t="shared" ref="L9" si="19">L8/K8-1</f>
        <v>0.12328782850786024</v>
      </c>
      <c r="U9" s="328"/>
    </row>
    <row r="10" spans="1:21" x14ac:dyDescent="0.3">
      <c r="B10" s="288" t="s">
        <v>293</v>
      </c>
      <c r="C10" s="291">
        <f>C8/C5</f>
        <v>0.53578374706207854</v>
      </c>
      <c r="D10" s="291">
        <f t="shared" ref="D10:G10" si="20">D8/D5</f>
        <v>0.5693980290098084</v>
      </c>
      <c r="E10" s="291">
        <f t="shared" si="20"/>
        <v>0.55379442503783116</v>
      </c>
      <c r="F10" s="291">
        <f t="shared" si="20"/>
        <v>0.56625047984020505</v>
      </c>
      <c r="G10" s="291">
        <f t="shared" si="20"/>
        <v>0.58200435406179107</v>
      </c>
      <c r="H10" s="291">
        <f>H8/H5</f>
        <v>0.56734975297994239</v>
      </c>
      <c r="I10" s="291">
        <f t="shared" ref="I10:L10" si="21">I8/I5</f>
        <v>0.57186819562731284</v>
      </c>
      <c r="J10" s="291">
        <f t="shared" si="21"/>
        <v>0.57374076755634862</v>
      </c>
      <c r="K10" s="291">
        <f t="shared" si="21"/>
        <v>0.57098623872120136</v>
      </c>
      <c r="L10" s="291">
        <f t="shared" si="21"/>
        <v>0.57219840063495431</v>
      </c>
    </row>
    <row r="11" spans="1:21" x14ac:dyDescent="0.3">
      <c r="B11" s="326" t="s">
        <v>370</v>
      </c>
      <c r="C11" s="327">
        <v>56571</v>
      </c>
      <c r="D11" s="327">
        <v>67984</v>
      </c>
      <c r="E11" s="327">
        <v>81791</v>
      </c>
      <c r="F11" s="327">
        <v>89769</v>
      </c>
      <c r="G11" s="327">
        <v>91322</v>
      </c>
      <c r="H11" s="327">
        <v>106158.34320371517</v>
      </c>
      <c r="I11" s="327">
        <v>123405.02651888675</v>
      </c>
      <c r="J11" s="327">
        <v>143453.63831558166</v>
      </c>
      <c r="K11" s="327">
        <v>166759.38514407416</v>
      </c>
      <c r="L11" s="327">
        <v>193851.42726358538</v>
      </c>
      <c r="R11" s="328"/>
      <c r="S11" s="328"/>
      <c r="T11" s="328"/>
      <c r="U11" s="328"/>
    </row>
    <row r="12" spans="1:21" x14ac:dyDescent="0.3">
      <c r="B12" s="229" t="s">
        <v>68</v>
      </c>
      <c r="C12" s="286">
        <f>C8-C11</f>
        <v>41224</v>
      </c>
      <c r="D12" s="286">
        <f>D8-D11</f>
        <v>78714</v>
      </c>
      <c r="E12" s="286">
        <f>E8-E11</f>
        <v>74842</v>
      </c>
      <c r="F12" s="286">
        <f>F8-F11</f>
        <v>84293</v>
      </c>
      <c r="G12" s="286">
        <f>G8-G11</f>
        <v>112390</v>
      </c>
      <c r="H12" s="286">
        <f>H8-H11</f>
        <v>117511.22919513975</v>
      </c>
      <c r="I12" s="286">
        <f>I8-I11</f>
        <v>127769.29254018406</v>
      </c>
      <c r="J12" s="286">
        <f>J8-J11</f>
        <v>140386.30731919809</v>
      </c>
      <c r="K12" s="286">
        <f>K8-K11</f>
        <v>150254.54842754093</v>
      </c>
      <c r="L12" s="286">
        <f>L8-L11</f>
        <v>162246.4657848092</v>
      </c>
      <c r="U12" s="328"/>
    </row>
    <row r="13" spans="1:21" x14ac:dyDescent="0.3">
      <c r="B13" s="288" t="s">
        <v>292</v>
      </c>
      <c r="C13" s="286" t="s">
        <v>112</v>
      </c>
      <c r="D13" s="291">
        <f>D12/C12-1</f>
        <v>0.90942169609935952</v>
      </c>
      <c r="E13" s="293">
        <f t="shared" ref="E13:G13" si="22">E12/D12-1</f>
        <v>-4.9190741164214735E-2</v>
      </c>
      <c r="F13" s="291">
        <f t="shared" si="22"/>
        <v>0.12627936185564259</v>
      </c>
      <c r="G13" s="291">
        <f t="shared" si="22"/>
        <v>0.33332542441246593</v>
      </c>
      <c r="H13" s="291">
        <f t="shared" ref="H13" si="23">H12/G12-1</f>
        <v>4.556659129050411E-2</v>
      </c>
      <c r="I13" s="291">
        <f t="shared" ref="I13" si="24">I12/H12-1</f>
        <v>8.7294324255682065E-2</v>
      </c>
      <c r="J13" s="291">
        <f t="shared" ref="J13" si="25">J12/I12-1</f>
        <v>9.8748412299817012E-2</v>
      </c>
      <c r="K13" s="291">
        <f t="shared" ref="K13" si="26">K12/J12-1</f>
        <v>7.0293473037261966E-2</v>
      </c>
      <c r="L13" s="291">
        <f t="shared" ref="L13" si="27">L12/K12-1</f>
        <v>7.9810677831501975E-2</v>
      </c>
    </row>
    <row r="14" spans="1:21" x14ac:dyDescent="0.3">
      <c r="B14" s="288" t="s">
        <v>293</v>
      </c>
      <c r="C14" s="291">
        <f>C12/C5</f>
        <v>0.22585151785763202</v>
      </c>
      <c r="D14" s="291">
        <f>D12/D5</f>
        <v>0.3055228868524319</v>
      </c>
      <c r="E14" s="291">
        <f>E12/E5</f>
        <v>0.26461270842467011</v>
      </c>
      <c r="F14" s="291">
        <f>F12/F5</f>
        <v>0.27421810445226646</v>
      </c>
      <c r="G14" s="291">
        <f>G12/G5</f>
        <v>0.32109777211457696</v>
      </c>
      <c r="H14" s="291">
        <f>H12/H5</f>
        <v>0.29807347571328952</v>
      </c>
      <c r="I14" s="291">
        <f>I12/I5</f>
        <v>0.29090233052189346</v>
      </c>
      <c r="J14" s="291">
        <f>J12/J5</f>
        <v>0.28377030419586124</v>
      </c>
      <c r="K14" s="291">
        <f>K12/K5</f>
        <v>0.27062936474372046</v>
      </c>
      <c r="L14" s="291">
        <f>L12/L5</f>
        <v>0.26070687314660651</v>
      </c>
    </row>
    <row r="15" spans="1:21" x14ac:dyDescent="0.3">
      <c r="B15" s="26" t="s">
        <v>69</v>
      </c>
      <c r="C15" s="292">
        <f>'RAW Data'!C13</f>
        <v>6858</v>
      </c>
      <c r="D15" s="292">
        <f>'RAW Data'!D13</f>
        <v>12020</v>
      </c>
      <c r="E15" s="292">
        <f>'RAW Data'!E13</f>
        <v>-3514</v>
      </c>
      <c r="F15" s="292">
        <f>'RAW Data'!F13</f>
        <v>1424</v>
      </c>
      <c r="G15" s="292">
        <v>7425</v>
      </c>
      <c r="H15" s="292">
        <v>7425</v>
      </c>
      <c r="I15" s="292">
        <v>7425</v>
      </c>
      <c r="J15" s="292">
        <v>7425</v>
      </c>
      <c r="K15" s="292">
        <v>7425</v>
      </c>
      <c r="L15" s="292">
        <v>7425</v>
      </c>
    </row>
    <row r="16" spans="1:21" x14ac:dyDescent="0.3">
      <c r="B16" s="289" t="s">
        <v>70</v>
      </c>
      <c r="C16" s="286">
        <f>C15+C12</f>
        <v>48082</v>
      </c>
      <c r="D16" s="286">
        <f t="shared" ref="D16:G16" si="28">D15+D12</f>
        <v>90734</v>
      </c>
      <c r="E16" s="286">
        <f t="shared" si="28"/>
        <v>71328</v>
      </c>
      <c r="F16" s="286">
        <f t="shared" si="28"/>
        <v>85717</v>
      </c>
      <c r="G16" s="286">
        <f t="shared" si="28"/>
        <v>119815</v>
      </c>
      <c r="H16" s="286">
        <f t="shared" ref="H16" si="29">H15+H12</f>
        <v>124936.22919513975</v>
      </c>
      <c r="I16" s="286">
        <f t="shared" ref="I16" si="30">I15+I12</f>
        <v>135194.29254018405</v>
      </c>
      <c r="J16" s="286">
        <f t="shared" ref="J16" si="31">J15+J12</f>
        <v>147811.30731919809</v>
      </c>
      <c r="K16" s="286">
        <f t="shared" ref="K16" si="32">K15+K12</f>
        <v>157679.54842754093</v>
      </c>
      <c r="L16" s="286">
        <f t="shared" ref="L16" si="33">L15+L12</f>
        <v>169671.4657848092</v>
      </c>
    </row>
    <row r="17" spans="1:12" x14ac:dyDescent="0.3">
      <c r="B17" s="287" t="s">
        <v>294</v>
      </c>
      <c r="C17" s="292">
        <f>'RAW Data'!C15</f>
        <v>7813</v>
      </c>
      <c r="D17" s="292">
        <f>'RAW Data'!D15</f>
        <v>14701</v>
      </c>
      <c r="E17" s="292">
        <f>'RAW Data'!E15</f>
        <v>11356</v>
      </c>
      <c r="F17" s="292">
        <f>'RAW Data'!F15</f>
        <v>11922</v>
      </c>
      <c r="G17" s="292">
        <f>'RAW Data'!G15</f>
        <v>19697</v>
      </c>
      <c r="H17" s="292">
        <f>Assumtions!H14*H16</f>
        <v>21613.967650759176</v>
      </c>
      <c r="I17" s="292">
        <f>Assumtions!I14*I16</f>
        <v>21472.490595880037</v>
      </c>
      <c r="J17" s="292">
        <f>Assumtions!J14*J16</f>
        <v>24449.074707853724</v>
      </c>
      <c r="K17" s="292">
        <f>Assumtions!K14*K16</f>
        <v>26134.556729080316</v>
      </c>
      <c r="L17" s="292">
        <f>Assumtions!L14*L16</f>
        <v>27711.81750968648</v>
      </c>
    </row>
    <row r="18" spans="1:12" x14ac:dyDescent="0.3">
      <c r="B18" s="229" t="s">
        <v>291</v>
      </c>
      <c r="C18" s="286">
        <f>C16-C17</f>
        <v>40269</v>
      </c>
      <c r="D18" s="286">
        <f t="shared" ref="D18:G18" si="34">D16-D17</f>
        <v>76033</v>
      </c>
      <c r="E18" s="286">
        <f t="shared" si="34"/>
        <v>59972</v>
      </c>
      <c r="F18" s="286">
        <f t="shared" si="34"/>
        <v>73795</v>
      </c>
      <c r="G18" s="286">
        <f t="shared" si="34"/>
        <v>100118</v>
      </c>
      <c r="H18" s="286">
        <f t="shared" ref="H18" si="35">H16-H17</f>
        <v>103322.26154438057</v>
      </c>
      <c r="I18" s="286">
        <f t="shared" ref="I18" si="36">I16-I17</f>
        <v>113721.80194430401</v>
      </c>
      <c r="J18" s="286">
        <f t="shared" ref="J18" si="37">J16-J17</f>
        <v>123362.23261134437</v>
      </c>
      <c r="K18" s="286">
        <f t="shared" ref="K18" si="38">K16-K17</f>
        <v>131544.9916984606</v>
      </c>
      <c r="L18" s="286">
        <f t="shared" ref="L18" si="39">L16-L17</f>
        <v>141959.64827512272</v>
      </c>
    </row>
    <row r="19" spans="1:12" x14ac:dyDescent="0.3">
      <c r="B19" s="26" t="s">
        <v>73</v>
      </c>
      <c r="C19" s="274">
        <f>'RAW Data'!C18</f>
        <v>40269</v>
      </c>
      <c r="D19" s="274">
        <f>'RAW Data'!D18</f>
        <v>76033</v>
      </c>
      <c r="E19" s="274">
        <f>'RAW Data'!E18</f>
        <v>59972</v>
      </c>
      <c r="F19" s="274">
        <f>'RAW Data'!F18</f>
        <v>73795</v>
      </c>
      <c r="G19" s="274">
        <f>'RAW Data'!G18</f>
        <v>100118</v>
      </c>
      <c r="H19" s="325">
        <f>H18</f>
        <v>103322.26154438057</v>
      </c>
      <c r="I19" s="325">
        <f>I18</f>
        <v>113721.80194430401</v>
      </c>
      <c r="J19" s="325">
        <f>J18</f>
        <v>123362.23261134437</v>
      </c>
      <c r="K19" s="325">
        <f>K18</f>
        <v>131544.9916984606</v>
      </c>
      <c r="L19" s="325">
        <f>L18</f>
        <v>141959.64827512272</v>
      </c>
    </row>
    <row r="20" spans="1:12" x14ac:dyDescent="0.3">
      <c r="B20" s="287" t="s">
        <v>74</v>
      </c>
      <c r="C20" s="292" t="s">
        <v>112</v>
      </c>
      <c r="D20" s="292" t="s">
        <v>112</v>
      </c>
      <c r="E20" s="292" t="s">
        <v>112</v>
      </c>
      <c r="F20" s="292" t="s">
        <v>112</v>
      </c>
      <c r="G20" s="292" t="s">
        <v>112</v>
      </c>
      <c r="H20" s="335"/>
      <c r="I20" s="335"/>
      <c r="J20" s="335"/>
      <c r="K20" s="335"/>
      <c r="L20" s="335"/>
    </row>
    <row r="21" spans="1:12" x14ac:dyDescent="0.3">
      <c r="B21" s="229" t="s">
        <v>75</v>
      </c>
      <c r="C21" s="286">
        <f>'RAW Data'!C20</f>
        <v>40269</v>
      </c>
      <c r="D21" s="286">
        <f>'RAW Data'!D20</f>
        <v>76033</v>
      </c>
      <c r="E21" s="286">
        <f>'RAW Data'!E20</f>
        <v>59972</v>
      </c>
      <c r="F21" s="286">
        <f>'RAW Data'!F20</f>
        <v>73795</v>
      </c>
      <c r="G21" s="286">
        <f>'RAW Data'!G20</f>
        <v>100118</v>
      </c>
      <c r="H21" s="393">
        <f>H18</f>
        <v>103322.26154438057</v>
      </c>
      <c r="I21" s="393">
        <f t="shared" ref="I21:L21" si="40">I18</f>
        <v>113721.80194430401</v>
      </c>
      <c r="J21" s="393">
        <f t="shared" si="40"/>
        <v>123362.23261134437</v>
      </c>
      <c r="K21" s="393">
        <f t="shared" si="40"/>
        <v>131544.9916984606</v>
      </c>
      <c r="L21" s="393">
        <f t="shared" si="40"/>
        <v>141959.64827512272</v>
      </c>
    </row>
    <row r="22" spans="1:12" x14ac:dyDescent="0.3">
      <c r="B22" s="26"/>
      <c r="D22" s="328"/>
      <c r="E22" s="328"/>
      <c r="F22" s="328"/>
      <c r="G22" s="328"/>
      <c r="H22" s="328"/>
      <c r="I22" s="328"/>
      <c r="J22" s="328"/>
      <c r="K22" s="328"/>
      <c r="L22" s="328"/>
    </row>
    <row r="23" spans="1:12" x14ac:dyDescent="0.3">
      <c r="B23" s="26"/>
      <c r="D23" s="328"/>
    </row>
    <row r="24" spans="1:12" s="335" customFormat="1" x14ac:dyDescent="0.3">
      <c r="A24"/>
      <c r="B24" s="336" t="s">
        <v>342</v>
      </c>
      <c r="C24" s="334"/>
      <c r="D24" s="334"/>
      <c r="E24" s="334"/>
      <c r="F24" s="334"/>
      <c r="G24" s="334"/>
      <c r="H24" s="334" t="s">
        <v>39</v>
      </c>
      <c r="I24" s="334"/>
      <c r="J24" s="334"/>
      <c r="K24" s="334"/>
      <c r="L24" s="334"/>
    </row>
    <row r="25" spans="1:12" s="335" customFormat="1" x14ac:dyDescent="0.3">
      <c r="A25" t="s">
        <v>341</v>
      </c>
      <c r="B25" s="307" t="s">
        <v>343</v>
      </c>
      <c r="C25" s="341">
        <v>2.93</v>
      </c>
      <c r="D25" s="341">
        <v>5.61</v>
      </c>
      <c r="E25" s="341">
        <v>4.5599999999999996</v>
      </c>
      <c r="F25" s="341">
        <v>5.8</v>
      </c>
      <c r="G25" s="341">
        <v>8.0399999999999991</v>
      </c>
      <c r="H25" s="341"/>
      <c r="I25"/>
      <c r="J25"/>
      <c r="K25"/>
      <c r="L25"/>
    </row>
    <row r="26" spans="1:12" s="335" customFormat="1" x14ac:dyDescent="0.3">
      <c r="A26"/>
      <c r="B26" s="338" t="s">
        <v>344</v>
      </c>
      <c r="C26" s="342" t="s">
        <v>112</v>
      </c>
      <c r="D26" s="343">
        <v>0.91400000000000003</v>
      </c>
      <c r="E26" s="345">
        <v>-0.188</v>
      </c>
      <c r="F26" s="343">
        <v>0.27300000000000002</v>
      </c>
      <c r="G26" s="343">
        <v>0.38700000000000001</v>
      </c>
      <c r="H26" s="341"/>
      <c r="I26"/>
      <c r="J26"/>
      <c r="K26"/>
      <c r="L26"/>
    </row>
    <row r="27" spans="1:12" s="335" customFormat="1" x14ac:dyDescent="0.3">
      <c r="A27"/>
      <c r="B27" s="307" t="s">
        <v>345</v>
      </c>
      <c r="C27" s="344">
        <v>13741</v>
      </c>
      <c r="D27" s="344">
        <v>13553</v>
      </c>
      <c r="E27" s="344">
        <v>13159</v>
      </c>
      <c r="F27" s="344">
        <v>12722</v>
      </c>
      <c r="G27" s="344">
        <v>12447</v>
      </c>
      <c r="H27" s="344"/>
      <c r="I27"/>
      <c r="J27"/>
      <c r="K27"/>
      <c r="L27"/>
    </row>
    <row r="28" spans="1:12" s="335" customFormat="1" x14ac:dyDescent="0.3">
      <c r="A28"/>
      <c r="B28" s="338" t="s">
        <v>344</v>
      </c>
      <c r="C28" s="342" t="s">
        <v>112</v>
      </c>
      <c r="D28" s="345">
        <v>-1.4E-2</v>
      </c>
      <c r="E28" s="345">
        <v>-2.9000000000000001E-2</v>
      </c>
      <c r="F28" s="345">
        <v>-3.3000000000000002E-2</v>
      </c>
      <c r="G28" s="345">
        <v>-2.1999999999999999E-2</v>
      </c>
      <c r="H28" s="341"/>
      <c r="I28"/>
      <c r="J28"/>
      <c r="K28"/>
      <c r="L28"/>
    </row>
    <row r="29" spans="1:12" s="335" customFormat="1" x14ac:dyDescent="0.3">
      <c r="A29"/>
      <c r="B29" s="307" t="s">
        <v>346</v>
      </c>
      <c r="C29" s="344">
        <v>13616</v>
      </c>
      <c r="D29" s="344">
        <v>13353</v>
      </c>
      <c r="E29" s="344">
        <v>13063</v>
      </c>
      <c r="F29" s="344">
        <v>12630</v>
      </c>
      <c r="G29" s="344">
        <v>12319</v>
      </c>
      <c r="H29" s="344"/>
      <c r="I29"/>
      <c r="J29"/>
      <c r="K29"/>
      <c r="L29"/>
    </row>
    <row r="30" spans="1:12" s="335" customFormat="1" x14ac:dyDescent="0.3">
      <c r="A30"/>
      <c r="B30" s="338" t="s">
        <v>344</v>
      </c>
      <c r="C30" s="342" t="s">
        <v>112</v>
      </c>
      <c r="D30" s="345">
        <v>-1.9E-2</v>
      </c>
      <c r="E30" s="345">
        <v>-2.1999999999999999E-2</v>
      </c>
      <c r="F30" s="345">
        <v>-3.3000000000000002E-2</v>
      </c>
      <c r="G30" s="345">
        <v>-2.5000000000000001E-2</v>
      </c>
      <c r="H30" s="341"/>
      <c r="I30"/>
      <c r="J30"/>
      <c r="K30"/>
      <c r="L30"/>
    </row>
    <row r="31" spans="1:12" s="335" customFormat="1" x14ac:dyDescent="0.3">
      <c r="A31"/>
      <c r="B31" s="307" t="s">
        <v>347</v>
      </c>
      <c r="C31" s="341" t="s">
        <v>112</v>
      </c>
      <c r="D31" s="341" t="s">
        <v>112</v>
      </c>
      <c r="E31" s="341" t="s">
        <v>112</v>
      </c>
      <c r="F31" s="341" t="s">
        <v>112</v>
      </c>
      <c r="G31" s="341">
        <v>0.8</v>
      </c>
      <c r="H31" s="341"/>
      <c r="I31"/>
      <c r="J31"/>
      <c r="K31"/>
      <c r="L31"/>
    </row>
    <row r="32" spans="1:12" s="335" customFormat="1" x14ac:dyDescent="0.3">
      <c r="A32"/>
      <c r="B32" s="338" t="s">
        <v>344</v>
      </c>
      <c r="C32" s="341" t="s">
        <v>112</v>
      </c>
      <c r="D32" s="341" t="s">
        <v>112</v>
      </c>
      <c r="E32" s="341" t="s">
        <v>112</v>
      </c>
      <c r="F32" s="341" t="s">
        <v>112</v>
      </c>
      <c r="G32" s="341" t="s">
        <v>112</v>
      </c>
      <c r="H32" s="341"/>
      <c r="I32"/>
      <c r="J32"/>
      <c r="K32"/>
      <c r="L32"/>
    </row>
    <row r="33" spans="1:8" s="335" customFormat="1" x14ac:dyDescent="0.3">
      <c r="A33"/>
      <c r="B33" s="307" t="s">
        <v>348</v>
      </c>
      <c r="C33" s="341" t="s">
        <v>112</v>
      </c>
      <c r="D33" s="341" t="s">
        <v>112</v>
      </c>
      <c r="E33" s="341" t="s">
        <v>112</v>
      </c>
      <c r="F33" s="341" t="s">
        <v>112</v>
      </c>
      <c r="G33" s="343">
        <v>7.3999999999999996E-2</v>
      </c>
      <c r="H33" s="343"/>
    </row>
    <row r="34" spans="1:8" s="335" customFormat="1" x14ac:dyDescent="0.3">
      <c r="A34"/>
      <c r="B34" s="307" t="s">
        <v>349</v>
      </c>
      <c r="C34" s="341">
        <v>2.96</v>
      </c>
      <c r="D34" s="341">
        <v>5.69</v>
      </c>
      <c r="E34" s="341">
        <v>4.59</v>
      </c>
      <c r="F34" s="341">
        <v>5.84</v>
      </c>
      <c r="G34" s="341">
        <v>8.1300000000000008</v>
      </c>
      <c r="H34" s="341"/>
    </row>
    <row r="35" spans="1:8" s="335" customFormat="1" x14ac:dyDescent="0.3">
      <c r="A35"/>
      <c r="B35" s="308" t="s">
        <v>350</v>
      </c>
      <c r="C35" s="346">
        <v>54903</v>
      </c>
      <c r="D35" s="346">
        <v>88987</v>
      </c>
      <c r="E35" s="346">
        <v>88317</v>
      </c>
      <c r="F35" s="346">
        <v>96239</v>
      </c>
      <c r="G35" s="346">
        <v>129497</v>
      </c>
      <c r="H35" s="344"/>
    </row>
    <row r="36" spans="1:8" s="335" customFormat="1" x14ac:dyDescent="0.3">
      <c r="A36"/>
      <c r="B36" s="336" t="s">
        <v>344</v>
      </c>
      <c r="C36" s="347" t="s">
        <v>112</v>
      </c>
      <c r="D36" s="348">
        <v>0.621</v>
      </c>
      <c r="E36" s="349">
        <v>-8.0000000000000002E-3</v>
      </c>
      <c r="F36" s="348">
        <v>0.09</v>
      </c>
      <c r="G36" s="348">
        <v>0.34599999999999997</v>
      </c>
      <c r="H36" s="341"/>
    </row>
    <row r="37" spans="1:8" s="335" customFormat="1" x14ac:dyDescent="0.3">
      <c r="A37"/>
      <c r="B37" s="307" t="s">
        <v>351</v>
      </c>
      <c r="C37" s="344">
        <v>57789</v>
      </c>
      <c r="D37" s="344">
        <v>92412</v>
      </c>
      <c r="E37" s="344">
        <v>92055</v>
      </c>
      <c r="F37" s="344">
        <v>100783</v>
      </c>
      <c r="G37" s="344">
        <v>134226</v>
      </c>
      <c r="H37" s="341"/>
    </row>
    <row r="38" spans="1:8" s="335" customFormat="1" x14ac:dyDescent="0.3">
      <c r="A38"/>
      <c r="B38" s="307" t="s">
        <v>352</v>
      </c>
      <c r="C38" s="343">
        <v>0.16200000000000001</v>
      </c>
      <c r="D38" s="343">
        <v>0.16200000000000001</v>
      </c>
      <c r="E38" s="343">
        <v>0.159</v>
      </c>
      <c r="F38" s="343">
        <v>0.13900000000000001</v>
      </c>
      <c r="G38" s="343">
        <v>0.16400000000000001</v>
      </c>
      <c r="H38" s="343"/>
    </row>
    <row r="39" spans="1:8" s="335" customFormat="1" x14ac:dyDescent="0.3">
      <c r="A39"/>
    </row>
    <row r="40" spans="1:8" s="335" customFormat="1" x14ac:dyDescent="0.3">
      <c r="A40"/>
    </row>
    <row r="41" spans="1:8" s="335" customFormat="1" x14ac:dyDescent="0.3">
      <c r="A41"/>
    </row>
    <row r="42" spans="1:8" s="335" customFormat="1" x14ac:dyDescent="0.3">
      <c r="A42"/>
    </row>
    <row r="43" spans="1:8" s="335" customFormat="1" x14ac:dyDescent="0.3">
      <c r="A43"/>
    </row>
    <row r="44" spans="1:8" s="335" customFormat="1" x14ac:dyDescent="0.3">
      <c r="A44"/>
    </row>
    <row r="45" spans="1:8" s="335" customFormat="1" x14ac:dyDescent="0.3">
      <c r="A45"/>
    </row>
    <row r="46" spans="1:8" s="335" customFormat="1" x14ac:dyDescent="0.3">
      <c r="A46"/>
    </row>
    <row r="47" spans="1:8" s="335" customFormat="1" x14ac:dyDescent="0.3">
      <c r="A47"/>
    </row>
  </sheetData>
  <hyperlinks>
    <hyperlink ref="C36" r:id="rId1" display="https://app.tikr.com/account/upgrade?ref=51qasz" xr:uid="{D4983986-D382-4441-835C-91E7B43921D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489B-0F50-4B9E-ABF9-C8058C7B61A0}">
  <dimension ref="A1:V50"/>
  <sheetViews>
    <sheetView showGridLines="0" topLeftCell="A33" workbookViewId="0">
      <selection activeCell="M56" sqref="M5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" bestFit="1" customWidth="1"/>
    <col min="8" max="8" width="12.77734375" style="364" bestFit="1" customWidth="1"/>
    <col min="9" max="12" width="10.5546875" style="364" bestFit="1" customWidth="1"/>
    <col min="13" max="15" width="8.88671875" style="364"/>
    <col min="16" max="16" width="9.77734375" style="364" customWidth="1"/>
    <col min="17" max="16384" width="8.88671875" style="364"/>
  </cols>
  <sheetData>
    <row r="1" spans="1:22" customFormat="1" x14ac:dyDescent="0.3">
      <c r="B1" s="78" t="s">
        <v>296</v>
      </c>
    </row>
    <row r="2" spans="1:22" customFormat="1" x14ac:dyDescent="0.3">
      <c r="A2" t="s">
        <v>115</v>
      </c>
      <c r="B2" s="233" t="s">
        <v>297</v>
      </c>
      <c r="C2" s="416">
        <f t="shared" ref="C2:E2" si="0">D2-1</f>
        <v>2020</v>
      </c>
      <c r="D2" s="416">
        <f t="shared" si="0"/>
        <v>2021</v>
      </c>
      <c r="E2" s="416">
        <f>F2-1</f>
        <v>2022</v>
      </c>
      <c r="F2" s="417">
        <v>2023</v>
      </c>
      <c r="G2" s="417">
        <f>F2+1</f>
        <v>2024</v>
      </c>
      <c r="H2" s="418">
        <v>2025</v>
      </c>
      <c r="I2" s="418">
        <f>H2+1</f>
        <v>2026</v>
      </c>
      <c r="J2" s="418">
        <f t="shared" ref="J2:L2" si="1">I2+1</f>
        <v>2027</v>
      </c>
      <c r="K2" s="418">
        <f t="shared" si="1"/>
        <v>2028</v>
      </c>
      <c r="L2" s="418">
        <f t="shared" si="1"/>
        <v>2029</v>
      </c>
    </row>
    <row r="3" spans="1:22" customFormat="1" x14ac:dyDescent="0.3">
      <c r="B3" s="410" t="s">
        <v>264</v>
      </c>
      <c r="C3" s="281"/>
      <c r="D3" s="281"/>
      <c r="E3" s="413"/>
      <c r="F3" s="413"/>
      <c r="G3" s="413"/>
      <c r="H3" s="413"/>
      <c r="I3" s="413"/>
    </row>
    <row r="4" spans="1:22" x14ac:dyDescent="0.3">
      <c r="B4" s="307" t="s">
        <v>299</v>
      </c>
      <c r="C4" s="401">
        <f>'RAW Data'!C35</f>
        <v>26465</v>
      </c>
      <c r="D4" s="401">
        <f>'RAW Data'!D35</f>
        <v>20945</v>
      </c>
      <c r="E4" s="401">
        <f>'RAW Data'!E35</f>
        <v>21879</v>
      </c>
      <c r="F4" s="401">
        <f>'RAW Data'!F35</f>
        <v>24048</v>
      </c>
      <c r="G4" s="401">
        <f>'RAW Data'!G35</f>
        <v>23466</v>
      </c>
      <c r="H4" s="450">
        <f>G4+Sheet5!H40</f>
        <v>30702.817484093452</v>
      </c>
      <c r="I4" s="450">
        <f>H4+Sheet5!I40</f>
        <v>40745.625767988466</v>
      </c>
      <c r="J4" s="450">
        <f>I4+Sheet5!J40</f>
        <v>47848.249573292225</v>
      </c>
      <c r="K4" s="450">
        <f>J4+Sheet5!K40</f>
        <v>58912.163054259436</v>
      </c>
      <c r="L4" s="450">
        <f>K4+Sheet5!L40</f>
        <v>70900.69856095899</v>
      </c>
    </row>
    <row r="5" spans="1:22" x14ac:dyDescent="0.3">
      <c r="B5" s="307" t="s">
        <v>300</v>
      </c>
      <c r="C5" s="401">
        <f>'RAW Data'!C36</f>
        <v>110229</v>
      </c>
      <c r="D5" s="401">
        <f>'RAW Data'!D36</f>
        <v>118704</v>
      </c>
      <c r="E5" s="401">
        <f>'RAW Data'!E36</f>
        <v>91883</v>
      </c>
      <c r="F5" s="401">
        <f>'RAW Data'!F36</f>
        <v>86868</v>
      </c>
      <c r="G5" s="401">
        <v>72191</v>
      </c>
      <c r="H5" s="364">
        <v>72191</v>
      </c>
      <c r="I5" s="364">
        <v>72191</v>
      </c>
      <c r="J5" s="364">
        <v>72191</v>
      </c>
      <c r="K5" s="364">
        <v>72191</v>
      </c>
      <c r="L5" s="364">
        <v>72191</v>
      </c>
      <c r="P5" s="404"/>
      <c r="Q5" s="404"/>
      <c r="R5" s="404"/>
      <c r="S5" s="404"/>
      <c r="T5" s="404"/>
      <c r="U5" s="404"/>
      <c r="V5" s="404"/>
    </row>
    <row r="6" spans="1:22" x14ac:dyDescent="0.3">
      <c r="B6" s="308" t="s">
        <v>301</v>
      </c>
      <c r="C6" s="423">
        <f>'RAW Data'!C37</f>
        <v>136694</v>
      </c>
      <c r="D6" s="423">
        <f>'RAW Data'!D37</f>
        <v>139649</v>
      </c>
      <c r="E6" s="423">
        <f>'RAW Data'!E37</f>
        <v>113762</v>
      </c>
      <c r="F6" s="423">
        <f>'RAW Data'!F37</f>
        <v>110916</v>
      </c>
      <c r="G6" s="423">
        <f>'RAW Data'!G37</f>
        <v>95657</v>
      </c>
      <c r="H6" s="411">
        <f>H5+H4</f>
        <v>102893.81748409345</v>
      </c>
      <c r="I6" s="411">
        <f t="shared" ref="I6:L6" si="2">I5+I4</f>
        <v>112936.62576798847</v>
      </c>
      <c r="J6" s="411">
        <f t="shared" si="2"/>
        <v>120039.24957329223</v>
      </c>
      <c r="K6" s="411">
        <f t="shared" si="2"/>
        <v>131103.16305425944</v>
      </c>
      <c r="L6" s="411">
        <f t="shared" si="2"/>
        <v>143091.69856095899</v>
      </c>
      <c r="V6" s="405"/>
    </row>
    <row r="7" spans="1:22" x14ac:dyDescent="0.3">
      <c r="B7" s="307" t="s">
        <v>302</v>
      </c>
      <c r="C7" s="401">
        <f>'RAW Data'!C38</f>
        <v>30930</v>
      </c>
      <c r="D7" s="401">
        <f>'RAW Data'!D38</f>
        <v>39304</v>
      </c>
      <c r="E7" s="401">
        <f>'RAW Data'!E38</f>
        <v>40258</v>
      </c>
      <c r="F7" s="401">
        <f>'RAW Data'!F38</f>
        <v>47964</v>
      </c>
      <c r="G7" s="401">
        <f>'RAW Data'!G38</f>
        <v>52340</v>
      </c>
      <c r="H7" s="376">
        <f>Assumtions!V4</f>
        <v>60901.839516457279</v>
      </c>
      <c r="I7" s="376">
        <f>Assumtions!W4</f>
        <v>66316.767022531785</v>
      </c>
      <c r="J7" s="376">
        <f>Assumtions!X4</f>
        <v>74541.715856914525</v>
      </c>
      <c r="K7" s="376">
        <f>Assumtions!Y4</f>
        <v>84581.343694117895</v>
      </c>
      <c r="L7" s="376">
        <f>Assumtions!Z4</f>
        <v>94348.455580585651</v>
      </c>
      <c r="V7" s="406"/>
    </row>
    <row r="8" spans="1:22" x14ac:dyDescent="0.3">
      <c r="B8" s="307" t="s">
        <v>303</v>
      </c>
      <c r="C8" s="401">
        <f>'RAW Data'!C39</f>
        <v>454</v>
      </c>
      <c r="D8" s="401" t="str">
        <f>'RAW Data'!D39</f>
        <v>--</v>
      </c>
      <c r="E8" s="401" t="str">
        <f>'RAW Data'!E39</f>
        <v>--</v>
      </c>
      <c r="F8" s="401" t="str">
        <f>'RAW Data'!F39</f>
        <v>--</v>
      </c>
      <c r="G8" s="401" t="str">
        <f>'RAW Data'!G39</f>
        <v>--</v>
      </c>
      <c r="H8" s="376"/>
      <c r="I8" s="376"/>
      <c r="J8" s="376"/>
      <c r="K8" s="376"/>
      <c r="L8" s="376"/>
      <c r="V8" s="407"/>
    </row>
    <row r="9" spans="1:22" x14ac:dyDescent="0.3">
      <c r="B9" s="308" t="s">
        <v>305</v>
      </c>
      <c r="C9" s="423">
        <f>'RAW Data'!C41</f>
        <v>31384</v>
      </c>
      <c r="D9" s="423">
        <f>'RAW Data'!D41</f>
        <v>39304</v>
      </c>
      <c r="E9" s="423">
        <f>'RAW Data'!E41</f>
        <v>40258</v>
      </c>
      <c r="F9" s="423">
        <f>'RAW Data'!F41</f>
        <v>47964</v>
      </c>
      <c r="G9" s="423">
        <f>'RAW Data'!G41</f>
        <v>52340</v>
      </c>
      <c r="H9" s="429">
        <v>60901.839516457279</v>
      </c>
      <c r="I9" s="429">
        <v>66316.767022531785</v>
      </c>
      <c r="J9" s="429">
        <v>74541.715856914525</v>
      </c>
      <c r="K9" s="429">
        <v>84581.343694117895</v>
      </c>
      <c r="L9" s="429">
        <v>94348.455580585651</v>
      </c>
      <c r="V9" s="406"/>
    </row>
    <row r="10" spans="1:22" x14ac:dyDescent="0.3">
      <c r="B10" s="307" t="s">
        <v>267</v>
      </c>
      <c r="C10" s="401">
        <f>'RAW Data'!C42</f>
        <v>728</v>
      </c>
      <c r="D10" s="401">
        <f>'RAW Data'!D42</f>
        <v>1170</v>
      </c>
      <c r="E10" s="401" t="str">
        <f>'RAW Data'!E42</f>
        <v>--</v>
      </c>
      <c r="F10" s="401" t="str">
        <f>'RAW Data'!F42</f>
        <v>--</v>
      </c>
      <c r="G10" s="401" t="str">
        <f>'RAW Data'!G42</f>
        <v>--</v>
      </c>
      <c r="H10" s="377"/>
      <c r="I10" s="377"/>
      <c r="V10" s="406"/>
    </row>
    <row r="11" spans="1:22" x14ac:dyDescent="0.3">
      <c r="B11" s="307" t="s">
        <v>269</v>
      </c>
      <c r="C11" s="401">
        <f>'RAW Data'!C46</f>
        <v>5490</v>
      </c>
      <c r="D11" s="401">
        <f>'RAW Data'!D46</f>
        <v>8020</v>
      </c>
      <c r="E11" s="401">
        <f>'RAW Data'!E46</f>
        <v>10775</v>
      </c>
      <c r="F11" s="401">
        <f>'RAW Data'!F46</f>
        <v>12650</v>
      </c>
      <c r="G11" s="401">
        <f>'RAW Data'!G46</f>
        <v>15714</v>
      </c>
      <c r="H11" s="419">
        <f>G11*(1+Assumtions!H5)</f>
        <v>17699.149892062695</v>
      </c>
      <c r="I11" s="419">
        <f>H11*(1+Assumtions!I5)</f>
        <v>19718.581030404152</v>
      </c>
      <c r="J11" s="419">
        <f>I11*(1+Assumtions!J5)</f>
        <v>22210.287218094021</v>
      </c>
      <c r="K11" s="419">
        <f>J11*(1+Assumtions!K5)</f>
        <v>24925.798472672377</v>
      </c>
      <c r="L11" s="419">
        <f>K11*(1+Assumtions!L5)</f>
        <v>27939.532461613493</v>
      </c>
      <c r="V11" s="408"/>
    </row>
    <row r="12" spans="1:22" x14ac:dyDescent="0.3">
      <c r="B12" s="308" t="s">
        <v>270</v>
      </c>
      <c r="C12" s="423">
        <f>'RAW Data'!C47</f>
        <v>174296</v>
      </c>
      <c r="D12" s="423">
        <f>'RAW Data'!D47</f>
        <v>188143</v>
      </c>
      <c r="E12" s="423">
        <f>'RAW Data'!E47</f>
        <v>164795</v>
      </c>
      <c r="F12" s="423">
        <f>'RAW Data'!F47</f>
        <v>171530</v>
      </c>
      <c r="G12" s="423">
        <f>'RAW Data'!G47</f>
        <v>163711</v>
      </c>
      <c r="H12" s="429">
        <f>H6+H9+H11</f>
        <v>181494.80689261344</v>
      </c>
      <c r="I12" s="429">
        <f t="shared" ref="I12:L12" si="3">I6+I9+I11</f>
        <v>198971.97382092441</v>
      </c>
      <c r="J12" s="429">
        <f t="shared" si="3"/>
        <v>216791.25264830075</v>
      </c>
      <c r="K12" s="429">
        <f t="shared" si="3"/>
        <v>240610.30522104973</v>
      </c>
      <c r="L12" s="429">
        <f t="shared" si="3"/>
        <v>265379.68660315813</v>
      </c>
      <c r="V12" s="406"/>
    </row>
    <row r="13" spans="1:22" x14ac:dyDescent="0.3">
      <c r="B13" s="307" t="s">
        <v>309</v>
      </c>
      <c r="C13" s="430">
        <f>'RAW Data'!C48</f>
        <v>138673</v>
      </c>
      <c r="D13" s="430">
        <f>'RAW Data'!D48</f>
        <v>159972</v>
      </c>
      <c r="E13" s="430">
        <f>'RAW Data'!E48</f>
        <v>186091</v>
      </c>
      <c r="F13" s="430">
        <f>'RAW Data'!F48</f>
        <v>215894</v>
      </c>
      <c r="G13" s="430">
        <f>'RAW Data'!G48</f>
        <v>264014</v>
      </c>
      <c r="H13" s="431">
        <f>G13*(1-Assumtions!V11)</f>
        <v>296252.63296219066</v>
      </c>
      <c r="I13" s="431">
        <f>H13*(1-Assumtions!W11)</f>
        <v>333493.49549825926</v>
      </c>
      <c r="J13" s="431">
        <f>I13*(1-Assumtions!X11)</f>
        <v>377726.76934190845</v>
      </c>
      <c r="K13" s="431">
        <f>J13*(1-Assumtions!Y11)</f>
        <v>425629.0817554433</v>
      </c>
      <c r="L13" s="431">
        <f>K13*(1-Assumtions!Z11)</f>
        <v>480274.16508262098</v>
      </c>
      <c r="V13" s="408"/>
    </row>
    <row r="14" spans="1:22" x14ac:dyDescent="0.3">
      <c r="B14" s="307" t="s">
        <v>310</v>
      </c>
      <c r="C14" s="401">
        <f>'RAW Data'!C49</f>
        <v>-41713</v>
      </c>
      <c r="D14" s="401">
        <f>'RAW Data'!D49</f>
        <v>-49414</v>
      </c>
      <c r="E14" s="401">
        <f>'RAW Data'!E49</f>
        <v>-59042</v>
      </c>
      <c r="F14" s="401">
        <f>'RAW Data'!F49</f>
        <v>-67458</v>
      </c>
      <c r="G14" s="401">
        <f>'RAW Data'!G49</f>
        <v>-79390</v>
      </c>
      <c r="H14" s="415">
        <f>Assumtions!V10*Assumtions!H4</f>
        <v>-86077.192036332432</v>
      </c>
      <c r="I14" s="415">
        <f>Assumtions!W10*Assumtions!I4</f>
        <v>-97302.342472555421</v>
      </c>
      <c r="J14" s="415">
        <f>Assumtions!X10*Assumtions!J4</f>
        <v>-109941.55455369437</v>
      </c>
      <c r="K14" s="415">
        <f>Assumtions!Y10*Assumtions!K4</f>
        <v>-122534.65368156521</v>
      </c>
      <c r="L14" s="415">
        <f>Assumtions!Z10*Assumtions!L4</f>
        <v>-137840.20955230002</v>
      </c>
      <c r="V14" s="408"/>
    </row>
    <row r="15" spans="1:22" x14ac:dyDescent="0.3">
      <c r="B15" s="308" t="s">
        <v>311</v>
      </c>
      <c r="C15" s="423">
        <f>'RAW Data'!C50</f>
        <v>96960</v>
      </c>
      <c r="D15" s="423">
        <f>'RAW Data'!D50</f>
        <v>110558</v>
      </c>
      <c r="E15" s="423">
        <f>'RAW Data'!E50</f>
        <v>127049</v>
      </c>
      <c r="F15" s="423">
        <f>'RAW Data'!F50</f>
        <v>148436</v>
      </c>
      <c r="G15" s="423">
        <f>'RAW Data'!G50</f>
        <v>184624</v>
      </c>
      <c r="H15" s="428">
        <f>H13+H14</f>
        <v>210175.44092585822</v>
      </c>
      <c r="I15" s="428">
        <f t="shared" ref="I15:L15" si="4">I13+I14</f>
        <v>236191.15302570385</v>
      </c>
      <c r="J15" s="428">
        <f t="shared" si="4"/>
        <v>267785.21478821407</v>
      </c>
      <c r="K15" s="428">
        <f t="shared" si="4"/>
        <v>303094.42807387811</v>
      </c>
      <c r="L15" s="428">
        <f t="shared" si="4"/>
        <v>342433.95553032099</v>
      </c>
      <c r="V15" s="408"/>
    </row>
    <row r="16" spans="1:22" x14ac:dyDescent="0.3">
      <c r="B16" s="307" t="s">
        <v>312</v>
      </c>
      <c r="C16" s="401">
        <f>'RAW Data'!C51</f>
        <v>20703</v>
      </c>
      <c r="D16" s="401">
        <f>'RAW Data'!D51</f>
        <v>29549</v>
      </c>
      <c r="E16" s="401">
        <f>'RAW Data'!E51</f>
        <v>30492</v>
      </c>
      <c r="F16" s="401">
        <f>'RAW Data'!F51</f>
        <v>31929</v>
      </c>
      <c r="G16" s="401">
        <v>40882</v>
      </c>
      <c r="H16" s="364">
        <v>40882</v>
      </c>
      <c r="I16" s="364">
        <v>40882</v>
      </c>
      <c r="J16" s="364">
        <v>40882</v>
      </c>
      <c r="K16" s="364">
        <v>40882</v>
      </c>
      <c r="L16" s="364">
        <v>40882</v>
      </c>
      <c r="V16" s="408"/>
    </row>
    <row r="17" spans="2:22" x14ac:dyDescent="0.3">
      <c r="B17" s="307" t="s">
        <v>313</v>
      </c>
      <c r="C17" s="401">
        <f>'RAW Data'!C52</f>
        <v>21175</v>
      </c>
      <c r="D17" s="401">
        <f>'RAW Data'!D52</f>
        <v>22956</v>
      </c>
      <c r="E17" s="401">
        <f>'RAW Data'!E52</f>
        <v>28960</v>
      </c>
      <c r="F17" s="401">
        <f>'RAW Data'!F52</f>
        <v>29198</v>
      </c>
      <c r="G17" s="401">
        <v>31885</v>
      </c>
      <c r="H17" s="364">
        <v>31885</v>
      </c>
      <c r="I17" s="364">
        <v>31885</v>
      </c>
      <c r="J17" s="364">
        <v>31885</v>
      </c>
      <c r="K17" s="364">
        <v>31885</v>
      </c>
      <c r="L17" s="364">
        <v>31885</v>
      </c>
      <c r="V17" s="406"/>
    </row>
    <row r="18" spans="2:22" x14ac:dyDescent="0.3">
      <c r="B18" s="307" t="s">
        <v>314</v>
      </c>
      <c r="C18" s="401">
        <f>'RAW Data'!C53</f>
        <v>1445</v>
      </c>
      <c r="D18" s="401">
        <f>'RAW Data'!D53</f>
        <v>1417</v>
      </c>
      <c r="E18" s="401" t="str">
        <f>'RAW Data'!E53</f>
        <v>--</v>
      </c>
      <c r="F18" s="401" t="str">
        <f>'RAW Data'!F53</f>
        <v>--</v>
      </c>
      <c r="G18" s="401" t="str">
        <f>'RAW Data'!G53</f>
        <v>--</v>
      </c>
      <c r="V18" s="408"/>
    </row>
    <row r="19" spans="2:22" x14ac:dyDescent="0.3">
      <c r="B19" s="307" t="s">
        <v>315</v>
      </c>
      <c r="C19" s="401" t="str">
        <f>'RAW Data'!C54</f>
        <v>--</v>
      </c>
      <c r="D19" s="401" t="str">
        <f>'RAW Data'!D54</f>
        <v>--</v>
      </c>
      <c r="E19" s="401" t="str">
        <f>'RAW Data'!E54</f>
        <v>--</v>
      </c>
      <c r="F19" s="401" t="str">
        <f>'RAW Data'!F54</f>
        <v>--</v>
      </c>
      <c r="G19" s="401" t="str">
        <f>'RAW Data'!G54</f>
        <v>--</v>
      </c>
      <c r="V19" s="408"/>
    </row>
    <row r="20" spans="2:22" x14ac:dyDescent="0.3">
      <c r="B20" s="307" t="s">
        <v>316</v>
      </c>
      <c r="C20" s="401">
        <f>'RAW Data'!C55</f>
        <v>1084</v>
      </c>
      <c r="D20" s="401">
        <f>'RAW Data'!D55</f>
        <v>1284</v>
      </c>
      <c r="E20" s="401">
        <f>'RAW Data'!E55</f>
        <v>5261</v>
      </c>
      <c r="F20" s="401">
        <f>'RAW Data'!F55</f>
        <v>12169</v>
      </c>
      <c r="G20" s="401">
        <f>'RAW Data'!G55</f>
        <v>17180</v>
      </c>
      <c r="H20" s="364">
        <v>17180</v>
      </c>
      <c r="I20" s="364">
        <v>17180</v>
      </c>
      <c r="J20" s="364">
        <v>17180</v>
      </c>
      <c r="K20" s="364">
        <v>17180</v>
      </c>
      <c r="L20" s="364">
        <v>17180</v>
      </c>
      <c r="V20" s="408"/>
    </row>
    <row r="21" spans="2:22" x14ac:dyDescent="0.3">
      <c r="B21" s="313" t="s">
        <v>273</v>
      </c>
      <c r="C21" s="318">
        <f>'RAW Data'!C56</f>
        <v>3953</v>
      </c>
      <c r="D21" s="318">
        <f>'RAW Data'!D56</f>
        <v>5361</v>
      </c>
      <c r="E21" s="318">
        <f>'RAW Data'!E56</f>
        <v>8707</v>
      </c>
      <c r="F21" s="318">
        <f>'RAW Data'!F56</f>
        <v>9130</v>
      </c>
      <c r="G21" s="318">
        <f>'RAW Data'!G56</f>
        <v>11974</v>
      </c>
      <c r="H21" s="432">
        <f>G21*(1+Assumtions!H5)</f>
        <v>13486.675627310597</v>
      </c>
      <c r="I21" s="432">
        <f>H21*(1+Assumtions!I5)</f>
        <v>15025.47341593861</v>
      </c>
      <c r="J21" s="432">
        <f>I21*(1+Assumtions!J5)</f>
        <v>16924.142748470014</v>
      </c>
      <c r="K21" s="432">
        <f>J21*(1+Assumtions!K5)</f>
        <v>18993.350573487274</v>
      </c>
      <c r="L21" s="432">
        <f>K21*(1+Assumtions!L5)</f>
        <v>21289.80283157439</v>
      </c>
      <c r="V21" s="406"/>
    </row>
    <row r="22" spans="2:22" x14ac:dyDescent="0.3">
      <c r="B22" s="312" t="s">
        <v>276</v>
      </c>
      <c r="C22" s="423">
        <f>'RAW Data'!C57</f>
        <v>319616</v>
      </c>
      <c r="D22" s="423">
        <f>'RAW Data'!D57</f>
        <v>359268</v>
      </c>
      <c r="E22" s="423">
        <f>'RAW Data'!E57</f>
        <v>365264</v>
      </c>
      <c r="F22" s="423">
        <f>'RAW Data'!F57</f>
        <v>402392</v>
      </c>
      <c r="G22" s="423">
        <f>'RAW Data'!G57</f>
        <v>450256</v>
      </c>
      <c r="H22" s="428">
        <f>H12+H15+H16+H17+H20+H21</f>
        <v>495103.92344578222</v>
      </c>
      <c r="I22" s="428">
        <f t="shared" ref="I22:L22" si="5">I12+I15+I16+I17+I20+I21</f>
        <v>540135.60026256682</v>
      </c>
      <c r="J22" s="428">
        <f t="shared" si="5"/>
        <v>591447.61018498486</v>
      </c>
      <c r="K22" s="428">
        <f t="shared" si="5"/>
        <v>652645.08386841509</v>
      </c>
      <c r="L22" s="428">
        <f t="shared" si="5"/>
        <v>719050.44496505347</v>
      </c>
      <c r="V22" s="406"/>
    </row>
    <row r="23" spans="2:22" x14ac:dyDescent="0.3">
      <c r="B23" s="312"/>
      <c r="C23" s="401"/>
      <c r="D23" s="401"/>
      <c r="E23" s="401"/>
      <c r="F23" s="401"/>
      <c r="G23" s="401"/>
      <c r="V23" s="406"/>
    </row>
    <row r="24" spans="2:22" x14ac:dyDescent="0.3">
      <c r="B24" s="315" t="s">
        <v>288</v>
      </c>
      <c r="C24" s="401"/>
      <c r="D24" s="401"/>
      <c r="E24" s="401"/>
      <c r="F24" s="401"/>
      <c r="G24" s="401"/>
      <c r="V24" s="406"/>
    </row>
    <row r="25" spans="2:22" x14ac:dyDescent="0.3">
      <c r="B25" s="307" t="s">
        <v>317</v>
      </c>
      <c r="C25" s="401">
        <f>'RAW Data'!C58</f>
        <v>5589</v>
      </c>
      <c r="D25" s="401">
        <f>'RAW Data'!D58</f>
        <v>6037</v>
      </c>
      <c r="E25" s="401">
        <f>'RAW Data'!E58</f>
        <v>5128</v>
      </c>
      <c r="F25" s="401">
        <f>'RAW Data'!F58</f>
        <v>7493</v>
      </c>
      <c r="G25" s="401">
        <f>'RAW Data'!G58</f>
        <v>7987</v>
      </c>
      <c r="H25" s="414">
        <f>Assumtions!V6</f>
        <v>9271.9885112727588</v>
      </c>
      <c r="I25" s="414">
        <f>Assumtions!W6</f>
        <v>9785.7271443830286</v>
      </c>
      <c r="J25" s="414">
        <f>Assumtions!X6</f>
        <v>10873.806329234982</v>
      </c>
      <c r="K25" s="414">
        <f>Assumtions!Y6</f>
        <v>12802.889682873052</v>
      </c>
      <c r="L25" s="414">
        <f>Assumtions!Z6</f>
        <v>14180.001458557248</v>
      </c>
      <c r="V25" s="406"/>
    </row>
    <row r="26" spans="2:22" x14ac:dyDescent="0.3">
      <c r="B26" s="307" t="s">
        <v>318</v>
      </c>
      <c r="C26" s="401">
        <f>'RAW Data'!C59</f>
        <v>20445</v>
      </c>
      <c r="D26" s="401">
        <f>'RAW Data'!D59</f>
        <v>27912</v>
      </c>
      <c r="E26" s="401">
        <f>'RAW Data'!E59</f>
        <v>31743</v>
      </c>
      <c r="F26" s="401">
        <f>'RAW Data'!F59</f>
        <v>36142</v>
      </c>
      <c r="G26" s="401">
        <f>'RAW Data'!G59</f>
        <v>41541</v>
      </c>
      <c r="H26" s="420">
        <f>Assumtions!H11*('Balance Sheet'!G26/Assumtions!G11)</f>
        <v>50339.702514831937</v>
      </c>
      <c r="I26" s="420">
        <f>Assumtions!I11*('Balance Sheet'!H26/Assumtions!H11)</f>
        <v>55518.93919133133</v>
      </c>
      <c r="J26" s="420">
        <f>Assumtions!J11*('Balance Sheet'!I26/Assumtions!I11)</f>
        <v>61473.029310020276</v>
      </c>
      <c r="K26" s="420">
        <f>Assumtions!K11*('Balance Sheet'!J26/Assumtions!J11)</f>
        <v>70020.930236480213</v>
      </c>
      <c r="L26" s="420">
        <f>Assumtions!L11*('Balance Sheet'!K26/Assumtions!K11)</f>
        <v>78160.958084069018</v>
      </c>
      <c r="V26" s="406"/>
    </row>
    <row r="27" spans="2:22" x14ac:dyDescent="0.3">
      <c r="B27" s="307" t="s">
        <v>319</v>
      </c>
      <c r="C27" s="401" t="str">
        <f>'RAW Data'!C60</f>
        <v>--</v>
      </c>
      <c r="D27" s="401" t="str">
        <f>'RAW Data'!D60</f>
        <v>--</v>
      </c>
      <c r="E27" s="401" t="str">
        <f>'RAW Data'!E60</f>
        <v>--</v>
      </c>
      <c r="F27" s="401" t="str">
        <f>'RAW Data'!F60</f>
        <v>--</v>
      </c>
      <c r="G27" s="401" t="str">
        <f>'RAW Data'!G60</f>
        <v>--</v>
      </c>
      <c r="V27" s="408"/>
    </row>
    <row r="28" spans="2:22" x14ac:dyDescent="0.3">
      <c r="B28" s="307" t="s">
        <v>320</v>
      </c>
      <c r="C28" s="401">
        <f>'RAW Data'!C61</f>
        <v>999</v>
      </c>
      <c r="D28" s="401" t="str">
        <f>'RAW Data'!D61</f>
        <v>--</v>
      </c>
      <c r="E28" s="401" t="str">
        <f>'RAW Data'!E61</f>
        <v>--</v>
      </c>
      <c r="F28" s="401">
        <f>'RAW Data'!F61</f>
        <v>1000</v>
      </c>
      <c r="G28" s="401">
        <v>999</v>
      </c>
      <c r="H28" s="364">
        <v>999</v>
      </c>
      <c r="I28" s="364">
        <v>999</v>
      </c>
      <c r="J28" s="364">
        <v>999</v>
      </c>
      <c r="K28" s="364">
        <v>999</v>
      </c>
      <c r="L28" s="364">
        <v>999</v>
      </c>
      <c r="V28" s="403"/>
    </row>
    <row r="29" spans="2:22" x14ac:dyDescent="0.3">
      <c r="B29" s="307" t="s">
        <v>321</v>
      </c>
      <c r="C29" s="401">
        <f>'RAW Data'!C62</f>
        <v>1795</v>
      </c>
      <c r="D29" s="401">
        <f>'RAW Data'!D62</f>
        <v>2302</v>
      </c>
      <c r="E29" s="401">
        <f>'RAW Data'!E62</f>
        <v>2775</v>
      </c>
      <c r="F29" s="401">
        <f>'RAW Data'!F62</f>
        <v>3074</v>
      </c>
      <c r="G29" s="401">
        <v>3122</v>
      </c>
      <c r="H29" s="364">
        <v>3122</v>
      </c>
      <c r="I29" s="364">
        <v>3122</v>
      </c>
      <c r="J29" s="364">
        <v>3122</v>
      </c>
      <c r="K29" s="364">
        <v>3122</v>
      </c>
      <c r="L29" s="364">
        <v>3122</v>
      </c>
      <c r="V29" s="408"/>
    </row>
    <row r="30" spans="2:22" x14ac:dyDescent="0.3">
      <c r="B30" s="307" t="s">
        <v>322</v>
      </c>
      <c r="C30" s="401">
        <f>'RAW Data'!C63</f>
        <v>1485</v>
      </c>
      <c r="D30" s="401" t="str">
        <f>'RAW Data'!D63</f>
        <v>--</v>
      </c>
      <c r="E30" s="401">
        <f>'RAW Data'!E63</f>
        <v>1632</v>
      </c>
      <c r="F30" s="401">
        <f>'RAW Data'!F63</f>
        <v>2748</v>
      </c>
      <c r="G30" s="401">
        <f>'RAW Data'!G63</f>
        <v>2905</v>
      </c>
      <c r="H30" s="420">
        <f>'Income Statement'!H17*('Balance Sheet'!G30/'Income Statement'!G17)</f>
        <v>3187.7228017188104</v>
      </c>
      <c r="I30" s="420">
        <f>'Income Statement'!I17*('Balance Sheet'!H30/'Income Statement'!H17)</f>
        <v>3166.8571447952231</v>
      </c>
      <c r="J30" s="420">
        <f>'Income Statement'!J17*('Balance Sheet'!I30/'Income Statement'!I17)</f>
        <v>3605.8568323254844</v>
      </c>
      <c r="K30" s="420">
        <f>'Income Statement'!K17*('Balance Sheet'!J30/'Income Statement'!J17)</f>
        <v>3854.4391175294877</v>
      </c>
      <c r="L30" s="420">
        <f>'Income Statement'!L17*('Balance Sheet'!K30/'Income Statement'!K17)</f>
        <v>4087.0604592394384</v>
      </c>
      <c r="V30" s="406"/>
    </row>
    <row r="31" spans="2:22" x14ac:dyDescent="0.3">
      <c r="B31" s="307" t="s">
        <v>323</v>
      </c>
      <c r="C31" s="401">
        <f>'RAW Data'!C64</f>
        <v>2543</v>
      </c>
      <c r="D31" s="401">
        <f>'RAW Data'!D64</f>
        <v>3288</v>
      </c>
      <c r="E31" s="401">
        <f>'RAW Data'!E64</f>
        <v>3908</v>
      </c>
      <c r="F31" s="401">
        <f>'RAW Data'!F64</f>
        <v>4137</v>
      </c>
      <c r="G31" s="401">
        <f>'RAW Data'!G64</f>
        <v>5036</v>
      </c>
      <c r="H31" s="420">
        <f>Assumtions!H4*('Balance Sheet'!G31/Assumtions!G4)</f>
        <v>5672.1979671902591</v>
      </c>
      <c r="I31" s="420">
        <f>Assumtions!I4*('Balance Sheet'!H31/Assumtions!H4)</f>
        <v>6319.3823386225849</v>
      </c>
      <c r="J31" s="420">
        <f>Assumtions!J4*('Balance Sheet'!I31/Assumtions!I4)</f>
        <v>7117.920735033822</v>
      </c>
      <c r="K31" s="420">
        <f>Assumtions!K4*('Balance Sheet'!J31/Assumtions!J4)</f>
        <v>7988.183855694162</v>
      </c>
      <c r="L31" s="420">
        <f>Assumtions!L4*('Balance Sheet'!K31/Assumtions!K4)</f>
        <v>8954.0209670793902</v>
      </c>
      <c r="V31" s="406"/>
    </row>
    <row r="32" spans="2:22" x14ac:dyDescent="0.3">
      <c r="B32" s="307" t="s">
        <v>324</v>
      </c>
      <c r="C32" s="401">
        <f>'RAW Data'!C65</f>
        <v>23978</v>
      </c>
      <c r="D32" s="401">
        <f>'RAW Data'!D65</f>
        <v>24715</v>
      </c>
      <c r="E32" s="401">
        <f>'RAW Data'!E65</f>
        <v>24114</v>
      </c>
      <c r="F32" s="401">
        <f>'RAW Data'!F65</f>
        <v>27220</v>
      </c>
      <c r="G32" s="401">
        <f>'RAW Data'!G65</f>
        <v>27532</v>
      </c>
      <c r="H32" s="420">
        <f>'RAW Data'!H66*Assumtions!H4</f>
        <v>37828.023828689489</v>
      </c>
      <c r="I32" s="420">
        <f>'RAW Data'!I66*Assumtions!I4</f>
        <v>39033.218124437823</v>
      </c>
      <c r="J32" s="420">
        <f>'RAW Data'!J66*Assumtions!J4</f>
        <v>43267.087659567092</v>
      </c>
      <c r="K32" s="420">
        <f>'RAW Data'!K66*Assumtions!K4</f>
        <v>48801.389998686223</v>
      </c>
      <c r="L32" s="420">
        <f>'RAW Data'!L66*Assumtions!L4</f>
        <v>54620.633630864977</v>
      </c>
      <c r="M32" s="414"/>
      <c r="N32" s="414"/>
      <c r="O32" s="414"/>
      <c r="P32" s="414"/>
      <c r="Q32" s="414"/>
      <c r="R32" s="414"/>
      <c r="V32" s="406"/>
    </row>
    <row r="33" spans="1:22" x14ac:dyDescent="0.3">
      <c r="B33" s="308" t="s">
        <v>277</v>
      </c>
      <c r="C33" s="423">
        <f>'RAW Data'!C67</f>
        <v>56834</v>
      </c>
      <c r="D33" s="423">
        <f>'RAW Data'!D67</f>
        <v>64254</v>
      </c>
      <c r="E33" s="423">
        <f>'RAW Data'!E67</f>
        <v>69300</v>
      </c>
      <c r="F33" s="423">
        <f>'RAW Data'!F67</f>
        <v>81814</v>
      </c>
      <c r="G33" s="423">
        <f>'RAW Data'!G67</f>
        <v>89122</v>
      </c>
      <c r="H33" s="433">
        <f>SUM(H25:H32)</f>
        <v>110420.63562370326</v>
      </c>
      <c r="I33" s="433">
        <f t="shared" ref="I33:L33" si="6">SUM(I25:I32)</f>
        <v>117945.12394356998</v>
      </c>
      <c r="J33" s="433">
        <f t="shared" si="6"/>
        <v>130458.70086618167</v>
      </c>
      <c r="K33" s="433">
        <f t="shared" si="6"/>
        <v>147588.83289126313</v>
      </c>
      <c r="L33" s="433">
        <f t="shared" si="6"/>
        <v>164123.67459981007</v>
      </c>
      <c r="N33" s="414"/>
      <c r="O33" s="414"/>
      <c r="P33" s="414"/>
      <c r="Q33" s="414"/>
      <c r="R33" s="414"/>
      <c r="V33" s="408"/>
    </row>
    <row r="34" spans="1:22" x14ac:dyDescent="0.3">
      <c r="B34" s="307" t="s">
        <v>278</v>
      </c>
      <c r="C34" s="401">
        <f>'RAW Data'!C68</f>
        <v>12832</v>
      </c>
      <c r="D34" s="401">
        <f>'RAW Data'!D68</f>
        <v>12844</v>
      </c>
      <c r="E34" s="401">
        <f>'RAW Data'!E68</f>
        <v>12857</v>
      </c>
      <c r="F34" s="401">
        <f>'RAW Data'!F68</f>
        <v>11870</v>
      </c>
      <c r="G34" s="401">
        <v>10883</v>
      </c>
      <c r="H34" s="364">
        <v>10883</v>
      </c>
      <c r="I34" s="364">
        <v>10883</v>
      </c>
      <c r="J34" s="364">
        <v>10883</v>
      </c>
      <c r="K34" s="364">
        <v>10883</v>
      </c>
      <c r="L34" s="364">
        <v>10883</v>
      </c>
      <c r="V34" s="407"/>
    </row>
    <row r="35" spans="1:22" x14ac:dyDescent="0.3">
      <c r="B35" s="307" t="s">
        <v>325</v>
      </c>
      <c r="C35" s="401">
        <f>'RAW Data'!C69</f>
        <v>12246</v>
      </c>
      <c r="D35" s="401">
        <f>'RAW Data'!D69</f>
        <v>13362</v>
      </c>
      <c r="E35" s="401">
        <f>'RAW Data'!E69</f>
        <v>14345</v>
      </c>
      <c r="F35" s="401">
        <f>'RAW Data'!F69</f>
        <v>13843</v>
      </c>
      <c r="G35" s="401">
        <v>13133</v>
      </c>
      <c r="H35" s="401">
        <v>13133</v>
      </c>
      <c r="I35" s="401">
        <v>13133</v>
      </c>
      <c r="J35" s="401">
        <v>13133</v>
      </c>
      <c r="K35" s="401">
        <v>13133</v>
      </c>
      <c r="L35" s="401">
        <v>13133</v>
      </c>
      <c r="V35" s="403"/>
    </row>
    <row r="36" spans="1:22" x14ac:dyDescent="0.3">
      <c r="B36" s="307" t="s">
        <v>326</v>
      </c>
      <c r="C36" s="401">
        <f>'RAW Data'!C70</f>
        <v>481</v>
      </c>
      <c r="D36" s="401">
        <f>'RAW Data'!D70</f>
        <v>535</v>
      </c>
      <c r="E36" s="401">
        <f>'RAW Data'!E70</f>
        <v>599</v>
      </c>
      <c r="F36" s="401" t="str">
        <f>'RAW Data'!F70</f>
        <v>--</v>
      </c>
      <c r="G36" s="401" t="str">
        <f>'RAW Data'!G70</f>
        <v>--</v>
      </c>
      <c r="H36" s="409"/>
      <c r="I36" s="409"/>
      <c r="V36" s="403"/>
    </row>
    <row r="37" spans="1:22" x14ac:dyDescent="0.3">
      <c r="B37" s="307" t="s">
        <v>327</v>
      </c>
      <c r="C37" s="401">
        <f>'RAW Data'!C71</f>
        <v>3561</v>
      </c>
      <c r="D37" s="401">
        <f>'RAW Data'!D71</f>
        <v>5257</v>
      </c>
      <c r="E37" s="401">
        <f>'RAW Data'!E71</f>
        <v>514</v>
      </c>
      <c r="F37" s="401" t="str">
        <f>'RAW Data'!F71</f>
        <v>--</v>
      </c>
      <c r="G37" s="401" t="str">
        <f>'RAW Data'!G71</f>
        <v>--</v>
      </c>
      <c r="V37" s="403"/>
    </row>
    <row r="38" spans="1:22" x14ac:dyDescent="0.3">
      <c r="B38" s="313" t="s">
        <v>328</v>
      </c>
      <c r="C38" s="318">
        <f>'RAW Data'!C72</f>
        <v>11118</v>
      </c>
      <c r="D38" s="318">
        <f>'RAW Data'!D72</f>
        <v>11381</v>
      </c>
      <c r="E38" s="318">
        <f>'RAW Data'!E72</f>
        <v>11505</v>
      </c>
      <c r="F38" s="318">
        <f>'RAW Data'!F72</f>
        <v>11486</v>
      </c>
      <c r="G38" s="318">
        <v>12034</v>
      </c>
      <c r="H38" s="100">
        <v>12034</v>
      </c>
      <c r="I38" s="100">
        <v>12034</v>
      </c>
      <c r="J38" s="100">
        <v>12034</v>
      </c>
      <c r="K38" s="100">
        <v>12034</v>
      </c>
      <c r="L38" s="100">
        <v>12034</v>
      </c>
    </row>
    <row r="39" spans="1:22" s="412" customFormat="1" x14ac:dyDescent="0.3">
      <c r="A39"/>
      <c r="B39" s="312" t="s">
        <v>281</v>
      </c>
      <c r="C39" s="423">
        <f>'RAW Data'!C73</f>
        <v>97072</v>
      </c>
      <c r="D39" s="423">
        <f>'RAW Data'!D73</f>
        <v>107633</v>
      </c>
      <c r="E39" s="423">
        <f>'RAW Data'!E73</f>
        <v>109120</v>
      </c>
      <c r="F39" s="423">
        <f>'RAW Data'!F73</f>
        <v>119013</v>
      </c>
      <c r="G39" s="423">
        <f>'RAW Data'!G73</f>
        <v>125172</v>
      </c>
      <c r="H39" s="433">
        <f>SUM(H33:H38)</f>
        <v>146470.63562370325</v>
      </c>
      <c r="I39" s="433">
        <f t="shared" ref="I39:L39" si="7">SUM(I33:I38)</f>
        <v>153995.12394356998</v>
      </c>
      <c r="J39" s="433">
        <f t="shared" si="7"/>
        <v>166508.70086618167</v>
      </c>
      <c r="K39" s="433">
        <f t="shared" si="7"/>
        <v>183638.83289126313</v>
      </c>
      <c r="L39" s="433">
        <f t="shared" si="7"/>
        <v>200173.67459981007</v>
      </c>
    </row>
    <row r="40" spans="1:22" x14ac:dyDescent="0.3">
      <c r="B40" s="312"/>
      <c r="C40" s="401"/>
      <c r="D40" s="401"/>
      <c r="E40" s="401"/>
      <c r="F40" s="401"/>
      <c r="G40" s="401"/>
    </row>
    <row r="41" spans="1:22" x14ac:dyDescent="0.3">
      <c r="B41" s="315" t="s">
        <v>298</v>
      </c>
      <c r="C41" s="401"/>
      <c r="D41" s="401"/>
      <c r="E41" s="401"/>
      <c r="F41" s="401"/>
      <c r="G41" s="401"/>
    </row>
    <row r="42" spans="1:22" x14ac:dyDescent="0.3">
      <c r="B42" s="307" t="s">
        <v>329</v>
      </c>
      <c r="C42" s="401" t="str">
        <f>'RAW Data'!C74</f>
        <v>--</v>
      </c>
      <c r="D42" s="401" t="str">
        <f>'RAW Data'!D74</f>
        <v>--</v>
      </c>
      <c r="E42" s="401" t="str">
        <f>'RAW Data'!E74</f>
        <v>--</v>
      </c>
      <c r="F42" s="401" t="str">
        <f>'RAW Data'!F74</f>
        <v>--</v>
      </c>
      <c r="G42" s="401" t="str">
        <f>'RAW Data'!G74</f>
        <v>--</v>
      </c>
    </row>
    <row r="43" spans="1:22" x14ac:dyDescent="0.3">
      <c r="B43" s="307" t="s">
        <v>330</v>
      </c>
      <c r="C43" s="401" t="str">
        <f>'RAW Data'!C75</f>
        <v>--</v>
      </c>
      <c r="D43" s="401" t="str">
        <f>'RAW Data'!D75</f>
        <v>--</v>
      </c>
      <c r="E43" s="401" t="str">
        <f>'RAW Data'!E75</f>
        <v>--</v>
      </c>
      <c r="F43" s="401" t="str">
        <f>'RAW Data'!F75</f>
        <v>--</v>
      </c>
      <c r="G43" s="401" t="str">
        <f>'RAW Data'!G75</f>
        <v>--</v>
      </c>
    </row>
    <row r="44" spans="1:22" x14ac:dyDescent="0.3">
      <c r="B44" s="308" t="s">
        <v>331</v>
      </c>
      <c r="C44" s="401" t="str">
        <f>'RAW Data'!C76</f>
        <v>--</v>
      </c>
      <c r="D44" s="401" t="str">
        <f>'RAW Data'!D76</f>
        <v>--</v>
      </c>
      <c r="E44" s="401" t="str">
        <f>'RAW Data'!E76</f>
        <v>--</v>
      </c>
      <c r="F44" s="401" t="str">
        <f>'RAW Data'!F76</f>
        <v>--</v>
      </c>
      <c r="G44" s="401" t="str">
        <f>'RAW Data'!G76</f>
        <v>--</v>
      </c>
    </row>
    <row r="45" spans="1:22" x14ac:dyDescent="0.3">
      <c r="B45" s="307" t="s">
        <v>332</v>
      </c>
      <c r="C45" s="401">
        <f>'RAW Data'!C77</f>
        <v>58510</v>
      </c>
      <c r="D45" s="401">
        <f>'RAW Data'!D77</f>
        <v>61774</v>
      </c>
      <c r="E45" s="401">
        <f>'RAW Data'!E77</f>
        <v>68184</v>
      </c>
      <c r="F45" s="401">
        <f>'RAW Data'!F77</f>
        <v>76534</v>
      </c>
      <c r="G45" s="401">
        <v>84800</v>
      </c>
      <c r="H45" s="401">
        <v>84800</v>
      </c>
      <c r="I45" s="401">
        <v>84800</v>
      </c>
      <c r="J45" s="401">
        <v>84800</v>
      </c>
      <c r="K45" s="401">
        <v>84800</v>
      </c>
      <c r="L45" s="401">
        <v>84800</v>
      </c>
    </row>
    <row r="46" spans="1:22" x14ac:dyDescent="0.3">
      <c r="B46" s="307" t="s">
        <v>333</v>
      </c>
      <c r="C46" s="401" t="str">
        <f>'RAW Data'!C78</f>
        <v>--</v>
      </c>
      <c r="D46" s="401" t="str">
        <f>'RAW Data'!D78</f>
        <v>--</v>
      </c>
      <c r="E46" s="401" t="str">
        <f>'RAW Data'!E78</f>
        <v>--</v>
      </c>
      <c r="F46" s="401" t="str">
        <f>'RAW Data'!F78</f>
        <v>--</v>
      </c>
      <c r="G46" s="401" t="str">
        <f>'RAW Data'!G78</f>
        <v>--</v>
      </c>
    </row>
    <row r="47" spans="1:22" x14ac:dyDescent="0.3">
      <c r="B47" s="307" t="s">
        <v>334</v>
      </c>
      <c r="C47" s="401">
        <f>'RAW Data'!C79</f>
        <v>163401</v>
      </c>
      <c r="D47" s="401">
        <f>'RAW Data'!D79</f>
        <v>191484</v>
      </c>
      <c r="E47" s="401">
        <f>'RAW Data'!E79</f>
        <v>195563</v>
      </c>
      <c r="F47" s="401">
        <f>'RAW Data'!F79</f>
        <v>211247</v>
      </c>
      <c r="G47" s="401">
        <f>'RAW Data'!G79</f>
        <v>245084</v>
      </c>
      <c r="H47" s="427">
        <f>G47+'Income Statement'!H21-Assumtions!V25</f>
        <v>339479.21814694611</v>
      </c>
      <c r="I47" s="427">
        <f>H47+'Income Statement'!I21-Assumtions!W25</f>
        <v>443375.45640326227</v>
      </c>
      <c r="J47" s="427">
        <f>I47+'Income Statement'!J21-Assumtions!X25</f>
        <v>556079.19211698649</v>
      </c>
      <c r="K47" s="427">
        <f>J47+'Income Statement'!K21-Assumtions!Y25</f>
        <v>676258.69653270021</v>
      </c>
      <c r="L47" s="427">
        <f>K47+'Income Statement'!L21-Assumtions!Z25</f>
        <v>805953.03119685233</v>
      </c>
    </row>
    <row r="48" spans="1:22" x14ac:dyDescent="0.3">
      <c r="B48" s="307" t="s">
        <v>335</v>
      </c>
      <c r="C48" s="401">
        <f>'RAW Data'!C80</f>
        <v>633</v>
      </c>
      <c r="D48" s="401">
        <f>'RAW Data'!D80</f>
        <v>-1623</v>
      </c>
      <c r="E48" s="401">
        <f>'RAW Data'!E80</f>
        <v>-7603</v>
      </c>
      <c r="F48" s="401">
        <f>'RAW Data'!F80</f>
        <v>-4402</v>
      </c>
      <c r="G48" s="401">
        <v>-4800</v>
      </c>
      <c r="H48" s="401">
        <v>-4800</v>
      </c>
      <c r="I48" s="401">
        <v>-4800</v>
      </c>
      <c r="J48" s="401">
        <v>-4800</v>
      </c>
      <c r="K48" s="401">
        <v>-4800</v>
      </c>
      <c r="L48" s="401">
        <v>-4800</v>
      </c>
    </row>
    <row r="49" spans="2:12" x14ac:dyDescent="0.3">
      <c r="B49" s="314" t="s">
        <v>337</v>
      </c>
      <c r="C49" s="319">
        <f>'RAW Data'!C82</f>
        <v>222544</v>
      </c>
      <c r="D49" s="319">
        <f>'RAW Data'!D82</f>
        <v>251635</v>
      </c>
      <c r="E49" s="319">
        <f>'RAW Data'!E82</f>
        <v>256144</v>
      </c>
      <c r="F49" s="319">
        <f>'RAW Data'!F82</f>
        <v>283379</v>
      </c>
      <c r="G49" s="322">
        <f>G45+G47+G48</f>
        <v>325084</v>
      </c>
      <c r="H49" s="322">
        <f t="shared" ref="H49:L49" si="8">H45+H47+H48</f>
        <v>419479.21814694611</v>
      </c>
      <c r="I49" s="322">
        <f t="shared" si="8"/>
        <v>523375.45640326221</v>
      </c>
      <c r="J49" s="322">
        <f t="shared" si="8"/>
        <v>636079.19211698649</v>
      </c>
      <c r="K49" s="322">
        <f t="shared" si="8"/>
        <v>756258.69653270021</v>
      </c>
      <c r="L49" s="322">
        <f t="shared" si="8"/>
        <v>885953.03119685233</v>
      </c>
    </row>
    <row r="50" spans="2:12" x14ac:dyDescent="0.3">
      <c r="B50" s="402" t="s">
        <v>338</v>
      </c>
      <c r="C50" s="401">
        <f>'RAW Data'!C83</f>
        <v>319616</v>
      </c>
      <c r="D50" s="401">
        <f>'RAW Data'!D83</f>
        <v>359268</v>
      </c>
      <c r="E50" s="401">
        <f>'RAW Data'!E83</f>
        <v>365264</v>
      </c>
      <c r="F50" s="401">
        <f>'RAW Data'!F83</f>
        <v>402392</v>
      </c>
      <c r="G50" s="414">
        <f>G49+G39</f>
        <v>450256</v>
      </c>
      <c r="H50" s="414">
        <f t="shared" ref="H50:L50" si="9">H49+H39</f>
        <v>565949.85377064929</v>
      </c>
      <c r="I50" s="414">
        <f t="shared" si="9"/>
        <v>677370.58034683217</v>
      </c>
      <c r="J50" s="414">
        <f t="shared" si="9"/>
        <v>802587.89298316813</v>
      </c>
      <c r="K50" s="414">
        <f t="shared" si="9"/>
        <v>939897.52942396328</v>
      </c>
      <c r="L50" s="414">
        <f t="shared" si="9"/>
        <v>1086126.7057966625</v>
      </c>
    </row>
  </sheetData>
  <mergeCells count="1">
    <mergeCell ref="P5:V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1FE-748E-4939-ADB0-9036F9B8E5B9}">
  <dimension ref="A1:L40"/>
  <sheetViews>
    <sheetView showGridLines="0" topLeftCell="A20" workbookViewId="0">
      <selection activeCell="C41" sqref="C41"/>
    </sheetView>
  </sheetViews>
  <sheetFormatPr defaultRowHeight="14.4" x14ac:dyDescent="0.3"/>
  <cols>
    <col min="1" max="1" width="3.77734375" customWidth="1"/>
    <col min="2" max="2" width="46.109375" bestFit="1" customWidth="1"/>
    <col min="3" max="5" width="9.6640625" bestFit="1" customWidth="1"/>
    <col min="6" max="7" width="10" bestFit="1" customWidth="1"/>
    <col min="8" max="8" width="10.77734375" bestFit="1" customWidth="1"/>
    <col min="9" max="12" width="9.6640625" bestFit="1" customWidth="1"/>
  </cols>
  <sheetData>
    <row r="1" spans="1:12" x14ac:dyDescent="0.3">
      <c r="B1" s="78" t="s">
        <v>296</v>
      </c>
    </row>
    <row r="2" spans="1:12" x14ac:dyDescent="0.3">
      <c r="B2" s="233" t="s">
        <v>381</v>
      </c>
      <c r="C2" s="417">
        <f t="shared" ref="C2:E2" si="0">D2-1</f>
        <v>2020</v>
      </c>
      <c r="D2" s="417">
        <f t="shared" si="0"/>
        <v>2021</v>
      </c>
      <c r="E2" s="417">
        <f>F2-1</f>
        <v>2022</v>
      </c>
      <c r="F2" s="417">
        <v>2023</v>
      </c>
      <c r="G2" s="417">
        <f>F2+1</f>
        <v>2024</v>
      </c>
      <c r="H2" s="418">
        <v>2025</v>
      </c>
      <c r="I2" s="418">
        <f>H2+1</f>
        <v>2026</v>
      </c>
      <c r="J2" s="418">
        <f t="shared" ref="J2:L2" si="1">I2+1</f>
        <v>2027</v>
      </c>
      <c r="K2" s="418">
        <f t="shared" si="1"/>
        <v>2028</v>
      </c>
      <c r="L2" s="418">
        <f t="shared" si="1"/>
        <v>2029</v>
      </c>
    </row>
    <row r="3" spans="1:12" x14ac:dyDescent="0.3">
      <c r="B3" s="284"/>
      <c r="C3" s="276"/>
      <c r="D3" s="276"/>
      <c r="E3" s="276"/>
      <c r="F3" s="276"/>
      <c r="G3" s="276"/>
    </row>
    <row r="4" spans="1:12" x14ac:dyDescent="0.3">
      <c r="B4" s="308" t="s">
        <v>162</v>
      </c>
      <c r="C4" s="317">
        <f>'RAW Data'!C89</f>
        <v>40269</v>
      </c>
      <c r="D4" s="317">
        <f>'RAW Data'!D89</f>
        <v>76033</v>
      </c>
      <c r="E4" s="317">
        <f>'RAW Data'!E89</f>
        <v>59972</v>
      </c>
      <c r="F4" s="317">
        <f>'RAW Data'!F89</f>
        <v>73795</v>
      </c>
      <c r="G4" s="317">
        <f>'RAW Data'!G89</f>
        <v>100118</v>
      </c>
      <c r="H4" s="357">
        <f>'Income Statement'!H21</f>
        <v>103322.26154438057</v>
      </c>
      <c r="I4" s="357">
        <f>'Income Statement'!I21</f>
        <v>113721.80194430401</v>
      </c>
      <c r="J4" s="357">
        <f>'Income Statement'!J21</f>
        <v>123362.23261134437</v>
      </c>
      <c r="K4" s="357">
        <f>'Income Statement'!K21</f>
        <v>131544.9916984606</v>
      </c>
      <c r="L4" s="357">
        <f>'Income Statement'!L21</f>
        <v>141959.64827512272</v>
      </c>
    </row>
    <row r="5" spans="1:12" x14ac:dyDescent="0.3">
      <c r="B5" s="307" t="s">
        <v>386</v>
      </c>
      <c r="C5" s="317">
        <f>'RAW Data'!C90</f>
        <v>12905</v>
      </c>
      <c r="D5" s="317">
        <f>'RAW Data'!D90</f>
        <v>10273</v>
      </c>
      <c r="E5" s="317">
        <f>'RAW Data'!E90</f>
        <v>13475</v>
      </c>
      <c r="F5" s="317">
        <f>'RAW Data'!F90</f>
        <v>11946</v>
      </c>
      <c r="G5" s="317">
        <f>'RAW Data'!G90</f>
        <v>15311</v>
      </c>
      <c r="H5" s="276">
        <f>Assumtions!V13*Assumtions!H4</f>
        <v>17116.15265445675</v>
      </c>
      <c r="I5" s="276">
        <f>Assumtions!W13*Assumtions!I4</f>
        <v>18450.293207177598</v>
      </c>
      <c r="J5" s="276">
        <f>Assumtions!X13*Assumtions!J4</f>
        <v>21300.371533810809</v>
      </c>
      <c r="K5" s="276">
        <f>Assumtions!Y13*Assumtions!K4</f>
        <v>23777.326402314848</v>
      </c>
      <c r="L5" s="276">
        <f>Assumtions!Z13*Assumtions!L4</f>
        <v>26529.859431189401</v>
      </c>
    </row>
    <row r="6" spans="1:12" x14ac:dyDescent="0.3">
      <c r="B6" s="307" t="s">
        <v>387</v>
      </c>
      <c r="C6" s="317">
        <f>'RAW Data'!C91</f>
        <v>774</v>
      </c>
      <c r="D6" s="317" t="str">
        <f>'RAW Data'!D91</f>
        <v>--</v>
      </c>
      <c r="E6" s="317" t="str">
        <f>'RAW Data'!E91</f>
        <v>--</v>
      </c>
      <c r="F6" s="317" t="str">
        <f>'RAW Data'!F91</f>
        <v>--</v>
      </c>
      <c r="G6" s="317" t="str">
        <f>'RAW Data'!G91</f>
        <v>--</v>
      </c>
    </row>
    <row r="7" spans="1:12" x14ac:dyDescent="0.3">
      <c r="B7" s="308" t="s">
        <v>388</v>
      </c>
      <c r="C7" s="317">
        <f>'RAW Data'!C92</f>
        <v>13679</v>
      </c>
      <c r="D7" s="317">
        <f>'RAW Data'!D92</f>
        <v>10273</v>
      </c>
      <c r="E7" s="317">
        <f>'RAW Data'!E92</f>
        <v>13475</v>
      </c>
      <c r="F7" s="317">
        <f>'RAW Data'!F92</f>
        <v>11946</v>
      </c>
      <c r="G7" s="317">
        <f>'RAW Data'!G92</f>
        <v>15311</v>
      </c>
      <c r="H7" s="357">
        <f>SUM(H5:H6)</f>
        <v>17116.15265445675</v>
      </c>
      <c r="I7" s="357">
        <f t="shared" ref="I7:L7" si="2">SUM(I5:I6)</f>
        <v>18450.293207177598</v>
      </c>
      <c r="J7" s="357">
        <f t="shared" si="2"/>
        <v>21300.371533810809</v>
      </c>
      <c r="K7" s="357">
        <f t="shared" si="2"/>
        <v>23777.326402314848</v>
      </c>
      <c r="L7" s="357">
        <f t="shared" si="2"/>
        <v>26529.859431189401</v>
      </c>
    </row>
    <row r="8" spans="1:12" x14ac:dyDescent="0.3">
      <c r="B8" s="307" t="s">
        <v>389</v>
      </c>
      <c r="C8" s="317" t="str">
        <f>'RAW Data'!C93</f>
        <v>--</v>
      </c>
      <c r="D8" s="317" t="str">
        <f>'RAW Data'!D93</f>
        <v>--</v>
      </c>
      <c r="E8" s="317" t="str">
        <f>'RAW Data'!E93</f>
        <v>--</v>
      </c>
      <c r="F8" s="317" t="str">
        <f>'RAW Data'!F93</f>
        <v>--</v>
      </c>
      <c r="G8" s="317" t="str">
        <f>'RAW Data'!G93</f>
        <v>--</v>
      </c>
      <c r="H8" s="144"/>
    </row>
    <row r="9" spans="1:12" x14ac:dyDescent="0.3">
      <c r="B9" s="307" t="s">
        <v>390</v>
      </c>
      <c r="C9" s="317">
        <f>'RAW Data'!C94</f>
        <v>-6317</v>
      </c>
      <c r="D9" s="317">
        <f>'RAW Data'!D94</f>
        <v>-12270</v>
      </c>
      <c r="E9" s="317">
        <f>'RAW Data'!E94</f>
        <v>5519</v>
      </c>
      <c r="F9" s="317">
        <f>'RAW Data'!F94</f>
        <v>823</v>
      </c>
      <c r="G9" s="317">
        <f>'RAW Data'!G94</f>
        <v>-2671</v>
      </c>
      <c r="H9" s="144"/>
      <c r="I9" s="144"/>
      <c r="J9" s="144"/>
      <c r="K9" s="144"/>
      <c r="L9" s="144"/>
    </row>
    <row r="10" spans="1:12" x14ac:dyDescent="0.3">
      <c r="B10" s="307" t="s">
        <v>391</v>
      </c>
      <c r="C10" s="317">
        <f>'RAW Data'!C95</f>
        <v>18</v>
      </c>
      <c r="D10" s="317" t="str">
        <f>'RAW Data'!D95</f>
        <v>--</v>
      </c>
      <c r="E10" s="317" t="str">
        <f>'RAW Data'!E95</f>
        <v>--</v>
      </c>
      <c r="F10" s="317" t="str">
        <f>'RAW Data'!F95</f>
        <v>--</v>
      </c>
      <c r="G10" s="317" t="str">
        <f>'RAW Data'!G95</f>
        <v>--</v>
      </c>
      <c r="H10" s="144"/>
      <c r="I10" s="144"/>
      <c r="J10" s="144"/>
      <c r="K10" s="144"/>
      <c r="L10" s="144"/>
    </row>
    <row r="11" spans="1:12" x14ac:dyDescent="0.3">
      <c r="B11" s="307" t="s">
        <v>383</v>
      </c>
      <c r="C11" s="317">
        <f>'RAW Data'!C96</f>
        <v>12991</v>
      </c>
      <c r="D11" s="317">
        <f>'RAW Data'!D96</f>
        <v>15376</v>
      </c>
      <c r="E11" s="317">
        <f>'RAW Data'!E96</f>
        <v>19362</v>
      </c>
      <c r="F11" s="317">
        <f>'RAW Data'!F96</f>
        <v>22460</v>
      </c>
      <c r="G11" s="317">
        <f>'RAW Data'!G96</f>
        <v>22785</v>
      </c>
      <c r="H11" s="357">
        <f>Assumtions!V15*Assumtions!H4</f>
        <v>27152.216857385945</v>
      </c>
      <c r="I11" s="357">
        <f>Assumtions!W15*Assumtions!I4</f>
        <v>30311.185150859797</v>
      </c>
      <c r="J11" s="357">
        <f>Assumtions!X15*Assumtions!J4</f>
        <v>33472.880330312772</v>
      </c>
      <c r="K11" s="357">
        <f>Assumtions!Y15*Assumtions!K4</f>
        <v>38039.886115107241</v>
      </c>
      <c r="L11" s="357">
        <f>Assumtions!Z15*Assumtions!L4</f>
        <v>42564.975037825199</v>
      </c>
    </row>
    <row r="12" spans="1:12" s="233" customFormat="1" x14ac:dyDescent="0.3">
      <c r="A12"/>
      <c r="B12" s="307" t="s">
        <v>392</v>
      </c>
      <c r="C12" s="317" t="str">
        <f>'RAW Data'!C97</f>
        <v>--</v>
      </c>
      <c r="D12" s="317" t="str">
        <f>'RAW Data'!D97</f>
        <v>--</v>
      </c>
      <c r="E12" s="317" t="str">
        <f>'RAW Data'!E97</f>
        <v>--</v>
      </c>
      <c r="F12" s="317" t="str">
        <f>'RAW Data'!F97</f>
        <v>--</v>
      </c>
      <c r="G12" s="317" t="str">
        <f>'RAW Data'!G97</f>
        <v>--</v>
      </c>
      <c r="H12"/>
    </row>
    <row r="13" spans="1:12" x14ac:dyDescent="0.3">
      <c r="B13" s="307" t="s">
        <v>393</v>
      </c>
      <c r="C13" s="317" t="str">
        <f>'RAW Data'!C98</f>
        <v>--</v>
      </c>
      <c r="D13" s="317" t="str">
        <f>'RAW Data'!D98</f>
        <v>--</v>
      </c>
      <c r="E13" s="317" t="str">
        <f>'RAW Data'!E98</f>
        <v>--</v>
      </c>
      <c r="F13" s="317" t="str">
        <f>'RAW Data'!F98</f>
        <v>--</v>
      </c>
      <c r="G13" s="317" t="str">
        <f>'RAW Data'!G98</f>
        <v>--</v>
      </c>
    </row>
    <row r="14" spans="1:12" x14ac:dyDescent="0.3">
      <c r="B14" s="307" t="s">
        <v>394</v>
      </c>
      <c r="C14" s="317">
        <f>'RAW Data'!C99</f>
        <v>2657</v>
      </c>
      <c r="D14" s="317">
        <f>'RAW Data'!D99</f>
        <v>3763</v>
      </c>
      <c r="E14" s="317">
        <f>'RAW Data'!E99</f>
        <v>-4598</v>
      </c>
      <c r="F14" s="317">
        <f>'RAW Data'!F99</f>
        <v>-3433</v>
      </c>
      <c r="G14" s="317">
        <f>'RAW Data'!G99</f>
        <v>-1838</v>
      </c>
    </row>
    <row r="15" spans="1:12" x14ac:dyDescent="0.3">
      <c r="B15" s="307" t="s">
        <v>88</v>
      </c>
      <c r="C15" s="317">
        <f>'RAW Data'!C100</f>
        <v>-6524</v>
      </c>
      <c r="D15" s="317">
        <f>'RAW Data'!D100</f>
        <v>-9095</v>
      </c>
      <c r="E15" s="317">
        <f>'RAW Data'!E100</f>
        <v>-2317</v>
      </c>
      <c r="F15" s="317">
        <f>'RAW Data'!F100</f>
        <v>-7833</v>
      </c>
      <c r="G15" s="317">
        <f>'RAW Data'!G100</f>
        <v>-5891</v>
      </c>
      <c r="H15" s="357">
        <f>-('Balance Sheet'!H7-'Balance Sheet'!G7)</f>
        <v>-8561.8395164572794</v>
      </c>
      <c r="I15" s="357">
        <f>-('Balance Sheet'!I7-'Balance Sheet'!H7)</f>
        <v>-5414.9275060745058</v>
      </c>
      <c r="J15" s="357">
        <f>-('Balance Sheet'!J7-'Balance Sheet'!I7)</f>
        <v>-8224.9488343827397</v>
      </c>
      <c r="K15" s="357">
        <f>-('Balance Sheet'!K7-'Balance Sheet'!J7)</f>
        <v>-10039.62783720337</v>
      </c>
      <c r="L15" s="357">
        <f>-('Balance Sheet'!L7-'Balance Sheet'!K7)</f>
        <v>-9767.1118864677555</v>
      </c>
    </row>
    <row r="16" spans="1:12" x14ac:dyDescent="0.3">
      <c r="B16" s="307" t="s">
        <v>89</v>
      </c>
      <c r="C16" s="317" t="str">
        <f>'RAW Data'!C101</f>
        <v>--</v>
      </c>
      <c r="D16" s="317" t="str">
        <f>'RAW Data'!D101</f>
        <v>--</v>
      </c>
      <c r="E16" s="317" t="str">
        <f>'RAW Data'!E101</f>
        <v>--</v>
      </c>
      <c r="F16" s="317" t="str">
        <f>'RAW Data'!F101</f>
        <v>--</v>
      </c>
      <c r="G16" s="317" t="str">
        <f>'RAW Data'!G101</f>
        <v>--</v>
      </c>
    </row>
    <row r="17" spans="1:12" x14ac:dyDescent="0.3">
      <c r="B17" s="307" t="s">
        <v>90</v>
      </c>
      <c r="C17" s="317">
        <f>'RAW Data'!C102</f>
        <v>694</v>
      </c>
      <c r="D17" s="317">
        <f>'RAW Data'!D102</f>
        <v>283</v>
      </c>
      <c r="E17" s="317">
        <f>'RAW Data'!E102</f>
        <v>707</v>
      </c>
      <c r="F17" s="317">
        <f>'RAW Data'!F102</f>
        <v>664</v>
      </c>
      <c r="G17" s="317">
        <f>'RAW Data'!G102</f>
        <v>359</v>
      </c>
      <c r="H17" s="144">
        <f>'Balance Sheet'!H25-'Balance Sheet'!G25</f>
        <v>1284.9885112727588</v>
      </c>
      <c r="I17" s="144">
        <f>'Balance Sheet'!I25-'Balance Sheet'!H25</f>
        <v>513.7386331102698</v>
      </c>
      <c r="J17" s="144">
        <f>'Balance Sheet'!J25-'Balance Sheet'!I25</f>
        <v>1088.079184851953</v>
      </c>
      <c r="K17" s="144">
        <f>'Balance Sheet'!K25-'Balance Sheet'!J25</f>
        <v>1929.0833536380705</v>
      </c>
      <c r="L17" s="144">
        <f>'Balance Sheet'!L25-'Balance Sheet'!K25</f>
        <v>1377.1117756841959</v>
      </c>
    </row>
    <row r="18" spans="1:12" x14ac:dyDescent="0.3">
      <c r="B18" s="307" t="s">
        <v>395</v>
      </c>
      <c r="C18" s="317">
        <f>'RAW Data'!C103</f>
        <v>635</v>
      </c>
      <c r="D18" s="317">
        <f>'RAW Data'!D103</f>
        <v>774</v>
      </c>
      <c r="E18" s="317">
        <f>'RAW Data'!E103</f>
        <v>367</v>
      </c>
      <c r="F18" s="317">
        <f>'RAW Data'!F103</f>
        <v>525</v>
      </c>
      <c r="G18" s="317">
        <f>'RAW Data'!G103</f>
        <v>1043</v>
      </c>
      <c r="H18" s="357">
        <f>'Balance Sheet'!H31-'Balance Sheet'!G31</f>
        <v>636.19796719025908</v>
      </c>
      <c r="I18" s="357">
        <f>'Balance Sheet'!I31-'Balance Sheet'!H31</f>
        <v>647.18437143232586</v>
      </c>
      <c r="J18" s="357">
        <f>'Balance Sheet'!J31-'Balance Sheet'!I31</f>
        <v>798.53839641123704</v>
      </c>
      <c r="K18" s="357">
        <f>'Balance Sheet'!K31-'Balance Sheet'!J31</f>
        <v>870.26312066034006</v>
      </c>
      <c r="L18" s="357">
        <f>'Balance Sheet'!L31-'Balance Sheet'!K31</f>
        <v>965.83711138522813</v>
      </c>
    </row>
    <row r="19" spans="1:12" x14ac:dyDescent="0.3">
      <c r="B19" s="307" t="s">
        <v>396</v>
      </c>
      <c r="C19" s="317">
        <f>'RAW Data'!C104</f>
        <v>1209</v>
      </c>
      <c r="D19" s="317">
        <f>'RAW Data'!D104</f>
        <v>-625</v>
      </c>
      <c r="E19" s="317">
        <f>'RAW Data'!E104</f>
        <v>584</v>
      </c>
      <c r="F19" s="317">
        <f>'RAW Data'!F104</f>
        <v>523</v>
      </c>
      <c r="G19" s="317">
        <f>'RAW Data'!G104</f>
        <v>-2418</v>
      </c>
      <c r="H19" s="357">
        <f>'Balance Sheet'!H30-'Balance Sheet'!G30</f>
        <v>282.72280171881039</v>
      </c>
      <c r="I19" s="357">
        <f>'Balance Sheet'!I30-'Balance Sheet'!H30</f>
        <v>-20.865656923587267</v>
      </c>
      <c r="J19" s="357">
        <f>'Balance Sheet'!J30-'Balance Sheet'!I30</f>
        <v>438.99968753026133</v>
      </c>
      <c r="K19" s="357">
        <f>'Balance Sheet'!K30-'Balance Sheet'!J30</f>
        <v>248.58228520400326</v>
      </c>
      <c r="L19" s="357">
        <f>'Balance Sheet'!L30-'Balance Sheet'!K30</f>
        <v>232.62134170995068</v>
      </c>
    </row>
    <row r="20" spans="1:12" s="233" customFormat="1" ht="15" thickBot="1" x14ac:dyDescent="0.35">
      <c r="A20"/>
      <c r="B20" s="307" t="s">
        <v>397</v>
      </c>
      <c r="C20" s="317">
        <f>'RAW Data'!C105</f>
        <v>5813</v>
      </c>
      <c r="D20" s="317">
        <f>'RAW Data'!D105</f>
        <v>7140</v>
      </c>
      <c r="E20" s="317">
        <f>'RAW Data'!E105</f>
        <v>-1576</v>
      </c>
      <c r="F20" s="317">
        <f>'RAW Data'!F105</f>
        <v>2276</v>
      </c>
      <c r="G20" s="321">
        <v>-1499</v>
      </c>
      <c r="H20" s="335">
        <v>-1499</v>
      </c>
      <c r="I20" s="335">
        <v>-1499</v>
      </c>
      <c r="J20" s="335">
        <v>-1499</v>
      </c>
      <c r="K20" s="335">
        <v>-1499</v>
      </c>
      <c r="L20" s="335">
        <v>-1499</v>
      </c>
    </row>
    <row r="21" spans="1:12" x14ac:dyDescent="0.3">
      <c r="B21" s="309" t="s">
        <v>398</v>
      </c>
      <c r="C21" s="317">
        <f>'RAW Data'!C106</f>
        <v>65124</v>
      </c>
      <c r="D21" s="317">
        <f>'RAW Data'!D106</f>
        <v>91652</v>
      </c>
      <c r="E21" s="317">
        <f>'RAW Data'!E106</f>
        <v>91495</v>
      </c>
      <c r="F21" s="317">
        <f>'RAW Data'!F106</f>
        <v>101746</v>
      </c>
      <c r="G21" s="144">
        <f>G4+G7+G9+G11+G14+G15+G17+G18+G19+G20</f>
        <v>125299</v>
      </c>
      <c r="H21" s="144">
        <f t="shared" ref="H21:L21" si="3">H4+H7+H9+H11+H14+H15+H17+H18+H19+H20</f>
        <v>139733.70081994782</v>
      </c>
      <c r="I21" s="144">
        <f t="shared" si="3"/>
        <v>156709.41014388588</v>
      </c>
      <c r="J21" s="144">
        <f t="shared" si="3"/>
        <v>170737.15290987864</v>
      </c>
      <c r="K21" s="144">
        <f t="shared" si="3"/>
        <v>184871.5051381817</v>
      </c>
      <c r="L21" s="144">
        <f t="shared" si="3"/>
        <v>202363.94108644893</v>
      </c>
    </row>
    <row r="22" spans="1:12" x14ac:dyDescent="0.3">
      <c r="B22" s="338" t="s">
        <v>399</v>
      </c>
      <c r="C22" s="317">
        <f>'RAW Data'!C107</f>
        <v>1827</v>
      </c>
      <c r="D22" s="317">
        <f>'RAW Data'!D107</f>
        <v>-1523</v>
      </c>
      <c r="E22" s="317">
        <f>'RAW Data'!E107</f>
        <v>-2235</v>
      </c>
      <c r="F22" s="317">
        <f>'RAW Data'!F107</f>
        <v>-3845</v>
      </c>
      <c r="G22" s="317">
        <f>'RAW Data'!G107</f>
        <v>-8406</v>
      </c>
      <c r="H22" s="317">
        <f>H15+H17+H18+H19+H20</f>
        <v>-7856.9302362754515</v>
      </c>
      <c r="I22" s="317">
        <f t="shared" ref="I22:L22" si="4">I15+I17+I18+I19+I20</f>
        <v>-5773.8701584554974</v>
      </c>
      <c r="J22" s="317">
        <f t="shared" si="4"/>
        <v>-7398.3315655892884</v>
      </c>
      <c r="K22" s="317">
        <f t="shared" si="4"/>
        <v>-8490.699077700956</v>
      </c>
      <c r="L22" s="317">
        <f t="shared" si="4"/>
        <v>-8690.5416576883799</v>
      </c>
    </row>
    <row r="23" spans="1:12" x14ac:dyDescent="0.3">
      <c r="B23" s="307" t="s">
        <v>400</v>
      </c>
      <c r="C23" s="317">
        <f>'RAW Data'!C108</f>
        <v>-22281</v>
      </c>
      <c r="D23" s="317">
        <f>'RAW Data'!D108</f>
        <v>-24640</v>
      </c>
      <c r="E23" s="317">
        <f>'RAW Data'!E108</f>
        <v>-31485</v>
      </c>
      <c r="F23" s="317">
        <f>'RAW Data'!F108</f>
        <v>-32251</v>
      </c>
      <c r="G23" s="317">
        <f>'RAW Data'!G108</f>
        <v>-52535</v>
      </c>
      <c r="H23" s="357">
        <f>Assumtions!V11*Assumtions!H4</f>
        <v>-48139.957017366331</v>
      </c>
      <c r="I23" s="357">
        <f>Assumtions!W11*Assumtions!I4</f>
        <v>-55212.42239464372</v>
      </c>
      <c r="J23" s="357">
        <f>Assumtions!X11*Assumtions!J4</f>
        <v>-65617.47601108563</v>
      </c>
      <c r="K23" s="357">
        <f>Assumtions!Y11*Assumtions!K4</f>
        <v>-70409.526570481888</v>
      </c>
      <c r="L23" s="357">
        <f>Assumtions!Z11*Assumtions!L4</f>
        <v>-79899.224283613294</v>
      </c>
    </row>
    <row r="24" spans="1:12" x14ac:dyDescent="0.3">
      <c r="B24" s="307" t="s">
        <v>401</v>
      </c>
      <c r="C24" s="317" t="str">
        <f>'RAW Data'!C109</f>
        <v>--</v>
      </c>
      <c r="D24" s="317" t="str">
        <f>'RAW Data'!D109</f>
        <v>--</v>
      </c>
      <c r="E24" s="317" t="str">
        <f>'RAW Data'!E109</f>
        <v>--</v>
      </c>
      <c r="F24" s="317" t="str">
        <f>'RAW Data'!F109</f>
        <v>--</v>
      </c>
      <c r="G24" s="317" t="str">
        <f>'RAW Data'!G109</f>
        <v>--</v>
      </c>
    </row>
    <row r="25" spans="1:12" x14ac:dyDescent="0.3">
      <c r="B25" s="307" t="s">
        <v>402</v>
      </c>
      <c r="C25" s="317">
        <f>'RAW Data'!C110</f>
        <v>-738</v>
      </c>
      <c r="D25" s="317">
        <f>'RAW Data'!D110</f>
        <v>-2618</v>
      </c>
      <c r="E25" s="317">
        <f>'RAW Data'!E110</f>
        <v>-6969</v>
      </c>
      <c r="F25" s="317">
        <f>'RAW Data'!F110</f>
        <v>-495</v>
      </c>
      <c r="G25" s="317">
        <f>'RAW Data'!G110</f>
        <v>-2931</v>
      </c>
    </row>
    <row r="26" spans="1:12" x14ac:dyDescent="0.3">
      <c r="B26" s="307" t="s">
        <v>403</v>
      </c>
      <c r="C26" s="317" t="str">
        <f>'RAW Data'!C111</f>
        <v>--</v>
      </c>
      <c r="D26" s="317" t="str">
        <f>'RAW Data'!D111</f>
        <v>--</v>
      </c>
      <c r="E26" s="317" t="str">
        <f>'RAW Data'!E111</f>
        <v>--</v>
      </c>
      <c r="F26" s="317" t="str">
        <f>'RAW Data'!F111</f>
        <v>--</v>
      </c>
      <c r="G26" s="317" t="str">
        <f>'RAW Data'!G111</f>
        <v>--</v>
      </c>
    </row>
    <row r="27" spans="1:12" x14ac:dyDescent="0.3">
      <c r="B27" s="307" t="s">
        <v>404</v>
      </c>
      <c r="C27" s="317" t="str">
        <f>'RAW Data'!C112</f>
        <v>--</v>
      </c>
      <c r="D27" s="317" t="str">
        <f>'RAW Data'!D112</f>
        <v>--</v>
      </c>
      <c r="E27" s="317" t="str">
        <f>'RAW Data'!E112</f>
        <v>--</v>
      </c>
      <c r="F27" s="317" t="str">
        <f>'RAW Data'!F112</f>
        <v>--</v>
      </c>
      <c r="G27" s="317" t="str">
        <f>'RAW Data'!G112</f>
        <v>--</v>
      </c>
    </row>
    <row r="28" spans="1:12" x14ac:dyDescent="0.3">
      <c r="B28" s="307" t="s">
        <v>405</v>
      </c>
      <c r="C28" s="317">
        <f>'RAW Data'!C113</f>
        <v>-9822</v>
      </c>
      <c r="D28" s="317">
        <f>'RAW Data'!D113</f>
        <v>-8806</v>
      </c>
      <c r="E28" s="317">
        <f>'RAW Data'!E113</f>
        <v>16567</v>
      </c>
      <c r="F28" s="317">
        <f>'RAW Data'!F113</f>
        <v>6734</v>
      </c>
      <c r="G28" s="317">
        <f>'RAW Data'!G113</f>
        <v>12597</v>
      </c>
    </row>
    <row r="29" spans="1:12" ht="15" thickBot="1" x14ac:dyDescent="0.35">
      <c r="B29" s="307" t="s">
        <v>406</v>
      </c>
      <c r="C29" s="317">
        <f>'RAW Data'!C114</f>
        <v>68</v>
      </c>
      <c r="D29" s="317">
        <f>'RAW Data'!D114</f>
        <v>541</v>
      </c>
      <c r="E29" s="317">
        <f>'RAW Data'!E114</f>
        <v>1589</v>
      </c>
      <c r="F29" s="317">
        <f>'RAW Data'!F114</f>
        <v>-1051</v>
      </c>
      <c r="G29" s="317">
        <f>'RAW Data'!G114</f>
        <v>-2667</v>
      </c>
      <c r="H29">
        <f>G29*(1+Assumtions!V20)</f>
        <v>-3112.1872258062585</v>
      </c>
      <c r="I29">
        <f>H29*(1+Assumtions!W20)</f>
        <v>-3484.4871143142873</v>
      </c>
      <c r="J29">
        <f>I29*(1+Assumtions!X20)</f>
        <v>-3866.5914531645062</v>
      </c>
      <c r="K29">
        <f>J29*(1+Assumtions!Y20)</f>
        <v>-4375.6341211496565</v>
      </c>
      <c r="L29">
        <f>K29*(1+Assumtions!Z20)</f>
        <v>-4901.966356232303</v>
      </c>
    </row>
    <row r="30" spans="1:12" x14ac:dyDescent="0.3">
      <c r="B30" s="309" t="s">
        <v>407</v>
      </c>
      <c r="C30" s="317">
        <f>'RAW Data'!C115</f>
        <v>-32773</v>
      </c>
      <c r="D30" s="317">
        <f>'RAW Data'!D115</f>
        <v>-35523</v>
      </c>
      <c r="E30" s="317">
        <f>'RAW Data'!E115</f>
        <v>-20298</v>
      </c>
      <c r="F30" s="317">
        <f>'RAW Data'!F115</f>
        <v>-27063</v>
      </c>
      <c r="G30" s="144">
        <f>G23+G25+G28+G29</f>
        <v>-45536</v>
      </c>
      <c r="H30" s="144">
        <f t="shared" ref="H30:L30" si="5">H23+H25+H28+H29</f>
        <v>-51252.144243172588</v>
      </c>
      <c r="I30" s="144">
        <f t="shared" si="5"/>
        <v>-58696.909508958008</v>
      </c>
      <c r="J30" s="144">
        <f t="shared" si="5"/>
        <v>-69484.06746425014</v>
      </c>
      <c r="K30" s="144">
        <f t="shared" si="5"/>
        <v>-74785.16069163155</v>
      </c>
      <c r="L30" s="144">
        <f t="shared" si="5"/>
        <v>-84801.19063984559</v>
      </c>
    </row>
    <row r="31" spans="1:12" x14ac:dyDescent="0.3">
      <c r="B31" s="307" t="s">
        <v>408</v>
      </c>
      <c r="C31" s="317">
        <f>'RAW Data'!C116</f>
        <v>11761</v>
      </c>
      <c r="D31" s="317">
        <f>'RAW Data'!D116</f>
        <v>20199</v>
      </c>
      <c r="E31" s="317">
        <f>'RAW Data'!E116</f>
        <v>52872</v>
      </c>
      <c r="F31" s="317">
        <f>'RAW Data'!F116</f>
        <v>10790</v>
      </c>
      <c r="G31" s="317">
        <v>13589</v>
      </c>
      <c r="H31" s="317">
        <v>13589</v>
      </c>
      <c r="I31" s="317">
        <v>13589</v>
      </c>
      <c r="J31" s="317">
        <v>13589</v>
      </c>
      <c r="K31" s="317">
        <v>13589</v>
      </c>
      <c r="L31" s="317">
        <v>13589</v>
      </c>
    </row>
    <row r="32" spans="1:12" x14ac:dyDescent="0.3">
      <c r="B32" s="307" t="s">
        <v>409</v>
      </c>
      <c r="C32" s="317">
        <f>'RAW Data'!C117</f>
        <v>-2100</v>
      </c>
      <c r="D32" s="317">
        <f>'RAW Data'!D117</f>
        <v>-21435</v>
      </c>
      <c r="E32" s="317">
        <f>'RAW Data'!E117</f>
        <v>-54068</v>
      </c>
      <c r="F32" s="317">
        <f>'RAW Data'!F117</f>
        <v>-11550</v>
      </c>
      <c r="G32" s="317">
        <v>-12701</v>
      </c>
      <c r="H32">
        <v>-12701</v>
      </c>
      <c r="I32">
        <v>-12701</v>
      </c>
      <c r="J32">
        <v>-12701</v>
      </c>
      <c r="K32">
        <v>-12701</v>
      </c>
      <c r="L32">
        <v>-12701</v>
      </c>
    </row>
    <row r="33" spans="2:12" x14ac:dyDescent="0.3">
      <c r="B33" s="307" t="s">
        <v>410</v>
      </c>
      <c r="C33" s="317" t="str">
        <f>'RAW Data'!C118</f>
        <v>--</v>
      </c>
      <c r="D33" s="317" t="str">
        <f>'RAW Data'!D118</f>
        <v>--</v>
      </c>
      <c r="E33" s="317" t="str">
        <f>'RAW Data'!E118</f>
        <v>--</v>
      </c>
      <c r="F33" s="317" t="str">
        <f>'RAW Data'!F118</f>
        <v>--</v>
      </c>
      <c r="G33" s="317" t="str">
        <f>'RAW Data'!G118</f>
        <v>--</v>
      </c>
    </row>
    <row r="34" spans="2:12" x14ac:dyDescent="0.3">
      <c r="B34" s="307" t="s">
        <v>411</v>
      </c>
      <c r="C34" s="317">
        <f>'RAW Data'!C119</f>
        <v>-31149</v>
      </c>
      <c r="D34" s="317">
        <f>'RAW Data'!D119</f>
        <v>-50274</v>
      </c>
      <c r="E34" s="317">
        <f>'RAW Data'!E119</f>
        <v>-59296</v>
      </c>
      <c r="F34" s="317">
        <f>'RAW Data'!F119</f>
        <v>-61504</v>
      </c>
      <c r="G34" s="317">
        <f>'RAW Data'!G119</f>
        <v>-62222</v>
      </c>
      <c r="H34">
        <f>G34*(1+Assumtions!H16)</f>
        <v>-64213.405759348447</v>
      </c>
      <c r="I34">
        <f>H34*(1+Assumtions!I16)</f>
        <v>-70676.581239921739</v>
      </c>
      <c r="J34">
        <f>I34*(1+Assumtions!J16)</f>
        <v>-76667.98015884326</v>
      </c>
      <c r="K34">
        <f>J34*(1+Assumtions!K16)</f>
        <v>-81753.455656940961</v>
      </c>
      <c r="L34">
        <f>K34*(1+Assumtions!L16)</f>
        <v>-88226.025639492262</v>
      </c>
    </row>
    <row r="35" spans="2:12" x14ac:dyDescent="0.3">
      <c r="B35" s="307" t="s">
        <v>412</v>
      </c>
      <c r="C35" s="317" t="str">
        <f>'RAW Data'!C120</f>
        <v>--</v>
      </c>
      <c r="D35" s="317" t="str">
        <f>'RAW Data'!D120</f>
        <v>--</v>
      </c>
      <c r="E35" s="317" t="str">
        <f>'RAW Data'!E120</f>
        <v>--</v>
      </c>
      <c r="F35" s="317" t="str">
        <f>'RAW Data'!F120</f>
        <v>--</v>
      </c>
      <c r="G35" s="317">
        <v>-7363</v>
      </c>
      <c r="H35" s="317">
        <v>-7363</v>
      </c>
      <c r="I35" s="317">
        <v>-7363</v>
      </c>
      <c r="J35" s="317">
        <v>-7363</v>
      </c>
      <c r="K35" s="317">
        <v>-7363</v>
      </c>
      <c r="L35" s="317">
        <v>-7363</v>
      </c>
    </row>
    <row r="36" spans="2:12" x14ac:dyDescent="0.3">
      <c r="B36" s="307" t="s">
        <v>413</v>
      </c>
      <c r="C36" s="317" t="str">
        <f>'RAW Data'!C121</f>
        <v>--</v>
      </c>
      <c r="D36" s="317" t="str">
        <f>'RAW Data'!D121</f>
        <v>--</v>
      </c>
      <c r="E36" s="317" t="str">
        <f>'RAW Data'!E121</f>
        <v>--</v>
      </c>
      <c r="F36" s="317" t="str">
        <f>'RAW Data'!F121</f>
        <v>--</v>
      </c>
      <c r="G36" s="317">
        <f>'RAW Data'!G121</f>
        <v>-7363</v>
      </c>
    </row>
    <row r="37" spans="2:12" ht="15" thickBot="1" x14ac:dyDescent="0.35">
      <c r="B37" s="307" t="s">
        <v>414</v>
      </c>
      <c r="C37" s="317">
        <f>'RAW Data'!C122</f>
        <v>-2920</v>
      </c>
      <c r="D37" s="317">
        <f>'RAW Data'!D122</f>
        <v>-9852</v>
      </c>
      <c r="E37" s="317">
        <f>'RAW Data'!E122</f>
        <v>-9265</v>
      </c>
      <c r="F37" s="317">
        <f>'RAW Data'!F122</f>
        <v>-9829</v>
      </c>
      <c r="G37" s="317">
        <f>'RAW Data'!G122</f>
        <v>-11036</v>
      </c>
      <c r="H37" s="290">
        <f>Assumtions!V22</f>
        <v>-10043.333333333334</v>
      </c>
      <c r="I37" s="290">
        <f>Assumtions!W22</f>
        <v>-10302.777777777779</v>
      </c>
      <c r="J37" s="290">
        <f>Assumtions!X22</f>
        <v>-10460.703703703706</v>
      </c>
      <c r="K37" s="290">
        <f>Assumtions!Y22</f>
        <v>-10268.938271604939</v>
      </c>
      <c r="L37" s="290">
        <f>Assumtions!Z22</f>
        <v>-10344.139917695475</v>
      </c>
    </row>
    <row r="38" spans="2:12" x14ac:dyDescent="0.3">
      <c r="B38" s="309" t="s">
        <v>415</v>
      </c>
      <c r="C38" s="317">
        <f>'RAW Data'!C123</f>
        <v>-24408</v>
      </c>
      <c r="D38" s="317">
        <f>'RAW Data'!D123</f>
        <v>-61362</v>
      </c>
      <c r="E38" s="317">
        <f>'RAW Data'!E123</f>
        <v>-69757</v>
      </c>
      <c r="F38" s="317">
        <f>'RAW Data'!F123</f>
        <v>-72093</v>
      </c>
      <c r="G38" s="144">
        <f>G31+G32+G34+G35+G37</f>
        <v>-79733</v>
      </c>
      <c r="H38" s="144">
        <f t="shared" ref="H38:L38" si="6">H31+H32+H34+H35+H37</f>
        <v>-80731.739092681775</v>
      </c>
      <c r="I38" s="144">
        <f t="shared" si="6"/>
        <v>-87454.35901769952</v>
      </c>
      <c r="J38" s="144">
        <f t="shared" si="6"/>
        <v>-93603.683862546968</v>
      </c>
      <c r="K38" s="144">
        <f t="shared" si="6"/>
        <v>-98497.393928545906</v>
      </c>
      <c r="L38" s="144">
        <f t="shared" si="6"/>
        <v>-105045.16555718773</v>
      </c>
    </row>
    <row r="39" spans="2:12" ht="15" thickBot="1" x14ac:dyDescent="0.35">
      <c r="B39" s="307" t="s">
        <v>416</v>
      </c>
      <c r="C39" s="317">
        <f>'RAW Data'!C124</f>
        <v>24</v>
      </c>
      <c r="D39" s="317">
        <f>'RAW Data'!D124</f>
        <v>-287</v>
      </c>
      <c r="E39" s="317">
        <f>'RAW Data'!E124</f>
        <v>-506</v>
      </c>
      <c r="F39" s="317">
        <f>'RAW Data'!F124</f>
        <v>-421</v>
      </c>
      <c r="G39" s="317">
        <f>'RAW Data'!G124</f>
        <v>-612</v>
      </c>
      <c r="H39" s="361">
        <f>Assumtions!V23</f>
        <v>-513</v>
      </c>
      <c r="I39" s="361">
        <f>Assumtions!W23</f>
        <v>-515.33333333333337</v>
      </c>
      <c r="J39" s="361">
        <f>Assumtions!X23</f>
        <v>-546.77777777777783</v>
      </c>
      <c r="K39" s="361">
        <f>Assumtions!Y23</f>
        <v>-525.03703703703707</v>
      </c>
      <c r="L39" s="361">
        <f>Assumtions!Z23</f>
        <v>-529.04938271604942</v>
      </c>
    </row>
    <row r="40" spans="2:12" x14ac:dyDescent="0.3">
      <c r="B40" s="309" t="s">
        <v>417</v>
      </c>
      <c r="C40" s="317">
        <f>'RAW Data'!C125</f>
        <v>7967</v>
      </c>
      <c r="D40" s="317">
        <f>'RAW Data'!D125</f>
        <v>-5520</v>
      </c>
      <c r="E40" s="317">
        <f>'RAW Data'!E125</f>
        <v>934</v>
      </c>
      <c r="F40" s="317">
        <f>'RAW Data'!F125</f>
        <v>2169</v>
      </c>
      <c r="G40" s="144">
        <f>G21+G30+G38+G39</f>
        <v>-582</v>
      </c>
      <c r="H40" s="144">
        <f t="shared" ref="H40:L40" si="7">H21+H30+H38+H39</f>
        <v>7236.8174840934516</v>
      </c>
      <c r="I40" s="144">
        <f t="shared" si="7"/>
        <v>10042.808283895016</v>
      </c>
      <c r="J40" s="144">
        <f t="shared" si="7"/>
        <v>7102.6238053037559</v>
      </c>
      <c r="K40" s="144">
        <f t="shared" si="7"/>
        <v>11063.91348096721</v>
      </c>
      <c r="L40" s="144">
        <f t="shared" si="7"/>
        <v>11988.535506699558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1C9-A69B-4B31-810C-CEF50749F9A7}">
  <dimension ref="A1:AM31"/>
  <sheetViews>
    <sheetView showGridLines="0" topLeftCell="L3" workbookViewId="0">
      <selection activeCell="U3" sqref="U3"/>
    </sheetView>
  </sheetViews>
  <sheetFormatPr defaultRowHeight="14.4" x14ac:dyDescent="0.3"/>
  <cols>
    <col min="1" max="1" width="3.77734375" customWidth="1"/>
    <col min="2" max="2" width="35.44140625" style="354" bestFit="1" customWidth="1"/>
    <col min="3" max="3" width="11.109375" style="276" bestFit="1" customWidth="1"/>
    <col min="4" max="12" width="11.109375" style="275" bestFit="1" customWidth="1"/>
    <col min="13" max="15" width="8.88671875" style="392"/>
    <col min="16" max="16" width="42.109375" style="425" bestFit="1" customWidth="1"/>
    <col min="17" max="17" width="11.109375" style="392" bestFit="1" customWidth="1"/>
    <col min="18" max="26" width="10.77734375" style="392" customWidth="1"/>
    <col min="27" max="16384" width="8.88671875" style="392"/>
  </cols>
  <sheetData>
    <row r="1" spans="1:26" customFormat="1" x14ac:dyDescent="0.3">
      <c r="B1" t="s">
        <v>365</v>
      </c>
    </row>
    <row r="2" spans="1:26" customFormat="1" x14ac:dyDescent="0.3"/>
    <row r="3" spans="1:26" customFormat="1" x14ac:dyDescent="0.3">
      <c r="A3" t="s">
        <v>115</v>
      </c>
      <c r="B3" s="389" t="s">
        <v>366</v>
      </c>
      <c r="C3" s="331">
        <v>2020</v>
      </c>
      <c r="D3" s="331">
        <f>C3+1</f>
        <v>2021</v>
      </c>
      <c r="E3" s="331">
        <f t="shared" ref="E3:G3" si="0">D3+1</f>
        <v>2022</v>
      </c>
      <c r="F3" s="331">
        <f t="shared" si="0"/>
        <v>2023</v>
      </c>
      <c r="G3" s="331">
        <f t="shared" si="0"/>
        <v>2024</v>
      </c>
      <c r="H3" s="332">
        <v>2025</v>
      </c>
      <c r="I3" s="332">
        <f>H3+1</f>
        <v>2026</v>
      </c>
      <c r="J3" s="332">
        <f t="shared" ref="J3:L3" si="1">I3+1</f>
        <v>2027</v>
      </c>
      <c r="K3" s="332">
        <f t="shared" si="1"/>
        <v>2028</v>
      </c>
      <c r="L3" s="332">
        <f t="shared" si="1"/>
        <v>2029</v>
      </c>
      <c r="Q3" s="331">
        <v>2020</v>
      </c>
      <c r="R3" s="331">
        <f>Q3+1</f>
        <v>2021</v>
      </c>
      <c r="S3" s="331">
        <f t="shared" ref="S3" si="2">R3+1</f>
        <v>2022</v>
      </c>
      <c r="T3" s="331">
        <f t="shared" ref="T3" si="3">S3+1</f>
        <v>2023</v>
      </c>
      <c r="U3" s="331">
        <f t="shared" ref="U3" si="4">T3+1</f>
        <v>2024</v>
      </c>
      <c r="V3" s="332">
        <v>2025</v>
      </c>
      <c r="W3" s="332">
        <f>V3+1</f>
        <v>2026</v>
      </c>
      <c r="X3" s="332">
        <f t="shared" ref="X3" si="5">W3+1</f>
        <v>2027</v>
      </c>
      <c r="Y3" s="332">
        <f t="shared" ref="Y3" si="6">X3+1</f>
        <v>2028</v>
      </c>
      <c r="Z3" s="332">
        <f t="shared" ref="Z3" si="7">Y3+1</f>
        <v>2029</v>
      </c>
    </row>
    <row r="4" spans="1:26" customFormat="1" x14ac:dyDescent="0.3">
      <c r="B4" s="354" t="s">
        <v>11</v>
      </c>
      <c r="C4" s="274">
        <f>'Income Statement'!C5</f>
        <v>182527</v>
      </c>
      <c r="D4" s="274">
        <f>'Income Statement'!D5</f>
        <v>257637</v>
      </c>
      <c r="E4" s="274">
        <f>'Income Statement'!E5</f>
        <v>282836</v>
      </c>
      <c r="F4" s="274">
        <f>'Income Statement'!F5</f>
        <v>307394</v>
      </c>
      <c r="G4" s="274">
        <f>'Income Statement'!G5</f>
        <v>350018</v>
      </c>
      <c r="H4" s="391">
        <f>'Income Statement'!H5</f>
        <v>394235.78</v>
      </c>
      <c r="I4" s="391">
        <f>'Income Statement'!I5</f>
        <v>439217.15</v>
      </c>
      <c r="J4" s="391">
        <f>'Income Statement'!J5</f>
        <v>494718.10560664587</v>
      </c>
      <c r="K4" s="391">
        <f>'Income Statement'!K5</f>
        <v>555204.15742699755</v>
      </c>
      <c r="L4" s="391">
        <f>'Income Statement'!L5</f>
        <v>622332.90525321569</v>
      </c>
      <c r="P4" s="354" t="s">
        <v>372</v>
      </c>
      <c r="Q4" s="144">
        <f>'RAW Data'!C41</f>
        <v>31384</v>
      </c>
      <c r="R4" s="144">
        <f>'RAW Data'!D41</f>
        <v>39304</v>
      </c>
      <c r="S4" s="144">
        <f>'RAW Data'!E41</f>
        <v>40258</v>
      </c>
      <c r="T4" s="144">
        <f>'RAW Data'!F41</f>
        <v>47964</v>
      </c>
      <c r="U4" s="144">
        <f>'RAW Data'!G41</f>
        <v>52340</v>
      </c>
      <c r="V4" s="144">
        <f>(V5*H4)/365</f>
        <v>60901.839516457279</v>
      </c>
      <c r="W4" s="144">
        <f t="shared" ref="W4:Z4" si="8">(W5*I4)/365</f>
        <v>66316.767022531785</v>
      </c>
      <c r="X4" s="144">
        <f t="shared" si="8"/>
        <v>74541.715856914525</v>
      </c>
      <c r="Y4" s="144">
        <f t="shared" si="8"/>
        <v>84581.343694117895</v>
      </c>
      <c r="Z4" s="144">
        <f t="shared" si="8"/>
        <v>94348.455580585651</v>
      </c>
    </row>
    <row r="5" spans="1:26" customFormat="1" x14ac:dyDescent="0.3">
      <c r="B5" s="354" t="s">
        <v>367</v>
      </c>
      <c r="C5" s="363" t="str">
        <f>'Income Statement'!C6</f>
        <v>--</v>
      </c>
      <c r="D5" s="363">
        <f>'Income Statement'!D6</f>
        <v>0.41150076427049154</v>
      </c>
      <c r="E5" s="363">
        <f>'Income Statement'!E6</f>
        <v>9.7808156437157789E-2</v>
      </c>
      <c r="F5" s="363">
        <f>'Income Statement'!F6</f>
        <v>8.6827702272695095E-2</v>
      </c>
      <c r="G5" s="363">
        <f>'Income Statement'!G6</f>
        <v>0.13866243322901561</v>
      </c>
      <c r="H5" s="388">
        <f>'Income Statement'!H6</f>
        <v>0.12633001731339544</v>
      </c>
      <c r="I5" s="388">
        <f>'Income Statement'!I6</f>
        <v>0.11409763466928347</v>
      </c>
      <c r="J5" s="388">
        <f>AVERAGE(G5:I5)</f>
        <v>0.12636336173723151</v>
      </c>
      <c r="K5" s="388">
        <f t="shared" ref="K5:L5" si="9">AVERAGE(H5:J5)</f>
        <v>0.12226367123997013</v>
      </c>
      <c r="L5" s="388">
        <f t="shared" si="9"/>
        <v>0.12090822254882837</v>
      </c>
      <c r="P5" s="354" t="s">
        <v>371</v>
      </c>
      <c r="Q5" s="144">
        <f>(Q4/C4)*365</f>
        <v>62.758715148991655</v>
      </c>
      <c r="R5" s="144">
        <f t="shared" ref="R5:U5" si="10">(R4/D4)*365</f>
        <v>55.682840585785428</v>
      </c>
      <c r="S5" s="144">
        <f t="shared" si="10"/>
        <v>51.952969211840077</v>
      </c>
      <c r="T5" s="144">
        <f t="shared" si="10"/>
        <v>56.95251045888989</v>
      </c>
      <c r="U5" s="144">
        <f t="shared" si="10"/>
        <v>54.580335868441054</v>
      </c>
      <c r="V5" s="144">
        <f>AVERAGE(Q5:U5)</f>
        <v>56.385474254789621</v>
      </c>
      <c r="W5" s="144">
        <f t="shared" ref="W5:Z5" si="11">AVERAGE(R5:V5)</f>
        <v>55.11082607594922</v>
      </c>
      <c r="X5" s="144">
        <f t="shared" si="11"/>
        <v>54.996423173981974</v>
      </c>
      <c r="Y5" s="144">
        <f t="shared" si="11"/>
        <v>55.60511396641035</v>
      </c>
      <c r="Z5" s="144">
        <f t="shared" si="11"/>
        <v>55.335634667914448</v>
      </c>
    </row>
    <row r="6" spans="1:26" customFormat="1" x14ac:dyDescent="0.3">
      <c r="B6" s="354"/>
      <c r="C6" s="276"/>
      <c r="D6" s="276"/>
      <c r="E6" s="276"/>
      <c r="F6" s="276"/>
      <c r="G6" s="276"/>
      <c r="H6" s="362"/>
      <c r="I6" s="276"/>
      <c r="J6" s="276"/>
      <c r="K6" s="276"/>
      <c r="L6" s="276"/>
      <c r="P6" s="354" t="s">
        <v>373</v>
      </c>
      <c r="Q6" s="144">
        <f>'RAW Data'!C58</f>
        <v>5589</v>
      </c>
      <c r="R6" s="144">
        <f>'RAW Data'!D58</f>
        <v>6037</v>
      </c>
      <c r="S6" s="144">
        <f>'RAW Data'!E58</f>
        <v>5128</v>
      </c>
      <c r="T6" s="144">
        <f>'RAW Data'!F58</f>
        <v>7493</v>
      </c>
      <c r="U6" s="144">
        <f>'RAW Data'!G58</f>
        <v>7987</v>
      </c>
      <c r="V6" s="144">
        <f>(V7*H7)/365</f>
        <v>9271.9885112727588</v>
      </c>
      <c r="W6" s="144">
        <f t="shared" ref="W6:Z6" si="12">(W7*I7)/365</f>
        <v>9785.7271443830286</v>
      </c>
      <c r="X6" s="144">
        <f t="shared" si="12"/>
        <v>10873.806329234982</v>
      </c>
      <c r="Y6" s="144">
        <f t="shared" si="12"/>
        <v>12802.889682873052</v>
      </c>
      <c r="Z6" s="144">
        <f t="shared" si="12"/>
        <v>14180.001458557248</v>
      </c>
    </row>
    <row r="7" spans="1:26" customFormat="1" x14ac:dyDescent="0.3">
      <c r="B7" s="354" t="s">
        <v>62</v>
      </c>
      <c r="C7" s="274">
        <f>'RAW Data'!C6</f>
        <v>84732</v>
      </c>
      <c r="D7" s="274">
        <f>'RAW Data'!D6</f>
        <v>110939</v>
      </c>
      <c r="E7" s="274">
        <f>'RAW Data'!E6</f>
        <v>126203</v>
      </c>
      <c r="F7" s="274">
        <f>'RAW Data'!F6</f>
        <v>133332</v>
      </c>
      <c r="G7" s="274">
        <f>'RAW Data'!G6</f>
        <v>146306</v>
      </c>
      <c r="H7" s="274">
        <f>(1-H9)*H4</f>
        <v>170566.20760114511</v>
      </c>
      <c r="I7" s="274">
        <f t="shared" ref="I7:L7" si="13">(1-I9)*I4</f>
        <v>188042.83094092921</v>
      </c>
      <c r="J7" s="274">
        <f t="shared" si="13"/>
        <v>210878.15997186609</v>
      </c>
      <c r="K7" s="274">
        <f t="shared" si="13"/>
        <v>238190.22385538247</v>
      </c>
      <c r="L7" s="274">
        <f t="shared" si="13"/>
        <v>266235.01220482111</v>
      </c>
      <c r="P7" s="354" t="s">
        <v>374</v>
      </c>
      <c r="Q7" s="144">
        <f>(Q6/C7)*365</f>
        <v>24.075732899022803</v>
      </c>
      <c r="R7" s="144">
        <f t="shared" ref="R7:U7" si="14">(R6/D7)*365</f>
        <v>19.862311720855605</v>
      </c>
      <c r="S7" s="144">
        <f t="shared" si="14"/>
        <v>14.83102620381449</v>
      </c>
      <c r="T7" s="144">
        <f t="shared" si="14"/>
        <v>20.512292622926228</v>
      </c>
      <c r="U7" s="144">
        <f t="shared" si="14"/>
        <v>19.925737837135866</v>
      </c>
      <c r="V7" s="144">
        <f>AVERAGE(Q7:U7)</f>
        <v>19.841420256751</v>
      </c>
      <c r="W7" s="144">
        <f t="shared" ref="W7" si="15">AVERAGE(R7:V7)</f>
        <v>18.994557728296638</v>
      </c>
      <c r="X7" s="144">
        <f t="shared" ref="X7" si="16">AVERAGE(S7:W7)</f>
        <v>18.821006929784843</v>
      </c>
      <c r="Y7" s="144">
        <f t="shared" ref="Y7" si="17">AVERAGE(T7:X7)</f>
        <v>19.619003074978913</v>
      </c>
      <c r="Z7" s="144">
        <f t="shared" ref="Z7" si="18">AVERAGE(U7:Y7)</f>
        <v>19.440345165389452</v>
      </c>
    </row>
    <row r="8" spans="1:26" customFormat="1" x14ac:dyDescent="0.3">
      <c r="B8" s="390" t="s">
        <v>63</v>
      </c>
      <c r="C8" s="274">
        <f>'RAW Data'!C7</f>
        <v>97795</v>
      </c>
      <c r="D8" s="274">
        <f>'RAW Data'!D7</f>
        <v>146698</v>
      </c>
      <c r="E8" s="274">
        <f>'RAW Data'!E7</f>
        <v>156633</v>
      </c>
      <c r="F8" s="274">
        <f>'RAW Data'!F7</f>
        <v>174062</v>
      </c>
      <c r="G8" s="274">
        <f>'RAW Data'!G7</f>
        <v>203712</v>
      </c>
      <c r="H8" s="274">
        <f>H9*H4</f>
        <v>223669.57239885491</v>
      </c>
      <c r="I8" s="274">
        <f t="shared" ref="I8:L8" si="19">I9*I4</f>
        <v>251174.31905907081</v>
      </c>
      <c r="J8" s="274">
        <f t="shared" si="19"/>
        <v>283839.94563477981</v>
      </c>
      <c r="K8" s="274">
        <f t="shared" si="19"/>
        <v>317013.93357161508</v>
      </c>
      <c r="L8" s="274">
        <f t="shared" si="19"/>
        <v>356097.89304839459</v>
      </c>
      <c r="P8" s="354" t="s">
        <v>376</v>
      </c>
      <c r="Q8" s="144">
        <f>(Q4+'Balance Sheet'!C10+'Balance Sheet'!C11)-('Balance Sheet'!C25+'Balance Sheet'!C26+'Balance Sheet'!C32)</f>
        <v>-12410</v>
      </c>
      <c r="R8" s="144">
        <f>(R4+'Balance Sheet'!D10+'Balance Sheet'!D11)-('Balance Sheet'!D25+'Balance Sheet'!D26+'Balance Sheet'!D32)</f>
        <v>-10170</v>
      </c>
      <c r="S8" s="144">
        <f>(S4+'Balance Sheet'!E11)-('Balance Sheet'!E25+'Balance Sheet'!E26+'Balance Sheet'!E32)</f>
        <v>-9952</v>
      </c>
      <c r="T8" s="144">
        <f>(T4+'Balance Sheet'!F11)-('Balance Sheet'!F25+'Balance Sheet'!F26+'Balance Sheet'!F32)</f>
        <v>-10241</v>
      </c>
      <c r="U8" s="144">
        <f>(U4+'Balance Sheet'!G11)-('Balance Sheet'!G25+'Balance Sheet'!G26+'Balance Sheet'!G32)</f>
        <v>-9006</v>
      </c>
      <c r="V8" s="144">
        <f>(V4+'Balance Sheet'!H10+'Balance Sheet'!H11)-('Balance Sheet'!H25+'Balance Sheet'!H26+'Balance Sheet'!H32)</f>
        <v>-18838.725446274198</v>
      </c>
      <c r="W8" s="144">
        <f>(W4+'Balance Sheet'!I10+'Balance Sheet'!I11)-('Balance Sheet'!I25+'Balance Sheet'!I26+'Balance Sheet'!I32)</f>
        <v>-18302.536407216248</v>
      </c>
      <c r="X8" s="144">
        <f>(X4+'Balance Sheet'!J10+'Balance Sheet'!J11)-('Balance Sheet'!J25+'Balance Sheet'!J26+'Balance Sheet'!J32)</f>
        <v>-18861.920223813795</v>
      </c>
      <c r="Y8" s="144">
        <f>(Y4+'Balance Sheet'!K10+'Balance Sheet'!K11)-('Balance Sheet'!K25+'Balance Sheet'!K26+'Balance Sheet'!K32)</f>
        <v>-22118.067751249226</v>
      </c>
      <c r="Z8" s="144">
        <f>(Z4+'Balance Sheet'!L10+'Balance Sheet'!L11)-('Balance Sheet'!L25+'Balance Sheet'!L26+'Balance Sheet'!L32)</f>
        <v>-24673.605131292104</v>
      </c>
    </row>
    <row r="9" spans="1:26" customFormat="1" x14ac:dyDescent="0.3">
      <c r="B9" s="354" t="s">
        <v>355</v>
      </c>
      <c r="C9" s="363">
        <f>C8/C4</f>
        <v>0.53578374706207854</v>
      </c>
      <c r="D9" s="363">
        <f t="shared" ref="D9:G9" si="20">D8/D4</f>
        <v>0.5693980290098084</v>
      </c>
      <c r="E9" s="363">
        <f t="shared" si="20"/>
        <v>0.55379442503783116</v>
      </c>
      <c r="F9" s="363">
        <f t="shared" si="20"/>
        <v>0.56625047984020505</v>
      </c>
      <c r="G9" s="363">
        <f t="shared" si="20"/>
        <v>0.58200435406179107</v>
      </c>
      <c r="H9" s="363">
        <f>AVERAGE(E9:G9)</f>
        <v>0.56734975297994239</v>
      </c>
      <c r="I9" s="363">
        <f t="shared" ref="I9:L9" si="21">AVERAGE(F9:H9)</f>
        <v>0.57186819562731284</v>
      </c>
      <c r="J9" s="363">
        <f t="shared" si="21"/>
        <v>0.57374076755634873</v>
      </c>
      <c r="K9" s="363">
        <f t="shared" si="21"/>
        <v>0.57098623872120136</v>
      </c>
      <c r="L9" s="363">
        <f t="shared" si="21"/>
        <v>0.57219840063495431</v>
      </c>
      <c r="P9" s="424" t="s">
        <v>375</v>
      </c>
      <c r="Q9" s="144"/>
      <c r="R9" s="144">
        <f>(R8)-(Q8)</f>
        <v>2240</v>
      </c>
      <c r="S9" s="144">
        <f t="shared" ref="S9:Z9" si="22">(S8)-(R8)</f>
        <v>218</v>
      </c>
      <c r="T9" s="144">
        <f t="shared" si="22"/>
        <v>-289</v>
      </c>
      <c r="U9" s="144">
        <f t="shared" si="22"/>
        <v>1235</v>
      </c>
      <c r="V9" s="144">
        <f t="shared" si="22"/>
        <v>-9832.7254462741985</v>
      </c>
      <c r="W9" s="144">
        <f t="shared" si="22"/>
        <v>536.18903905795014</v>
      </c>
      <c r="X9" s="144">
        <f t="shared" si="22"/>
        <v>-559.38381659754668</v>
      </c>
      <c r="Y9" s="144">
        <f t="shared" si="22"/>
        <v>-3256.1475274354307</v>
      </c>
      <c r="Z9" s="144">
        <f t="shared" si="22"/>
        <v>-2555.5373800428788</v>
      </c>
    </row>
    <row r="10" spans="1:26" x14ac:dyDescent="0.3">
      <c r="P10" s="425" t="s">
        <v>378</v>
      </c>
      <c r="Q10" s="328">
        <f>'RAW Data'!C49/'RAW Data'!C5</f>
        <v>-0.22853057355898032</v>
      </c>
      <c r="R10" s="328">
        <f>'RAW Data'!D49/'RAW Data'!D5</f>
        <v>-0.19179698568140446</v>
      </c>
      <c r="S10" s="328">
        <f>'RAW Data'!E49/'RAW Data'!E5</f>
        <v>-0.20874994696573279</v>
      </c>
      <c r="T10" s="328">
        <f>'RAW Data'!F49/'RAW Data'!F5</f>
        <v>-0.21945125799462578</v>
      </c>
      <c r="U10" s="328">
        <f>'RAW Data'!G49/'RAW Data'!G5</f>
        <v>-0.22681690655909126</v>
      </c>
      <c r="V10" s="328">
        <f>AVERAGE(S10:U10)</f>
        <v>-0.21833937050648325</v>
      </c>
      <c r="W10" s="328">
        <f t="shared" ref="W10:Z10" si="23">AVERAGE(T10:V10)</f>
        <v>-0.22153584502006676</v>
      </c>
      <c r="X10" s="328">
        <f t="shared" si="23"/>
        <v>-0.22223070736188041</v>
      </c>
      <c r="Y10" s="328">
        <f t="shared" si="23"/>
        <v>-0.22070197429614347</v>
      </c>
      <c r="Z10" s="328">
        <f t="shared" si="23"/>
        <v>-0.22148950889269689</v>
      </c>
    </row>
    <row r="11" spans="1:26" x14ac:dyDescent="0.3">
      <c r="B11" s="354" t="s">
        <v>368</v>
      </c>
      <c r="C11" s="276">
        <f>'RAW Data'!C11</f>
        <v>56571</v>
      </c>
      <c r="D11" s="276">
        <f>'RAW Data'!D11</f>
        <v>67984</v>
      </c>
      <c r="E11" s="276">
        <f>'RAW Data'!E11</f>
        <v>81791</v>
      </c>
      <c r="F11" s="276">
        <f>'RAW Data'!F11</f>
        <v>89769</v>
      </c>
      <c r="G11" s="276">
        <f>'RAW Data'!G11</f>
        <v>91322</v>
      </c>
      <c r="H11" s="274">
        <f>H13*H4</f>
        <v>110664.7002493797</v>
      </c>
      <c r="I11" s="274">
        <f t="shared" ref="I11:L11" si="24">I13*I4</f>
        <v>122050.51791797885</v>
      </c>
      <c r="J11" s="274">
        <f t="shared" si="24"/>
        <v>135139.74104257653</v>
      </c>
      <c r="K11" s="274">
        <f t="shared" si="24"/>
        <v>153931.0895514274</v>
      </c>
      <c r="L11" s="274">
        <f t="shared" si="24"/>
        <v>171825.78691301003</v>
      </c>
      <c r="P11" s="425" t="s">
        <v>380</v>
      </c>
      <c r="Q11" s="328">
        <f>'RAW Data'!C108/'RAW Data'!C5</f>
        <v>-0.12206961161910293</v>
      </c>
      <c r="R11" s="328">
        <f>'RAW Data'!D108/'RAW Data'!D5</f>
        <v>-9.5638437025737766E-2</v>
      </c>
      <c r="S11" s="328">
        <f>'RAW Data'!E108/'RAW Data'!E5</f>
        <v>-0.11131892686928113</v>
      </c>
      <c r="T11" s="328">
        <f>'RAW Data'!F108/'RAW Data'!F5</f>
        <v>-0.10491746748472644</v>
      </c>
      <c r="U11" s="328">
        <f>'RAW Data'!G108/'RAW Data'!G5</f>
        <v>-0.15009228096840735</v>
      </c>
      <c r="V11" s="328">
        <f>AVERAGE(S11:U11)</f>
        <v>-0.12210955844080497</v>
      </c>
      <c r="W11" s="328">
        <f t="shared" ref="W11:Z11" si="25">AVERAGE(T11:V11)</f>
        <v>-0.12570643563131292</v>
      </c>
      <c r="X11" s="328">
        <f t="shared" si="25"/>
        <v>-0.13263609168017509</v>
      </c>
      <c r="Y11" s="328">
        <f t="shared" si="25"/>
        <v>-0.12681736191743101</v>
      </c>
      <c r="Z11" s="328">
        <f t="shared" si="25"/>
        <v>-0.12838662974297299</v>
      </c>
    </row>
    <row r="12" spans="1:26" x14ac:dyDescent="0.3">
      <c r="D12" s="276"/>
      <c r="E12" s="276"/>
      <c r="F12" s="276"/>
      <c r="G12" s="276"/>
      <c r="H12" s="274"/>
      <c r="I12" s="274"/>
      <c r="J12" s="274"/>
      <c r="K12" s="274"/>
      <c r="L12" s="274"/>
      <c r="P12" s="2" t="s">
        <v>85</v>
      </c>
      <c r="Q12" s="273">
        <f>'RAW Data'!C92</f>
        <v>13679</v>
      </c>
      <c r="R12" s="273">
        <f>'RAW Data'!D92</f>
        <v>10273</v>
      </c>
      <c r="S12" s="273">
        <f>'RAW Data'!E92</f>
        <v>13475</v>
      </c>
      <c r="T12" s="273">
        <f>'RAW Data'!F92</f>
        <v>11946</v>
      </c>
      <c r="U12" s="273">
        <f>'RAW Data'!G92</f>
        <v>15311</v>
      </c>
      <c r="V12" s="328"/>
      <c r="W12" s="328"/>
      <c r="X12" s="328"/>
      <c r="Y12" s="328"/>
      <c r="Z12" s="273"/>
    </row>
    <row r="13" spans="1:26" x14ac:dyDescent="0.3">
      <c r="B13" s="354" t="s">
        <v>369</v>
      </c>
      <c r="C13" s="363">
        <f>C11/C4</f>
        <v>0.30993222920444646</v>
      </c>
      <c r="D13" s="363">
        <f t="shared" ref="D13:G13" si="26">D11/D4</f>
        <v>0.26387514215737645</v>
      </c>
      <c r="E13" s="363">
        <f t="shared" si="26"/>
        <v>0.289181716613161</v>
      </c>
      <c r="F13" s="363">
        <f t="shared" si="26"/>
        <v>0.29203237538793858</v>
      </c>
      <c r="G13" s="363">
        <f t="shared" si="26"/>
        <v>0.26090658194721417</v>
      </c>
      <c r="H13" s="363">
        <f>AVERAGE(E13:G13)</f>
        <v>0.28070689131610455</v>
      </c>
      <c r="I13" s="363">
        <f t="shared" ref="I13:L13" si="27">AVERAGE(F13:H13)</f>
        <v>0.27788194955041906</v>
      </c>
      <c r="J13" s="363">
        <f t="shared" si="27"/>
        <v>0.27316514093791255</v>
      </c>
      <c r="K13" s="363">
        <f t="shared" si="27"/>
        <v>0.27725132726814539</v>
      </c>
      <c r="L13" s="363">
        <f t="shared" si="27"/>
        <v>0.27609947258549233</v>
      </c>
      <c r="P13" s="2" t="s">
        <v>382</v>
      </c>
      <c r="Q13" s="328">
        <f>Q12/C4</f>
        <v>7.4942337298043574E-2</v>
      </c>
      <c r="R13" s="328">
        <f>R12/D4</f>
        <v>3.9873931151193344E-2</v>
      </c>
      <c r="S13" s="328">
        <f>S12/E4</f>
        <v>4.764245004172029E-2</v>
      </c>
      <c r="T13" s="328">
        <f>T12/F4</f>
        <v>3.8862176880485634E-2</v>
      </c>
      <c r="U13" s="328">
        <f>U12/G4</f>
        <v>4.3743464621819446E-2</v>
      </c>
      <c r="V13" s="328">
        <f>AVERAGE(S13:U13)</f>
        <v>4.3416030514675123E-2</v>
      </c>
      <c r="W13" s="328">
        <f>AVERAGE(T13:V13)</f>
        <v>4.2007224005660065E-2</v>
      </c>
      <c r="X13" s="328">
        <f>AVERAGE(U13:W13)</f>
        <v>4.3055573047384881E-2</v>
      </c>
      <c r="Y13" s="328">
        <f>AVERAGE(V13:X13)</f>
        <v>4.2826275855906697E-2</v>
      </c>
      <c r="Z13" s="328">
        <f>AVERAGE(W13:Y13)</f>
        <v>4.2629690969650552E-2</v>
      </c>
    </row>
    <row r="14" spans="1:26" x14ac:dyDescent="0.3">
      <c r="B14" s="354" t="s">
        <v>24</v>
      </c>
      <c r="C14" s="363">
        <f>'RAW Data'!C15/'RAW Data'!C14</f>
        <v>0.16249324071378063</v>
      </c>
      <c r="D14" s="363">
        <f>'RAW Data'!D15/'RAW Data'!D14</f>
        <v>0.16202305640663919</v>
      </c>
      <c r="E14" s="363">
        <f>'RAW Data'!E15/'RAW Data'!E14</f>
        <v>0.1592081650964558</v>
      </c>
      <c r="F14" s="363">
        <f>'RAW Data'!F15/'RAW Data'!F14</f>
        <v>0.13908559562280529</v>
      </c>
      <c r="G14" s="363">
        <f>'RAW Data'!G15/'RAW Data'!G14</f>
        <v>0.16439510912657013</v>
      </c>
      <c r="H14" s="363">
        <v>0.17299999999999999</v>
      </c>
      <c r="I14" s="363">
        <f t="shared" ref="I14:L14" si="28">AVERAGE(F14:H14)</f>
        <v>0.15882690158312512</v>
      </c>
      <c r="J14" s="363">
        <f t="shared" si="28"/>
        <v>0.16540733690323176</v>
      </c>
      <c r="K14" s="363">
        <f t="shared" si="28"/>
        <v>0.16574474616211896</v>
      </c>
      <c r="L14" s="363">
        <f t="shared" si="28"/>
        <v>0.16332632821615864</v>
      </c>
      <c r="P14" s="425" t="s">
        <v>383</v>
      </c>
      <c r="Q14" s="392">
        <v>12991</v>
      </c>
      <c r="R14" s="392">
        <v>15376</v>
      </c>
      <c r="S14" s="392">
        <v>19362</v>
      </c>
      <c r="T14" s="275">
        <v>22460</v>
      </c>
      <c r="U14" s="392">
        <v>22785</v>
      </c>
      <c r="V14" s="392">
        <f>V15*H4</f>
        <v>27152.216857385945</v>
      </c>
      <c r="W14" s="392">
        <f t="shared" ref="W14:Z14" si="29">W15*I4</f>
        <v>30311.185150859797</v>
      </c>
      <c r="X14" s="392">
        <f t="shared" si="29"/>
        <v>33472.880330312772</v>
      </c>
      <c r="Y14" s="392">
        <f t="shared" si="29"/>
        <v>38039.886115107241</v>
      </c>
      <c r="Z14" s="392">
        <f t="shared" si="29"/>
        <v>42564.975037825199</v>
      </c>
    </row>
    <row r="15" spans="1:26" x14ac:dyDescent="0.3">
      <c r="B15" s="354" t="s">
        <v>162</v>
      </c>
      <c r="C15" s="274">
        <f>'Income Statement'!C21</f>
        <v>40269</v>
      </c>
      <c r="D15" s="274">
        <f>'Income Statement'!D21</f>
        <v>76033</v>
      </c>
      <c r="E15" s="274">
        <f>'Income Statement'!E21</f>
        <v>59972</v>
      </c>
      <c r="F15" s="274">
        <f>'Income Statement'!F21</f>
        <v>73795</v>
      </c>
      <c r="G15" s="274">
        <f>'Income Statement'!G21</f>
        <v>100118</v>
      </c>
      <c r="H15" s="274">
        <f>'Income Statement'!H21</f>
        <v>103322.26154438057</v>
      </c>
      <c r="I15" s="274">
        <f>'Income Statement'!I21</f>
        <v>113721.80194430401</v>
      </c>
      <c r="J15" s="274">
        <f>'Income Statement'!J21</f>
        <v>123362.23261134437</v>
      </c>
      <c r="K15" s="274">
        <f>'Income Statement'!K21</f>
        <v>131544.9916984606</v>
      </c>
      <c r="L15" s="274">
        <f>'Income Statement'!L21</f>
        <v>141959.64827512272</v>
      </c>
      <c r="P15" s="425" t="s">
        <v>419</v>
      </c>
      <c r="Q15" s="328">
        <f>Q14/C4</f>
        <v>7.1173031935001393E-2</v>
      </c>
      <c r="R15" s="328">
        <f t="shared" ref="R15:U15" si="30">R14/D4</f>
        <v>5.9680868819307786E-2</v>
      </c>
      <c r="S15" s="328">
        <f t="shared" si="30"/>
        <v>6.8456632111895233E-2</v>
      </c>
      <c r="T15" s="328">
        <f t="shared" si="30"/>
        <v>7.3065837329290742E-2</v>
      </c>
      <c r="U15" s="328">
        <f t="shared" si="30"/>
        <v>6.5096652172174002E-2</v>
      </c>
      <c r="V15" s="328">
        <f>AVERAGE(S15:U15)</f>
        <v>6.8873040537786659E-2</v>
      </c>
      <c r="W15" s="328">
        <f t="shared" ref="W15:Z15" si="31">AVERAGE(T15:V15)</f>
        <v>6.9011843346417134E-2</v>
      </c>
      <c r="X15" s="328">
        <f t="shared" si="31"/>
        <v>6.7660512018792598E-2</v>
      </c>
      <c r="Y15" s="328">
        <f t="shared" si="31"/>
        <v>6.8515131967665455E-2</v>
      </c>
      <c r="Z15" s="328">
        <f t="shared" si="31"/>
        <v>6.8395829110958387E-2</v>
      </c>
    </row>
    <row r="16" spans="1:26" x14ac:dyDescent="0.3">
      <c r="B16" s="354" t="s">
        <v>432</v>
      </c>
      <c r="C16" s="375" t="s">
        <v>112</v>
      </c>
      <c r="D16" s="363">
        <f>D15/C15-1</f>
        <v>0.88812734361419454</v>
      </c>
      <c r="E16" s="363">
        <f t="shared" ref="E16:L16" si="32">E15/D15-1</f>
        <v>-0.21123722594136751</v>
      </c>
      <c r="F16" s="363">
        <f t="shared" si="32"/>
        <v>0.23049089575135073</v>
      </c>
      <c r="G16" s="363">
        <f t="shared" si="32"/>
        <v>0.35670438376583768</v>
      </c>
      <c r="H16" s="363">
        <f t="shared" si="32"/>
        <v>3.2004849721134709E-2</v>
      </c>
      <c r="I16" s="363">
        <f t="shared" si="32"/>
        <v>0.10065149798774464</v>
      </c>
      <c r="J16" s="363">
        <f t="shared" si="32"/>
        <v>8.4772053398888492E-2</v>
      </c>
      <c r="K16" s="363">
        <f t="shared" si="32"/>
        <v>6.633115268670764E-2</v>
      </c>
      <c r="L16" s="363">
        <f t="shared" si="32"/>
        <v>7.9171821307614243E-2</v>
      </c>
      <c r="P16" s="425" t="s">
        <v>384</v>
      </c>
      <c r="Q16" s="434" t="s">
        <v>112</v>
      </c>
      <c r="R16" s="392">
        <f>'Balance Sheet'!D26-'Balance Sheet'!C26</f>
        <v>7467</v>
      </c>
      <c r="S16" s="392">
        <f>'Balance Sheet'!E26-'Balance Sheet'!D26</f>
        <v>3831</v>
      </c>
      <c r="T16" s="392">
        <f>'Balance Sheet'!F26-'Balance Sheet'!E26</f>
        <v>4399</v>
      </c>
      <c r="U16" s="392">
        <f>'Balance Sheet'!G26-'Balance Sheet'!F26</f>
        <v>5399</v>
      </c>
      <c r="V16" s="392">
        <f>'Balance Sheet'!H26-'Balance Sheet'!G26</f>
        <v>8798.7025148319372</v>
      </c>
      <c r="W16" s="392">
        <f>'Balance Sheet'!I26-'Balance Sheet'!H26</f>
        <v>5179.2366764993931</v>
      </c>
      <c r="X16" s="392">
        <f>'Balance Sheet'!J26-'Balance Sheet'!I26</f>
        <v>5954.0901186889459</v>
      </c>
      <c r="Y16" s="392">
        <f>'Balance Sheet'!K26-'Balance Sheet'!J26</f>
        <v>8547.9009264599372</v>
      </c>
      <c r="Z16" s="392">
        <f>'Balance Sheet'!L26-'Balance Sheet'!K26</f>
        <v>8140.0278475888044</v>
      </c>
    </row>
    <row r="17" spans="2:39" x14ac:dyDescent="0.3">
      <c r="B17" s="426"/>
      <c r="P17" s="425" t="s">
        <v>385</v>
      </c>
      <c r="R17" s="392">
        <f>'Balance Sheet'!D31-'Balance Sheet'!C31</f>
        <v>745</v>
      </c>
      <c r="S17" s="392">
        <f>'Balance Sheet'!E31-'Balance Sheet'!D31</f>
        <v>620</v>
      </c>
      <c r="T17" s="392">
        <f>'Balance Sheet'!F31-'Balance Sheet'!E31</f>
        <v>229</v>
      </c>
      <c r="U17" s="392">
        <f>'Balance Sheet'!G31-'Balance Sheet'!F31</f>
        <v>899</v>
      </c>
      <c r="V17" s="392">
        <f>'Balance Sheet'!H31-'Balance Sheet'!G31</f>
        <v>636.19796719025908</v>
      </c>
      <c r="W17" s="392">
        <f>'Balance Sheet'!I31-'Balance Sheet'!H31</f>
        <v>647.18437143232586</v>
      </c>
      <c r="X17" s="392">
        <f>'Balance Sheet'!J31-'Balance Sheet'!I31</f>
        <v>798.53839641123704</v>
      </c>
      <c r="Y17" s="392">
        <f>'Balance Sheet'!K31-'Balance Sheet'!J31</f>
        <v>870.26312066034006</v>
      </c>
      <c r="Z17" s="392">
        <f>'Balance Sheet'!L31-'Balance Sheet'!K31</f>
        <v>965.83711138522813</v>
      </c>
    </row>
    <row r="18" spans="2:39" x14ac:dyDescent="0.3">
      <c r="P18" s="425" t="s">
        <v>421</v>
      </c>
      <c r="Q18" s="392">
        <v>42843</v>
      </c>
      <c r="R18" s="392">
        <v>67012</v>
      </c>
      <c r="S18" s="392">
        <v>60010</v>
      </c>
      <c r="T18" s="392">
        <v>69495</v>
      </c>
      <c r="U18" s="392">
        <v>72764</v>
      </c>
      <c r="V18" s="273">
        <f>V19*H4</f>
        <v>84910.082976590405</v>
      </c>
      <c r="W18" s="273">
        <f t="shared" ref="W18:Z18" si="33">W19*I4</f>
        <v>95067.574197962065</v>
      </c>
      <c r="X18" s="273">
        <f t="shared" si="33"/>
        <v>105492.56111663373</v>
      </c>
      <c r="Y18" s="273">
        <f t="shared" si="33"/>
        <v>119380.81784451954</v>
      </c>
      <c r="Z18" s="273">
        <f t="shared" si="33"/>
        <v>133740.78738091013</v>
      </c>
    </row>
    <row r="19" spans="2:39" x14ac:dyDescent="0.3">
      <c r="P19" s="425" t="s">
        <v>430</v>
      </c>
      <c r="Q19" s="328">
        <f>Q18/C4</f>
        <v>0.23472143847211646</v>
      </c>
      <c r="R19" s="328">
        <f t="shared" ref="R19:U19" si="34">R18/D4</f>
        <v>0.26010239212535469</v>
      </c>
      <c r="S19" s="328">
        <f t="shared" si="34"/>
        <v>0.21217242500954617</v>
      </c>
      <c r="T19" s="328">
        <f t="shared" si="34"/>
        <v>0.22607793255561268</v>
      </c>
      <c r="U19" s="328">
        <f t="shared" si="34"/>
        <v>0.20788645155392008</v>
      </c>
      <c r="V19" s="328">
        <f>AVERAGE(S19:U19)</f>
        <v>0.2153789363730263</v>
      </c>
      <c r="W19" s="328">
        <f t="shared" ref="W19:Z19" si="35">AVERAGE(T19:V19)</f>
        <v>0.21644777349418634</v>
      </c>
      <c r="X19" s="328">
        <f t="shared" si="35"/>
        <v>0.2132377204737109</v>
      </c>
      <c r="Y19" s="328">
        <f t="shared" si="35"/>
        <v>0.21502147678030784</v>
      </c>
      <c r="Z19" s="328">
        <f t="shared" si="35"/>
        <v>0.21490232358273501</v>
      </c>
    </row>
    <row r="20" spans="2:39" x14ac:dyDescent="0.3">
      <c r="P20" s="425" t="s">
        <v>420</v>
      </c>
      <c r="Q20" s="434" t="s">
        <v>112</v>
      </c>
      <c r="R20" s="328">
        <f>R18/Q18-1</f>
        <v>0.56412949606703555</v>
      </c>
      <c r="S20" s="328">
        <f t="shared" ref="S20:Z20" si="36">S18/R18-1</f>
        <v>-0.10448874828388943</v>
      </c>
      <c r="T20" s="328">
        <f t="shared" si="36"/>
        <v>0.15805699050158317</v>
      </c>
      <c r="U20" s="328">
        <f t="shared" si="36"/>
        <v>4.7039355349305811E-2</v>
      </c>
      <c r="V20" s="328">
        <f t="shared" si="36"/>
        <v>0.16692434413433022</v>
      </c>
      <c r="W20" s="328">
        <f t="shared" si="36"/>
        <v>0.11962644323610028</v>
      </c>
      <c r="X20" s="328">
        <f t="shared" si="36"/>
        <v>0.10965870336570704</v>
      </c>
      <c r="Y20" s="328">
        <f t="shared" si="36"/>
        <v>0.13165152671315661</v>
      </c>
      <c r="Z20" s="328">
        <f t="shared" si="36"/>
        <v>0.1202870762293895</v>
      </c>
    </row>
    <row r="21" spans="2:39" ht="15" thickBot="1" x14ac:dyDescent="0.35">
      <c r="P21" s="448" t="s">
        <v>431</v>
      </c>
      <c r="Q21" s="449">
        <f>'Balance Sheet'!C5/('Balance Sheet'!C4+'Balance Sheet'!C5)</f>
        <v>0.80639238006057323</v>
      </c>
      <c r="R21" s="449">
        <f>'Balance Sheet'!D5/('Balance Sheet'!D4+'Balance Sheet'!D5)</f>
        <v>0.8500168279042456</v>
      </c>
      <c r="S21" s="449">
        <f>'Balance Sheet'!E5/('Balance Sheet'!E4+'Balance Sheet'!E5)</f>
        <v>0.8076774318313672</v>
      </c>
      <c r="T21" s="449">
        <f>'Balance Sheet'!F5/('Balance Sheet'!F4+'Balance Sheet'!F5)</f>
        <v>0.78318727685816292</v>
      </c>
      <c r="U21" s="449">
        <f>'Balance Sheet'!G5/('Balance Sheet'!G4+'Balance Sheet'!G5)</f>
        <v>0.75468601356931542</v>
      </c>
      <c r="V21" s="449"/>
      <c r="W21" s="449"/>
      <c r="X21" s="449"/>
      <c r="Y21" s="449"/>
      <c r="Z21" s="449"/>
      <c r="AC21" s="392" t="s">
        <v>428</v>
      </c>
    </row>
    <row r="22" spans="2:39" ht="15.6" x14ac:dyDescent="0.3">
      <c r="P22" s="425" t="s">
        <v>414</v>
      </c>
      <c r="Q22" s="392">
        <v>-2920</v>
      </c>
      <c r="R22" s="392">
        <v>-9852</v>
      </c>
      <c r="S22" s="392">
        <v>-9265</v>
      </c>
      <c r="T22" s="392">
        <v>-9829</v>
      </c>
      <c r="U22" s="392">
        <v>-11036</v>
      </c>
      <c r="V22" s="392">
        <f>AVERAGE(S22:U22)</f>
        <v>-10043.333333333334</v>
      </c>
      <c r="W22" s="392">
        <f t="shared" ref="W22:Z22" si="37">AVERAGE(T22:V22)</f>
        <v>-10302.777777777779</v>
      </c>
      <c r="X22" s="392">
        <f t="shared" si="37"/>
        <v>-10460.703703703706</v>
      </c>
      <c r="Y22" s="392">
        <f t="shared" si="37"/>
        <v>-10268.938271604939</v>
      </c>
      <c r="Z22" s="392">
        <f t="shared" si="37"/>
        <v>-10344.139917695475</v>
      </c>
      <c r="AC22" s="303" t="s">
        <v>417</v>
      </c>
      <c r="AD22" s="305"/>
      <c r="AE22" s="305"/>
      <c r="AF22" s="305"/>
      <c r="AG22" s="305"/>
      <c r="AH22" s="306">
        <v>7967</v>
      </c>
      <c r="AI22" s="437">
        <v>-5520</v>
      </c>
      <c r="AJ22" s="304">
        <v>934</v>
      </c>
      <c r="AK22" s="306">
        <v>2169</v>
      </c>
      <c r="AL22" s="438">
        <v>-582</v>
      </c>
      <c r="AM22" s="437">
        <v>-6189</v>
      </c>
    </row>
    <row r="23" spans="2:39" x14ac:dyDescent="0.3">
      <c r="P23" s="425" t="s">
        <v>416</v>
      </c>
      <c r="Q23" s="392">
        <v>24</v>
      </c>
      <c r="R23" s="392">
        <v>-287</v>
      </c>
      <c r="S23" s="392">
        <v>-506</v>
      </c>
      <c r="T23" s="392">
        <v>-421</v>
      </c>
      <c r="U23" s="392">
        <v>-612</v>
      </c>
      <c r="V23" s="392">
        <f>AVERAGE(S23:U23)</f>
        <v>-513</v>
      </c>
      <c r="W23" s="392">
        <f t="shared" ref="W23:Z23" si="38">AVERAGE(T23:V23)</f>
        <v>-515.33333333333337</v>
      </c>
      <c r="X23" s="392">
        <f t="shared" si="38"/>
        <v>-546.77777777777783</v>
      </c>
      <c r="Y23" s="392">
        <f t="shared" si="38"/>
        <v>-525.03703703703707</v>
      </c>
      <c r="Z23" s="392">
        <f t="shared" si="38"/>
        <v>-529.04938271604942</v>
      </c>
      <c r="AC23" s="333" t="s">
        <v>342</v>
      </c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</row>
    <row r="24" spans="2:39" ht="15.6" x14ac:dyDescent="0.3">
      <c r="P24" s="425" t="s">
        <v>433</v>
      </c>
      <c r="V24" s="328">
        <v>8.6400000000000005E-2</v>
      </c>
      <c r="W24" s="328">
        <v>8.6400000000000005E-2</v>
      </c>
      <c r="X24" s="328">
        <v>8.6400000000000005E-2</v>
      </c>
      <c r="Y24" s="328">
        <v>8.6400000000000005E-2</v>
      </c>
      <c r="Z24" s="328">
        <v>8.6400000000000005E-2</v>
      </c>
      <c r="AC24" s="299" t="s">
        <v>421</v>
      </c>
      <c r="AD24" s="297"/>
      <c r="AE24" s="297"/>
      <c r="AF24" s="297"/>
      <c r="AG24" s="297"/>
      <c r="AH24" s="301">
        <v>42843</v>
      </c>
      <c r="AI24" s="301">
        <v>67012</v>
      </c>
      <c r="AJ24" s="301">
        <v>60010</v>
      </c>
      <c r="AK24" s="301">
        <v>69495</v>
      </c>
      <c r="AL24" s="301">
        <v>72764</v>
      </c>
      <c r="AM24" s="301">
        <v>66728</v>
      </c>
    </row>
    <row r="25" spans="2:39" ht="15.6" x14ac:dyDescent="0.3">
      <c r="P25" s="425" t="s">
        <v>434</v>
      </c>
      <c r="V25" s="392">
        <f>V24*H15</f>
        <v>8927.0433974344814</v>
      </c>
      <c r="W25" s="392">
        <f t="shared" ref="W25:Z25" si="39">W24*I15</f>
        <v>9825.5636879878675</v>
      </c>
      <c r="X25" s="392">
        <f t="shared" si="39"/>
        <v>10658.496897620154</v>
      </c>
      <c r="Y25" s="392">
        <f t="shared" si="39"/>
        <v>11365.487282746995</v>
      </c>
      <c r="Z25" s="392">
        <f t="shared" si="39"/>
        <v>12265.313610970603</v>
      </c>
      <c r="AC25" s="333" t="s">
        <v>344</v>
      </c>
      <c r="AD25" s="297"/>
      <c r="AE25" s="297"/>
      <c r="AF25" s="297"/>
      <c r="AG25" s="297"/>
      <c r="AH25" s="297"/>
      <c r="AI25" s="446">
        <v>0.56399999999999995</v>
      </c>
      <c r="AJ25" s="447">
        <v>-0.104</v>
      </c>
      <c r="AK25" s="446">
        <v>0.158</v>
      </c>
      <c r="AL25" s="446">
        <v>4.7E-2</v>
      </c>
      <c r="AM25" s="445"/>
    </row>
    <row r="26" spans="2:39" ht="15.6" x14ac:dyDescent="0.3">
      <c r="AC26" s="333" t="s">
        <v>422</v>
      </c>
      <c r="AD26" s="297"/>
      <c r="AE26" s="297"/>
      <c r="AF26" s="297"/>
      <c r="AG26" s="297"/>
      <c r="AH26" s="446">
        <v>0.23499999999999999</v>
      </c>
      <c r="AI26" s="446">
        <v>0.26</v>
      </c>
      <c r="AJ26" s="446">
        <v>0.21199999999999999</v>
      </c>
      <c r="AK26" s="446">
        <v>0.22600000000000001</v>
      </c>
      <c r="AL26" s="446">
        <v>0.20799999999999999</v>
      </c>
      <c r="AM26" s="446">
        <v>0.18</v>
      </c>
    </row>
    <row r="27" spans="2:39" ht="15.6" x14ac:dyDescent="0.3">
      <c r="AC27" s="295" t="s">
        <v>423</v>
      </c>
      <c r="AD27" s="297"/>
      <c r="AE27" s="297"/>
      <c r="AF27" s="297"/>
      <c r="AG27" s="297"/>
      <c r="AH27" s="298">
        <v>18498</v>
      </c>
      <c r="AI27" s="298">
        <v>26465</v>
      </c>
      <c r="AJ27" s="298">
        <v>20945</v>
      </c>
      <c r="AK27" s="298">
        <v>21879</v>
      </c>
      <c r="AL27" s="298">
        <v>24048</v>
      </c>
      <c r="AM27" s="298">
        <v>23466</v>
      </c>
    </row>
    <row r="28" spans="2:39" ht="15.6" x14ac:dyDescent="0.3">
      <c r="AC28" s="295" t="s">
        <v>424</v>
      </c>
      <c r="AD28" s="297"/>
      <c r="AE28" s="297"/>
      <c r="AF28" s="297"/>
      <c r="AG28" s="297"/>
      <c r="AH28" s="298">
        <v>26465</v>
      </c>
      <c r="AI28" s="298">
        <v>20945</v>
      </c>
      <c r="AJ28" s="298">
        <v>21879</v>
      </c>
      <c r="AK28" s="298">
        <v>24048</v>
      </c>
      <c r="AL28" s="298">
        <v>23466</v>
      </c>
      <c r="AM28" s="298">
        <v>21036</v>
      </c>
    </row>
    <row r="29" spans="2:39" ht="15.6" x14ac:dyDescent="0.3">
      <c r="AC29" s="295" t="s">
        <v>425</v>
      </c>
      <c r="AD29" s="297"/>
      <c r="AE29" s="296"/>
      <c r="AF29" s="296"/>
      <c r="AG29" s="296"/>
      <c r="AH29" s="296"/>
      <c r="AI29" s="296"/>
      <c r="AJ29" s="296"/>
      <c r="AK29" s="296"/>
      <c r="AL29" s="296"/>
      <c r="AM29" s="296"/>
    </row>
    <row r="30" spans="2:39" ht="15.6" x14ac:dyDescent="0.3">
      <c r="AC30" s="295" t="s">
        <v>426</v>
      </c>
      <c r="AD30" s="297"/>
      <c r="AE30" s="297"/>
      <c r="AF30" s="297"/>
      <c r="AG30" s="297"/>
      <c r="AH30" s="298">
        <v>4990</v>
      </c>
      <c r="AI30" s="298">
        <v>13412</v>
      </c>
      <c r="AJ30" s="298">
        <v>18900</v>
      </c>
      <c r="AK30" s="298">
        <v>19200</v>
      </c>
      <c r="AL30" s="298">
        <v>27400</v>
      </c>
      <c r="AM30" s="298">
        <v>27400</v>
      </c>
    </row>
    <row r="31" spans="2:39" ht="15.6" x14ac:dyDescent="0.3">
      <c r="AC31" s="295" t="s">
        <v>427</v>
      </c>
      <c r="AD31" s="297"/>
      <c r="AE31" s="297"/>
      <c r="AF31" s="297"/>
      <c r="AG31" s="297"/>
      <c r="AH31" s="296">
        <v>3.15</v>
      </c>
      <c r="AI31" s="296">
        <v>5.0199999999999996</v>
      </c>
      <c r="AJ31" s="296">
        <v>4.59</v>
      </c>
      <c r="AK31" s="296">
        <v>5.5</v>
      </c>
      <c r="AL31" s="296">
        <v>5.91</v>
      </c>
      <c r="AM31" s="296">
        <v>5.47</v>
      </c>
    </row>
  </sheetData>
  <hyperlinks>
    <hyperlink ref="AD22" r:id="rId1" display="https://app.tikr.com/account/upgrade?ref=51qasz" xr:uid="{1A6A30AD-83D2-4FC2-862C-DD317CF651EA}"/>
    <hyperlink ref="AE22" r:id="rId2" display="https://app.tikr.com/account/upgrade?ref=51qasz" xr:uid="{1033B152-353E-4A8E-AC28-C3789382404F}"/>
    <hyperlink ref="AF22" r:id="rId3" display="https://app.tikr.com/account/upgrade?ref=51qasz" xr:uid="{275A010E-162A-41EF-9808-D7EC6048AF58}"/>
    <hyperlink ref="AG22" r:id="rId4" display="https://app.tikr.com/account/upgrade?ref=51qasz" xr:uid="{E728881B-C020-4182-B5A4-5527867CB784}"/>
    <hyperlink ref="AD24" r:id="rId5" display="https://app.tikr.com/account/upgrade?ref=51qasz" xr:uid="{64820333-A394-4CCD-BDC7-F466B1FCFC05}"/>
    <hyperlink ref="AE24" r:id="rId6" display="https://app.tikr.com/account/upgrade?ref=51qasz" xr:uid="{C8A83280-C461-4F42-AA1F-32B45346A48A}"/>
    <hyperlink ref="AF24" r:id="rId7" display="https://app.tikr.com/account/upgrade?ref=51qasz" xr:uid="{2BA81145-9DE9-4E02-8C58-E9ED4B196264}"/>
    <hyperlink ref="AG24" r:id="rId8" display="https://app.tikr.com/account/upgrade?ref=51qasz" xr:uid="{1D52965D-6ED0-41F3-AA02-BD63BD4263AF}"/>
    <hyperlink ref="AD25" r:id="rId9" display="https://app.tikr.com/account/upgrade?ref=51qasz" xr:uid="{7FA17FA1-CDD3-4F6C-8991-C6ACA19405F7}"/>
    <hyperlink ref="AE25" r:id="rId10" display="https://app.tikr.com/account/upgrade?ref=51qasz" xr:uid="{3721FED5-261F-40AF-912B-295330A02889}"/>
    <hyperlink ref="AF25" r:id="rId11" display="https://app.tikr.com/account/upgrade?ref=51qasz" xr:uid="{F56B8F7B-2C0B-4C11-88EF-EEEB8DA7C2FF}"/>
    <hyperlink ref="AG25" r:id="rId12" display="https://app.tikr.com/account/upgrade?ref=51qasz" xr:uid="{2C9F4A4D-874C-4670-9ACD-295EAAE751D6}"/>
    <hyperlink ref="AH25" r:id="rId13" display="https://app.tikr.com/account/upgrade?ref=51qasz" xr:uid="{2BAC2F01-AE08-42E9-B862-D67885125C34}"/>
    <hyperlink ref="AD26" r:id="rId14" display="https://app.tikr.com/account/upgrade?ref=51qasz" xr:uid="{BC33D0B1-3EEA-43CB-9AC9-9FE0969A5083}"/>
    <hyperlink ref="AE26" r:id="rId15" display="https://app.tikr.com/account/upgrade?ref=51qasz" xr:uid="{C0EC9B42-9366-42D2-B44C-B17E5D8E9813}"/>
    <hyperlink ref="AF26" r:id="rId16" display="https://app.tikr.com/account/upgrade?ref=51qasz" xr:uid="{2C7FDCC0-EBB2-4715-8D66-59A4B17C789A}"/>
    <hyperlink ref="AG26" r:id="rId17" display="https://app.tikr.com/account/upgrade?ref=51qasz" xr:uid="{D874ECA3-0529-4196-893D-BBEE91F41C08}"/>
    <hyperlink ref="AD27" r:id="rId18" display="https://app.tikr.com/account/upgrade?ref=51qasz" xr:uid="{00D8731C-07C7-481C-BFF7-EEC839AEEFA3}"/>
    <hyperlink ref="AE27" r:id="rId19" display="https://app.tikr.com/account/upgrade?ref=51qasz" xr:uid="{7831C231-6658-42FD-B223-9B370F8F62BC}"/>
    <hyperlink ref="AF27" r:id="rId20" display="https://app.tikr.com/account/upgrade?ref=51qasz" xr:uid="{C0E80B96-60B5-440C-9DB0-5346D02A84B6}"/>
    <hyperlink ref="AG27" r:id="rId21" display="https://app.tikr.com/account/upgrade?ref=51qasz" xr:uid="{785E03C6-D22E-45D1-BC5F-6877602EB345}"/>
    <hyperlink ref="AD28" r:id="rId22" display="https://app.tikr.com/account/upgrade?ref=51qasz" xr:uid="{85C93935-4BC7-42B2-8B46-161B9382319B}"/>
    <hyperlink ref="AE28" r:id="rId23" display="https://app.tikr.com/account/upgrade?ref=51qasz" xr:uid="{00886E3B-88AB-4CCA-901E-DE066CBB5853}"/>
    <hyperlink ref="AF28" r:id="rId24" display="https://app.tikr.com/account/upgrade?ref=51qasz" xr:uid="{5FDF4BA5-F14E-46C0-BA9B-EB58EF8E5169}"/>
    <hyperlink ref="AG28" r:id="rId25" display="https://app.tikr.com/account/upgrade?ref=51qasz" xr:uid="{7E91E1D2-6912-4800-81C7-072129A83595}"/>
    <hyperlink ref="AD29" r:id="rId26" display="https://app.tikr.com/account/upgrade?ref=51qasz" xr:uid="{09240D60-CE0B-4D07-90FA-5BAE9B55788C}"/>
    <hyperlink ref="AD30" r:id="rId27" display="https://app.tikr.com/account/upgrade?ref=51qasz" xr:uid="{EA6909A0-78B1-4EB4-88E0-74A4070660B6}"/>
    <hyperlink ref="AE30" r:id="rId28" display="https://app.tikr.com/account/upgrade?ref=51qasz" xr:uid="{8BBD2CA4-42D4-43E5-AEAE-E6B8052EB3E3}"/>
    <hyperlink ref="AF30" r:id="rId29" display="https://app.tikr.com/account/upgrade?ref=51qasz" xr:uid="{A13AE2DD-1826-4E7E-AB83-5C6A165E4AA3}"/>
    <hyperlink ref="AG30" r:id="rId30" display="https://app.tikr.com/account/upgrade?ref=51qasz" xr:uid="{3C0C6C7F-7973-43FE-BA50-6993E0019FF0}"/>
    <hyperlink ref="AD31" r:id="rId31" display="https://app.tikr.com/account/upgrade?ref=51qasz" xr:uid="{BED033E6-F1D5-4D77-AAE3-9B3006E91A9D}"/>
    <hyperlink ref="AE31" r:id="rId32" display="https://app.tikr.com/account/upgrade?ref=51qasz" xr:uid="{DB8EA00A-DE9A-4C2E-9207-D31AFEBCFC92}"/>
    <hyperlink ref="AF31" r:id="rId33" display="https://app.tikr.com/account/upgrade?ref=51qasz" xr:uid="{1BDE5A46-F179-445F-AD86-BC7E4670E165}"/>
    <hyperlink ref="AG31" r:id="rId34" display="https://app.tikr.com/account/upgrade?ref=51qasz" xr:uid="{DB8D51D3-A741-4078-87B2-B579087FC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Cover</vt:lpstr>
      <vt:lpstr>Summary</vt:lpstr>
      <vt:lpstr>DCF</vt:lpstr>
      <vt:lpstr>Shares</vt:lpstr>
      <vt:lpstr>WACC</vt:lpstr>
      <vt:lpstr>COMPS</vt:lpstr>
      <vt:lpstr>Financials&gt;&gt;</vt:lpstr>
      <vt:lpstr>IS</vt:lpstr>
      <vt:lpstr>CFS</vt:lpstr>
      <vt:lpstr>BS</vt:lpstr>
      <vt:lpstr>RAW Data</vt:lpstr>
      <vt:lpstr>Income Statement</vt:lpstr>
      <vt:lpstr>Balance Sheet</vt:lpstr>
      <vt:lpstr>Sheet5</vt:lpstr>
      <vt:lpstr>Assumtions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2025-08-02T14:02:56Z</dcterms:created>
  <dcterms:modified xsi:type="dcterms:W3CDTF">2025-09-05T20:53:29Z</dcterms:modified>
</cp:coreProperties>
</file>