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 HUB\"/>
    </mc:Choice>
  </mc:AlternateContent>
  <xr:revisionPtr revIDLastSave="0" documentId="13_ncr:1_{34C74A40-18F4-4524-A36F-FF9B1093AC83}" xr6:coauthVersionLast="47" xr6:coauthVersionMax="47" xr10:uidLastSave="{00000000-0000-0000-0000-000000000000}"/>
  <bookViews>
    <workbookView xWindow="-108" yWindow="-108" windowWidth="23256" windowHeight="12456" activeTab="2" xr2:uid="{850597BA-6F0D-4812-BD6A-6F66DB230F10}"/>
  </bookViews>
  <sheets>
    <sheet name="Cover" sheetId="8" r:id="rId1"/>
    <sheet name="Summary" sheetId="7" r:id="rId2"/>
    <sheet name="DCF" sheetId="1" r:id="rId3"/>
    <sheet name="Shares" sheetId="6" r:id="rId4"/>
    <sheet name="WACC" sheetId="4" r:id="rId5"/>
    <sheet name="COMPS" sheetId="5" r:id="rId6"/>
    <sheet name="IS" sheetId="2" r:id="rId7"/>
    <sheet name="CFS" sheetId="3" r:id="rId8"/>
  </sheets>
  <externalReferences>
    <externalReference r:id="rId9"/>
  </externalReferences>
  <definedNames>
    <definedName name="tgr">DCF!$D$21</definedName>
    <definedName name="wacc">DCF!$D$20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65" i="1" l="1"/>
  <c r="Q65" i="1" s="1"/>
  <c r="R65" i="1" s="1"/>
  <c r="S65" i="1" s="1"/>
  <c r="Q71" i="1"/>
  <c r="R71" i="1" s="1"/>
  <c r="S71" i="1" s="1"/>
  <c r="P71" i="1"/>
  <c r="P1" i="7"/>
  <c r="O15" i="7"/>
  <c r="N15" i="7"/>
  <c r="M15" i="7"/>
  <c r="L15" i="7"/>
  <c r="K15" i="7"/>
  <c r="J15" i="7"/>
  <c r="I15" i="7"/>
  <c r="H15" i="7"/>
  <c r="G15" i="7"/>
  <c r="F15" i="7"/>
  <c r="O14" i="7"/>
  <c r="N14" i="7"/>
  <c r="M14" i="7"/>
  <c r="L14" i="7"/>
  <c r="K14" i="7"/>
  <c r="J14" i="7"/>
  <c r="I14" i="7"/>
  <c r="H14" i="7"/>
  <c r="G14" i="7"/>
  <c r="F14" i="7"/>
  <c r="O18" i="7"/>
  <c r="N18" i="7"/>
  <c r="M18" i="7"/>
  <c r="L18" i="7"/>
  <c r="K18" i="7"/>
  <c r="J18" i="7"/>
  <c r="I18" i="7"/>
  <c r="H18" i="7"/>
  <c r="G18" i="7"/>
  <c r="F18" i="7"/>
  <c r="O17" i="7"/>
  <c r="N17" i="7"/>
  <c r="M17" i="7"/>
  <c r="L17" i="7"/>
  <c r="K17" i="7"/>
  <c r="J17" i="7"/>
  <c r="I17" i="7"/>
  <c r="H17" i="7"/>
  <c r="G17" i="7"/>
  <c r="F17" i="7"/>
  <c r="O12" i="7"/>
  <c r="N12" i="7"/>
  <c r="M12" i="7"/>
  <c r="L12" i="7"/>
  <c r="K12" i="7"/>
  <c r="J12" i="7"/>
  <c r="I12" i="7"/>
  <c r="H12" i="7"/>
  <c r="G12" i="7"/>
  <c r="F12" i="7"/>
  <c r="O11" i="7"/>
  <c r="N11" i="7"/>
  <c r="M11" i="7"/>
  <c r="L11" i="7"/>
  <c r="K11" i="7"/>
  <c r="J11" i="7"/>
  <c r="I11" i="7"/>
  <c r="H11" i="7"/>
  <c r="G11" i="7"/>
  <c r="F11" i="7"/>
  <c r="R6" i="7"/>
  <c r="Q6" i="7"/>
  <c r="E6" i="7"/>
  <c r="B6" i="7"/>
  <c r="R5" i="7"/>
  <c r="Q5" i="7"/>
  <c r="M5" i="7"/>
  <c r="K5" i="7"/>
  <c r="J5" i="7"/>
  <c r="H5" i="7"/>
  <c r="E5" i="7"/>
  <c r="B5" i="7"/>
  <c r="R4" i="7"/>
  <c r="Q4" i="7"/>
  <c r="M4" i="7"/>
  <c r="K4" i="7"/>
  <c r="J4" i="7"/>
  <c r="E4" i="7"/>
  <c r="C4" i="7"/>
  <c r="B4" i="7"/>
  <c r="T86" i="1"/>
  <c r="Q68" i="1"/>
  <c r="R68" i="1" s="1"/>
  <c r="S68" i="1" s="1"/>
  <c r="P68" i="1"/>
  <c r="Q33" i="1"/>
  <c r="R33" i="1" l="1"/>
  <c r="S33" i="1" s="1"/>
  <c r="T33" i="1" l="1"/>
  <c r="F39" i="1" l="1"/>
  <c r="F67" i="1" s="1"/>
  <c r="G39" i="1"/>
  <c r="H39" i="1"/>
  <c r="I39" i="1"/>
  <c r="J39" i="1"/>
  <c r="K39" i="1"/>
  <c r="L39" i="1"/>
  <c r="M39" i="1"/>
  <c r="N39" i="1"/>
  <c r="O39" i="1"/>
  <c r="S30" i="1"/>
  <c r="T30" i="1" s="1"/>
  <c r="R30" i="1"/>
  <c r="S27" i="1"/>
  <c r="T27" i="1" s="1"/>
  <c r="R27" i="1"/>
  <c r="E15" i="6"/>
  <c r="E42" i="6"/>
  <c r="E39" i="6"/>
  <c r="E38" i="6" s="1"/>
  <c r="E41" i="6" s="1"/>
  <c r="E12" i="6" s="1"/>
  <c r="E29" i="6"/>
  <c r="E28" i="6"/>
  <c r="E27" i="6"/>
  <c r="E26" i="6"/>
  <c r="E25" i="6"/>
  <c r="E24" i="6"/>
  <c r="E23" i="6"/>
  <c r="E22" i="6"/>
  <c r="E21" i="6"/>
  <c r="E20" i="6"/>
  <c r="F28" i="4"/>
  <c r="F27" i="4"/>
  <c r="O18" i="5"/>
  <c r="N18" i="5"/>
  <c r="M18" i="5"/>
  <c r="L18" i="5"/>
  <c r="K18" i="5"/>
  <c r="J18" i="5"/>
  <c r="S18" i="5" s="1"/>
  <c r="I18" i="5"/>
  <c r="G18" i="5"/>
  <c r="F18" i="5"/>
  <c r="E18" i="5"/>
  <c r="D18" i="5"/>
  <c r="C18" i="5"/>
  <c r="O17" i="5"/>
  <c r="N17" i="5"/>
  <c r="M17" i="5"/>
  <c r="L17" i="5"/>
  <c r="K17" i="5"/>
  <c r="J17" i="5"/>
  <c r="I17" i="5"/>
  <c r="G17" i="5"/>
  <c r="F17" i="5"/>
  <c r="E17" i="5"/>
  <c r="D17" i="5"/>
  <c r="C17" i="5"/>
  <c r="O16" i="5"/>
  <c r="N16" i="5"/>
  <c r="U16" i="5" s="1"/>
  <c r="M16" i="5"/>
  <c r="L16" i="5"/>
  <c r="K16" i="5"/>
  <c r="R16" i="5" s="1"/>
  <c r="J16" i="5"/>
  <c r="Q16" i="5" s="1"/>
  <c r="I16" i="5"/>
  <c r="G16" i="5"/>
  <c r="F16" i="5"/>
  <c r="Y16" i="5" s="1"/>
  <c r="E16" i="5"/>
  <c r="D16" i="5"/>
  <c r="C16" i="5"/>
  <c r="O15" i="5"/>
  <c r="N15" i="5"/>
  <c r="M15" i="5"/>
  <c r="L15" i="5"/>
  <c r="K15" i="5"/>
  <c r="R15" i="5" s="1"/>
  <c r="J15" i="5"/>
  <c r="I15" i="5"/>
  <c r="G15" i="5"/>
  <c r="F15" i="5"/>
  <c r="Z15" i="5" s="1"/>
  <c r="E15" i="5"/>
  <c r="D15" i="5"/>
  <c r="C15" i="5"/>
  <c r="O14" i="5"/>
  <c r="N14" i="5"/>
  <c r="M14" i="5"/>
  <c r="L14" i="5"/>
  <c r="K14" i="5"/>
  <c r="J14" i="5"/>
  <c r="S14" i="5" s="1"/>
  <c r="I14" i="5"/>
  <c r="G14" i="5"/>
  <c r="F14" i="5"/>
  <c r="AA14" i="5" s="1"/>
  <c r="E14" i="5"/>
  <c r="D14" i="5"/>
  <c r="C14" i="5"/>
  <c r="A14" i="5"/>
  <c r="A15" i="5" s="1"/>
  <c r="A16" i="5" s="1"/>
  <c r="A17" i="5" s="1"/>
  <c r="A18" i="5" s="1"/>
  <c r="O13" i="5"/>
  <c r="N13" i="5"/>
  <c r="M13" i="5"/>
  <c r="L13" i="5"/>
  <c r="S13" i="5" s="1"/>
  <c r="K13" i="5"/>
  <c r="T13" i="5" s="1"/>
  <c r="J13" i="5"/>
  <c r="I13" i="5"/>
  <c r="G13" i="5"/>
  <c r="AB13" i="5" s="1"/>
  <c r="F13" i="5"/>
  <c r="X13" i="5" s="1"/>
  <c r="E13" i="5"/>
  <c r="D13" i="5"/>
  <c r="C13" i="5"/>
  <c r="O11" i="5"/>
  <c r="N11" i="5"/>
  <c r="M11" i="5"/>
  <c r="L11" i="5"/>
  <c r="S11" i="5" s="1"/>
  <c r="K11" i="5"/>
  <c r="T11" i="5" s="1"/>
  <c r="J11" i="5"/>
  <c r="I11" i="5"/>
  <c r="G11" i="5"/>
  <c r="AB11" i="5" s="1"/>
  <c r="F11" i="5"/>
  <c r="X11" i="5" s="1"/>
  <c r="E11" i="5"/>
  <c r="D11" i="5"/>
  <c r="D5" i="4" s="1"/>
  <c r="C11" i="5"/>
  <c r="V9" i="5"/>
  <c r="U9" i="5"/>
  <c r="O9" i="5"/>
  <c r="N9" i="5"/>
  <c r="K9" i="5"/>
  <c r="J9" i="5"/>
  <c r="C4" i="5"/>
  <c r="AC16" i="5" l="1"/>
  <c r="Z16" i="5"/>
  <c r="Q17" i="5"/>
  <c r="U18" i="5"/>
  <c r="V15" i="5"/>
  <c r="Q11" i="5"/>
  <c r="Q13" i="5"/>
  <c r="T16" i="5"/>
  <c r="T23" i="5" s="1"/>
  <c r="T17" i="5"/>
  <c r="AA18" i="5"/>
  <c r="V18" i="5"/>
  <c r="AC11" i="5"/>
  <c r="AC13" i="5"/>
  <c r="AB14" i="5"/>
  <c r="Q15" i="5"/>
  <c r="E27" i="4"/>
  <c r="E28" i="4"/>
  <c r="U15" i="5"/>
  <c r="U17" i="5"/>
  <c r="R14" i="5"/>
  <c r="V14" i="5"/>
  <c r="X17" i="5"/>
  <c r="V17" i="5"/>
  <c r="R18" i="5"/>
  <c r="AC14" i="5"/>
  <c r="AC15" i="5"/>
  <c r="S15" i="5"/>
  <c r="AB17" i="5"/>
  <c r="S17" i="5"/>
  <c r="AC18" i="5"/>
  <c r="E25" i="4"/>
  <c r="U13" i="5"/>
  <c r="T14" i="5"/>
  <c r="T15" i="5"/>
  <c r="V16" i="5"/>
  <c r="T18" i="5"/>
  <c r="E26" i="4"/>
  <c r="H28" i="4"/>
  <c r="U11" i="5"/>
  <c r="H27" i="4"/>
  <c r="E9" i="6"/>
  <c r="E10" i="6" s="1"/>
  <c r="E31" i="6"/>
  <c r="E8" i="6" s="1"/>
  <c r="T22" i="5"/>
  <c r="AC17" i="5"/>
  <c r="F30" i="5" s="1"/>
  <c r="V30" i="5" s="1"/>
  <c r="Z30" i="5" s="1"/>
  <c r="X18" i="5"/>
  <c r="AB18" i="5"/>
  <c r="Z11" i="5"/>
  <c r="Z13" i="5"/>
  <c r="Y14" i="5"/>
  <c r="X15" i="5"/>
  <c r="AB15" i="5"/>
  <c r="AB22" i="5" s="1"/>
  <c r="AA16" i="5"/>
  <c r="Z17" i="5"/>
  <c r="Y18" i="5"/>
  <c r="X14" i="5"/>
  <c r="AA15" i="5"/>
  <c r="R11" i="5"/>
  <c r="V11" i="5"/>
  <c r="AA11" i="5"/>
  <c r="R13" i="5"/>
  <c r="V13" i="5"/>
  <c r="AA13" i="5"/>
  <c r="Q14" i="5"/>
  <c r="U14" i="5"/>
  <c r="U23" i="5" s="1"/>
  <c r="Z14" i="5"/>
  <c r="Y15" i="5"/>
  <c r="S16" i="5"/>
  <c r="S22" i="5" s="1"/>
  <c r="X16" i="5"/>
  <c r="AB16" i="5"/>
  <c r="R17" i="5"/>
  <c r="AA17" i="5"/>
  <c r="Q18" i="5"/>
  <c r="Z18" i="5"/>
  <c r="Y11" i="5"/>
  <c r="Y13" i="5"/>
  <c r="Y17" i="5"/>
  <c r="Q23" i="5" l="1"/>
  <c r="X23" i="5"/>
  <c r="S23" i="5"/>
  <c r="U22" i="5"/>
  <c r="AC22" i="5"/>
  <c r="F28" i="5" s="1"/>
  <c r="V28" i="5" s="1"/>
  <c r="Z28" i="5" s="1"/>
  <c r="E11" i="6"/>
  <c r="E27" i="5"/>
  <c r="M27" i="5" s="1"/>
  <c r="U27" i="5" s="1"/>
  <c r="Y27" i="5" s="1"/>
  <c r="E30" i="5"/>
  <c r="M30" i="5" s="1"/>
  <c r="U30" i="5" s="1"/>
  <c r="Y30" i="5" s="1"/>
  <c r="V23" i="5"/>
  <c r="V22" i="5"/>
  <c r="Z23" i="5"/>
  <c r="Z22" i="5"/>
  <c r="R23" i="5"/>
  <c r="R22" i="5"/>
  <c r="AC23" i="5"/>
  <c r="F29" i="5" s="1"/>
  <c r="V29" i="5" s="1"/>
  <c r="Z29" i="5" s="1"/>
  <c r="AB23" i="5"/>
  <c r="F27" i="5"/>
  <c r="V27" i="5" s="1"/>
  <c r="Z27" i="5" s="1"/>
  <c r="X22" i="5"/>
  <c r="Q22" i="5"/>
  <c r="Y23" i="5"/>
  <c r="D29" i="5" s="1"/>
  <c r="L29" i="5" s="1"/>
  <c r="T29" i="5" s="1"/>
  <c r="X29" i="5" s="1"/>
  <c r="Y22" i="5"/>
  <c r="D28" i="5" s="1"/>
  <c r="L28" i="5" s="1"/>
  <c r="T28" i="5" s="1"/>
  <c r="X28" i="5" s="1"/>
  <c r="D27" i="5"/>
  <c r="L27" i="5" s="1"/>
  <c r="T27" i="5" s="1"/>
  <c r="X27" i="5" s="1"/>
  <c r="D30" i="5"/>
  <c r="L30" i="5" s="1"/>
  <c r="T30" i="5" s="1"/>
  <c r="X30" i="5" s="1"/>
  <c r="AA23" i="5"/>
  <c r="E29" i="5" s="1"/>
  <c r="M29" i="5" s="1"/>
  <c r="U29" i="5" s="1"/>
  <c r="Y29" i="5" s="1"/>
  <c r="AA22" i="5"/>
  <c r="E28" i="5" s="1"/>
  <c r="M28" i="5" s="1"/>
  <c r="U28" i="5" s="1"/>
  <c r="Y28" i="5" s="1"/>
  <c r="F26" i="4" l="1"/>
  <c r="F25" i="4"/>
  <c r="P76" i="1"/>
  <c r="Q77" i="1" s="1"/>
  <c r="R77" i="1" s="1"/>
  <c r="S77" i="1" s="1"/>
  <c r="T77" i="1" s="1"/>
  <c r="P77" i="1"/>
  <c r="C6" i="1"/>
  <c r="C5" i="1"/>
  <c r="D21" i="1"/>
  <c r="E14" i="4"/>
  <c r="E16" i="4"/>
  <c r="E13" i="4"/>
  <c r="E6" i="4"/>
  <c r="Q57" i="1"/>
  <c r="Q55" i="1"/>
  <c r="O71" i="1" l="1"/>
  <c r="N71" i="1"/>
  <c r="M71" i="1"/>
  <c r="L71" i="1"/>
  <c r="K71" i="1"/>
  <c r="J71" i="1"/>
  <c r="I71" i="1"/>
  <c r="H71" i="1"/>
  <c r="G71" i="1"/>
  <c r="F71" i="1"/>
  <c r="O70" i="1"/>
  <c r="N70" i="1"/>
  <c r="M70" i="1"/>
  <c r="L70" i="1"/>
  <c r="K70" i="1"/>
  <c r="J70" i="1"/>
  <c r="I70" i="1"/>
  <c r="H70" i="1"/>
  <c r="G70" i="1"/>
  <c r="F70" i="1"/>
  <c r="O67" i="1"/>
  <c r="N67" i="1"/>
  <c r="M67" i="1"/>
  <c r="L67" i="1"/>
  <c r="K67" i="1"/>
  <c r="J67" i="1"/>
  <c r="I67" i="1"/>
  <c r="H67" i="1"/>
  <c r="G67" i="1"/>
  <c r="O65" i="1"/>
  <c r="N65" i="1"/>
  <c r="M65" i="1"/>
  <c r="L65" i="1"/>
  <c r="K65" i="1"/>
  <c r="J65" i="1"/>
  <c r="I65" i="1"/>
  <c r="H65" i="1"/>
  <c r="G65" i="1"/>
  <c r="F65" i="1"/>
  <c r="O64" i="1"/>
  <c r="N64" i="1"/>
  <c r="M64" i="1"/>
  <c r="L64" i="1"/>
  <c r="K64" i="1"/>
  <c r="J64" i="1"/>
  <c r="I64" i="1"/>
  <c r="H64" i="1"/>
  <c r="G64" i="1"/>
  <c r="F64" i="1"/>
  <c r="P60" i="1"/>
  <c r="P18" i="7" s="1"/>
  <c r="R56" i="1"/>
  <c r="R55" i="1" s="1"/>
  <c r="Q56" i="1"/>
  <c r="P56" i="1"/>
  <c r="P57" i="1"/>
  <c r="P55" i="1"/>
  <c r="Q51" i="1"/>
  <c r="P51" i="1"/>
  <c r="Q49" i="1"/>
  <c r="P49" i="1"/>
  <c r="Q50" i="1"/>
  <c r="P50" i="1"/>
  <c r="F48" i="1"/>
  <c r="O42" i="1"/>
  <c r="N42" i="1"/>
  <c r="M42" i="1"/>
  <c r="L42" i="1"/>
  <c r="K42" i="1"/>
  <c r="J42" i="1"/>
  <c r="I42" i="1"/>
  <c r="H42" i="1"/>
  <c r="G42" i="1"/>
  <c r="F42" i="1"/>
  <c r="R57" i="1" l="1"/>
  <c r="H25" i="4"/>
  <c r="H26" i="4" l="1"/>
  <c r="D30" i="4" s="1"/>
  <c r="D31" i="4" s="1"/>
  <c r="E7" i="4" s="1"/>
  <c r="E18" i="4" s="1"/>
  <c r="N20" i="1" l="1"/>
  <c r="D20" i="1" s="1"/>
  <c r="Q30" i="1"/>
  <c r="P30" i="1"/>
  <c r="O36" i="1"/>
  <c r="N36" i="1"/>
  <c r="M36" i="1"/>
  <c r="L36" i="1"/>
  <c r="K36" i="1"/>
  <c r="J36" i="1"/>
  <c r="I36" i="1"/>
  <c r="H36" i="1"/>
  <c r="G36" i="1"/>
  <c r="F36" i="1"/>
  <c r="C5" i="3"/>
  <c r="D5" i="3" s="1"/>
  <c r="E5" i="3" s="1"/>
  <c r="F5" i="3" s="1"/>
  <c r="G5" i="3" s="1"/>
  <c r="H5" i="3" s="1"/>
  <c r="I5" i="3" s="1"/>
  <c r="J5" i="3" s="1"/>
  <c r="O33" i="1"/>
  <c r="O60" i="1" s="1"/>
  <c r="N33" i="1"/>
  <c r="N60" i="1" s="1"/>
  <c r="M33" i="1"/>
  <c r="M60" i="1" s="1"/>
  <c r="L33" i="1"/>
  <c r="L60" i="1" s="1"/>
  <c r="K33" i="1"/>
  <c r="K60" i="1" s="1"/>
  <c r="J33" i="1"/>
  <c r="J60" i="1" s="1"/>
  <c r="I33" i="1"/>
  <c r="I60" i="1" s="1"/>
  <c r="H33" i="1"/>
  <c r="H60" i="1" s="1"/>
  <c r="G33" i="1"/>
  <c r="G60" i="1" s="1"/>
  <c r="F33" i="1"/>
  <c r="F60" i="1" s="1"/>
  <c r="O32" i="1"/>
  <c r="O59" i="1" s="1"/>
  <c r="N32" i="1"/>
  <c r="N59" i="1" s="1"/>
  <c r="M32" i="1"/>
  <c r="M59" i="1" s="1"/>
  <c r="L32" i="1"/>
  <c r="L59" i="1" s="1"/>
  <c r="K32" i="1"/>
  <c r="K59" i="1" s="1"/>
  <c r="J32" i="1"/>
  <c r="J59" i="1" s="1"/>
  <c r="I32" i="1"/>
  <c r="I59" i="1" s="1"/>
  <c r="H32" i="1"/>
  <c r="H59" i="1" s="1"/>
  <c r="G32" i="1"/>
  <c r="G59" i="1" s="1"/>
  <c r="F32" i="1"/>
  <c r="F59" i="1" s="1"/>
  <c r="O29" i="1"/>
  <c r="O53" i="1" s="1"/>
  <c r="N29" i="1"/>
  <c r="N53" i="1" s="1"/>
  <c r="M29" i="1"/>
  <c r="M53" i="1" s="1"/>
  <c r="L29" i="1"/>
  <c r="L53" i="1" s="1"/>
  <c r="K29" i="1"/>
  <c r="K53" i="1" s="1"/>
  <c r="J29" i="1"/>
  <c r="J53" i="1" s="1"/>
  <c r="I29" i="1"/>
  <c r="I53" i="1" s="1"/>
  <c r="H29" i="1"/>
  <c r="H53" i="1" s="1"/>
  <c r="G29" i="1"/>
  <c r="G53" i="1" s="1"/>
  <c r="F29" i="1"/>
  <c r="F53" i="1" s="1"/>
  <c r="Q27" i="1"/>
  <c r="O26" i="1"/>
  <c r="O47" i="1" s="1"/>
  <c r="N26" i="1"/>
  <c r="N47" i="1" s="1"/>
  <c r="M26" i="1"/>
  <c r="M47" i="1" s="1"/>
  <c r="L26" i="1"/>
  <c r="L47" i="1" s="1"/>
  <c r="K26" i="1"/>
  <c r="K47" i="1" s="1"/>
  <c r="J26" i="1"/>
  <c r="J47" i="1" s="1"/>
  <c r="I26" i="1"/>
  <c r="I47" i="1" s="1"/>
  <c r="H26" i="1"/>
  <c r="H47" i="1" s="1"/>
  <c r="G26" i="1"/>
  <c r="G47" i="1" s="1"/>
  <c r="F26" i="1"/>
  <c r="F47" i="1" s="1"/>
  <c r="C3" i="2"/>
  <c r="D3" i="2" s="1"/>
  <c r="E3" i="2" s="1"/>
  <c r="F3" i="2" s="1"/>
  <c r="G3" i="2" s="1"/>
  <c r="H3" i="2" s="1"/>
  <c r="I3" i="2" s="1"/>
  <c r="J3" i="2" s="1"/>
  <c r="G35" i="1"/>
  <c r="H35" i="1" s="1"/>
  <c r="I35" i="1" s="1"/>
  <c r="J35" i="1" s="1"/>
  <c r="K35" i="1" s="1"/>
  <c r="L35" i="1" s="1"/>
  <c r="M35" i="1" s="1"/>
  <c r="N35" i="1" s="1"/>
  <c r="Q46" i="1"/>
  <c r="R46" i="1" s="1"/>
  <c r="S46" i="1" s="1"/>
  <c r="T46" i="1" s="1"/>
  <c r="G46" i="1"/>
  <c r="H46" i="1" s="1"/>
  <c r="I46" i="1" s="1"/>
  <c r="J46" i="1" s="1"/>
  <c r="K46" i="1" s="1"/>
  <c r="L46" i="1" s="1"/>
  <c r="M46" i="1" s="1"/>
  <c r="N46" i="1" s="1"/>
  <c r="Q45" i="1"/>
  <c r="R45" i="1" s="1"/>
  <c r="S45" i="1" s="1"/>
  <c r="T45" i="1" s="1"/>
  <c r="Q25" i="1"/>
  <c r="R25" i="1" s="1"/>
  <c r="S25" i="1" s="1"/>
  <c r="T25" i="1" s="1"/>
  <c r="G25" i="1"/>
  <c r="H25" i="1" s="1"/>
  <c r="I25" i="1" s="1"/>
  <c r="J25" i="1" s="1"/>
  <c r="K25" i="1" s="1"/>
  <c r="L25" i="1" s="1"/>
  <c r="M25" i="1" s="1"/>
  <c r="N25" i="1" s="1"/>
  <c r="F37" i="1" l="1"/>
  <c r="J37" i="1"/>
  <c r="N37" i="1"/>
  <c r="G37" i="1"/>
  <c r="K37" i="1"/>
  <c r="O37" i="1"/>
  <c r="H40" i="1"/>
  <c r="H68" i="1" s="1"/>
  <c r="N43" i="1"/>
  <c r="J27" i="1"/>
  <c r="J48" i="1" s="1"/>
  <c r="H37" i="1"/>
  <c r="L37" i="1"/>
  <c r="I30" i="1"/>
  <c r="I54" i="1" s="1"/>
  <c r="L40" i="1"/>
  <c r="L68" i="1" s="1"/>
  <c r="J43" i="1"/>
  <c r="N27" i="1"/>
  <c r="N48" i="1" s="1"/>
  <c r="I37" i="1"/>
  <c r="M37" i="1"/>
  <c r="M30" i="1"/>
  <c r="M54" i="1" s="1"/>
  <c r="F43" i="1"/>
  <c r="G27" i="1"/>
  <c r="G48" i="1" s="1"/>
  <c r="K27" i="1"/>
  <c r="K48" i="1" s="1"/>
  <c r="O27" i="1"/>
  <c r="F30" i="1"/>
  <c r="F54" i="1" s="1"/>
  <c r="J30" i="1"/>
  <c r="J54" i="1" s="1"/>
  <c r="N30" i="1"/>
  <c r="N54" i="1" s="1"/>
  <c r="P32" i="1"/>
  <c r="I40" i="1"/>
  <c r="I68" i="1" s="1"/>
  <c r="M40" i="1"/>
  <c r="M68" i="1" s="1"/>
  <c r="G43" i="1"/>
  <c r="K43" i="1"/>
  <c r="O43" i="1"/>
  <c r="H27" i="1"/>
  <c r="H48" i="1" s="1"/>
  <c r="L27" i="1"/>
  <c r="L48" i="1" s="1"/>
  <c r="P27" i="1"/>
  <c r="G30" i="1"/>
  <c r="G54" i="1" s="1"/>
  <c r="K30" i="1"/>
  <c r="K54" i="1" s="1"/>
  <c r="O30" i="1"/>
  <c r="F40" i="1"/>
  <c r="F68" i="1" s="1"/>
  <c r="J40" i="1"/>
  <c r="J68" i="1" s="1"/>
  <c r="N40" i="1"/>
  <c r="N68" i="1" s="1"/>
  <c r="H43" i="1"/>
  <c r="L43" i="1"/>
  <c r="I27" i="1"/>
  <c r="I48" i="1" s="1"/>
  <c r="M27" i="1"/>
  <c r="M48" i="1" s="1"/>
  <c r="H30" i="1"/>
  <c r="H54" i="1" s="1"/>
  <c r="L30" i="1"/>
  <c r="L54" i="1" s="1"/>
  <c r="G40" i="1"/>
  <c r="G68" i="1" s="1"/>
  <c r="K40" i="1"/>
  <c r="K68" i="1" s="1"/>
  <c r="O40" i="1"/>
  <c r="O68" i="1" s="1"/>
  <c r="I43" i="1"/>
  <c r="M43" i="1"/>
  <c r="O54" i="1" l="1"/>
  <c r="O48" i="1"/>
  <c r="Q32" i="1" l="1"/>
  <c r="Q60" i="1"/>
  <c r="Q18" i="7" s="1"/>
  <c r="S56" i="1"/>
  <c r="S60" i="1" l="1"/>
  <c r="S18" i="7" s="1"/>
  <c r="R60" i="1"/>
  <c r="R18" i="7" s="1"/>
  <c r="S57" i="1"/>
  <c r="S55" i="1"/>
  <c r="T50" i="1"/>
  <c r="S50" i="1"/>
  <c r="T60" i="1"/>
  <c r="T18" i="7" s="1"/>
  <c r="T56" i="1"/>
  <c r="T57" i="1" l="1"/>
  <c r="T55" i="1"/>
  <c r="S51" i="1"/>
  <c r="S49" i="1"/>
  <c r="T51" i="1"/>
  <c r="T49" i="1"/>
  <c r="T48" i="1" l="1"/>
  <c r="T12" i="7" s="1"/>
  <c r="Q48" i="1"/>
  <c r="Q12" i="7" s="1"/>
  <c r="S48" i="1"/>
  <c r="S12" i="7" s="1"/>
  <c r="P48" i="1"/>
  <c r="Q54" i="1"/>
  <c r="Q15" i="7" s="1"/>
  <c r="S54" i="1"/>
  <c r="S15" i="7" s="1"/>
  <c r="R54" i="1"/>
  <c r="R15" i="7" s="1"/>
  <c r="T54" i="1"/>
  <c r="T15" i="7" s="1"/>
  <c r="P54" i="1"/>
  <c r="P15" i="7" s="1"/>
  <c r="P47" i="1" l="1"/>
  <c r="P53" i="1" s="1"/>
  <c r="P12" i="7"/>
  <c r="Q47" i="1" l="1"/>
  <c r="Q70" i="1" s="1"/>
  <c r="P67" i="1"/>
  <c r="P59" i="1"/>
  <c r="P62" i="1" s="1"/>
  <c r="P14" i="7"/>
  <c r="P64" i="1"/>
  <c r="P70" i="1"/>
  <c r="P11" i="7"/>
  <c r="P73" i="1" l="1"/>
  <c r="P74" i="1" s="1"/>
  <c r="Q67" i="1"/>
  <c r="Q64" i="1"/>
  <c r="Q11" i="7"/>
  <c r="Q53" i="1"/>
  <c r="Q59" i="1" s="1"/>
  <c r="Q62" i="1" s="1"/>
  <c r="P17" i="7"/>
  <c r="R26" i="1"/>
  <c r="S26" i="1" s="1"/>
  <c r="R50" i="1"/>
  <c r="R49" i="1"/>
  <c r="Q73" i="1" l="1"/>
  <c r="Q74" i="1" s="1"/>
  <c r="Q14" i="7"/>
  <c r="Q17" i="7"/>
  <c r="R48" i="1"/>
  <c r="T26" i="1"/>
  <c r="T29" i="1" s="1"/>
  <c r="T32" i="1" s="1"/>
  <c r="S29" i="1"/>
  <c r="S32" i="1" s="1"/>
  <c r="R51" i="1"/>
  <c r="R29" i="1"/>
  <c r="R32" i="1" s="1"/>
  <c r="R47" i="1" l="1"/>
  <c r="R67" i="1" s="1"/>
  <c r="R12" i="7"/>
  <c r="S47" i="1" l="1"/>
  <c r="T47" i="1" s="1"/>
  <c r="R70" i="1"/>
  <c r="R53" i="1"/>
  <c r="R14" i="7" s="1"/>
  <c r="R64" i="1"/>
  <c r="R11" i="7"/>
  <c r="S53" i="1" l="1"/>
  <c r="S59" i="1" s="1"/>
  <c r="S62" i="1" s="1"/>
  <c r="S11" i="7"/>
  <c r="S67" i="1"/>
  <c r="S64" i="1"/>
  <c r="S70" i="1"/>
  <c r="R59" i="1"/>
  <c r="R62" i="1" s="1"/>
  <c r="T53" i="1"/>
  <c r="T11" i="7"/>
  <c r="U12" i="7" s="1"/>
  <c r="T70" i="1"/>
  <c r="T64" i="1"/>
  <c r="T67" i="1"/>
  <c r="R73" i="1" l="1"/>
  <c r="R74" i="1" s="1"/>
  <c r="S73" i="1"/>
  <c r="S74" i="1" s="1"/>
  <c r="S14" i="7"/>
  <c r="R17" i="7"/>
  <c r="S17" i="7"/>
  <c r="T59" i="1"/>
  <c r="T62" i="1" s="1"/>
  <c r="T14" i="7"/>
  <c r="T73" i="1" l="1"/>
  <c r="T74" i="1" s="1"/>
  <c r="T17" i="7"/>
  <c r="T79" i="1" l="1"/>
  <c r="F42" i="7" s="1"/>
  <c r="T80" i="1" l="1"/>
  <c r="T81" i="1" s="1"/>
  <c r="F97" i="1" s="1"/>
  <c r="F43" i="7" l="1"/>
  <c r="T84" i="1"/>
  <c r="F44" i="7"/>
  <c r="T87" i="1" l="1"/>
  <c r="F45" i="7"/>
  <c r="H4" i="1" l="1"/>
  <c r="H6" i="1" s="1"/>
  <c r="H6" i="7" s="1"/>
  <c r="F113" i="1"/>
  <c r="H4" i="7" l="1"/>
  <c r="F46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Siddhant</author>
  </authors>
  <commentList>
    <comment ref="P33" authorId="0" shapeId="0" xr:uid="{F2E4202C-3490-497C-9CA8-A8A66F6E981E}">
      <text>
        <r>
          <rPr>
            <b/>
            <sz val="9"/>
            <color indexed="81"/>
            <rFont val="Tahoma"/>
            <family val="2"/>
          </rPr>
          <t>Siddhant:</t>
        </r>
        <r>
          <rPr>
            <sz val="9"/>
            <color indexed="81"/>
            <rFont val="Tahoma"/>
            <family val="2"/>
          </rPr>
          <t xml:space="preserve">
Based on LTM from TIKR.</t>
        </r>
      </text>
    </comment>
    <comment ref="P65" authorId="0" shapeId="0" xr:uid="{F42ACECB-EF4D-41DA-9FBF-B59C97CE27A7}">
      <text>
        <r>
          <rPr>
            <b/>
            <sz val="9"/>
            <color indexed="81"/>
            <rFont val="Tahoma"/>
            <family val="2"/>
          </rPr>
          <t>Siddhant:</t>
        </r>
        <r>
          <rPr>
            <sz val="9"/>
            <color indexed="81"/>
            <rFont val="Tahoma"/>
            <family val="2"/>
          </rPr>
          <t xml:space="preserve">
Average of last 3 Years
From (2023A-2024A)
</t>
        </r>
      </text>
    </comment>
    <comment ref="P68" authorId="0" shapeId="0" xr:uid="{2EE978AA-AEDD-4740-8680-AE93A0974746}">
      <text>
        <r>
          <rPr>
            <b/>
            <sz val="9"/>
            <color indexed="81"/>
            <rFont val="Tahoma"/>
            <family val="2"/>
          </rPr>
          <t>Siddhant:</t>
        </r>
        <r>
          <rPr>
            <sz val="9"/>
            <color indexed="81"/>
            <rFont val="Tahoma"/>
            <family val="2"/>
          </rPr>
          <t xml:space="preserve">
Average of last 3 Years
From (2023A-2024A)
</t>
        </r>
      </text>
    </comment>
    <comment ref="P71" authorId="0" shapeId="0" xr:uid="{2F104D53-25AF-44D1-87AE-EFAB48FEF899}">
      <text>
        <r>
          <rPr>
            <b/>
            <sz val="9"/>
            <color indexed="81"/>
            <rFont val="Tahoma"/>
            <family val="2"/>
          </rPr>
          <t>Siddhant:</t>
        </r>
        <r>
          <rPr>
            <sz val="9"/>
            <color indexed="81"/>
            <rFont val="Tahoma"/>
            <family val="2"/>
          </rPr>
          <t xml:space="preserve">
Average of last 3 Years
From (2023A-2024A)
</t>
        </r>
      </text>
    </comment>
    <comment ref="T82" authorId="0" shapeId="0" xr:uid="{33D2178B-7F57-4116-9C56-D158AD99479A}">
      <text>
        <r>
          <rPr>
            <b/>
            <sz val="9"/>
            <color indexed="81"/>
            <rFont val="Tahoma"/>
            <family val="2"/>
          </rPr>
          <t>Siddhant:</t>
        </r>
        <r>
          <rPr>
            <sz val="9"/>
            <color indexed="81"/>
            <rFont val="Tahoma"/>
            <family val="2"/>
          </rPr>
          <t xml:space="preserve">
Based on Q2 2025 Balance Sheet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Siddhant</author>
  </authors>
  <commentList>
    <comment ref="E7" authorId="0" shapeId="0" xr:uid="{DCD00354-9F87-4DB1-8BD0-C92EAA5E27D6}">
      <text>
        <r>
          <rPr>
            <b/>
            <sz val="9"/>
            <color indexed="81"/>
            <rFont val="Tahoma"/>
            <family val="2"/>
          </rPr>
          <t>Siddhant:</t>
        </r>
        <r>
          <rPr>
            <sz val="9"/>
            <color indexed="81"/>
            <rFont val="Tahoma"/>
            <family val="2"/>
          </rPr>
          <t xml:space="preserve">
2024 Q2 10Q</t>
        </r>
      </text>
    </comment>
    <comment ref="E12" authorId="0" shapeId="0" xr:uid="{57AB6321-8D54-4E95-A5AC-DB4676D92B4D}">
      <text>
        <r>
          <rPr>
            <b/>
            <sz val="9"/>
            <color indexed="81"/>
            <rFont val="Tahoma"/>
            <family val="2"/>
          </rPr>
          <t>Siddhant:</t>
        </r>
        <r>
          <rPr>
            <sz val="9"/>
            <color indexed="81"/>
            <rFont val="Tahoma"/>
            <family val="2"/>
          </rPr>
          <t xml:space="preserve">
2024 Q2 10Q
Page 17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Siddhant</author>
  </authors>
  <commentList>
    <comment ref="P27" authorId="0" shapeId="0" xr:uid="{1109E50F-7414-4D53-A517-F6B26143E53B}">
      <text>
        <r>
          <rPr>
            <b/>
            <sz val="9"/>
            <color indexed="81"/>
            <rFont val="Tahoma"/>
            <family val="2"/>
          </rPr>
          <t>Siddhant:</t>
        </r>
        <r>
          <rPr>
            <sz val="9"/>
            <color indexed="81"/>
            <rFont val="Tahoma"/>
            <family val="2"/>
          </rPr>
          <t xml:space="preserve">
Cash + Marketable securities
From Q2 result.</t>
        </r>
      </text>
    </comment>
    <comment ref="Q27" authorId="0" shapeId="0" xr:uid="{ED6C9872-AF83-4C0B-AF18-10A734EDB5FB}">
      <text>
        <r>
          <rPr>
            <b/>
            <sz val="9"/>
            <color indexed="81"/>
            <rFont val="Tahoma"/>
            <family val="2"/>
          </rPr>
          <t>Siddhant:</t>
        </r>
        <r>
          <rPr>
            <sz val="9"/>
            <color indexed="81"/>
            <rFont val="Tahoma"/>
            <family val="2"/>
          </rPr>
          <t xml:space="preserve">
Long term debt from Q2 result.
</t>
        </r>
      </text>
    </comment>
  </commentList>
</comments>
</file>

<file path=xl/sharedStrings.xml><?xml version="1.0" encoding="utf-8"?>
<sst xmlns="http://schemas.openxmlformats.org/spreadsheetml/2006/main" count="445" uniqueCount="260">
  <si>
    <t xml:space="preserve">    </t>
  </si>
  <si>
    <t>DCF Model</t>
  </si>
  <si>
    <t>*</t>
  </si>
  <si>
    <t>Assumption</t>
  </si>
  <si>
    <t>NOTES</t>
  </si>
  <si>
    <t>Switches</t>
  </si>
  <si>
    <t xml:space="preserve">Conservative </t>
  </si>
  <si>
    <t>Base</t>
  </si>
  <si>
    <t>Optimistic</t>
  </si>
  <si>
    <t>Year</t>
  </si>
  <si>
    <t>Metric</t>
  </si>
  <si>
    <t>Revenue</t>
  </si>
  <si>
    <t>'25-'26</t>
  </si>
  <si>
    <t>'26</t>
  </si>
  <si>
    <t>EBIT</t>
  </si>
  <si>
    <t>'27-'29</t>
  </si>
  <si>
    <t>WACC</t>
  </si>
  <si>
    <t>TGR</t>
  </si>
  <si>
    <t>Valuation</t>
  </si>
  <si>
    <t>Income Statement ($ MM)</t>
  </si>
  <si>
    <t>2024A</t>
  </si>
  <si>
    <t>growth%</t>
  </si>
  <si>
    <t xml:space="preserve">% of Sale </t>
  </si>
  <si>
    <t>Taxes</t>
  </si>
  <si>
    <t>Tax rate</t>
  </si>
  <si>
    <t>Cash Flow  ($ MM)</t>
  </si>
  <si>
    <t>D&amp;A</t>
  </si>
  <si>
    <t>D&amp;A (Depriciation &amp; Amortization)</t>
  </si>
  <si>
    <t>% of Sales</t>
  </si>
  <si>
    <t>CapEx</t>
  </si>
  <si>
    <t>CapEx (Capital Expenditure)</t>
  </si>
  <si>
    <t>% of Sale</t>
  </si>
  <si>
    <t>Change In NWC</t>
  </si>
  <si>
    <t>Change in NWC (Net Working Capital)</t>
  </si>
  <si>
    <t>% of change in sales</t>
  </si>
  <si>
    <t>DCF ($ MM)</t>
  </si>
  <si>
    <t>Conservative case</t>
  </si>
  <si>
    <t>Base case</t>
  </si>
  <si>
    <t>Optimistic case</t>
  </si>
  <si>
    <t>`</t>
  </si>
  <si>
    <t>EBIAT</t>
  </si>
  <si>
    <t>EBIAT (Earnings before Interest but after Tax) it is also known as NOPAT (Net Operating Profit after Tax)</t>
  </si>
  <si>
    <t>Unlevered FCF</t>
  </si>
  <si>
    <t>Present Value of FCF</t>
  </si>
  <si>
    <r>
      <rPr>
        <b/>
        <sz val="11"/>
        <color theme="1"/>
        <rFont val="Calibri"/>
        <family val="2"/>
        <scheme val="minor"/>
      </rPr>
      <t>Present Value of FCF</t>
    </r>
    <r>
      <rPr>
        <sz val="11"/>
        <color theme="1"/>
        <rFont val="Calibri"/>
        <family val="2"/>
        <scheme val="minor"/>
      </rPr>
      <t xml:space="preserve"> = Unlevered FCF/(1+WACC)^Discounted Period</t>
    </r>
  </si>
  <si>
    <t>Discounted Period</t>
  </si>
  <si>
    <t>Terminal Value</t>
  </si>
  <si>
    <r>
      <rPr>
        <b/>
        <sz val="11"/>
        <color theme="1"/>
        <rFont val="Calibri"/>
        <family val="2"/>
        <scheme val="minor"/>
      </rPr>
      <t>Terminal Value</t>
    </r>
    <r>
      <rPr>
        <sz val="11"/>
        <color theme="1"/>
        <rFont val="Calibri"/>
        <family val="2"/>
        <scheme val="minor"/>
      </rPr>
      <t xml:space="preserve"> = 2029E UFCF*(1+TGR)/(WACC-TGR)</t>
    </r>
  </si>
  <si>
    <t>Present Value of Terminal Value</t>
  </si>
  <si>
    <r>
      <rPr>
        <b/>
        <sz val="11"/>
        <color theme="1"/>
        <rFont val="Calibri"/>
        <family val="2"/>
        <scheme val="minor"/>
      </rPr>
      <t>Present Value of Terminal Value</t>
    </r>
    <r>
      <rPr>
        <sz val="11"/>
        <color theme="1"/>
        <rFont val="Calibri"/>
        <family val="2"/>
        <scheme val="minor"/>
      </rPr>
      <t xml:space="preserve"> = Terminal Value/(1+WACC)^2030E Dsicounted Period</t>
    </r>
  </si>
  <si>
    <t>Enterprise Value</t>
  </si>
  <si>
    <t>EV is calculated by adding Present Value of FCF from2025E to 2029E.</t>
  </si>
  <si>
    <t>(+) Cash</t>
  </si>
  <si>
    <t>(-) Debt</t>
  </si>
  <si>
    <t>Equity Value</t>
  </si>
  <si>
    <r>
      <rPr>
        <b/>
        <sz val="11"/>
        <color theme="1"/>
        <rFont val="Calibri"/>
        <family val="2"/>
        <scheme val="minor"/>
      </rPr>
      <t>Equity Value</t>
    </r>
    <r>
      <rPr>
        <sz val="11"/>
        <color theme="1"/>
        <rFont val="Calibri"/>
        <family val="2"/>
        <scheme val="minor"/>
      </rPr>
      <t xml:space="preserve"> = EV+Cash-Debt</t>
    </r>
  </si>
  <si>
    <t>Diluted Shares</t>
  </si>
  <si>
    <t>Implied Stock Price</t>
  </si>
  <si>
    <r>
      <rPr>
        <b/>
        <sz val="11"/>
        <color theme="1"/>
        <rFont val="Calibri"/>
        <family val="2"/>
        <scheme val="minor"/>
      </rPr>
      <t>Implied Share price</t>
    </r>
    <r>
      <rPr>
        <sz val="11"/>
        <color theme="1"/>
        <rFont val="Calibri"/>
        <family val="2"/>
        <scheme val="minor"/>
      </rPr>
      <t xml:space="preserve"> = Equity value/Diluted shares</t>
    </r>
  </si>
  <si>
    <t>Income Satement</t>
  </si>
  <si>
    <t>Source - Macrotrend</t>
  </si>
  <si>
    <t>Revenues</t>
  </si>
  <si>
    <t>COGS</t>
  </si>
  <si>
    <t>Gross Profit</t>
  </si>
  <si>
    <t>R&amp;D expenses</t>
  </si>
  <si>
    <t>SG&amp;A expenses</t>
  </si>
  <si>
    <t>Other operating income and  expenses</t>
  </si>
  <si>
    <t>Operating expenses</t>
  </si>
  <si>
    <t>Operating income</t>
  </si>
  <si>
    <t>Total non-operating income/expenses</t>
  </si>
  <si>
    <t>Pre tax income</t>
  </si>
  <si>
    <t>Income taxes</t>
  </si>
  <si>
    <t>Other income</t>
  </si>
  <si>
    <t xml:space="preserve">Income from continous operation </t>
  </si>
  <si>
    <t>Income from discounted operation</t>
  </si>
  <si>
    <t xml:space="preserve">Net income </t>
  </si>
  <si>
    <t>EBITDA</t>
  </si>
  <si>
    <t xml:space="preserve">Basic share outstanding </t>
  </si>
  <si>
    <t>Shares outstanding</t>
  </si>
  <si>
    <t>Basic Eps</t>
  </si>
  <si>
    <t xml:space="preserve">EPS- Earning Per Share  </t>
  </si>
  <si>
    <t>Cashflow Statement of Nvidia</t>
  </si>
  <si>
    <t>Currency  ($)</t>
  </si>
  <si>
    <t>In Millions</t>
  </si>
  <si>
    <t>Net Income/Loss</t>
  </si>
  <si>
    <t>Total Depreciation And Amortization - Cash Flow</t>
  </si>
  <si>
    <t>Other Non-Cash Items</t>
  </si>
  <si>
    <t>Total Non-Cash Items</t>
  </si>
  <si>
    <t>Change In Accounts Receivable</t>
  </si>
  <si>
    <t>Change In Inventories</t>
  </si>
  <si>
    <t>Change In Accounts Payable</t>
  </si>
  <si>
    <t>Change in asset And liabilities</t>
  </si>
  <si>
    <t>Change in Net working capital</t>
  </si>
  <si>
    <t>Cash Flow From Operating Activities</t>
  </si>
  <si>
    <t>Net Change In Intangible Assets</t>
  </si>
  <si>
    <t>Net Acquisitions/ Divestitures</t>
  </si>
  <si>
    <t>Net Change In Short-term Investments</t>
  </si>
  <si>
    <t>Net Change In Long-Term Investments</t>
  </si>
  <si>
    <t>Net Change In Investments - Total</t>
  </si>
  <si>
    <t>Investing Activities - Other</t>
  </si>
  <si>
    <t>Cash Flow From Investing Activities</t>
  </si>
  <si>
    <t>Net Long-Term Debt</t>
  </si>
  <si>
    <t>Net Current Debt</t>
  </si>
  <si>
    <t>Debt Issuance/Retirement Net - Total</t>
  </si>
  <si>
    <t>Net Common Equity Issued/Repurchased</t>
  </si>
  <si>
    <t>Net Total Equity Issued/Repurchased</t>
  </si>
  <si>
    <t>Total Common And Preferred Stock Dividends Paid</t>
  </si>
  <si>
    <t>Financial Activities - Other</t>
  </si>
  <si>
    <t>Cash Flow From Financial Activities</t>
  </si>
  <si>
    <t>Net Cash Flow</t>
  </si>
  <si>
    <t>Stock based compensation</t>
  </si>
  <si>
    <t>Common stock Dividend Paid</t>
  </si>
  <si>
    <t>--</t>
  </si>
  <si>
    <t>Stub</t>
  </si>
  <si>
    <t>Net Change In Property, Plant, And Equipment (CAPEX)</t>
  </si>
  <si>
    <t>X</t>
  </si>
  <si>
    <t>Market Cap</t>
  </si>
  <si>
    <t xml:space="preserve">% of Equity </t>
  </si>
  <si>
    <r>
      <rPr>
        <b/>
        <sz val="11"/>
        <color theme="1"/>
        <rFont val="Calibri"/>
        <family val="2"/>
        <scheme val="minor"/>
      </rPr>
      <t>Percent of Equity</t>
    </r>
    <r>
      <rPr>
        <sz val="11"/>
        <color theme="1"/>
        <rFont val="Calibri"/>
        <family val="2"/>
        <scheme val="minor"/>
      </rPr>
      <t xml:space="preserve"> = Market Cap/Market Cap + Debt</t>
    </r>
  </si>
  <si>
    <t>Cost of equity</t>
  </si>
  <si>
    <r>
      <rPr>
        <b/>
        <sz val="11"/>
        <color theme="1"/>
        <rFont val="Calibri"/>
        <family val="2"/>
        <scheme val="minor"/>
      </rPr>
      <t>Cost of equity</t>
    </r>
    <r>
      <rPr>
        <sz val="11"/>
        <color theme="1"/>
        <rFont val="Calibri"/>
        <family val="2"/>
        <scheme val="minor"/>
      </rPr>
      <t xml:space="preserve"> = Risk free rate + ( Beta*Market Risk Premium)</t>
    </r>
  </si>
  <si>
    <t xml:space="preserve">Risk Free Rate </t>
  </si>
  <si>
    <t>CNBC U.S. 10 Year Treasury</t>
  </si>
  <si>
    <t>Beta</t>
  </si>
  <si>
    <t>Market  Risk Premium</t>
  </si>
  <si>
    <t>Debt</t>
  </si>
  <si>
    <t>Based on Q1 2025 B/S (MM, $)</t>
  </si>
  <si>
    <t>% of debt</t>
  </si>
  <si>
    <r>
      <rPr>
        <b/>
        <sz val="11"/>
        <color theme="1"/>
        <rFont val="Calibri"/>
        <family val="2"/>
        <scheme val="minor"/>
      </rPr>
      <t xml:space="preserve">Percent of Debt </t>
    </r>
    <r>
      <rPr>
        <sz val="11"/>
        <color theme="1"/>
        <rFont val="Calibri"/>
        <family val="2"/>
        <scheme val="minor"/>
      </rPr>
      <t>= Debt/Market Cap</t>
    </r>
  </si>
  <si>
    <t xml:space="preserve">Cost of Debt </t>
  </si>
  <si>
    <t xml:space="preserve">Total </t>
  </si>
  <si>
    <t>Total = Market Cap + Debt ( MM, $)</t>
  </si>
  <si>
    <r>
      <rPr>
        <b/>
        <sz val="11"/>
        <color theme="1"/>
        <rFont val="Calibri"/>
        <family val="2"/>
        <scheme val="minor"/>
      </rPr>
      <t>WACC</t>
    </r>
    <r>
      <rPr>
        <sz val="11"/>
        <color theme="1"/>
        <rFont val="Calibri"/>
        <family val="2"/>
        <scheme val="minor"/>
      </rPr>
      <t xml:space="preserve"> = % of equity*cost of equity + %of debt *(1-Tax rate)</t>
    </r>
  </si>
  <si>
    <t>Leverad Beta</t>
  </si>
  <si>
    <t xml:space="preserve"> Market Cap</t>
  </si>
  <si>
    <t>Net Debt</t>
  </si>
  <si>
    <t>Unlevered Beta</t>
  </si>
  <si>
    <t>Levered beta / (1+ (1 - tax rate) * (Debt / Equity)</t>
  </si>
  <si>
    <t>Industry Average Unlevered Beta</t>
  </si>
  <si>
    <t>Unlevered Beta * (1 + (1 - tax rate) * (Debt/Equity))</t>
  </si>
  <si>
    <t>Ticker</t>
  </si>
  <si>
    <t>Implied Share Price</t>
  </si>
  <si>
    <t>Low-end</t>
  </si>
  <si>
    <t>Revenue (1), EBIT (1), WACC (1), TGR(1)</t>
  </si>
  <si>
    <t>Conservative</t>
  </si>
  <si>
    <t>Date</t>
  </si>
  <si>
    <t>Current Price</t>
  </si>
  <si>
    <t>High-end</t>
  </si>
  <si>
    <t>Revenue (3), EBIT(3),  WACC(3), TGR(3)</t>
  </si>
  <si>
    <t>Year end</t>
  </si>
  <si>
    <t>Implied Upside/Downside</t>
  </si>
  <si>
    <t>GOOG</t>
  </si>
  <si>
    <t>AAPL</t>
  </si>
  <si>
    <t>MSFT</t>
  </si>
  <si>
    <t>GOOGL</t>
  </si>
  <si>
    <t xml:space="preserve"> Comps Table</t>
  </si>
  <si>
    <t>Currency</t>
  </si>
  <si>
    <t>Trading Multiples</t>
  </si>
  <si>
    <t>Current</t>
  </si>
  <si>
    <t>Share</t>
  </si>
  <si>
    <t>Enterprise</t>
  </si>
  <si>
    <t>Market</t>
  </si>
  <si>
    <t>Net Income</t>
  </si>
  <si>
    <t>Revenue Growth</t>
  </si>
  <si>
    <t>EBITDA Margin</t>
  </si>
  <si>
    <t>Profit Margin</t>
  </si>
  <si>
    <t>EV / Revenue</t>
  </si>
  <si>
    <t>EV / EBITDA</t>
  </si>
  <si>
    <t>P / E</t>
  </si>
  <si>
    <t>Company Name</t>
  </si>
  <si>
    <t>Price</t>
  </si>
  <si>
    <t>Count</t>
  </si>
  <si>
    <t>Value</t>
  </si>
  <si>
    <t>Cap</t>
  </si>
  <si>
    <t>24</t>
  </si>
  <si>
    <t>'25</t>
  </si>
  <si>
    <t>'24-'25</t>
  </si>
  <si>
    <t>AMZN</t>
  </si>
  <si>
    <t>APPL</t>
  </si>
  <si>
    <t>META</t>
  </si>
  <si>
    <t>NFLX</t>
  </si>
  <si>
    <t>CRM</t>
  </si>
  <si>
    <t>Mean</t>
  </si>
  <si>
    <t>Median</t>
  </si>
  <si>
    <t>2026 Trading Multiple</t>
  </si>
  <si>
    <t>2026 Financial Metric</t>
  </si>
  <si>
    <t>Calculating Implied Share Price</t>
  </si>
  <si>
    <t>P/E</t>
  </si>
  <si>
    <t>EPS</t>
  </si>
  <si>
    <t>Cash</t>
  </si>
  <si>
    <t>Shares</t>
  </si>
  <si>
    <t>Minimum</t>
  </si>
  <si>
    <t>Maximum</t>
  </si>
  <si>
    <t>TICKER</t>
  </si>
  <si>
    <t>Alphabet (GOOGL) Levered Beta</t>
  </si>
  <si>
    <t>Full Diluted Shares</t>
  </si>
  <si>
    <t>Current stock price</t>
  </si>
  <si>
    <t>Basic share Outstanding (latest fillings)</t>
  </si>
  <si>
    <t>In-the-money exercisable option</t>
  </si>
  <si>
    <t>Total proceeds ($ mm)</t>
  </si>
  <si>
    <t>Total shares repurchased (mm)</t>
  </si>
  <si>
    <t>Net dilutive option</t>
  </si>
  <si>
    <t>Net dilutive share outstanding</t>
  </si>
  <si>
    <t>Option outstanding</t>
  </si>
  <si>
    <t>Outstanding</t>
  </si>
  <si>
    <t>Exercise price</t>
  </si>
  <si>
    <t>Dilutive shares</t>
  </si>
  <si>
    <t>Tranche 1</t>
  </si>
  <si>
    <t>Tranche 2</t>
  </si>
  <si>
    <t>Tranche 3</t>
  </si>
  <si>
    <t>Tranche 4</t>
  </si>
  <si>
    <t>Tranche 5</t>
  </si>
  <si>
    <t>Tranche 6</t>
  </si>
  <si>
    <t>Tranche 7</t>
  </si>
  <si>
    <t>Tranche 8</t>
  </si>
  <si>
    <t>Tranche 9</t>
  </si>
  <si>
    <t>Tranche 10</t>
  </si>
  <si>
    <t>Convertible Bonds</t>
  </si>
  <si>
    <t>Principal Outstanding</t>
  </si>
  <si>
    <t>Conversion ratio</t>
  </si>
  <si>
    <t>Conversion Price</t>
  </si>
  <si>
    <t>Convertible Common Shares</t>
  </si>
  <si>
    <t>Dilutive Impact of convertible securities</t>
  </si>
  <si>
    <t>Elimination of  liability from net debt</t>
  </si>
  <si>
    <t>Dilutive impact of shares from other securities (RSUs)</t>
  </si>
  <si>
    <t>CMP * NET Dilutive Shares Outstanding</t>
  </si>
  <si>
    <t>Implied ERP ON AUG, 2025 From Damodaram</t>
  </si>
  <si>
    <t>Cost of debt = Interest expense*2/debt</t>
  </si>
  <si>
    <t xml:space="preserve">[xx] - Copied from another sheet </t>
  </si>
  <si>
    <t>[xx] - Hardcoded</t>
  </si>
  <si>
    <t>[xx] - Copied from same sheet</t>
  </si>
  <si>
    <t>tax/pbt</t>
  </si>
  <si>
    <t>(+) D&amp;A</t>
  </si>
  <si>
    <t>(-) CapEx</t>
  </si>
  <si>
    <t>(-) Change In NWC</t>
  </si>
  <si>
    <t>Other Important Metrics (MM $)</t>
  </si>
  <si>
    <t xml:space="preserve">Terminal value </t>
  </si>
  <si>
    <t>Present value of Terminal value</t>
  </si>
  <si>
    <t>Enterpeise value</t>
  </si>
  <si>
    <t>Equity value</t>
  </si>
  <si>
    <t>Implied Share price</t>
  </si>
  <si>
    <t>Summary of DCF Model on Alphabet (GOOG)</t>
  </si>
  <si>
    <t>$$</t>
  </si>
  <si>
    <t>Not Using the Calculated Beta because its coming way to high then the 5 Years Average Beta given on Websites like Tikr and Yahoo Finance.</t>
  </si>
  <si>
    <t>Implied Share Price Sensitivity Table ($$)</t>
  </si>
  <si>
    <t>Enterprise Value Sensitivity Table ($ MM)</t>
  </si>
  <si>
    <t>FDSO</t>
  </si>
  <si>
    <t>Based on Q2 of 2025 Balance sheet.</t>
  </si>
  <si>
    <t>Estimates for 2025E and 2026E are from Tikr, and the averages for 2027E to 2029E are based on the last 3 Years.</t>
  </si>
  <si>
    <t xml:space="preserve"> </t>
  </si>
  <si>
    <r>
      <rPr>
        <b/>
        <sz val="11"/>
        <color theme="1"/>
        <rFont val="Calibri"/>
        <family val="2"/>
        <scheme val="minor"/>
      </rPr>
      <t>Unlevered FCF</t>
    </r>
    <r>
      <rPr>
        <sz val="11"/>
        <color theme="1"/>
        <rFont val="Calibri"/>
        <family val="2"/>
        <scheme val="minor"/>
      </rPr>
      <t xml:space="preserve"> (Free Cash Flow) = EBITDA + D&amp;A - CapEx - Change inNWC</t>
    </r>
  </si>
  <si>
    <t xml:space="preserve">* </t>
  </si>
  <si>
    <t>This expenditure shows how much the company has spent on purchasing fixed assets ( like PP&amp;E) for long-term use.</t>
  </si>
  <si>
    <t>Based on LTM from TIKR.</t>
  </si>
  <si>
    <t>2025E is LTM from Tikr, and from 2026E to 2029E is the Average of last 3 Years.</t>
  </si>
  <si>
    <t>[xx] - Estimates</t>
  </si>
  <si>
    <t>[xx] - Formulas &amp; Calculations</t>
  </si>
  <si>
    <t>A Positive change in NWC is the use of cash that reduces UFCF, while a Negative change in NWC is a source of cash that increases UFCF.</t>
  </si>
  <si>
    <t>A negative Change in NWC occurs when the company decreases a/c receivable and increases a/c payable, i.e. delaying the payment of suppliers or creditors</t>
  </si>
  <si>
    <r>
      <rPr>
        <b/>
        <sz val="11"/>
        <color theme="1"/>
        <rFont val="Calibri"/>
        <family val="2"/>
        <scheme val="minor"/>
      </rPr>
      <t xml:space="preserve">FDSO </t>
    </r>
    <r>
      <rPr>
        <sz val="11"/>
        <color theme="1"/>
        <rFont val="Calibri"/>
        <family val="2"/>
        <scheme val="minor"/>
      </rPr>
      <t>= Fully Diluted Shares Outstanding.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</si>
</sst>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%;\(0%\)"/>
    <numFmt numFmtId="165" formatCode="0.0%"/>
    <numFmt numFmtId="166" formatCode="0\A"/>
    <numFmt numFmtId="167" formatCode="0\E"/>
    <numFmt numFmtId="168" formatCode="_ * #,##0_ ;_ * \-#,##0_ ;_ * &quot;-&quot;??_ ;_ @_ "/>
    <numFmt numFmtId="169" formatCode="_(* #,##0_);_(* \(#,##0\);_(* &quot;-&quot;??_);_(@_)"/>
    <numFmt numFmtId="170" formatCode="_(* #,##0.0_);_(* \(#,##0.0\);_(* &quot;-&quot;??_);_(@_)"/>
    <numFmt numFmtId="171" formatCode="0;\(0\)"/>
    <numFmt numFmtId="172" formatCode="0.000"/>
    <numFmt numFmtId="173" formatCode="_ [$₹-4009]\ * #,##0.00_ ;_ [$₹-4009]\ * \-#,##0.00_ ;_ [$₹-4009]\ * &quot;-&quot;??_ ;_ @_ "/>
    <numFmt numFmtId="174" formatCode="0.0\x"/>
    <numFmt numFmtId="175" formatCode="_([$$-409]* #,##0.00_);_([$$-409]* \(#,##0.00\);_([$$-409]* &quot;-&quot;??_);_(@_)"/>
    <numFmt numFmtId="176" formatCode="&quot;Tranche&quot;\ \'0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C00000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 val="singleAccounting"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color rgb="FF000000"/>
      <name val="Arial"/>
      <family val="2"/>
    </font>
    <font>
      <sz val="12"/>
      <color rgb="FF2F3033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8B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3366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0" fillId="0" borderId="0" applyNumberFormat="0" applyFill="0" applyBorder="0" applyAlignment="0" applyProtection="0"/>
  </cellStyleXfs>
  <cellXfs count="285">
    <xf numFmtId="0" fontId="0" fillId="0" borderId="0" xfId="0"/>
    <xf numFmtId="0" fontId="0" fillId="2" borderId="1" xfId="0" applyFill="1" applyBorder="1"/>
    <xf numFmtId="0" fontId="0" fillId="2" borderId="0" xfId="0" applyFill="1"/>
    <xf numFmtId="0" fontId="3" fillId="2" borderId="0" xfId="0" applyFont="1" applyFill="1"/>
    <xf numFmtId="0" fontId="5" fillId="2" borderId="1" xfId="0" applyFont="1" applyFill="1" applyBorder="1"/>
    <xf numFmtId="0" fontId="2" fillId="3" borderId="0" xfId="0" applyFont="1" applyFill="1" applyAlignment="1">
      <alignment vertical="center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horizontal="left"/>
    </xf>
    <xf numFmtId="0" fontId="2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right"/>
    </xf>
    <xf numFmtId="0" fontId="2" fillId="4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0" fillId="5" borderId="2" xfId="0" applyFill="1" applyBorder="1" applyAlignment="1">
      <alignment horizontal="center"/>
    </xf>
    <xf numFmtId="0" fontId="0" fillId="2" borderId="0" xfId="0" quotePrefix="1" applyFill="1" applyAlignment="1">
      <alignment horizontal="center"/>
    </xf>
    <xf numFmtId="9" fontId="0" fillId="2" borderId="0" xfId="2" applyFont="1" applyFill="1" applyAlignment="1">
      <alignment horizontal="center"/>
    </xf>
    <xf numFmtId="165" fontId="0" fillId="5" borderId="3" xfId="2" applyNumberFormat="1" applyFont="1" applyFill="1" applyBorder="1" applyAlignment="1">
      <alignment horizontal="center"/>
    </xf>
    <xf numFmtId="165" fontId="0" fillId="2" borderId="0" xfId="2" applyNumberFormat="1" applyFont="1" applyFill="1" applyBorder="1" applyAlignment="1">
      <alignment horizontal="center"/>
    </xf>
    <xf numFmtId="165" fontId="0" fillId="5" borderId="2" xfId="2" applyNumberFormat="1" applyFont="1" applyFill="1" applyBorder="1" applyAlignment="1">
      <alignment horizontal="center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166" fontId="2" fillId="3" borderId="0" xfId="0" applyNumberFormat="1" applyFont="1" applyFill="1" applyAlignment="1">
      <alignment horizontal="right"/>
    </xf>
    <xf numFmtId="167" fontId="2" fillId="3" borderId="0" xfId="0" applyNumberFormat="1" applyFont="1" applyFill="1" applyAlignment="1">
      <alignment horizontal="right"/>
    </xf>
    <xf numFmtId="168" fontId="7" fillId="2" borderId="0" xfId="1" applyNumberFormat="1" applyFont="1" applyFill="1" applyAlignment="1">
      <alignment horizontal="right"/>
    </xf>
    <xf numFmtId="0" fontId="8" fillId="2" borderId="0" xfId="0" applyFont="1" applyFill="1"/>
    <xf numFmtId="9" fontId="0" fillId="2" borderId="0" xfId="2" applyFont="1" applyFill="1" applyAlignment="1">
      <alignment horizontal="right"/>
    </xf>
    <xf numFmtId="0" fontId="7" fillId="2" borderId="0" xfId="0" applyFont="1" applyFill="1"/>
    <xf numFmtId="0" fontId="7" fillId="2" borderId="0" xfId="0" applyFont="1" applyFill="1" applyAlignment="1">
      <alignment horizontal="right"/>
    </xf>
    <xf numFmtId="0" fontId="9" fillId="2" borderId="0" xfId="0" applyFont="1" applyFill="1"/>
    <xf numFmtId="9" fontId="0" fillId="2" borderId="0" xfId="2" applyFont="1" applyFill="1"/>
    <xf numFmtId="0" fontId="2" fillId="3" borderId="0" xfId="0" applyFont="1" applyFill="1"/>
    <xf numFmtId="0" fontId="2" fillId="3" borderId="0" xfId="0" applyFont="1" applyFill="1" applyAlignment="1">
      <alignment horizontal="right"/>
    </xf>
    <xf numFmtId="164" fontId="1" fillId="2" borderId="0" xfId="2" applyNumberFormat="1" applyFont="1" applyFill="1" applyBorder="1" applyAlignment="1">
      <alignment horizontal="right"/>
    </xf>
    <xf numFmtId="9" fontId="3" fillId="2" borderId="0" xfId="2" applyFont="1" applyFill="1" applyAlignment="1">
      <alignment horizontal="right"/>
    </xf>
    <xf numFmtId="168" fontId="9" fillId="2" borderId="0" xfId="0" applyNumberFormat="1" applyFont="1" applyFill="1" applyAlignment="1">
      <alignment horizontal="right"/>
    </xf>
    <xf numFmtId="168" fontId="0" fillId="2" borderId="0" xfId="1" applyNumberFormat="1" applyFont="1" applyFill="1" applyAlignment="1">
      <alignment horizontal="right"/>
    </xf>
    <xf numFmtId="165" fontId="9" fillId="2" borderId="0" xfId="2" applyNumberFormat="1" applyFont="1" applyFill="1"/>
    <xf numFmtId="165" fontId="0" fillId="2" borderId="0" xfId="2" applyNumberFormat="1" applyFont="1" applyFill="1"/>
    <xf numFmtId="9" fontId="0" fillId="2" borderId="0" xfId="0" applyNumberFormat="1" applyFill="1" applyAlignment="1">
      <alignment horizontal="right"/>
    </xf>
    <xf numFmtId="9" fontId="0" fillId="5" borderId="2" xfId="0" applyNumberFormat="1" applyFill="1" applyBorder="1" applyAlignment="1">
      <alignment horizontal="right"/>
    </xf>
    <xf numFmtId="168" fontId="9" fillId="2" borderId="0" xfId="2" applyNumberFormat="1" applyFont="1" applyFill="1" applyAlignment="1">
      <alignment horizontal="right"/>
    </xf>
    <xf numFmtId="169" fontId="0" fillId="2" borderId="0" xfId="0" applyNumberFormat="1" applyFill="1" applyAlignment="1">
      <alignment horizontal="right"/>
    </xf>
    <xf numFmtId="9" fontId="9" fillId="2" borderId="0" xfId="2" applyFont="1" applyFill="1" applyAlignment="1">
      <alignment horizontal="right"/>
    </xf>
    <xf numFmtId="0" fontId="9" fillId="2" borderId="0" xfId="0" applyFont="1" applyFill="1" applyAlignment="1">
      <alignment horizontal="right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0" xfId="0" applyFill="1" applyBorder="1"/>
    <xf numFmtId="2" fontId="0" fillId="2" borderId="0" xfId="0" applyNumberFormat="1" applyFill="1" applyAlignment="1">
      <alignment horizontal="center"/>
    </xf>
    <xf numFmtId="0" fontId="3" fillId="2" borderId="7" xfId="0" applyFont="1" applyFill="1" applyBorder="1"/>
    <xf numFmtId="0" fontId="0" fillId="2" borderId="0" xfId="0" applyFill="1" applyAlignment="1">
      <alignment vertical="top"/>
    </xf>
    <xf numFmtId="0" fontId="11" fillId="3" borderId="0" xfId="0" applyFont="1" applyFill="1"/>
    <xf numFmtId="0" fontId="4" fillId="3" borderId="0" xfId="0" applyFont="1" applyFill="1"/>
    <xf numFmtId="0" fontId="0" fillId="3" borderId="0" xfId="0" applyFill="1"/>
    <xf numFmtId="0" fontId="14" fillId="2" borderId="0" xfId="0" applyFont="1" applyFill="1"/>
    <xf numFmtId="9" fontId="1" fillId="2" borderId="0" xfId="2" applyFont="1" applyFill="1" applyAlignment="1">
      <alignment horizontal="right"/>
    </xf>
    <xf numFmtId="165" fontId="0" fillId="2" borderId="0" xfId="2" applyNumberFormat="1" applyFont="1" applyFill="1" applyAlignment="1">
      <alignment horizontal="right"/>
    </xf>
    <xf numFmtId="168" fontId="16" fillId="2" borderId="0" xfId="1" applyNumberFormat="1" applyFont="1" applyFill="1" applyAlignment="1">
      <alignment horizontal="right"/>
    </xf>
    <xf numFmtId="9" fontId="16" fillId="2" borderId="0" xfId="2" applyFont="1" applyFill="1" applyAlignment="1">
      <alignment horizontal="right"/>
    </xf>
    <xf numFmtId="10" fontId="3" fillId="2" borderId="0" xfId="2" quotePrefix="1" applyNumberFormat="1" applyFont="1" applyFill="1" applyAlignment="1">
      <alignment horizontal="right"/>
    </xf>
    <xf numFmtId="169" fontId="16" fillId="2" borderId="0" xfId="0" applyNumberFormat="1" applyFont="1" applyFill="1" applyAlignment="1">
      <alignment horizontal="right"/>
    </xf>
    <xf numFmtId="0" fontId="17" fillId="2" borderId="0" xfId="0" applyFont="1" applyFill="1"/>
    <xf numFmtId="164" fontId="0" fillId="2" borderId="0" xfId="2" applyNumberFormat="1" applyFont="1" applyFill="1" applyAlignment="1">
      <alignment horizontal="right"/>
    </xf>
    <xf numFmtId="164" fontId="9" fillId="2" borderId="0" xfId="2" applyNumberFormat="1" applyFont="1" applyFill="1" applyAlignment="1">
      <alignment horizontal="right"/>
    </xf>
    <xf numFmtId="171" fontId="7" fillId="2" borderId="0" xfId="0" applyNumberFormat="1" applyFont="1" applyFill="1" applyAlignment="1">
      <alignment horizontal="right"/>
    </xf>
    <xf numFmtId="0" fontId="10" fillId="2" borderId="0" xfId="0" applyFont="1" applyFill="1" applyAlignment="1">
      <alignment horizontal="right"/>
    </xf>
    <xf numFmtId="171" fontId="9" fillId="2" borderId="0" xfId="0" applyNumberFormat="1" applyFont="1" applyFill="1" applyAlignment="1">
      <alignment horizontal="right"/>
    </xf>
    <xf numFmtId="0" fontId="0" fillId="2" borderId="8" xfId="0" applyFill="1" applyBorder="1" applyAlignment="1">
      <alignment horizontal="right"/>
    </xf>
    <xf numFmtId="0" fontId="0" fillId="2" borderId="10" xfId="0" applyFill="1" applyBorder="1" applyAlignment="1">
      <alignment horizontal="right"/>
    </xf>
    <xf numFmtId="2" fontId="0" fillId="2" borderId="0" xfId="0" applyNumberFormat="1" applyFill="1" applyAlignment="1">
      <alignment horizontal="right"/>
    </xf>
    <xf numFmtId="169" fontId="3" fillId="2" borderId="0" xfId="0" applyNumberFormat="1" applyFont="1" applyFill="1" applyAlignment="1">
      <alignment horizontal="right"/>
    </xf>
    <xf numFmtId="169" fontId="0" fillId="2" borderId="0" xfId="1" applyNumberFormat="1" applyFont="1" applyFill="1" applyBorder="1" applyAlignment="1">
      <alignment horizontal="right"/>
    </xf>
    <xf numFmtId="164" fontId="0" fillId="5" borderId="2" xfId="0" applyNumberFormat="1" applyFill="1" applyBorder="1" applyAlignment="1">
      <alignment horizontal="right"/>
    </xf>
    <xf numFmtId="0" fontId="18" fillId="2" borderId="1" xfId="0" applyFont="1" applyFill="1" applyBorder="1"/>
    <xf numFmtId="0" fontId="2" fillId="6" borderId="0" xfId="0" applyFont="1" applyFill="1"/>
    <xf numFmtId="0" fontId="4" fillId="6" borderId="0" xfId="0" applyFont="1" applyFill="1"/>
    <xf numFmtId="0" fontId="6" fillId="2" borderId="0" xfId="0" applyFont="1" applyFill="1"/>
    <xf numFmtId="169" fontId="0" fillId="2" borderId="0" xfId="1" applyNumberFormat="1" applyFont="1" applyFill="1" applyAlignment="1">
      <alignment horizontal="center"/>
    </xf>
    <xf numFmtId="10" fontId="0" fillId="2" borderId="0" xfId="2" applyNumberFormat="1" applyFont="1" applyFill="1"/>
    <xf numFmtId="43" fontId="0" fillId="7" borderId="2" xfId="1" applyFont="1" applyFill="1" applyBorder="1"/>
    <xf numFmtId="10" fontId="0" fillId="7" borderId="2" xfId="0" applyNumberFormat="1" applyFill="1" applyBorder="1"/>
    <xf numFmtId="168" fontId="0" fillId="2" borderId="0" xfId="1" applyNumberFormat="1" applyFont="1" applyFill="1"/>
    <xf numFmtId="169" fontId="0" fillId="2" borderId="0" xfId="0" applyNumberFormat="1" applyFill="1"/>
    <xf numFmtId="9" fontId="0" fillId="7" borderId="2" xfId="2" applyFont="1" applyFill="1" applyBorder="1"/>
    <xf numFmtId="173" fontId="0" fillId="2" borderId="0" xfId="3" applyNumberFormat="1" applyFont="1" applyFill="1" applyAlignment="1">
      <alignment horizontal="right"/>
    </xf>
    <xf numFmtId="173" fontId="0" fillId="2" borderId="0" xfId="0" applyNumberFormat="1" applyFill="1" applyAlignment="1">
      <alignment horizontal="right"/>
    </xf>
    <xf numFmtId="169" fontId="19" fillId="2" borderId="0" xfId="1" applyNumberFormat="1" applyFont="1" applyFill="1" applyBorder="1" applyAlignment="1">
      <alignment horizontal="right"/>
    </xf>
    <xf numFmtId="0" fontId="0" fillId="4" borderId="0" xfId="0" applyFill="1"/>
    <xf numFmtId="0" fontId="2" fillId="4" borderId="0" xfId="0" applyFont="1" applyFill="1"/>
    <xf numFmtId="0" fontId="15" fillId="5" borderId="2" xfId="0" applyFont="1" applyFill="1" applyBorder="1"/>
    <xf numFmtId="172" fontId="0" fillId="2" borderId="0" xfId="0" applyNumberFormat="1" applyFill="1"/>
    <xf numFmtId="172" fontId="0" fillId="2" borderId="0" xfId="0" applyNumberFormat="1" applyFill="1" applyAlignment="1">
      <alignment wrapText="1"/>
    </xf>
    <xf numFmtId="172" fontId="3" fillId="2" borderId="0" xfId="0" applyNumberFormat="1" applyFont="1" applyFill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0" fillId="0" borderId="1" xfId="0" applyFont="1" applyBorder="1"/>
    <xf numFmtId="0" fontId="0" fillId="0" borderId="1" xfId="0" applyBorder="1"/>
    <xf numFmtId="0" fontId="21" fillId="0" borderId="1" xfId="0" applyFont="1" applyBorder="1" applyAlignment="1">
      <alignment horizontal="center"/>
    </xf>
    <xf numFmtId="0" fontId="22" fillId="0" borderId="0" xfId="0" applyFont="1"/>
    <xf numFmtId="14" fontId="0" fillId="5" borderId="15" xfId="0" applyNumberFormat="1" applyFill="1" applyBorder="1" applyAlignment="1">
      <alignment horizontal="center"/>
    </xf>
    <xf numFmtId="0" fontId="21" fillId="0" borderId="0" xfId="0" applyFont="1"/>
    <xf numFmtId="0" fontId="0" fillId="5" borderId="15" xfId="0" applyFill="1" applyBorder="1" applyAlignment="1">
      <alignment horizontal="center"/>
    </xf>
    <xf numFmtId="0" fontId="22" fillId="8" borderId="0" xfId="0" applyFont="1" applyFill="1" applyAlignment="1">
      <alignment vertical="center"/>
    </xf>
    <xf numFmtId="0" fontId="0" fillId="8" borderId="0" xfId="0" applyFill="1" applyAlignment="1">
      <alignment horizontal="right" vertical="center"/>
    </xf>
    <xf numFmtId="0" fontId="22" fillId="8" borderId="0" xfId="0" applyFont="1" applyFill="1" applyAlignment="1">
      <alignment horizontal="center" vertical="center"/>
    </xf>
    <xf numFmtId="0" fontId="23" fillId="8" borderId="0" xfId="0" applyFont="1" applyFill="1" applyAlignment="1">
      <alignment horizontal="centerContinuous" vertical="center"/>
    </xf>
    <xf numFmtId="0" fontId="22" fillId="8" borderId="1" xfId="0" applyFont="1" applyFill="1" applyBorder="1" applyAlignment="1">
      <alignment vertical="center"/>
    </xf>
    <xf numFmtId="0" fontId="22" fillId="8" borderId="1" xfId="0" applyFont="1" applyFill="1" applyBorder="1" applyAlignment="1">
      <alignment horizontal="center" vertical="center"/>
    </xf>
    <xf numFmtId="0" fontId="22" fillId="8" borderId="1" xfId="0" quotePrefix="1" applyFont="1" applyFill="1" applyBorder="1" applyAlignment="1">
      <alignment horizontal="center" vertical="center"/>
    </xf>
    <xf numFmtId="0" fontId="22" fillId="0" borderId="0" xfId="0" applyFont="1" applyAlignment="1">
      <alignment vertical="center"/>
    </xf>
    <xf numFmtId="0" fontId="22" fillId="0" borderId="0" xfId="0" applyFont="1" applyAlignment="1">
      <alignment horizontal="center" vertical="center"/>
    </xf>
    <xf numFmtId="0" fontId="22" fillId="0" borderId="0" xfId="0" quotePrefix="1" applyFont="1" applyAlignment="1">
      <alignment horizontal="center" vertical="center"/>
    </xf>
    <xf numFmtId="0" fontId="24" fillId="0" borderId="4" xfId="0" applyFont="1" applyBorder="1"/>
    <xf numFmtId="0" fontId="0" fillId="0" borderId="5" xfId="0" applyBorder="1"/>
    <xf numFmtId="164" fontId="0" fillId="0" borderId="5" xfId="2" applyNumberFormat="1" applyFont="1" applyBorder="1" applyAlignment="1">
      <alignment horizontal="center"/>
    </xf>
    <xf numFmtId="164" fontId="0" fillId="2" borderId="5" xfId="2" applyNumberFormat="1" applyFont="1" applyFill="1" applyBorder="1" applyAlignment="1">
      <alignment horizontal="center"/>
    </xf>
    <xf numFmtId="164" fontId="0" fillId="0" borderId="0" xfId="2" applyNumberFormat="1" applyFont="1" applyAlignment="1">
      <alignment horizontal="center"/>
    </xf>
    <xf numFmtId="174" fontId="0" fillId="2" borderId="5" xfId="0" applyNumberFormat="1" applyFill="1" applyBorder="1" applyAlignment="1">
      <alignment horizontal="center"/>
    </xf>
    <xf numFmtId="0" fontId="24" fillId="0" borderId="0" xfId="0" applyFon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164" fontId="0" fillId="0" borderId="0" xfId="2" applyNumberFormat="1" applyFont="1" applyBorder="1" applyAlignment="1">
      <alignment horizontal="center"/>
    </xf>
    <xf numFmtId="174" fontId="0" fillId="0" borderId="0" xfId="0" applyNumberFormat="1" applyAlignment="1">
      <alignment horizontal="center"/>
    </xf>
    <xf numFmtId="0" fontId="24" fillId="2" borderId="0" xfId="0" applyFont="1" applyFill="1"/>
    <xf numFmtId="3" fontId="0" fillId="0" borderId="0" xfId="0" applyNumberFormat="1" applyAlignment="1">
      <alignment horizontal="center" vertical="center"/>
    </xf>
    <xf numFmtId="0" fontId="22" fillId="9" borderId="7" xfId="0" applyFont="1" applyFill="1" applyBorder="1"/>
    <xf numFmtId="0" fontId="0" fillId="9" borderId="8" xfId="0" applyFill="1" applyBorder="1"/>
    <xf numFmtId="164" fontId="22" fillId="9" borderId="8" xfId="0" applyNumberFormat="1" applyFont="1" applyFill="1" applyBorder="1" applyAlignment="1">
      <alignment horizontal="center"/>
    </xf>
    <xf numFmtId="174" fontId="22" fillId="9" borderId="8" xfId="0" applyNumberFormat="1" applyFont="1" applyFill="1" applyBorder="1" applyAlignment="1">
      <alignment horizontal="center"/>
    </xf>
    <xf numFmtId="174" fontId="22" fillId="9" borderId="11" xfId="0" applyNumberFormat="1" applyFont="1" applyFill="1" applyBorder="1" applyAlignment="1">
      <alignment horizontal="center"/>
    </xf>
    <xf numFmtId="0" fontId="22" fillId="9" borderId="13" xfId="0" applyFont="1" applyFill="1" applyBorder="1"/>
    <xf numFmtId="0" fontId="0" fillId="9" borderId="1" xfId="0" applyFill="1" applyBorder="1"/>
    <xf numFmtId="164" fontId="22" fillId="9" borderId="1" xfId="0" applyNumberFormat="1" applyFont="1" applyFill="1" applyBorder="1" applyAlignment="1">
      <alignment horizontal="center"/>
    </xf>
    <xf numFmtId="174" fontId="22" fillId="9" borderId="1" xfId="0" applyNumberFormat="1" applyFont="1" applyFill="1" applyBorder="1" applyAlignment="1">
      <alignment horizontal="center"/>
    </xf>
    <xf numFmtId="174" fontId="22" fillId="9" borderId="14" xfId="0" applyNumberFormat="1" applyFont="1" applyFill="1" applyBorder="1" applyAlignment="1">
      <alignment horizontal="center"/>
    </xf>
    <xf numFmtId="0" fontId="26" fillId="0" borderId="0" xfId="0" applyFont="1" applyAlignment="1">
      <alignment horizontal="center"/>
    </xf>
    <xf numFmtId="174" fontId="0" fillId="0" borderId="0" xfId="0" applyNumberFormat="1" applyAlignment="1">
      <alignment horizontal="center" vertical="center"/>
    </xf>
    <xf numFmtId="4" fontId="24" fillId="0" borderId="0" xfId="0" applyNumberFormat="1" applyFont="1" applyAlignment="1">
      <alignment horizontal="center" vertical="center"/>
    </xf>
    <xf numFmtId="3" fontId="24" fillId="0" borderId="0" xfId="0" applyNumberFormat="1" applyFont="1" applyAlignment="1">
      <alignment horizontal="center" vertical="center"/>
    </xf>
    <xf numFmtId="1" fontId="24" fillId="0" borderId="0" xfId="1" quotePrefix="1" applyNumberFormat="1" applyFont="1" applyAlignment="1">
      <alignment horizontal="center" vertical="center"/>
    </xf>
    <xf numFmtId="3" fontId="0" fillId="0" borderId="0" xfId="0" applyNumberFormat="1"/>
    <xf numFmtId="3" fontId="0" fillId="0" borderId="0" xfId="0" quotePrefix="1" applyNumberFormat="1" applyAlignment="1">
      <alignment horizontal="center" vertical="center"/>
    </xf>
    <xf numFmtId="175" fontId="0" fillId="0" borderId="0" xfId="0" quotePrefix="1" applyNumberFormat="1" applyAlignment="1">
      <alignment vertical="center"/>
    </xf>
    <xf numFmtId="1" fontId="24" fillId="0" borderId="0" xfId="0" quotePrefix="1" applyNumberFormat="1" applyFont="1" applyAlignment="1">
      <alignment horizontal="center" vertical="center"/>
    </xf>
    <xf numFmtId="1" fontId="0" fillId="0" borderId="0" xfId="0" quotePrefix="1" applyNumberFormat="1" applyAlignment="1">
      <alignment horizontal="center" vertical="center"/>
    </xf>
    <xf numFmtId="0" fontId="27" fillId="2" borderId="0" xfId="0" applyFont="1" applyFill="1" applyAlignment="1">
      <alignment horizontal="center"/>
    </xf>
    <xf numFmtId="0" fontId="28" fillId="2" borderId="0" xfId="0" applyFont="1" applyFill="1" applyAlignment="1">
      <alignment vertical="center"/>
    </xf>
    <xf numFmtId="174" fontId="27" fillId="2" borderId="0" xfId="0" applyNumberFormat="1" applyFont="1" applyFill="1" applyAlignment="1">
      <alignment horizontal="center" vertical="center"/>
    </xf>
    <xf numFmtId="0" fontId="28" fillId="2" borderId="0" xfId="0" applyFont="1" applyFill="1" applyAlignment="1">
      <alignment horizontal="center" vertical="center"/>
    </xf>
    <xf numFmtId="3" fontId="27" fillId="2" borderId="0" xfId="0" applyNumberFormat="1" applyFont="1" applyFill="1" applyAlignment="1">
      <alignment horizontal="center" vertical="center"/>
    </xf>
    <xf numFmtId="0" fontId="27" fillId="2" borderId="0" xfId="0" applyFont="1" applyFill="1"/>
    <xf numFmtId="1" fontId="27" fillId="2" borderId="0" xfId="0" quotePrefix="1" applyNumberFormat="1" applyFont="1" applyFill="1" applyAlignment="1">
      <alignment horizontal="center" vertical="center"/>
    </xf>
    <xf numFmtId="0" fontId="28" fillId="2" borderId="0" xfId="0" quotePrefix="1" applyFont="1" applyFill="1" applyAlignment="1">
      <alignment horizontal="center" vertical="center"/>
    </xf>
    <xf numFmtId="0" fontId="29" fillId="2" borderId="0" xfId="0" applyFont="1" applyFill="1" applyAlignment="1">
      <alignment horizontal="left"/>
    </xf>
    <xf numFmtId="0" fontId="29" fillId="2" borderId="0" xfId="0" applyFont="1" applyFill="1" applyAlignment="1">
      <alignment horizontal="center"/>
    </xf>
    <xf numFmtId="0" fontId="22" fillId="2" borderId="0" xfId="0" applyFont="1" applyFill="1" applyAlignment="1">
      <alignment horizontal="center" vertical="center"/>
    </xf>
    <xf numFmtId="0" fontId="22" fillId="2" borderId="0" xfId="0" quotePrefix="1" applyFont="1" applyFill="1" applyAlignment="1">
      <alignment horizontal="center" vertical="center"/>
    </xf>
    <xf numFmtId="0" fontId="22" fillId="2" borderId="0" xfId="0" applyFont="1" applyFill="1" applyAlignment="1">
      <alignment vertical="center"/>
    </xf>
    <xf numFmtId="0" fontId="0" fillId="2" borderId="0" xfId="0" applyFill="1" applyAlignment="1">
      <alignment horizontal="right" vertical="center"/>
    </xf>
    <xf numFmtId="0" fontId="23" fillId="2" borderId="0" xfId="0" applyFont="1" applyFill="1" applyAlignment="1">
      <alignment horizontal="centerContinuous" vertical="center"/>
    </xf>
    <xf numFmtId="0" fontId="23" fillId="2" borderId="0" xfId="0" applyFont="1" applyFill="1" applyAlignment="1">
      <alignment vertical="center"/>
    </xf>
    <xf numFmtId="2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" fontId="0" fillId="2" borderId="0" xfId="0" applyNumberFormat="1" applyFill="1" applyAlignment="1">
      <alignment horizontal="center" vertical="center"/>
    </xf>
    <xf numFmtId="4" fontId="26" fillId="2" borderId="0" xfId="0" applyNumberFormat="1" applyFont="1" applyFill="1" applyAlignment="1">
      <alignment vertical="center"/>
    </xf>
    <xf numFmtId="4" fontId="26" fillId="2" borderId="0" xfId="0" applyNumberFormat="1" applyFont="1" applyFill="1" applyAlignment="1">
      <alignment horizontal="right" vertical="center"/>
    </xf>
    <xf numFmtId="0" fontId="30" fillId="2" borderId="0" xfId="4" applyFill="1" applyAlignment="1">
      <alignment horizontal="right" vertical="center"/>
    </xf>
    <xf numFmtId="0" fontId="22" fillId="2" borderId="0" xfId="0" quotePrefix="1" applyFont="1" applyFill="1" applyAlignment="1">
      <alignment vertical="center"/>
    </xf>
    <xf numFmtId="4" fontId="26" fillId="2" borderId="0" xfId="0" applyNumberFormat="1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31" fillId="2" borderId="0" xfId="0" applyFont="1" applyFill="1" applyAlignment="1">
      <alignment horizontal="right" vertical="center"/>
    </xf>
    <xf numFmtId="2" fontId="26" fillId="2" borderId="0" xfId="0" applyNumberFormat="1" applyFont="1" applyFill="1" applyAlignment="1">
      <alignment horizontal="center" vertical="center"/>
    </xf>
    <xf numFmtId="43" fontId="0" fillId="2" borderId="0" xfId="1" applyFont="1" applyFill="1" applyAlignment="1">
      <alignment horizontal="center" vertical="center"/>
    </xf>
    <xf numFmtId="43" fontId="25" fillId="2" borderId="0" xfId="1" applyFont="1" applyFill="1" applyAlignment="1">
      <alignment horizontal="center" vertical="center"/>
    </xf>
    <xf numFmtId="3" fontId="0" fillId="2" borderId="0" xfId="0" applyNumberFormat="1" applyFill="1" applyAlignment="1">
      <alignment horizontal="center" vertical="center"/>
    </xf>
    <xf numFmtId="164" fontId="0" fillId="2" borderId="0" xfId="2" applyNumberFormat="1" applyFont="1" applyFill="1" applyAlignment="1">
      <alignment horizontal="center"/>
    </xf>
    <xf numFmtId="4" fontId="32" fillId="2" borderId="0" xfId="0" applyNumberFormat="1" applyFont="1" applyFill="1" applyAlignment="1">
      <alignment horizontal="center" vertical="center"/>
    </xf>
    <xf numFmtId="0" fontId="24" fillId="2" borderId="0" xfId="0" applyFont="1" applyFill="1" applyAlignment="1">
      <alignment horizontal="left"/>
    </xf>
    <xf numFmtId="174" fontId="0" fillId="2" borderId="0" xfId="0" applyNumberFormat="1" applyFill="1" applyAlignment="1">
      <alignment horizontal="center"/>
    </xf>
    <xf numFmtId="0" fontId="20" fillId="2" borderId="1" xfId="0" applyFont="1" applyFill="1" applyBorder="1"/>
    <xf numFmtId="0" fontId="2" fillId="10" borderId="0" xfId="0" applyFont="1" applyFill="1"/>
    <xf numFmtId="0" fontId="4" fillId="10" borderId="0" xfId="0" applyFont="1" applyFill="1"/>
    <xf numFmtId="0" fontId="0" fillId="5" borderId="2" xfId="0" applyFill="1" applyBorder="1" applyAlignment="1">
      <alignment horizontal="right"/>
    </xf>
    <xf numFmtId="43" fontId="3" fillId="2" borderId="0" xfId="0" applyNumberFormat="1" applyFont="1" applyFill="1" applyAlignment="1">
      <alignment horizontal="center"/>
    </xf>
    <xf numFmtId="176" fontId="0" fillId="2" borderId="0" xfId="0" applyNumberFormat="1" applyFill="1"/>
    <xf numFmtId="0" fontId="0" fillId="5" borderId="2" xfId="0" applyFill="1" applyBorder="1"/>
    <xf numFmtId="0" fontId="3" fillId="11" borderId="0" xfId="0" applyFont="1" applyFill="1"/>
    <xf numFmtId="0" fontId="0" fillId="11" borderId="0" xfId="0" applyFill="1"/>
    <xf numFmtId="169" fontId="0" fillId="5" borderId="2" xfId="1" applyNumberFormat="1" applyFont="1" applyFill="1" applyBorder="1"/>
    <xf numFmtId="2" fontId="3" fillId="2" borderId="0" xfId="0" applyNumberFormat="1" applyFont="1" applyFill="1"/>
    <xf numFmtId="43" fontId="4" fillId="2" borderId="0" xfId="0" applyNumberFormat="1" applyFont="1" applyFill="1"/>
    <xf numFmtId="10" fontId="0" fillId="2" borderId="0" xfId="0" applyNumberFormat="1" applyFill="1" applyAlignment="1">
      <alignment horizontal="center"/>
    </xf>
    <xf numFmtId="10" fontId="0" fillId="2" borderId="0" xfId="2" applyNumberFormat="1" applyFont="1" applyFill="1" applyAlignment="1">
      <alignment horizontal="center"/>
    </xf>
    <xf numFmtId="168" fontId="19" fillId="2" borderId="0" xfId="1" applyNumberFormat="1" applyFont="1" applyFill="1" applyAlignment="1">
      <alignment horizontal="right"/>
    </xf>
    <xf numFmtId="169" fontId="19" fillId="5" borderId="2" xfId="1" applyNumberFormat="1" applyFont="1" applyFill="1" applyBorder="1" applyAlignment="1">
      <alignment horizontal="right"/>
    </xf>
    <xf numFmtId="2" fontId="19" fillId="5" borderId="2" xfId="0" applyNumberFormat="1" applyFont="1" applyFill="1" applyBorder="1" applyAlignment="1">
      <alignment horizontal="right"/>
    </xf>
    <xf numFmtId="10" fontId="19" fillId="2" borderId="0" xfId="0" applyNumberFormat="1" applyFont="1" applyFill="1"/>
    <xf numFmtId="10" fontId="19" fillId="7" borderId="2" xfId="0" applyNumberFormat="1" applyFont="1" applyFill="1" applyBorder="1"/>
    <xf numFmtId="170" fontId="19" fillId="7" borderId="2" xfId="1" applyNumberFormat="1" applyFont="1" applyFill="1" applyBorder="1"/>
    <xf numFmtId="9" fontId="19" fillId="7" borderId="2" xfId="0" applyNumberFormat="1" applyFont="1" applyFill="1" applyBorder="1"/>
    <xf numFmtId="0" fontId="19" fillId="5" borderId="2" xfId="0" applyFont="1" applyFill="1" applyBorder="1"/>
    <xf numFmtId="165" fontId="19" fillId="5" borderId="2" xfId="2" applyNumberFormat="1" applyFont="1" applyFill="1" applyBorder="1"/>
    <xf numFmtId="165" fontId="7" fillId="5" borderId="2" xfId="0" applyNumberFormat="1" applyFont="1" applyFill="1" applyBorder="1" applyAlignment="1">
      <alignment horizontal="center"/>
    </xf>
    <xf numFmtId="165" fontId="19" fillId="5" borderId="2" xfId="2" applyNumberFormat="1" applyFont="1" applyFill="1" applyBorder="1" applyAlignment="1">
      <alignment horizontal="center"/>
    </xf>
    <xf numFmtId="9" fontId="19" fillId="5" borderId="2" xfId="0" applyNumberFormat="1" applyFont="1" applyFill="1" applyBorder="1" applyAlignment="1">
      <alignment horizontal="center"/>
    </xf>
    <xf numFmtId="165" fontId="19" fillId="5" borderId="2" xfId="0" applyNumberFormat="1" applyFont="1" applyFill="1" applyBorder="1" applyAlignment="1">
      <alignment horizontal="center"/>
    </xf>
    <xf numFmtId="10" fontId="19" fillId="5" borderId="2" xfId="0" applyNumberFormat="1" applyFont="1" applyFill="1" applyBorder="1" applyAlignment="1">
      <alignment horizontal="center"/>
    </xf>
    <xf numFmtId="164" fontId="19" fillId="5" borderId="2" xfId="2" applyNumberFormat="1" applyFont="1" applyFill="1" applyBorder="1" applyAlignment="1">
      <alignment horizontal="center"/>
    </xf>
    <xf numFmtId="0" fontId="33" fillId="2" borderId="0" xfId="0" applyFont="1" applyFill="1"/>
    <xf numFmtId="0" fontId="34" fillId="2" borderId="0" xfId="0" applyFont="1" applyFill="1"/>
    <xf numFmtId="0" fontId="19" fillId="2" borderId="0" xfId="0" applyFont="1" applyFill="1"/>
    <xf numFmtId="9" fontId="9" fillId="5" borderId="2" xfId="2" applyFont="1" applyFill="1" applyBorder="1" applyAlignment="1">
      <alignment horizontal="right"/>
    </xf>
    <xf numFmtId="164" fontId="19" fillId="5" borderId="2" xfId="0" applyNumberFormat="1" applyFont="1" applyFill="1" applyBorder="1" applyAlignment="1">
      <alignment horizontal="right"/>
    </xf>
    <xf numFmtId="9" fontId="16" fillId="5" borderId="2" xfId="0" applyNumberFormat="1" applyFont="1" applyFill="1" applyBorder="1" applyAlignment="1">
      <alignment horizontal="right"/>
    </xf>
    <xf numFmtId="164" fontId="16" fillId="5" borderId="2" xfId="0" applyNumberFormat="1" applyFont="1" applyFill="1" applyBorder="1" applyAlignment="1">
      <alignment horizontal="right"/>
    </xf>
    <xf numFmtId="2" fontId="3" fillId="2" borderId="0" xfId="0" applyNumberFormat="1" applyFont="1" applyFill="1" applyAlignment="1">
      <alignment horizontal="right"/>
    </xf>
    <xf numFmtId="0" fontId="3" fillId="2" borderId="9" xfId="0" applyFont="1" applyFill="1" applyBorder="1"/>
    <xf numFmtId="169" fontId="3" fillId="2" borderId="8" xfId="1" applyNumberFormat="1" applyFont="1" applyFill="1" applyBorder="1" applyAlignment="1">
      <alignment horizontal="right"/>
    </xf>
    <xf numFmtId="169" fontId="3" fillId="2" borderId="10" xfId="0" applyNumberFormat="1" applyFont="1" applyFill="1" applyBorder="1" applyAlignment="1">
      <alignment horizontal="right"/>
    </xf>
    <xf numFmtId="0" fontId="3" fillId="2" borderId="4" xfId="0" applyFont="1" applyFill="1" applyBorder="1"/>
    <xf numFmtId="0" fontId="3" fillId="2" borderId="5" xfId="0" applyFont="1" applyFill="1" applyBorder="1"/>
    <xf numFmtId="0" fontId="3" fillId="2" borderId="5" xfId="0" applyFont="1" applyFill="1" applyBorder="1" applyAlignment="1">
      <alignment horizontal="right"/>
    </xf>
    <xf numFmtId="169" fontId="3" fillId="2" borderId="5" xfId="0" applyNumberFormat="1" applyFont="1" applyFill="1" applyBorder="1" applyAlignment="1">
      <alignment horizontal="right"/>
    </xf>
    <xf numFmtId="0" fontId="0" fillId="2" borderId="2" xfId="0" applyFill="1" applyBorder="1" applyAlignment="1">
      <alignment horizontal="center"/>
    </xf>
    <xf numFmtId="0" fontId="3" fillId="7" borderId="2" xfId="0" applyFont="1" applyFill="1" applyBorder="1" applyAlignment="1">
      <alignment horizontal="center" vertical="center"/>
    </xf>
    <xf numFmtId="14" fontId="3" fillId="7" borderId="2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  <xf numFmtId="173" fontId="3" fillId="2" borderId="0" xfId="3" applyNumberFormat="1" applyFont="1" applyFill="1" applyAlignment="1">
      <alignment horizontal="right"/>
    </xf>
    <xf numFmtId="9" fontId="19" fillId="2" borderId="0" xfId="2" applyFont="1" applyFill="1" applyAlignment="1">
      <alignment horizontal="right"/>
    </xf>
    <xf numFmtId="0" fontId="3" fillId="0" borderId="0" xfId="0" applyFont="1"/>
    <xf numFmtId="0" fontId="5" fillId="2" borderId="0" xfId="0" applyFont="1" applyFill="1"/>
    <xf numFmtId="0" fontId="0" fillId="0" borderId="8" xfId="0" applyBorder="1"/>
    <xf numFmtId="0" fontId="8" fillId="2" borderId="6" xfId="0" applyFont="1" applyFill="1" applyBorder="1"/>
    <xf numFmtId="0" fontId="8" fillId="2" borderId="13" xfId="0" applyFont="1" applyFill="1" applyBorder="1"/>
    <xf numFmtId="14" fontId="0" fillId="5" borderId="2" xfId="0" applyNumberFormat="1" applyFill="1" applyBorder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right"/>
    </xf>
    <xf numFmtId="0" fontId="35" fillId="2" borderId="0" xfId="0" applyFont="1" applyFill="1"/>
    <xf numFmtId="0" fontId="3" fillId="5" borderId="0" xfId="0" applyFont="1" applyFill="1" applyAlignment="1">
      <alignment horizontal="right"/>
    </xf>
    <xf numFmtId="169" fontId="4" fillId="2" borderId="0" xfId="0" applyNumberFormat="1" applyFont="1" applyFill="1" applyAlignment="1">
      <alignment horizontal="right"/>
    </xf>
    <xf numFmtId="165" fontId="0" fillId="2" borderId="1" xfId="2" applyNumberFormat="1" applyFont="1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0" fontId="3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2" fontId="0" fillId="2" borderId="7" xfId="0" applyNumberFormat="1" applyFill="1" applyBorder="1" applyAlignment="1">
      <alignment horizontal="right"/>
    </xf>
    <xf numFmtId="2" fontId="0" fillId="2" borderId="6" xfId="0" applyNumberFormat="1" applyFill="1" applyBorder="1" applyAlignment="1">
      <alignment horizontal="right"/>
    </xf>
    <xf numFmtId="2" fontId="3" fillId="5" borderId="0" xfId="0" applyNumberFormat="1" applyFont="1" applyFill="1" applyAlignment="1">
      <alignment horizontal="right"/>
    </xf>
    <xf numFmtId="0" fontId="0" fillId="0" borderId="2" xfId="0" applyBorder="1" applyAlignment="1">
      <alignment horizontal="center" vertical="center"/>
    </xf>
    <xf numFmtId="0" fontId="3" fillId="2" borderId="8" xfId="0" applyFont="1" applyFill="1" applyBorder="1"/>
    <xf numFmtId="169" fontId="36" fillId="2" borderId="11" xfId="0" applyNumberFormat="1" applyFont="1" applyFill="1" applyBorder="1" applyAlignment="1">
      <alignment horizontal="right" vertical="center"/>
    </xf>
    <xf numFmtId="0" fontId="3" fillId="2" borderId="6" xfId="0" applyFont="1" applyFill="1" applyBorder="1"/>
    <xf numFmtId="169" fontId="36" fillId="2" borderId="12" xfId="0" applyNumberFormat="1" applyFont="1" applyFill="1" applyBorder="1" applyAlignment="1">
      <alignment horizontal="right" vertical="center"/>
    </xf>
    <xf numFmtId="0" fontId="3" fillId="2" borderId="13" xfId="0" applyFont="1" applyFill="1" applyBorder="1"/>
    <xf numFmtId="0" fontId="3" fillId="2" borderId="1" xfId="0" applyFont="1" applyFill="1" applyBorder="1"/>
    <xf numFmtId="2" fontId="36" fillId="2" borderId="14" xfId="0" applyNumberFormat="1" applyFont="1" applyFill="1" applyBorder="1" applyAlignment="1">
      <alignment horizontal="right" vertical="center"/>
    </xf>
    <xf numFmtId="0" fontId="2" fillId="4" borderId="7" xfId="0" applyFont="1" applyFill="1" applyBorder="1" applyAlignment="1">
      <alignment horizontal="left"/>
    </xf>
    <xf numFmtId="0" fontId="0" fillId="4" borderId="8" xfId="0" applyFill="1" applyBorder="1" applyAlignment="1">
      <alignment horizontal="right"/>
    </xf>
    <xf numFmtId="166" fontId="2" fillId="4" borderId="8" xfId="0" applyNumberFormat="1" applyFont="1" applyFill="1" applyBorder="1" applyAlignment="1">
      <alignment horizontal="right"/>
    </xf>
    <xf numFmtId="167" fontId="2" fillId="4" borderId="8" xfId="0" applyNumberFormat="1" applyFont="1" applyFill="1" applyBorder="1" applyAlignment="1">
      <alignment horizontal="right"/>
    </xf>
    <xf numFmtId="167" fontId="2" fillId="4" borderId="11" xfId="0" applyNumberFormat="1" applyFont="1" applyFill="1" applyBorder="1" applyAlignment="1">
      <alignment horizontal="right"/>
    </xf>
    <xf numFmtId="168" fontId="7" fillId="0" borderId="8" xfId="1" applyNumberFormat="1" applyFont="1" applyBorder="1" applyAlignment="1">
      <alignment horizontal="right"/>
    </xf>
    <xf numFmtId="168" fontId="7" fillId="0" borderId="11" xfId="1" applyNumberFormat="1" applyFont="1" applyBorder="1" applyAlignment="1">
      <alignment horizontal="right"/>
    </xf>
    <xf numFmtId="9" fontId="7" fillId="0" borderId="0" xfId="2" applyFont="1" applyBorder="1" applyAlignment="1">
      <alignment horizontal="right"/>
    </xf>
    <xf numFmtId="9" fontId="7" fillId="0" borderId="12" xfId="2" applyFont="1" applyBorder="1" applyAlignment="1">
      <alignment horizontal="right"/>
    </xf>
    <xf numFmtId="0" fontId="7" fillId="0" borderId="0" xfId="0" applyFont="1"/>
    <xf numFmtId="0" fontId="7" fillId="0" borderId="12" xfId="0" applyFont="1" applyBorder="1"/>
    <xf numFmtId="168" fontId="7" fillId="0" borderId="0" xfId="1" applyNumberFormat="1" applyFont="1" applyBorder="1"/>
    <xf numFmtId="168" fontId="7" fillId="0" borderId="12" xfId="1" applyNumberFormat="1" applyFont="1" applyBorder="1"/>
    <xf numFmtId="9" fontId="7" fillId="0" borderId="0" xfId="2" applyFont="1" applyBorder="1"/>
    <xf numFmtId="9" fontId="7" fillId="0" borderId="12" xfId="2" applyFont="1" applyBorder="1"/>
    <xf numFmtId="9" fontId="7" fillId="0" borderId="1" xfId="2" applyFont="1" applyBorder="1"/>
    <xf numFmtId="9" fontId="7" fillId="0" borderId="14" xfId="2" applyFont="1" applyBorder="1"/>
    <xf numFmtId="169" fontId="19" fillId="2" borderId="0" xfId="0" applyNumberFormat="1" applyFont="1" applyFill="1" applyAlignment="1">
      <alignment horizontal="right"/>
    </xf>
    <xf numFmtId="0" fontId="0" fillId="2" borderId="0" xfId="0" applyFont="1" applyFill="1"/>
    <xf numFmtId="165" fontId="0" fillId="0" borderId="0" xfId="2" applyNumberFormat="1" applyFont="1"/>
    <xf numFmtId="10" fontId="0" fillId="0" borderId="0" xfId="2" applyNumberFormat="1" applyFont="1"/>
  </cellXfs>
  <cellStyles count="5">
    <cellStyle name="Comma" xfId="1" builtinId="3"/>
    <cellStyle name="Currency" xfId="3" builtinId="4"/>
    <cellStyle name="Hyperlink" xfId="4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aseline="0"/>
              <a:t>Chart Title</a:t>
            </a:r>
          </a:p>
        </c:rich>
      </c:tx>
      <c:layout>
        <c:manualLayout>
          <c:xMode val="edge"/>
          <c:yMode val="edge"/>
          <c:x val="0.36513164926782338"/>
          <c:y val="2.915463692038495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24759405074368"/>
          <c:y val="0.17634259259259263"/>
          <c:w val="0.78562970253718289"/>
          <c:h val="0.553113152522601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Summary!$B$11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003366"/>
            </a:solidFill>
            <a:ln w="85725" cap="flat" cmpd="sng">
              <a:solidFill>
                <a:srgbClr val="003366"/>
              </a:solidFill>
            </a:ln>
            <a:effectLst>
              <a:glow rad="254000">
                <a:schemeClr val="bg1">
                  <a:alpha val="37000"/>
                </a:schemeClr>
              </a:glow>
              <a:innerShdw blurRad="63500" dist="38100" dir="13500000">
                <a:schemeClr val="accent5">
                  <a:lumMod val="40000"/>
                  <a:lumOff val="60000"/>
                  <a:alpha val="50000"/>
                </a:schemeClr>
              </a:innerShdw>
            </a:effectLst>
            <a:scene3d>
              <a:camera prst="orthographicFront"/>
              <a:lightRig rig="threePt" dir="t"/>
            </a:scene3d>
            <a:sp3d/>
          </c:spPr>
          <c:invertIfNegative val="1"/>
          <c:dPt>
            <c:idx val="5"/>
            <c:invertIfNegative val="1"/>
            <c:bubble3D val="0"/>
            <c:spPr>
              <a:solidFill>
                <a:srgbClr val="003366"/>
              </a:solidFill>
              <a:ln w="85725" cap="flat" cmpd="sng">
                <a:solidFill>
                  <a:srgbClr val="002060"/>
                </a:solidFill>
              </a:ln>
              <a:effectLst>
                <a:glow rad="254000">
                  <a:schemeClr val="bg1">
                    <a:alpha val="37000"/>
                  </a:schemeClr>
                </a:glow>
                <a:innerShdw blurRad="63500" dist="38100" dir="13500000">
                  <a:schemeClr val="accent5">
                    <a:lumMod val="40000"/>
                    <a:lumOff val="60000"/>
                    <a:alpha val="50000"/>
                  </a:schemeClr>
                </a:innerShdw>
              </a:effectLst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5-DBE0-449D-BB5A-3F778E5494E0}"/>
              </c:ext>
            </c:extLst>
          </c:dPt>
          <c:dPt>
            <c:idx val="7"/>
            <c:invertIfNegative val="1"/>
            <c:bubble3D val="0"/>
            <c:spPr>
              <a:solidFill>
                <a:srgbClr val="003366"/>
              </a:solidFill>
              <a:ln w="85725" cap="flat" cmpd="sng">
                <a:solidFill>
                  <a:srgbClr val="003366"/>
                </a:solidFill>
              </a:ln>
              <a:effectLst>
                <a:glow rad="254000">
                  <a:schemeClr val="bg1">
                    <a:alpha val="37000"/>
                  </a:schemeClr>
                </a:glow>
                <a:innerShdw blurRad="63500" dist="38100" dir="13500000">
                  <a:schemeClr val="accent5">
                    <a:lumMod val="40000"/>
                    <a:lumOff val="60000"/>
                    <a:alpha val="50000"/>
                  </a:schemeClr>
                </a:innerShdw>
              </a:effectLst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7-DBE0-449D-BB5A-3F778E5494E0}"/>
              </c:ext>
            </c:extLst>
          </c:dPt>
          <c:cat>
            <c:strRef>
              <c:f>Summary!$C$10:$T$10</c:f>
              <c:strCache>
                <c:ptCount val="18"/>
                <c:pt idx="3">
                  <c:v>2015A</c:v>
                </c:pt>
                <c:pt idx="4">
                  <c:v>2016A</c:v>
                </c:pt>
                <c:pt idx="5">
                  <c:v>2017A</c:v>
                </c:pt>
                <c:pt idx="6">
                  <c:v>2018A</c:v>
                </c:pt>
                <c:pt idx="7">
                  <c:v>2019A</c:v>
                </c:pt>
                <c:pt idx="8">
                  <c:v>2020A</c:v>
                </c:pt>
                <c:pt idx="9">
                  <c:v>2021A</c:v>
                </c:pt>
                <c:pt idx="10">
                  <c:v>2022A</c:v>
                </c:pt>
                <c:pt idx="11">
                  <c:v>2023A</c:v>
                </c:pt>
                <c:pt idx="12">
                  <c:v>2024A</c:v>
                </c:pt>
                <c:pt idx="13">
                  <c:v>2025E</c:v>
                </c:pt>
                <c:pt idx="14">
                  <c:v>2026E</c:v>
                </c:pt>
                <c:pt idx="15">
                  <c:v>2027E</c:v>
                </c:pt>
                <c:pt idx="16">
                  <c:v>2028E</c:v>
                </c:pt>
                <c:pt idx="17">
                  <c:v>2029E</c:v>
                </c:pt>
              </c:strCache>
            </c:strRef>
          </c:cat>
          <c:val>
            <c:numRef>
              <c:f>Summary!$C$11:$T$11</c:f>
              <c:numCache>
                <c:formatCode>General</c:formatCode>
                <c:ptCount val="18"/>
                <c:pt idx="3" formatCode="_ * #,##0_ ;_ * \-#,##0_ ;_ * &quot;-&quot;??_ ;_ @_ ">
                  <c:v>74989</c:v>
                </c:pt>
                <c:pt idx="4" formatCode="_ * #,##0_ ;_ * \-#,##0_ ;_ * &quot;-&quot;??_ ;_ @_ ">
                  <c:v>90272</c:v>
                </c:pt>
                <c:pt idx="5" formatCode="_ * #,##0_ ;_ * \-#,##0_ ;_ * &quot;-&quot;??_ ;_ @_ ">
                  <c:v>110855</c:v>
                </c:pt>
                <c:pt idx="6" formatCode="_ * #,##0_ ;_ * \-#,##0_ ;_ * &quot;-&quot;??_ ;_ @_ ">
                  <c:v>136819</c:v>
                </c:pt>
                <c:pt idx="7" formatCode="_ * #,##0_ ;_ * \-#,##0_ ;_ * &quot;-&quot;??_ ;_ @_ ">
                  <c:v>161857</c:v>
                </c:pt>
                <c:pt idx="8" formatCode="_ * #,##0_ ;_ * \-#,##0_ ;_ * &quot;-&quot;??_ ;_ @_ ">
                  <c:v>182527</c:v>
                </c:pt>
                <c:pt idx="9" formatCode="_ * #,##0_ ;_ * \-#,##0_ ;_ * &quot;-&quot;??_ ;_ @_ ">
                  <c:v>257637</c:v>
                </c:pt>
                <c:pt idx="10" formatCode="_ * #,##0_ ;_ * \-#,##0_ ;_ * &quot;-&quot;??_ ;_ @_ ">
                  <c:v>282836</c:v>
                </c:pt>
                <c:pt idx="11" formatCode="_ * #,##0_ ;_ * \-#,##0_ ;_ * &quot;-&quot;??_ ;_ @_ ">
                  <c:v>307394</c:v>
                </c:pt>
                <c:pt idx="12" formatCode="_ * #,##0_ ;_ * \-#,##0_ ;_ * &quot;-&quot;??_ ;_ @_ ">
                  <c:v>350018</c:v>
                </c:pt>
                <c:pt idx="13" formatCode="_ * #,##0_ ;_ * \-#,##0_ ;_ * &quot;-&quot;??_ ;_ @_ ">
                  <c:v>394235.78</c:v>
                </c:pt>
                <c:pt idx="14" formatCode="_ * #,##0_ ;_ * \-#,##0_ ;_ * &quot;-&quot;??_ ;_ @_ ">
                  <c:v>439217.15</c:v>
                </c:pt>
                <c:pt idx="15" formatCode="_ * #,##0_ ;_ * \-#,##0_ ;_ * &quot;-&quot;??_ ;_ @_ ">
                  <c:v>494718.10560664587</c:v>
                </c:pt>
                <c:pt idx="16" formatCode="_ * #,##0_ ;_ * \-#,##0_ ;_ * &quot;-&quot;??_ ;_ @_ ">
                  <c:v>555204.15742699755</c:v>
                </c:pt>
                <c:pt idx="17" formatCode="_ * #,##0_ ;_ * \-#,##0_ ;_ * &quot;-&quot;??_ ;_ @_ ">
                  <c:v>622332.90525321569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8B0000"/>
                  </a:solidFill>
                  <a:ln w="85725" cap="flat" cmpd="sng">
                    <a:solidFill>
                      <a:srgbClr val="003366"/>
                    </a:solidFill>
                  </a:ln>
                  <a:effectLst>
                    <a:glow rad="254000">
                      <a:schemeClr val="bg1">
                        <a:alpha val="37000"/>
                      </a:schemeClr>
                    </a:glow>
                    <a:innerShdw blurRad="63500" dist="38100" dir="13500000">
                      <a:schemeClr val="accent5">
                        <a:lumMod val="40000"/>
                        <a:lumOff val="60000"/>
                        <a:alpha val="50000"/>
                      </a:schemeClr>
                    </a:innerShdw>
                  </a:effectLst>
                  <a:scene3d>
                    <a:camera prst="orthographicFront"/>
                    <a:lightRig rig="threePt" dir="t"/>
                  </a:scene3d>
                  <a:sp3d/>
                </c14:spPr>
              </c14:invertSolidFillFmt>
            </c:ext>
            <c:ext xmlns:c16="http://schemas.microsoft.com/office/drawing/2014/chart" uri="{C3380CC4-5D6E-409C-BE32-E72D297353CC}">
              <c16:uniqueId val="{00000008-DBE0-449D-BB5A-3F778E5494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6707055"/>
        <c:axId val="1236725775"/>
      </c:barChart>
      <c:lineChart>
        <c:grouping val="standard"/>
        <c:varyColors val="0"/>
        <c:ser>
          <c:idx val="1"/>
          <c:order val="1"/>
          <c:tx>
            <c:strRef>
              <c:f>Summary!$B$12</c:f>
              <c:strCache>
                <c:ptCount val="1"/>
                <c:pt idx="0">
                  <c:v>growth%</c:v>
                </c:pt>
              </c:strCache>
            </c:strRef>
          </c:tx>
          <c:spPr>
            <a:ln w="12700" cap="rnd" cmpd="sng">
              <a:solidFill>
                <a:srgbClr val="2E7D32">
                  <a:alpha val="75000"/>
                </a:srgbClr>
              </a:solidFill>
              <a:prstDash val="solid"/>
              <a:round/>
              <a:headEnd type="none"/>
            </a:ln>
            <a:effectLst>
              <a:outerShdw blurRad="63500" sx="102000" sy="102000" algn="ctr" rotWithShape="0">
                <a:srgbClr val="C00000">
                  <a:alpha val="40000"/>
                </a:srgbClr>
              </a:outerShdw>
            </a:effectLst>
          </c:spPr>
          <c:marker>
            <c:symbol val="circle"/>
            <c:size val="5"/>
            <c:spPr>
              <a:solidFill>
                <a:srgbClr val="2E7D32"/>
              </a:solidFill>
              <a:ln w="9525" cap="rnd">
                <a:solidFill>
                  <a:srgbClr val="E53935">
                    <a:alpha val="20000"/>
                  </a:srgbClr>
                </a:solidFill>
              </a:ln>
              <a:effectLst>
                <a:outerShdw blurRad="63500" sx="102000" sy="102000" algn="ctr" rotWithShape="0">
                  <a:srgbClr val="C00000">
                    <a:alpha val="40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c:spPr>
          </c:marker>
          <c:dPt>
            <c:idx val="11"/>
            <c:marker>
              <c:spPr>
                <a:solidFill>
                  <a:srgbClr val="2E7D32"/>
                </a:solidFill>
                <a:ln w="9525" cap="rnd">
                  <a:solidFill>
                    <a:srgbClr val="E53935">
                      <a:alpha val="20000"/>
                    </a:srgbClr>
                  </a:solidFill>
                </a:ln>
                <a:effectLst>
                  <a:outerShdw blurRad="63500" sx="102000" sy="102000" algn="ctr" rotWithShape="0">
                    <a:srgbClr val="C00000">
                      <a:alpha val="40000"/>
                    </a:srgbClr>
                  </a:outerShdw>
                </a:effectLst>
                <a:scene3d>
                  <a:camera prst="orthographicFront"/>
                  <a:lightRig rig="threePt" dir="t"/>
                </a:scene3d>
                <a:sp3d>
                  <a:bevelT w="25400" prst="hardEdge"/>
                  <a:bevelB/>
                </a:sp3d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DBE0-449D-BB5A-3F778E5494E0}"/>
              </c:ext>
            </c:extLst>
          </c:dPt>
          <c:cat>
            <c:strRef>
              <c:f>Summary!$C$10:$T$10</c:f>
              <c:strCache>
                <c:ptCount val="18"/>
                <c:pt idx="3">
                  <c:v>2015A</c:v>
                </c:pt>
                <c:pt idx="4">
                  <c:v>2016A</c:v>
                </c:pt>
                <c:pt idx="5">
                  <c:v>2017A</c:v>
                </c:pt>
                <c:pt idx="6">
                  <c:v>2018A</c:v>
                </c:pt>
                <c:pt idx="7">
                  <c:v>2019A</c:v>
                </c:pt>
                <c:pt idx="8">
                  <c:v>2020A</c:v>
                </c:pt>
                <c:pt idx="9">
                  <c:v>2021A</c:v>
                </c:pt>
                <c:pt idx="10">
                  <c:v>2022A</c:v>
                </c:pt>
                <c:pt idx="11">
                  <c:v>2023A</c:v>
                </c:pt>
                <c:pt idx="12">
                  <c:v>2024A</c:v>
                </c:pt>
                <c:pt idx="13">
                  <c:v>2025E</c:v>
                </c:pt>
                <c:pt idx="14">
                  <c:v>2026E</c:v>
                </c:pt>
                <c:pt idx="15">
                  <c:v>2027E</c:v>
                </c:pt>
                <c:pt idx="16">
                  <c:v>2028E</c:v>
                </c:pt>
                <c:pt idx="17">
                  <c:v>2029E</c:v>
                </c:pt>
              </c:strCache>
            </c:strRef>
          </c:cat>
          <c:val>
            <c:numRef>
              <c:f>Summary!$C$12:$T$12</c:f>
              <c:numCache>
                <c:formatCode>General</c:formatCode>
                <c:ptCount val="18"/>
                <c:pt idx="3" formatCode="0%">
                  <c:v>0</c:v>
                </c:pt>
                <c:pt idx="4" formatCode="0%">
                  <c:v>0.20380322447292265</c:v>
                </c:pt>
                <c:pt idx="5" formatCode="0%">
                  <c:v>0.22801090038993266</c:v>
                </c:pt>
                <c:pt idx="6" formatCode="0%">
                  <c:v>0.23421586757475987</c:v>
                </c:pt>
                <c:pt idx="7" formatCode="0%">
                  <c:v>0.18300089899794614</c:v>
                </c:pt>
                <c:pt idx="8" formatCode="0%">
                  <c:v>0.12770532012826141</c:v>
                </c:pt>
                <c:pt idx="9" formatCode="0%">
                  <c:v>0.41150076427049154</c:v>
                </c:pt>
                <c:pt idx="10" formatCode="0%">
                  <c:v>9.7808156437157789E-2</c:v>
                </c:pt>
                <c:pt idx="11" formatCode="0%">
                  <c:v>8.6827702272695095E-2</c:v>
                </c:pt>
                <c:pt idx="12" formatCode="0%">
                  <c:v>0.13866243322901561</c:v>
                </c:pt>
                <c:pt idx="13" formatCode="0%">
                  <c:v>0.12633001731339544</c:v>
                </c:pt>
                <c:pt idx="14" formatCode="0%">
                  <c:v>0.11409763466928347</c:v>
                </c:pt>
                <c:pt idx="15" formatCode="0%">
                  <c:v>0.12636336173723151</c:v>
                </c:pt>
                <c:pt idx="16" formatCode="0%">
                  <c:v>0.12226367123997013</c:v>
                </c:pt>
                <c:pt idx="17" formatCode="0%">
                  <c:v>0.12090822254882837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DBE0-449D-BB5A-3F778E5494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6712815"/>
        <c:axId val="1236709935"/>
      </c:lineChart>
      <c:dateAx>
        <c:axId val="1236712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709935"/>
        <c:crosses val="autoZero"/>
        <c:auto val="0"/>
        <c:lblOffset val="100"/>
        <c:baseTimeUnit val="days"/>
      </c:dateAx>
      <c:valAx>
        <c:axId val="1236709935"/>
        <c:scaling>
          <c:orientation val="minMax"/>
          <c:max val="0.5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712815"/>
        <c:crosses val="autoZero"/>
        <c:crossBetween val="between"/>
      </c:valAx>
      <c:valAx>
        <c:axId val="1236725775"/>
        <c:scaling>
          <c:orientation val="minMax"/>
          <c:max val="650000"/>
          <c:min val="500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707055"/>
        <c:crosses val="max"/>
        <c:crossBetween val="between"/>
        <c:majorUnit val="10000"/>
        <c:dispUnits>
          <c:builtInUnit val="millions"/>
          <c:dispUnitsLbl/>
        </c:dispUnits>
      </c:valAx>
      <c:catAx>
        <c:axId val="123670705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36725775"/>
        <c:crosses val="autoZero"/>
        <c:auto val="1"/>
        <c:lblAlgn val="ctr"/>
        <c:lblOffset val="100"/>
        <c:noMultiLvlLbl val="0"/>
      </c:cat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aseline="0"/>
              <a:t>Chart Title</a:t>
            </a:r>
          </a:p>
        </c:rich>
      </c:tx>
      <c:layout>
        <c:manualLayout>
          <c:xMode val="edge"/>
          <c:yMode val="edge"/>
          <c:x val="0.36513164926782338"/>
          <c:y val="2.915463692038495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24759405074368"/>
          <c:y val="0.17634259259259263"/>
          <c:w val="0.78562970253718289"/>
          <c:h val="0.553113152522601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Summary!$B$14</c:f>
              <c:strCache>
                <c:ptCount val="1"/>
                <c:pt idx="0">
                  <c:v>EBIT</c:v>
                </c:pt>
              </c:strCache>
            </c:strRef>
          </c:tx>
          <c:spPr>
            <a:solidFill>
              <a:srgbClr val="003366"/>
            </a:solidFill>
            <a:ln w="85725" cap="flat" cmpd="sng">
              <a:solidFill>
                <a:srgbClr val="002060"/>
              </a:solidFill>
            </a:ln>
            <a:effectLst>
              <a:glow rad="254000">
                <a:schemeClr val="bg1">
                  <a:alpha val="37000"/>
                </a:schemeClr>
              </a:glow>
              <a:innerShdw blurRad="63500" dist="38100" dir="13500000">
                <a:schemeClr val="accent5">
                  <a:lumMod val="40000"/>
                  <a:lumOff val="60000"/>
                  <a:alpha val="50000"/>
                </a:schemeClr>
              </a:innerShdw>
            </a:effectLst>
            <a:scene3d>
              <a:camera prst="orthographicFront"/>
              <a:lightRig rig="threePt" dir="t"/>
            </a:scene3d>
            <a:sp3d/>
          </c:spPr>
          <c:invertIfNegative val="1"/>
          <c:dPt>
            <c:idx val="5"/>
            <c:invertIfNegative val="1"/>
            <c:bubble3D val="0"/>
            <c:spPr>
              <a:solidFill>
                <a:srgbClr val="003366"/>
              </a:solidFill>
              <a:ln w="85725" cap="flat" cmpd="sng">
                <a:solidFill>
                  <a:srgbClr val="002060"/>
                </a:solidFill>
              </a:ln>
              <a:effectLst>
                <a:glow rad="254000">
                  <a:schemeClr val="bg1">
                    <a:alpha val="37000"/>
                  </a:schemeClr>
                </a:glow>
                <a:innerShdw blurRad="63500" dist="38100" dir="13500000">
                  <a:schemeClr val="accent5">
                    <a:lumMod val="40000"/>
                    <a:lumOff val="60000"/>
                    <a:alpha val="50000"/>
                  </a:schemeClr>
                </a:innerShdw>
              </a:effectLst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5-16E2-4197-8987-CABAB1F9EFE4}"/>
              </c:ext>
            </c:extLst>
          </c:dPt>
          <c:dPt>
            <c:idx val="7"/>
            <c:invertIfNegative val="1"/>
            <c:bubble3D val="0"/>
            <c:spPr>
              <a:solidFill>
                <a:srgbClr val="003366"/>
              </a:solidFill>
              <a:ln w="85725" cap="flat" cmpd="sng">
                <a:solidFill>
                  <a:srgbClr val="002060"/>
                </a:solidFill>
              </a:ln>
              <a:effectLst>
                <a:glow rad="254000">
                  <a:schemeClr val="bg1">
                    <a:alpha val="37000"/>
                  </a:schemeClr>
                </a:glow>
                <a:innerShdw blurRad="63500" dist="38100" dir="13500000">
                  <a:schemeClr val="accent5">
                    <a:lumMod val="40000"/>
                    <a:lumOff val="60000"/>
                    <a:alpha val="50000"/>
                  </a:schemeClr>
                </a:innerShdw>
              </a:effectLst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7-16E2-4197-8987-CABAB1F9EFE4}"/>
              </c:ext>
            </c:extLst>
          </c:dPt>
          <c:cat>
            <c:strRef>
              <c:f>Summary!$C$10:$T$10</c:f>
              <c:strCache>
                <c:ptCount val="18"/>
                <c:pt idx="3">
                  <c:v>2015A</c:v>
                </c:pt>
                <c:pt idx="4">
                  <c:v>2016A</c:v>
                </c:pt>
                <c:pt idx="5">
                  <c:v>2017A</c:v>
                </c:pt>
                <c:pt idx="6">
                  <c:v>2018A</c:v>
                </c:pt>
                <c:pt idx="7">
                  <c:v>2019A</c:v>
                </c:pt>
                <c:pt idx="8">
                  <c:v>2020A</c:v>
                </c:pt>
                <c:pt idx="9">
                  <c:v>2021A</c:v>
                </c:pt>
                <c:pt idx="10">
                  <c:v>2022A</c:v>
                </c:pt>
                <c:pt idx="11">
                  <c:v>2023A</c:v>
                </c:pt>
                <c:pt idx="12">
                  <c:v>2024A</c:v>
                </c:pt>
                <c:pt idx="13">
                  <c:v>2025E</c:v>
                </c:pt>
                <c:pt idx="14">
                  <c:v>2026E</c:v>
                </c:pt>
                <c:pt idx="15">
                  <c:v>2027E</c:v>
                </c:pt>
                <c:pt idx="16">
                  <c:v>2028E</c:v>
                </c:pt>
                <c:pt idx="17">
                  <c:v>2029E</c:v>
                </c:pt>
              </c:strCache>
            </c:strRef>
          </c:cat>
          <c:val>
            <c:numRef>
              <c:f>Summary!$C$14:$T$14</c:f>
              <c:numCache>
                <c:formatCode>General</c:formatCode>
                <c:ptCount val="18"/>
                <c:pt idx="3" formatCode="_ * #,##0_ ;_ * \-#,##0_ ;_ * &quot;-&quot;??_ ;_ @_ ">
                  <c:v>19360</c:v>
                </c:pt>
                <c:pt idx="4" formatCode="_ * #,##0_ ;_ * \-#,##0_ ;_ * &quot;-&quot;??_ ;_ @_ ">
                  <c:v>23716</c:v>
                </c:pt>
                <c:pt idx="5" formatCode="_ * #,##0_ ;_ * \-#,##0_ ;_ * &quot;-&quot;??_ ;_ @_ ">
                  <c:v>26178</c:v>
                </c:pt>
                <c:pt idx="6" formatCode="_ * #,##0_ ;_ * \-#,##0_ ;_ * &quot;-&quot;??_ ;_ @_ ">
                  <c:v>27524</c:v>
                </c:pt>
                <c:pt idx="7" formatCode="_ * #,##0_ ;_ * \-#,##0_ ;_ * &quot;-&quot;??_ ;_ @_ ">
                  <c:v>34231</c:v>
                </c:pt>
                <c:pt idx="8" formatCode="_ * #,##0_ ;_ * \-#,##0_ ;_ * &quot;-&quot;??_ ;_ @_ ">
                  <c:v>41224</c:v>
                </c:pt>
                <c:pt idx="9" formatCode="_ * #,##0_ ;_ * \-#,##0_ ;_ * &quot;-&quot;??_ ;_ @_ ">
                  <c:v>78714</c:v>
                </c:pt>
                <c:pt idx="10" formatCode="_ * #,##0_ ;_ * \-#,##0_ ;_ * &quot;-&quot;??_ ;_ @_ ">
                  <c:v>74842</c:v>
                </c:pt>
                <c:pt idx="11" formatCode="_ * #,##0_ ;_ * \-#,##0_ ;_ * &quot;-&quot;??_ ;_ @_ ">
                  <c:v>84293</c:v>
                </c:pt>
                <c:pt idx="12" formatCode="_ * #,##0_ ;_ * \-#,##0_ ;_ * &quot;-&quot;??_ ;_ @_ ">
                  <c:v>112390</c:v>
                </c:pt>
                <c:pt idx="13" formatCode="_ * #,##0_ ;_ * \-#,##0_ ;_ * &quot;-&quot;??_ ;_ @_ ">
                  <c:v>130441.53999999998</c:v>
                </c:pt>
                <c:pt idx="14" formatCode="_ * #,##0_ ;_ * \-#,##0_ ;_ * &quot;-&quot;??_ ;_ @_ ">
                  <c:v>147085.24</c:v>
                </c:pt>
                <c:pt idx="15" formatCode="_ * #,##0_ ;_ * \-#,##0_ ;_ * &quot;-&quot;??_ ;_ @_ ">
                  <c:v>162737.54150380593</c:v>
                </c:pt>
                <c:pt idx="16" formatCode="_ * #,##0_ ;_ * \-#,##0_ ;_ * &quot;-&quot;??_ ;_ @_ ">
                  <c:v>184087.63502931772</c:v>
                </c:pt>
                <c:pt idx="17" formatCode="_ * #,##0_ ;_ * \-#,##0_ ;_ * &quot;-&quot;??_ ;_ @_ ">
                  <c:v>206489.63559694329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8B0000"/>
                  </a:solidFill>
                  <a:ln w="85725" cap="flat" cmpd="sng">
                    <a:solidFill>
                      <a:srgbClr val="002060"/>
                    </a:solidFill>
                  </a:ln>
                  <a:effectLst>
                    <a:glow rad="254000">
                      <a:schemeClr val="bg1">
                        <a:alpha val="37000"/>
                      </a:schemeClr>
                    </a:glow>
                    <a:innerShdw blurRad="63500" dist="38100" dir="13500000">
                      <a:schemeClr val="accent5">
                        <a:lumMod val="40000"/>
                        <a:lumOff val="60000"/>
                        <a:alpha val="50000"/>
                      </a:schemeClr>
                    </a:innerShdw>
                  </a:effectLst>
                  <a:scene3d>
                    <a:camera prst="orthographicFront"/>
                    <a:lightRig rig="threePt" dir="t"/>
                  </a:scene3d>
                  <a:sp3d/>
                </c14:spPr>
              </c14:invertSolidFillFmt>
            </c:ext>
            <c:ext xmlns:c16="http://schemas.microsoft.com/office/drawing/2014/chart" uri="{C3380CC4-5D6E-409C-BE32-E72D297353CC}">
              <c16:uniqueId val="{00000008-16E2-4197-8987-CABAB1F9EF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6707055"/>
        <c:axId val="1236725775"/>
      </c:barChart>
      <c:lineChart>
        <c:grouping val="standard"/>
        <c:varyColors val="0"/>
        <c:ser>
          <c:idx val="1"/>
          <c:order val="1"/>
          <c:tx>
            <c:strRef>
              <c:f>Summary!$B$15</c:f>
              <c:strCache>
                <c:ptCount val="1"/>
                <c:pt idx="0">
                  <c:v>% of Sale </c:v>
                </c:pt>
              </c:strCache>
            </c:strRef>
          </c:tx>
          <c:spPr>
            <a:ln w="12700" cap="rnd" cmpd="sng">
              <a:solidFill>
                <a:srgbClr val="2E7D32">
                  <a:alpha val="75000"/>
                </a:srgbClr>
              </a:solidFill>
              <a:prstDash val="solid"/>
              <a:round/>
              <a:headEnd type="none"/>
            </a:ln>
            <a:effectLst>
              <a:outerShdw blurRad="63500" sx="102000" sy="102000" algn="ctr" rotWithShape="0">
                <a:srgbClr val="C00000">
                  <a:alpha val="40000"/>
                </a:srgbClr>
              </a:outerShdw>
            </a:effectLst>
          </c:spPr>
          <c:marker>
            <c:symbol val="circle"/>
            <c:size val="5"/>
            <c:spPr>
              <a:solidFill>
                <a:srgbClr val="2E7D32"/>
              </a:solidFill>
              <a:ln w="9525" cap="rnd">
                <a:solidFill>
                  <a:srgbClr val="E53935">
                    <a:alpha val="20000"/>
                  </a:srgbClr>
                </a:solidFill>
              </a:ln>
              <a:effectLst>
                <a:outerShdw blurRad="63500" sx="102000" sy="102000" algn="ctr" rotWithShape="0">
                  <a:srgbClr val="C00000">
                    <a:alpha val="40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c:spPr>
          </c:marker>
          <c:dPt>
            <c:idx val="11"/>
            <c:marker>
              <c:spPr>
                <a:solidFill>
                  <a:srgbClr val="2E7D32"/>
                </a:solidFill>
                <a:ln w="9525" cap="rnd">
                  <a:solidFill>
                    <a:srgbClr val="E53935">
                      <a:alpha val="20000"/>
                    </a:srgbClr>
                  </a:solidFill>
                </a:ln>
                <a:effectLst>
                  <a:outerShdw blurRad="63500" sx="102000" sy="102000" algn="ctr" rotWithShape="0">
                    <a:srgbClr val="C00000">
                      <a:alpha val="40000"/>
                    </a:srgbClr>
                  </a:outerShdw>
                </a:effectLst>
                <a:scene3d>
                  <a:camera prst="orthographicFront"/>
                  <a:lightRig rig="threePt" dir="t"/>
                </a:scene3d>
                <a:sp3d>
                  <a:bevelT w="25400" prst="hardEdge"/>
                  <a:bevelB/>
                </a:sp3d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16E2-4197-8987-CABAB1F9EFE4}"/>
              </c:ext>
            </c:extLst>
          </c:dPt>
          <c:cat>
            <c:strRef>
              <c:f>Summary!$C$10:$T$10</c:f>
              <c:strCache>
                <c:ptCount val="18"/>
                <c:pt idx="3">
                  <c:v>2015A</c:v>
                </c:pt>
                <c:pt idx="4">
                  <c:v>2016A</c:v>
                </c:pt>
                <c:pt idx="5">
                  <c:v>2017A</c:v>
                </c:pt>
                <c:pt idx="6">
                  <c:v>2018A</c:v>
                </c:pt>
                <c:pt idx="7">
                  <c:v>2019A</c:v>
                </c:pt>
                <c:pt idx="8">
                  <c:v>2020A</c:v>
                </c:pt>
                <c:pt idx="9">
                  <c:v>2021A</c:v>
                </c:pt>
                <c:pt idx="10">
                  <c:v>2022A</c:v>
                </c:pt>
                <c:pt idx="11">
                  <c:v>2023A</c:v>
                </c:pt>
                <c:pt idx="12">
                  <c:v>2024A</c:v>
                </c:pt>
                <c:pt idx="13">
                  <c:v>2025E</c:v>
                </c:pt>
                <c:pt idx="14">
                  <c:v>2026E</c:v>
                </c:pt>
                <c:pt idx="15">
                  <c:v>2027E</c:v>
                </c:pt>
                <c:pt idx="16">
                  <c:v>2028E</c:v>
                </c:pt>
                <c:pt idx="17">
                  <c:v>2029E</c:v>
                </c:pt>
              </c:strCache>
            </c:strRef>
          </c:cat>
          <c:val>
            <c:numRef>
              <c:f>Summary!$C$15:$T$15</c:f>
              <c:numCache>
                <c:formatCode>General</c:formatCode>
                <c:ptCount val="18"/>
                <c:pt idx="3" formatCode="0%">
                  <c:v>0.25817119844243824</c:v>
                </c:pt>
                <c:pt idx="4" formatCode="0%">
                  <c:v>0.26271712158808935</c:v>
                </c:pt>
                <c:pt idx="5" formatCode="0%">
                  <c:v>0.23614631726128726</c:v>
                </c:pt>
                <c:pt idx="6" formatCode="0%">
                  <c:v>0.20117089000796673</c:v>
                </c:pt>
                <c:pt idx="7" formatCode="0%">
                  <c:v>0.21148915400631421</c:v>
                </c:pt>
                <c:pt idx="8" formatCode="0%">
                  <c:v>0.22585151785763202</c:v>
                </c:pt>
                <c:pt idx="9" formatCode="0%">
                  <c:v>0.3055228868524319</c:v>
                </c:pt>
                <c:pt idx="10" formatCode="0%">
                  <c:v>0.26461270842467011</c:v>
                </c:pt>
                <c:pt idx="11" formatCode="0%">
                  <c:v>0.27421810445226646</c:v>
                </c:pt>
                <c:pt idx="12" formatCode="0%">
                  <c:v>0.32109777211457696</c:v>
                </c:pt>
                <c:pt idx="13" formatCode="0%">
                  <c:v>0.33087189600091593</c:v>
                </c:pt>
                <c:pt idx="14" formatCode="0%">
                  <c:v>0.33488045719526205</c:v>
                </c:pt>
                <c:pt idx="15" formatCode="0%">
                  <c:v>0.32895004177025167</c:v>
                </c:pt>
                <c:pt idx="16" formatCode="0%">
                  <c:v>0.3315674649888099</c:v>
                </c:pt>
                <c:pt idx="17" formatCode="0%">
                  <c:v>0.33179932131810785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16E2-4197-8987-CABAB1F9EF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6712815"/>
        <c:axId val="1236709935"/>
      </c:lineChart>
      <c:dateAx>
        <c:axId val="1236712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709935"/>
        <c:crosses val="autoZero"/>
        <c:auto val="0"/>
        <c:lblOffset val="100"/>
        <c:baseTimeUnit val="days"/>
      </c:dateAx>
      <c:valAx>
        <c:axId val="1236709935"/>
        <c:scaling>
          <c:orientation val="minMax"/>
          <c:max val="0.4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712815"/>
        <c:crosses val="autoZero"/>
        <c:crossBetween val="between"/>
      </c:valAx>
      <c:valAx>
        <c:axId val="1236725775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707055"/>
        <c:crosses val="max"/>
        <c:crossBetween val="between"/>
        <c:majorUnit val="10000"/>
      </c:valAx>
      <c:catAx>
        <c:axId val="123670705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36725775"/>
        <c:crosses val="autoZero"/>
        <c:auto val="1"/>
        <c:lblAlgn val="ctr"/>
        <c:lblOffset val="100"/>
        <c:noMultiLvlLbl val="0"/>
      </c:cat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4.xml"/><Relationship Id="rId13" Type="http://schemas.openxmlformats.org/officeDocument/2006/relationships/image" Target="../media/image7.png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openxmlformats.org/officeDocument/2006/relationships/customXml" Target="../ink/ink6.xml"/><Relationship Id="rId17" Type="http://schemas.openxmlformats.org/officeDocument/2006/relationships/image" Target="../media/image10.jpeg"/><Relationship Id="rId2" Type="http://schemas.openxmlformats.org/officeDocument/2006/relationships/customXml" Target="../ink/ink1.xml"/><Relationship Id="rId16" Type="http://schemas.openxmlformats.org/officeDocument/2006/relationships/image" Target="../media/image9.png"/><Relationship Id="rId1" Type="http://schemas.openxmlformats.org/officeDocument/2006/relationships/image" Target="../media/image1.png"/><Relationship Id="rId6" Type="http://schemas.openxmlformats.org/officeDocument/2006/relationships/customXml" Target="../ink/ink3.xml"/><Relationship Id="rId11" Type="http://schemas.openxmlformats.org/officeDocument/2006/relationships/image" Target="../media/image6.png"/><Relationship Id="rId5" Type="http://schemas.openxmlformats.org/officeDocument/2006/relationships/image" Target="../media/image3.png"/><Relationship Id="rId15" Type="http://schemas.openxmlformats.org/officeDocument/2006/relationships/image" Target="../media/image8.png"/><Relationship Id="rId10" Type="http://schemas.openxmlformats.org/officeDocument/2006/relationships/customXml" Target="../ink/ink5.xml"/><Relationship Id="rId4" Type="http://schemas.openxmlformats.org/officeDocument/2006/relationships/customXml" Target="../ink/ink2.xml"/><Relationship Id="rId9" Type="http://schemas.openxmlformats.org/officeDocument/2006/relationships/image" Target="../media/image5.png"/><Relationship Id="rId14" Type="http://schemas.openxmlformats.org/officeDocument/2006/relationships/customXml" Target="../ink/ink7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144780</xdr:colOff>
      <xdr:row>12</xdr:row>
      <xdr:rowOff>38100</xdr:rowOff>
    </xdr:from>
    <xdr:to>
      <xdr:col>10</xdr:col>
      <xdr:colOff>266700</xdr:colOff>
      <xdr:row>42</xdr:row>
      <xdr:rowOff>121920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1C1806A-4083-3B20-67D7-9E59504DEF88}"/>
            </a:ext>
          </a:extLst>
        </xdr:cNvPr>
        <xdr:cNvSpPr/>
      </xdr:nvSpPr>
      <xdr:spPr>
        <a:xfrm>
          <a:off x="144780" y="2232660"/>
          <a:ext cx="6217920" cy="557022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 b="1" u="sng"/>
            <a:t>Company</a:t>
          </a:r>
          <a:r>
            <a:rPr lang="en-IN" sz="1100" b="1" u="sng" baseline="0"/>
            <a:t> Overview: </a:t>
          </a:r>
          <a:endParaRPr lang="en-IN" sz="1100" b="1" u="sng"/>
        </a:p>
        <a:p>
          <a:pPr algn="l"/>
          <a:r>
            <a:rPr lang="en-IN" sz="1100" b="0"/>
            <a:t>Company Name: Alphabet</a:t>
          </a:r>
          <a:r>
            <a:rPr lang="en-IN" sz="1100" b="0" baseline="0"/>
            <a:t> Inc. </a:t>
          </a:r>
        </a:p>
        <a:p>
          <a:pPr algn="l"/>
          <a:r>
            <a:rPr lang="en-IN" sz="1100" baseline="0"/>
            <a:t>Ticker: GOOG</a:t>
          </a:r>
        </a:p>
        <a:p>
          <a:pPr algn="l"/>
          <a:r>
            <a:rPr lang="en-IN" sz="1100" baseline="0"/>
            <a:t>Exchange: NASDAQ</a:t>
          </a:r>
        </a:p>
        <a:p>
          <a:pPr algn="l"/>
          <a:r>
            <a:rPr lang="en-IN" sz="1100" baseline="0"/>
            <a:t>Founders: Larry Page and Sergy Brin</a:t>
          </a:r>
        </a:p>
        <a:p>
          <a:pPr algn="l"/>
          <a:r>
            <a:rPr lang="en-IN" sz="1100" baseline="0"/>
            <a:t>Ceo: Sundar Pichai</a:t>
          </a:r>
        </a:p>
        <a:p>
          <a:pPr algn="l"/>
          <a:r>
            <a:rPr lang="en-IN" sz="1100" baseline="0"/>
            <a:t>Sector: Communiucation Services</a:t>
          </a:r>
        </a:p>
        <a:p>
          <a:pPr algn="l"/>
          <a:r>
            <a:rPr lang="en-IN" sz="1100" baseline="0"/>
            <a:t>Business Segment: Google Services,  Google Cloud, Others (inc. Waymo, Other Bets, etc.)</a:t>
          </a:r>
        </a:p>
        <a:p>
          <a:pPr algn="l"/>
          <a:endParaRPr lang="en-IN" sz="1100"/>
        </a:p>
        <a:p>
          <a:pPr algn="l"/>
          <a:r>
            <a:rPr lang="en-IN" sz="1100" b="1" u="sng"/>
            <a:t>Valuation Summary:</a:t>
          </a:r>
          <a:r>
            <a:rPr lang="en-IN" sz="1100" u="sng"/>
            <a:t> </a:t>
          </a:r>
        </a:p>
        <a:p>
          <a:pPr algn="l"/>
          <a:r>
            <a:rPr lang="en-IN" sz="1100"/>
            <a:t>DCF Implied Share Price: $214.95</a:t>
          </a:r>
        </a:p>
        <a:p>
          <a:pPr algn="l"/>
          <a:r>
            <a:rPr lang="en-IN" sz="1100"/>
            <a:t>Current</a:t>
          </a:r>
          <a:r>
            <a:rPr lang="en-IN" sz="1100" baseline="0"/>
            <a:t> Market Price (CMP): $212.91</a:t>
          </a:r>
        </a:p>
        <a:p>
          <a:pPr algn="l"/>
          <a:r>
            <a:rPr lang="en-IN" sz="1100" baseline="0"/>
            <a:t>Upside / Downside (%): 0.96%</a:t>
          </a:r>
        </a:p>
        <a:p>
          <a:pPr algn="l"/>
          <a:r>
            <a:rPr lang="en-IN" sz="1100"/>
            <a:t>Recommendation:</a:t>
          </a:r>
          <a:r>
            <a:rPr lang="en-IN" sz="1100" baseline="0"/>
            <a:t> Buy/Hold (for long-term investors) and Sell (for short-term investors).</a:t>
          </a:r>
        </a:p>
        <a:p>
          <a:pPr algn="l"/>
          <a:endParaRPr lang="en-IN" sz="1100"/>
        </a:p>
        <a:p>
          <a:pPr algn="l"/>
          <a:r>
            <a:rPr lang="en-IN" sz="1100" b="1" u="sng"/>
            <a:t>Financial Highlights:</a:t>
          </a:r>
          <a:r>
            <a:rPr lang="en-IN" sz="1100" b="1" u="sng" baseline="0"/>
            <a:t> </a:t>
          </a:r>
        </a:p>
        <a:p>
          <a:pPr algn="l"/>
          <a:r>
            <a:rPr lang="en-IN" sz="1100" b="0" baseline="0"/>
            <a:t>Revenue (2024A): $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350,018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EBIT (2024A):</a:t>
          </a:r>
          <a:r>
            <a:rPr lang="en-I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$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112,390 </a:t>
          </a:r>
          <a:endParaRPr lang="en-IN" sz="1100" b="0"/>
        </a:p>
        <a:p>
          <a:pPr algn="l"/>
          <a:r>
            <a:rPr lang="en-IN" sz="1100" b="0"/>
            <a:t>UFCF</a:t>
          </a:r>
          <a:r>
            <a:rPr lang="en-IN" sz="1100" b="0" baseline="0"/>
            <a:t> (2024A): $72,764</a:t>
          </a:r>
        </a:p>
        <a:p>
          <a:r>
            <a:rPr lang="en-I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Revenue (2025E): $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394,236 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IN">
            <a:effectLst/>
          </a:endParaRP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EBIT (2025E):</a:t>
          </a: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130,442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UFCF (2025E):</a:t>
          </a:r>
          <a:r>
            <a:rPr lang="en-I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$82,690</a:t>
          </a:r>
        </a:p>
        <a:p>
          <a:endParaRPr lang="en-IN" sz="1100" b="0"/>
        </a:p>
        <a:p>
          <a:pPr algn="l"/>
          <a:r>
            <a:rPr lang="en-IN" sz="1100" b="1" u="sng"/>
            <a:t>Key Assumtions:</a:t>
          </a:r>
        </a:p>
        <a:p>
          <a:pPr algn="l"/>
          <a:r>
            <a:rPr lang="en-IN" sz="1100" b="0"/>
            <a:t>Revenue</a:t>
          </a:r>
          <a:r>
            <a:rPr lang="en-IN" sz="1100" b="0" baseline="0"/>
            <a:t> Growth CAGR: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12.09%</a:t>
          </a:r>
          <a:r>
            <a:rPr lang="en-IN"/>
            <a:t> (2025E - 2029E)</a:t>
          </a:r>
          <a:endParaRPr lang="en-IN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Terminal</a:t>
          </a:r>
          <a:r>
            <a:rPr lang="en-I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Growth Rtae: 2.5%</a:t>
          </a:r>
        </a:p>
        <a:p>
          <a:pPr algn="l"/>
          <a:r>
            <a:rPr lang="en-I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WACC: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8.46%</a:t>
          </a:r>
          <a:r>
            <a:rPr lang="en-IN"/>
            <a:t> </a:t>
          </a:r>
          <a:endParaRPr lang="en-IN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Fore</a:t>
          </a:r>
          <a:r>
            <a:rPr lang="en-I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cast Horizon: (2025E - 2029E)</a:t>
          </a:r>
        </a:p>
        <a:p>
          <a:pPr algn="l"/>
          <a:endParaRPr lang="en-IN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IN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Analyst Name: Siddhant Bhardwaj</a:t>
          </a:r>
        </a:p>
        <a:p>
          <a:pPr algn="l"/>
          <a:r>
            <a:rPr lang="en-IN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Date of Valuation: 08/30/2025</a:t>
          </a:r>
        </a:p>
        <a:p>
          <a:pPr algn="l"/>
          <a:r>
            <a:rPr lang="en-I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Source: 10-K, 10-Q,  Tikr.com, Macrotrends, etc.</a:t>
          </a:r>
        </a:p>
        <a:p>
          <a:pPr algn="l"/>
          <a:r>
            <a:rPr lang="en-IN"/>
            <a:t> </a:t>
          </a:r>
          <a:endParaRPr lang="en-IN" sz="1100" b="0"/>
        </a:p>
      </xdr:txBody>
    </xdr:sp>
    <xdr:clientData/>
  </xdr:twoCellAnchor>
  <xdr:twoCellAnchor editAs="oneCell">
    <xdr:from>
      <xdr:col>10</xdr:col>
      <xdr:colOff>601980</xdr:colOff>
      <xdr:row>16</xdr:row>
      <xdr:rowOff>106681</xdr:rowOff>
    </xdr:from>
    <xdr:to>
      <xdr:col>18</xdr:col>
      <xdr:colOff>400967</xdr:colOff>
      <xdr:row>27</xdr:row>
      <xdr:rowOff>5975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FC16842-5061-31CD-7362-6501C6FE8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97980" y="3032761"/>
          <a:ext cx="4675787" cy="1910974"/>
        </a:xfrm>
        <a:prstGeom prst="rect">
          <a:avLst/>
        </a:prstGeom>
      </xdr:spPr>
    </xdr:pic>
    <xdr:clientData/>
  </xdr:twoCellAnchor>
  <xdr:twoCellAnchor editAs="oneCell">
    <xdr:from>
      <xdr:col>10</xdr:col>
      <xdr:colOff>218760</xdr:colOff>
      <xdr:row>16</xdr:row>
      <xdr:rowOff>58680</xdr:rowOff>
    </xdr:from>
    <xdr:to>
      <xdr:col>12</xdr:col>
      <xdr:colOff>287280</xdr:colOff>
      <xdr:row>20</xdr:row>
      <xdr:rowOff>74520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4A307A01-1EB9-D9AB-8965-1A42592EBF58}"/>
                </a:ext>
              </a:extLst>
            </xdr14:cNvPr>
            <xdr14:cNvContentPartPr/>
          </xdr14:nvContentPartPr>
          <xdr14:nvPr macro=""/>
          <xdr14:xfrm>
            <a:off x="6314760" y="2984760"/>
            <a:ext cx="1287720" cy="747360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4A307A01-1EB9-D9AB-8965-1A42592EBF58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6308640" y="2978640"/>
              <a:ext cx="1299960" cy="759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104640</xdr:colOff>
      <xdr:row>13</xdr:row>
      <xdr:rowOff>49680</xdr:rowOff>
    </xdr:from>
    <xdr:to>
      <xdr:col>11</xdr:col>
      <xdr:colOff>88680</xdr:colOff>
      <xdr:row>17</xdr:row>
      <xdr:rowOff>145080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BB7E13B6-5D16-52A8-3816-34CD6C476F2F}"/>
                </a:ext>
              </a:extLst>
            </xdr14:cNvPr>
            <xdr14:cNvContentPartPr/>
          </xdr14:nvContentPartPr>
          <xdr14:nvPr macro=""/>
          <xdr14:xfrm>
            <a:off x="6200640" y="2427120"/>
            <a:ext cx="593640" cy="826920"/>
          </xdr14:xfrm>
        </xdr:contentPart>
      </mc:Choice>
      <mc:Fallback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BB7E13B6-5D16-52A8-3816-34CD6C476F2F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6138000" y="2364120"/>
              <a:ext cx="719280" cy="952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213360</xdr:colOff>
      <xdr:row>16</xdr:row>
      <xdr:rowOff>159840</xdr:rowOff>
    </xdr:from>
    <xdr:to>
      <xdr:col>10</xdr:col>
      <xdr:colOff>272040</xdr:colOff>
      <xdr:row>17</xdr:row>
      <xdr:rowOff>63000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EE1FFE66-CB2E-4D64-3232-836C99E2FB72}"/>
                </a:ext>
              </a:extLst>
            </xdr14:cNvPr>
            <xdr14:cNvContentPartPr/>
          </xdr14:nvContentPartPr>
          <xdr14:nvPr macro=""/>
          <xdr14:xfrm>
            <a:off x="6309360" y="3085920"/>
            <a:ext cx="58680" cy="86040"/>
          </xdr14:xfrm>
        </xdr:contentPart>
      </mc:Choice>
      <mc:Fallback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EE1FFE66-CB2E-4D64-3232-836C99E2FB72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6246720" y="3023280"/>
              <a:ext cx="184320" cy="211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91200</xdr:colOff>
      <xdr:row>17</xdr:row>
      <xdr:rowOff>152280</xdr:rowOff>
    </xdr:from>
    <xdr:to>
      <xdr:col>11</xdr:col>
      <xdr:colOff>579720</xdr:colOff>
      <xdr:row>18</xdr:row>
      <xdr:rowOff>46080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8695BC26-0DC0-69E0-84B4-0351E954B6F7}"/>
                </a:ext>
              </a:extLst>
            </xdr14:cNvPr>
            <xdr14:cNvContentPartPr/>
          </xdr14:nvContentPartPr>
          <xdr14:nvPr macro=""/>
          <xdr14:xfrm>
            <a:off x="6796800" y="3261240"/>
            <a:ext cx="488520" cy="76680"/>
          </xdr14:xfrm>
        </xdr:contentPart>
      </mc:Choice>
      <mc:Fallback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8695BC26-0DC0-69E0-84B4-0351E954B6F7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6733800" y="3198240"/>
              <a:ext cx="614160" cy="20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68160</xdr:colOff>
      <xdr:row>18</xdr:row>
      <xdr:rowOff>68400</xdr:rowOff>
    </xdr:from>
    <xdr:to>
      <xdr:col>11</xdr:col>
      <xdr:colOff>594480</xdr:colOff>
      <xdr:row>18</xdr:row>
      <xdr:rowOff>69120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64F642ED-9CC3-8BBF-B8FD-AD4CD0E4A516}"/>
                </a:ext>
              </a:extLst>
            </xdr14:cNvPr>
            <xdr14:cNvContentPartPr/>
          </xdr14:nvContentPartPr>
          <xdr14:nvPr macro=""/>
          <xdr14:xfrm>
            <a:off x="6773760" y="3360240"/>
            <a:ext cx="526320" cy="720"/>
          </xdr14:xfrm>
        </xdr:contentPart>
      </mc:Choice>
      <mc:Fallback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64F642ED-9CC3-8BBF-B8FD-AD4CD0E4A516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6711120" y="3234240"/>
              <a:ext cx="651960" cy="25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533846</xdr:colOff>
      <xdr:row>17</xdr:row>
      <xdr:rowOff>143721</xdr:rowOff>
    </xdr:from>
    <xdr:to>
      <xdr:col>12</xdr:col>
      <xdr:colOff>94234</xdr:colOff>
      <xdr:row>19</xdr:row>
      <xdr:rowOff>14319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17905981-C587-2E3B-A4EB-5DCA767A7EE8}"/>
                </a:ext>
              </a:extLst>
            </xdr14:cNvPr>
            <xdr14:cNvContentPartPr/>
          </xdr14:nvContentPartPr>
          <xdr14:nvPr macro=""/>
          <xdr14:xfrm rot="-10799999">
            <a:off x="6629846" y="3252681"/>
            <a:ext cx="779588" cy="236358"/>
          </xdr14:xfrm>
        </xdr:contentPart>
      </mc:Choice>
      <mc:Fallback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17905981-C587-2E3B-A4EB-5DCA767A7EE8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 rot="-10799999">
              <a:off x="6566831" y="3190084"/>
              <a:ext cx="905258" cy="36191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45120</xdr:colOff>
      <xdr:row>18</xdr:row>
      <xdr:rowOff>53280</xdr:rowOff>
    </xdr:from>
    <xdr:to>
      <xdr:col>12</xdr:col>
      <xdr:colOff>30600</xdr:colOff>
      <xdr:row>18</xdr:row>
      <xdr:rowOff>54000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E75AD06D-6EDA-34DF-D6F8-B77639A69747}"/>
                </a:ext>
              </a:extLst>
            </xdr14:cNvPr>
            <xdr14:cNvContentPartPr/>
          </xdr14:nvContentPartPr>
          <xdr14:nvPr macro=""/>
          <xdr14:xfrm>
            <a:off x="6750720" y="3345120"/>
            <a:ext cx="595080" cy="720"/>
          </xdr14:xfrm>
        </xdr:contentPart>
      </mc:Choice>
      <mc:Fallback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E75AD06D-6EDA-34DF-D6F8-B77639A69747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6688080" y="3219120"/>
              <a:ext cx="720720" cy="25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228600</xdr:colOff>
      <xdr:row>10</xdr:row>
      <xdr:rowOff>144780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18151C78-383F-4EFF-5B37-87D04057D0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276600" cy="1973580"/>
        </a:xfrm>
        <a:prstGeom prst="rect">
          <a:avLst/>
        </a:prstGeom>
      </xdr:spPr>
    </xdr:pic>
    <xdr:clientData/>
  </xdr:twoCellAnchor>
  <xdr:twoCellAnchor editAs="oneCell">
    <xdr:from>
      <xdr:col>5</xdr:col>
      <xdr:colOff>251460</xdr:colOff>
      <xdr:row>0</xdr:row>
      <xdr:rowOff>0</xdr:rowOff>
    </xdr:from>
    <xdr:to>
      <xdr:col>8</xdr:col>
      <xdr:colOff>556260</xdr:colOff>
      <xdr:row>11</xdr:row>
      <xdr:rowOff>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A8F1F367-7BBD-F613-5D66-CCEBE5FC1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9460" y="0"/>
          <a:ext cx="2133600" cy="2011680"/>
        </a:xfrm>
        <a:prstGeom prst="rect">
          <a:avLst/>
        </a:prstGeom>
      </xdr:spPr>
    </xdr:pic>
    <xdr:clientData/>
  </xdr:twoCellAnchor>
  <xdr:twoCellAnchor>
    <xdr:from>
      <xdr:col>11</xdr:col>
      <xdr:colOff>510540</xdr:colOff>
      <xdr:row>16</xdr:row>
      <xdr:rowOff>7620</xdr:rowOff>
    </xdr:from>
    <xdr:to>
      <xdr:col>17</xdr:col>
      <xdr:colOff>251460</xdr:colOff>
      <xdr:row>18</xdr:row>
      <xdr:rowOff>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343F7DB-B1E5-471F-841C-6FD7CAAD7C5C}"/>
            </a:ext>
          </a:extLst>
        </xdr:cNvPr>
        <xdr:cNvSpPr/>
      </xdr:nvSpPr>
      <xdr:spPr>
        <a:xfrm>
          <a:off x="7216140" y="2933700"/>
          <a:ext cx="3398520" cy="35814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          </a:t>
          </a:r>
          <a:r>
            <a:rPr lang="en-IN" sz="1400"/>
            <a:t> </a:t>
          </a:r>
          <a:r>
            <a:rPr lang="en-IN" sz="1400" b="1"/>
            <a:t>Implied Share Price Sensitivity Table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53340</xdr:colOff>
      <xdr:row>3</xdr:row>
      <xdr:rowOff>106680</xdr:rowOff>
    </xdr:from>
    <xdr:to>
      <xdr:col>11</xdr:col>
      <xdr:colOff>373380</xdr:colOff>
      <xdr:row>3</xdr:row>
      <xdr:rowOff>106680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AC97372-4D4A-473F-979D-587ADD44FECB}"/>
            </a:ext>
          </a:extLst>
        </xdr:cNvPr>
        <xdr:cNvCxnSpPr/>
      </xdr:nvCxnSpPr>
      <xdr:spPr>
        <a:xfrm>
          <a:off x="6606540" y="769620"/>
          <a:ext cx="3200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60960</xdr:colOff>
      <xdr:row>4</xdr:row>
      <xdr:rowOff>99060</xdr:rowOff>
    </xdr:from>
    <xdr:to>
      <xdr:col>11</xdr:col>
      <xdr:colOff>381000</xdr:colOff>
      <xdr:row>4</xdr:row>
      <xdr:rowOff>99060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2F265A1-E9A2-42A3-BE92-53F734B702B1}"/>
            </a:ext>
          </a:extLst>
        </xdr:cNvPr>
        <xdr:cNvCxnSpPr/>
      </xdr:nvCxnSpPr>
      <xdr:spPr>
        <a:xfrm>
          <a:off x="6614160" y="944880"/>
          <a:ext cx="3200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21</xdr:row>
      <xdr:rowOff>118110</xdr:rowOff>
    </xdr:from>
    <xdr:to>
      <xdr:col>8</xdr:col>
      <xdr:colOff>487680</xdr:colOff>
      <xdr:row>36</xdr:row>
      <xdr:rowOff>118110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F351A17-43E0-25FD-38B6-5CFA09C2A7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182880</xdr:colOff>
      <xdr:row>20</xdr:row>
      <xdr:rowOff>125730</xdr:rowOff>
    </xdr:from>
    <xdr:to>
      <xdr:col>18</xdr:col>
      <xdr:colOff>7620</xdr:colOff>
      <xdr:row>35</xdr:row>
      <xdr:rowOff>125730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3C408D6-765B-E702-C0AB-54BF0BFE90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53340</xdr:colOff>
      <xdr:row>3</xdr:row>
      <xdr:rowOff>106680</xdr:rowOff>
    </xdr:from>
    <xdr:to>
      <xdr:col>11</xdr:col>
      <xdr:colOff>373380</xdr:colOff>
      <xdr:row>3</xdr:row>
      <xdr:rowOff>106680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CCA6068D-A049-4917-98A9-36E8B3075E58}"/>
            </a:ext>
          </a:extLst>
        </xdr:cNvPr>
        <xdr:cNvCxnSpPr/>
      </xdr:nvCxnSpPr>
      <xdr:spPr>
        <a:xfrm>
          <a:off x="7200900" y="769620"/>
          <a:ext cx="3200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60960</xdr:colOff>
      <xdr:row>4</xdr:row>
      <xdr:rowOff>99060</xdr:rowOff>
    </xdr:from>
    <xdr:to>
      <xdr:col>11</xdr:col>
      <xdr:colOff>381000</xdr:colOff>
      <xdr:row>4</xdr:row>
      <xdr:rowOff>99060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BCCBB8-9BC3-477B-8ED4-9579769DC73E}"/>
            </a:ext>
          </a:extLst>
        </xdr:cNvPr>
        <xdr:cNvCxnSpPr/>
      </xdr:nvCxnSpPr>
      <xdr:spPr>
        <a:xfrm>
          <a:off x="7208520" y="944880"/>
          <a:ext cx="3200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GIT%20HUB\Trading%20Comps%20of%20SUNPHARMA%20GIT.xlsx" TargetMode="External"/><Relationship Id="rId1" Type="http://schemas.openxmlformats.org/officeDocument/2006/relationships/externalLinkPath" Target="Trading%20Comps%20of%20SUNPHARMA%20GI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__FDSCACHE__"/>
      <sheetName val="Trading Comps"/>
      <sheetName val="Database"/>
      <sheetName val="XLinkMeta"/>
    </sheetNames>
    <sheetDataSet>
      <sheetData sheetId="0"/>
      <sheetData sheetId="1"/>
      <sheetData sheetId="2">
        <row r="4">
          <cell r="C4">
            <v>2</v>
          </cell>
          <cell r="D4">
            <v>3</v>
          </cell>
          <cell r="E4">
            <v>4</v>
          </cell>
          <cell r="F4">
            <v>5</v>
          </cell>
          <cell r="G4">
            <v>6</v>
          </cell>
          <cell r="I4">
            <v>8</v>
          </cell>
          <cell r="J4">
            <v>9</v>
          </cell>
          <cell r="K4">
            <v>10</v>
          </cell>
          <cell r="L4">
            <v>11</v>
          </cell>
          <cell r="M4">
            <v>12</v>
          </cell>
          <cell r="N4">
            <v>13</v>
          </cell>
          <cell r="O4">
            <v>14</v>
          </cell>
        </row>
        <row r="8">
          <cell r="B8" t="str">
            <v>NVDA</v>
          </cell>
          <cell r="C8" t="str">
            <v>NVIDIA Corporation</v>
          </cell>
          <cell r="D8">
            <v>173.5</v>
          </cell>
          <cell r="E8">
            <v>24611</v>
          </cell>
          <cell r="F8">
            <v>4189994</v>
          </cell>
          <cell r="G8">
            <v>4233400</v>
          </cell>
          <cell r="I8">
            <v>130497</v>
          </cell>
          <cell r="J8">
            <v>199809.65</v>
          </cell>
          <cell r="K8">
            <v>250795.05</v>
          </cell>
          <cell r="L8">
            <v>118236.88</v>
          </cell>
          <cell r="M8">
            <v>149501.66</v>
          </cell>
          <cell r="N8">
            <v>105175.35</v>
          </cell>
          <cell r="O8">
            <v>138863.49</v>
          </cell>
        </row>
        <row r="9">
          <cell r="B9" t="str">
            <v>QCOM</v>
          </cell>
          <cell r="C9" t="str">
            <v>Qualcomm Incorporated</v>
          </cell>
          <cell r="D9">
            <v>160.38</v>
          </cell>
          <cell r="E9">
            <v>1115</v>
          </cell>
          <cell r="F9">
            <v>172121.85</v>
          </cell>
          <cell r="G9">
            <v>171344.85</v>
          </cell>
          <cell r="I9">
            <v>38944</v>
          </cell>
          <cell r="J9">
            <v>43508.68</v>
          </cell>
          <cell r="K9">
            <v>44169.48</v>
          </cell>
          <cell r="L9">
            <v>16790.82</v>
          </cell>
          <cell r="M9">
            <v>16593.650000000001</v>
          </cell>
          <cell r="N9">
            <v>13091.58</v>
          </cell>
          <cell r="O9">
            <v>12995.31</v>
          </cell>
        </row>
        <row r="10">
          <cell r="B10" t="str">
            <v>AVGO</v>
          </cell>
          <cell r="C10" t="str">
            <v>Broadcom Inc.</v>
          </cell>
          <cell r="D10">
            <v>291.67</v>
          </cell>
          <cell r="E10">
            <v>4826</v>
          </cell>
          <cell r="F10">
            <v>1422663.21</v>
          </cell>
          <cell r="G10">
            <v>1364853.21</v>
          </cell>
          <cell r="I10">
            <v>51574</v>
          </cell>
          <cell r="J10">
            <v>62752.82</v>
          </cell>
          <cell r="K10">
            <v>75433.98</v>
          </cell>
          <cell r="L10">
            <v>41755.24</v>
          </cell>
          <cell r="M10">
            <v>50455.37</v>
          </cell>
          <cell r="N10">
            <v>32629.27</v>
          </cell>
          <cell r="O10">
            <v>40174.43</v>
          </cell>
        </row>
        <row r="11">
          <cell r="B11" t="str">
            <v>INTC</v>
          </cell>
          <cell r="C11" t="str">
            <v>Intel Corporation</v>
          </cell>
          <cell r="D11">
            <v>20.7</v>
          </cell>
          <cell r="E11">
            <v>4369</v>
          </cell>
          <cell r="F11">
            <v>127555.9</v>
          </cell>
          <cell r="G11">
            <v>90603.9</v>
          </cell>
          <cell r="I11">
            <v>53101</v>
          </cell>
          <cell r="J11">
            <v>50399.11</v>
          </cell>
          <cell r="K11">
            <v>53053.120000000003</v>
          </cell>
          <cell r="L11">
            <v>13092.22</v>
          </cell>
          <cell r="M11">
            <v>17249.32</v>
          </cell>
          <cell r="N11">
            <v>1361.24</v>
          </cell>
          <cell r="O11">
            <v>3601.38</v>
          </cell>
        </row>
        <row r="12">
          <cell r="B12" t="str">
            <v>AMD</v>
          </cell>
          <cell r="C12" t="str">
            <v>Advanced Micro Devices, Inc.</v>
          </cell>
          <cell r="D12">
            <v>166.47</v>
          </cell>
          <cell r="E12">
            <v>1626</v>
          </cell>
          <cell r="F12">
            <v>267336.15999999997</v>
          </cell>
          <cell r="G12">
            <v>269915.15999999997</v>
          </cell>
          <cell r="I12">
            <v>25785</v>
          </cell>
          <cell r="J12">
            <v>31747.81</v>
          </cell>
          <cell r="K12">
            <v>37438.129999999997</v>
          </cell>
          <cell r="L12">
            <v>6675.37</v>
          </cell>
          <cell r="M12">
            <v>9772.98</v>
          </cell>
          <cell r="N12">
            <v>6338.78</v>
          </cell>
          <cell r="O12">
            <v>9265.7999999999993</v>
          </cell>
        </row>
        <row r="13">
          <cell r="B13" t="str">
            <v>MRVL</v>
          </cell>
          <cell r="C13" t="str">
            <v>Marvell Technology</v>
          </cell>
          <cell r="D13">
            <v>74.209999999999994</v>
          </cell>
          <cell r="E13">
            <v>875</v>
          </cell>
          <cell r="F13">
            <v>67609.960000000006</v>
          </cell>
          <cell r="G13">
            <v>63983.86</v>
          </cell>
          <cell r="I13">
            <v>5767.3</v>
          </cell>
          <cell r="J13">
            <v>8248.64</v>
          </cell>
          <cell r="K13">
            <v>9782.81</v>
          </cell>
          <cell r="L13">
            <v>3247.4</v>
          </cell>
          <cell r="M13">
            <v>3949.05</v>
          </cell>
          <cell r="N13">
            <v>2442.37</v>
          </cell>
          <cell r="O13">
            <v>3097.35</v>
          </cell>
        </row>
        <row r="14">
          <cell r="B14" t="str">
            <v>ARM</v>
          </cell>
          <cell r="C14" t="str">
            <v>Arm Holdings</v>
          </cell>
          <cell r="D14">
            <v>163.16999999999999</v>
          </cell>
          <cell r="E14">
            <v>1065</v>
          </cell>
          <cell r="F14">
            <v>169922.35</v>
          </cell>
          <cell r="G14">
            <v>172391.35</v>
          </cell>
          <cell r="I14">
            <v>4007</v>
          </cell>
          <cell r="J14">
            <v>4777.62</v>
          </cell>
          <cell r="K14">
            <v>5814.68</v>
          </cell>
          <cell r="L14">
            <v>2319.52</v>
          </cell>
          <cell r="M14">
            <v>3113.42</v>
          </cell>
          <cell r="N14">
            <v>1909.28</v>
          </cell>
          <cell r="O14">
            <v>2549.67</v>
          </cell>
        </row>
        <row r="15">
          <cell r="B15" t="str">
            <v>TXN</v>
          </cell>
          <cell r="C15" t="str">
            <v>Texas Instruments Incorporated</v>
          </cell>
          <cell r="D15">
            <v>184.99</v>
          </cell>
          <cell r="E15">
            <v>912</v>
          </cell>
          <cell r="F15">
            <v>176042.25</v>
          </cell>
          <cell r="G15">
            <v>168058.25</v>
          </cell>
          <cell r="I15">
            <v>15641</v>
          </cell>
          <cell r="J15">
            <v>17255.27</v>
          </cell>
          <cell r="K15">
            <v>18960.689999999999</v>
          </cell>
          <cell r="L15">
            <v>7942.24</v>
          </cell>
          <cell r="M15">
            <v>9267.01</v>
          </cell>
          <cell r="N15">
            <v>5097</v>
          </cell>
          <cell r="O15">
            <v>5865.74</v>
          </cell>
        </row>
        <row r="16">
          <cell r="B16" t="str">
            <v>APPL</v>
          </cell>
          <cell r="C16" t="str">
            <v>Apple Inc.</v>
          </cell>
          <cell r="D16">
            <v>232.14</v>
          </cell>
          <cell r="E16">
            <v>14948.18</v>
          </cell>
          <cell r="F16">
            <v>3413760.13</v>
          </cell>
          <cell r="G16">
            <v>3445048.13</v>
          </cell>
          <cell r="I16">
            <v>391035</v>
          </cell>
          <cell r="J16">
            <v>407341.31</v>
          </cell>
          <cell r="K16">
            <v>431340.79</v>
          </cell>
          <cell r="L16">
            <v>139515.15</v>
          </cell>
          <cell r="M16">
            <v>147838.18</v>
          </cell>
          <cell r="N16">
            <v>107818.29</v>
          </cell>
          <cell r="O16">
            <v>114634.61</v>
          </cell>
        </row>
        <row r="17">
          <cell r="B17" t="str">
            <v>MSFT</v>
          </cell>
          <cell r="C17" t="str">
            <v>Microsoft Corporation</v>
          </cell>
          <cell r="D17">
            <v>506.59</v>
          </cell>
          <cell r="E17">
            <v>7461</v>
          </cell>
          <cell r="F17">
            <v>3783930.07</v>
          </cell>
          <cell r="G17">
            <v>3766311.07</v>
          </cell>
          <cell r="I17">
            <v>245122</v>
          </cell>
          <cell r="J17">
            <v>279029.28000000003</v>
          </cell>
          <cell r="K17">
            <v>316492.86</v>
          </cell>
          <cell r="L17">
            <v>55721.51</v>
          </cell>
          <cell r="M17">
            <v>178744.69</v>
          </cell>
          <cell r="N17">
            <v>99973.45</v>
          </cell>
          <cell r="O17">
            <v>113022.48</v>
          </cell>
        </row>
        <row r="18">
          <cell r="B18" t="str">
            <v>GOOGL</v>
          </cell>
          <cell r="C18" t="str">
            <v>Alphabet Inc. Class A</v>
          </cell>
          <cell r="D18">
            <v>212.91</v>
          </cell>
          <cell r="E18">
            <v>12198</v>
          </cell>
          <cell r="F18">
            <v>2524820.14</v>
          </cell>
          <cell r="G18">
            <v>2578300.14</v>
          </cell>
          <cell r="I18">
            <v>350018</v>
          </cell>
          <cell r="J18">
            <v>387817.32</v>
          </cell>
          <cell r="K18">
            <v>428897.93</v>
          </cell>
          <cell r="L18">
            <v>172681.77</v>
          </cell>
          <cell r="M18">
            <v>195965.74</v>
          </cell>
          <cell r="N18">
            <v>116876.3</v>
          </cell>
          <cell r="O18">
            <v>122718.11</v>
          </cell>
        </row>
        <row r="19">
          <cell r="B19" t="str">
            <v>AMZN</v>
          </cell>
          <cell r="C19" t="str">
            <v>Amazon.com, Inc.</v>
          </cell>
          <cell r="D19">
            <v>229</v>
          </cell>
          <cell r="E19">
            <v>10806</v>
          </cell>
          <cell r="F19">
            <v>2508654.87</v>
          </cell>
          <cell r="G19">
            <v>2442264.87</v>
          </cell>
          <cell r="I19">
            <v>637959</v>
          </cell>
          <cell r="J19">
            <v>695217.39</v>
          </cell>
          <cell r="K19">
            <v>762821.81</v>
          </cell>
          <cell r="L19">
            <v>161644.92000000001</v>
          </cell>
          <cell r="M19">
            <v>191295.24</v>
          </cell>
          <cell r="N19">
            <v>67124.19</v>
          </cell>
          <cell r="O19">
            <v>79700.67</v>
          </cell>
        </row>
        <row r="20">
          <cell r="B20" t="str">
            <v>A005930</v>
          </cell>
          <cell r="C20" t="str">
            <v>Samsung Electronics CO., Ltd.</v>
          </cell>
          <cell r="D20">
            <v>37.89</v>
          </cell>
          <cell r="E20">
            <v>6778.6</v>
          </cell>
          <cell r="F20">
            <v>252514.89</v>
          </cell>
          <cell r="G20">
            <v>3012900.73</v>
          </cell>
          <cell r="I20">
            <v>206589</v>
          </cell>
          <cell r="J20">
            <v>237162</v>
          </cell>
          <cell r="K20">
            <v>250458</v>
          </cell>
          <cell r="L20">
            <v>57380</v>
          </cell>
          <cell r="M20">
            <v>65833</v>
          </cell>
          <cell r="N20">
            <v>22806</v>
          </cell>
          <cell r="O20">
            <v>28444</v>
          </cell>
        </row>
        <row r="21">
          <cell r="B21" t="str">
            <v>TSMC</v>
          </cell>
          <cell r="C21" t="str">
            <v>Taiwan Semiconductor Manufacturing</v>
          </cell>
          <cell r="D21">
            <v>245.6</v>
          </cell>
          <cell r="E21">
            <v>25929.4</v>
          </cell>
          <cell r="F21">
            <v>950397.38</v>
          </cell>
          <cell r="G21">
            <v>1006537.11</v>
          </cell>
          <cell r="I21">
            <v>87885</v>
          </cell>
          <cell r="J21">
            <v>126263</v>
          </cell>
          <cell r="K21">
            <v>146894</v>
          </cell>
          <cell r="L21">
            <v>85302</v>
          </cell>
          <cell r="M21">
            <v>98724</v>
          </cell>
          <cell r="N21">
            <v>52765</v>
          </cell>
          <cell r="O21">
            <v>60785</v>
          </cell>
        </row>
        <row r="22">
          <cell r="B22" t="str">
            <v>MU</v>
          </cell>
          <cell r="C22" t="str">
            <v>Micron Technology</v>
          </cell>
          <cell r="D22">
            <v>111.26</v>
          </cell>
          <cell r="E22">
            <v>1125</v>
          </cell>
          <cell r="F22">
            <v>128513.86</v>
          </cell>
          <cell r="G22">
            <v>124513.86</v>
          </cell>
          <cell r="I22">
            <v>25111</v>
          </cell>
          <cell r="J22">
            <v>36797.78</v>
          </cell>
          <cell r="K22">
            <v>47135.58</v>
          </cell>
          <cell r="L22">
            <v>17877.099999999999</v>
          </cell>
          <cell r="M22">
            <v>24833.21</v>
          </cell>
          <cell r="N22">
            <v>8862.82</v>
          </cell>
          <cell r="O22">
            <v>13632.91</v>
          </cell>
        </row>
        <row r="23">
          <cell r="B23" t="str">
            <v>A000660</v>
          </cell>
          <cell r="C23" t="str">
            <v>SK hynix Inc.</v>
          </cell>
          <cell r="D23">
            <v>191.62</v>
          </cell>
          <cell r="E23">
            <v>715.3</v>
          </cell>
          <cell r="F23">
            <v>136759.49</v>
          </cell>
          <cell r="G23">
            <v>133219.9</v>
          </cell>
          <cell r="I23">
            <v>46089</v>
          </cell>
          <cell r="J23">
            <v>63143</v>
          </cell>
          <cell r="K23">
            <v>73495</v>
          </cell>
          <cell r="L23">
            <v>38139</v>
          </cell>
          <cell r="M23">
            <v>43705</v>
          </cell>
          <cell r="N23">
            <v>22467</v>
          </cell>
          <cell r="O23">
            <v>24705</v>
          </cell>
        </row>
        <row r="24">
          <cell r="B24" t="str">
            <v>META</v>
          </cell>
          <cell r="C24" t="str">
            <v xml:space="preserve">META Platforms, Inc. </v>
          </cell>
          <cell r="D24">
            <v>738.7</v>
          </cell>
          <cell r="E24">
            <v>2570</v>
          </cell>
          <cell r="F24">
            <v>1858207.91</v>
          </cell>
          <cell r="G24">
            <v>1855718.91</v>
          </cell>
          <cell r="I24">
            <v>164501</v>
          </cell>
          <cell r="J24">
            <v>196001.85</v>
          </cell>
          <cell r="K24">
            <v>227655.15</v>
          </cell>
          <cell r="L24">
            <v>119791.72</v>
          </cell>
          <cell r="M24">
            <v>137842.76</v>
          </cell>
          <cell r="N24">
            <v>71334.179999999993</v>
          </cell>
          <cell r="O24">
            <v>76079.899999999994</v>
          </cell>
        </row>
        <row r="25">
          <cell r="B25" t="str">
            <v>WMT</v>
          </cell>
          <cell r="C25" t="str">
            <v>Walmart Inc.</v>
          </cell>
          <cell r="D25">
            <v>96.83</v>
          </cell>
          <cell r="E25">
            <v>8016</v>
          </cell>
          <cell r="F25">
            <v>835073.89</v>
          </cell>
          <cell r="G25">
            <v>772743.89</v>
          </cell>
          <cell r="I25">
            <v>674538</v>
          </cell>
          <cell r="J25">
            <v>704388.23</v>
          </cell>
          <cell r="K25">
            <v>739556.37</v>
          </cell>
          <cell r="L25">
            <v>44488.45</v>
          </cell>
          <cell r="M25">
            <v>48676.84</v>
          </cell>
          <cell r="N25">
            <v>21026.63</v>
          </cell>
          <cell r="O25">
            <v>23459.88</v>
          </cell>
        </row>
        <row r="26">
          <cell r="B26" t="str">
            <v>SUNPHARMA</v>
          </cell>
          <cell r="C26" t="str">
            <v>Sun Pharmaceutical Industries Ltd.</v>
          </cell>
          <cell r="D26">
            <v>1600.3</v>
          </cell>
          <cell r="E26">
            <v>2399.33</v>
          </cell>
          <cell r="F26">
            <v>3604729.75</v>
          </cell>
          <cell r="G26">
            <v>3839655.75</v>
          </cell>
          <cell r="I26">
            <v>525784</v>
          </cell>
          <cell r="J26">
            <v>572731</v>
          </cell>
          <cell r="K26">
            <v>631547</v>
          </cell>
          <cell r="L26">
            <v>161517</v>
          </cell>
          <cell r="M26">
            <v>184479</v>
          </cell>
          <cell r="N26">
            <v>117125</v>
          </cell>
          <cell r="O26">
            <v>135843</v>
          </cell>
        </row>
        <row r="27">
          <cell r="B27" t="str">
            <v>DIVISLAB</v>
          </cell>
          <cell r="C27" t="str">
            <v>Divi's Laboratories Limited </v>
          </cell>
          <cell r="D27">
            <v>6190.5</v>
          </cell>
          <cell r="E27">
            <v>265.47000000000003</v>
          </cell>
          <cell r="F27">
            <v>1608153.24</v>
          </cell>
          <cell r="G27">
            <v>1643383.24</v>
          </cell>
          <cell r="I27">
            <v>93600</v>
          </cell>
          <cell r="J27">
            <v>106997</v>
          </cell>
          <cell r="K27">
            <v>126951</v>
          </cell>
          <cell r="L27">
            <v>35230</v>
          </cell>
          <cell r="M27">
            <v>44255</v>
          </cell>
          <cell r="N27">
            <v>25345</v>
          </cell>
          <cell r="O27">
            <v>32236</v>
          </cell>
        </row>
        <row r="28">
          <cell r="B28" t="str">
            <v>CIPLA</v>
          </cell>
          <cell r="C28" t="str">
            <v>Cipla Ltd.</v>
          </cell>
          <cell r="D28">
            <v>1579.8</v>
          </cell>
          <cell r="E28">
            <v>807.75</v>
          </cell>
          <cell r="F28">
            <v>1175270.19</v>
          </cell>
          <cell r="G28">
            <v>1276089.8899999999</v>
          </cell>
          <cell r="I28">
            <v>275476</v>
          </cell>
          <cell r="J28">
            <v>293410</v>
          </cell>
          <cell r="K28">
            <v>316896</v>
          </cell>
          <cell r="L28">
            <v>71201</v>
          </cell>
          <cell r="M28">
            <v>74830</v>
          </cell>
          <cell r="N28">
            <v>49889</v>
          </cell>
          <cell r="O28">
            <v>52679</v>
          </cell>
        </row>
        <row r="29">
          <cell r="B29" t="str">
            <v>TORNTPHARM</v>
          </cell>
          <cell r="C29" t="str">
            <v>Torrent Pharma</v>
          </cell>
          <cell r="D29">
            <v>3604.8</v>
          </cell>
          <cell r="E29">
            <v>338.45</v>
          </cell>
          <cell r="F29">
            <v>1244849.18</v>
          </cell>
          <cell r="G29">
            <v>1219232.78</v>
          </cell>
          <cell r="I29">
            <v>115160</v>
          </cell>
          <cell r="J29">
            <v>130457</v>
          </cell>
          <cell r="K29">
            <v>146051</v>
          </cell>
          <cell r="L29">
            <v>43080</v>
          </cell>
          <cell r="M29">
            <v>49402</v>
          </cell>
          <cell r="N29">
            <v>24778</v>
          </cell>
          <cell r="O29">
            <v>30257</v>
          </cell>
        </row>
        <row r="30">
          <cell r="B30" t="str">
            <v>DRREDDY</v>
          </cell>
          <cell r="C30" t="str">
            <v>Dr. Reddy's Laboratories Limited</v>
          </cell>
          <cell r="D30">
            <v>1263.2</v>
          </cell>
          <cell r="E30">
            <v>832.88</v>
          </cell>
          <cell r="F30">
            <v>1037232.97</v>
          </cell>
          <cell r="G30">
            <v>1051580.97</v>
          </cell>
          <cell r="I30">
            <v>325535</v>
          </cell>
          <cell r="J30">
            <v>344261</v>
          </cell>
          <cell r="K30">
            <v>348656</v>
          </cell>
          <cell r="L30">
            <v>85548</v>
          </cell>
          <cell r="M30">
            <v>77053</v>
          </cell>
          <cell r="N30">
            <v>54123</v>
          </cell>
          <cell r="O30">
            <v>47252</v>
          </cell>
        </row>
        <row r="31">
          <cell r="B31" t="str">
            <v>MANKIND</v>
          </cell>
          <cell r="C31" t="str">
            <v>Mankind Pharma Limited</v>
          </cell>
          <cell r="D31">
            <v>2502</v>
          </cell>
          <cell r="E31">
            <v>412.73</v>
          </cell>
          <cell r="F31">
            <v>1094871.73</v>
          </cell>
          <cell r="G31">
            <v>1032647.33</v>
          </cell>
          <cell r="I31">
            <v>122074</v>
          </cell>
          <cell r="J31">
            <v>147733</v>
          </cell>
          <cell r="K31">
            <v>166018</v>
          </cell>
          <cell r="L31">
            <v>38140</v>
          </cell>
          <cell r="M31">
            <v>44655</v>
          </cell>
          <cell r="N31">
            <v>20972</v>
          </cell>
          <cell r="O31">
            <v>26997</v>
          </cell>
        </row>
        <row r="32">
          <cell r="B32" t="str">
            <v>ZYDUSLIFE</v>
          </cell>
          <cell r="C32" t="str">
            <v>Zydus Lifescience Ltd.</v>
          </cell>
          <cell r="D32">
            <v>987.85</v>
          </cell>
          <cell r="E32">
            <v>1006.23</v>
          </cell>
          <cell r="F32">
            <v>993869.25</v>
          </cell>
          <cell r="G32">
            <v>994008.25</v>
          </cell>
          <cell r="I32">
            <v>232415</v>
          </cell>
          <cell r="J32">
            <v>251879</v>
          </cell>
          <cell r="K32">
            <v>260541</v>
          </cell>
          <cell r="L32">
            <v>68171</v>
          </cell>
          <cell r="M32">
            <v>63820</v>
          </cell>
          <cell r="N32">
            <v>45171</v>
          </cell>
          <cell r="O32">
            <v>41610</v>
          </cell>
        </row>
        <row r="33">
          <cell r="B33" t="str">
            <v>NFLX</v>
          </cell>
          <cell r="C33" t="str">
            <v>Netflix, Inc.</v>
          </cell>
          <cell r="D33">
            <v>1208.25</v>
          </cell>
          <cell r="E33">
            <v>434.88</v>
          </cell>
          <cell r="F33">
            <v>521960.7</v>
          </cell>
          <cell r="G33">
            <v>513417.26</v>
          </cell>
          <cell r="I33">
            <v>39000.97</v>
          </cell>
          <cell r="J33">
            <v>45061.34</v>
          </cell>
          <cell r="K33">
            <v>50899.07</v>
          </cell>
          <cell r="L33">
            <v>14202.37</v>
          </cell>
          <cell r="M33">
            <v>17142.07</v>
          </cell>
          <cell r="N33">
            <v>11411.88</v>
          </cell>
          <cell r="O33">
            <v>13856.91</v>
          </cell>
        </row>
        <row r="34">
          <cell r="B34" t="str">
            <v>CRM</v>
          </cell>
          <cell r="C34" t="str">
            <v>Salesforce, Inc.</v>
          </cell>
          <cell r="D34">
            <v>256.25</v>
          </cell>
          <cell r="E34">
            <v>970</v>
          </cell>
          <cell r="F34">
            <v>239587</v>
          </cell>
          <cell r="G34">
            <v>244975</v>
          </cell>
          <cell r="I34">
            <v>37895</v>
          </cell>
          <cell r="J34">
            <v>41237.230000000003</v>
          </cell>
          <cell r="K34">
            <v>44980.81</v>
          </cell>
          <cell r="L34">
            <v>16061.58</v>
          </cell>
          <cell r="M34">
            <v>17698.39</v>
          </cell>
          <cell r="N34">
            <v>10984.53</v>
          </cell>
          <cell r="O34">
            <v>12338.89</v>
          </cell>
        </row>
      </sheetData>
      <sheetData sheetId="3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1T20:46:15.771"/>
    </inkml:context>
    <inkml:brush xml:id="br0">
      <inkml:brushProperty name="width" value="0.035" units="cm"/>
      <inkml:brushProperty name="height" value="0.035" units="cm"/>
      <inkml:brushProperty name="color" value="#FFFFFF"/>
    </inkml:brush>
  </inkml:definitions>
  <inkml:trace contextRef="#ctx0" brushRef="#br0">2504 854 24575,'-11'12'0,"0"1"0,1 0 0,-11 21 0,-11 14 0,32-48 0,0 0 0,0 0 0,-1 0 0,1 0 0,0 0 0,0 0 0,0 0 0,0 0 0,0 0 0,0 0 0,0 0 0,0 0 0,0-1 0,0 1 0,0 0 0,0 0 0,0 0 0,0 0 0,0 0 0,0 0 0,-1 0 0,1 0 0,0 0 0,0 0 0,0 0 0,0 0 0,0 0 0,0 0 0,0 0 0,0 0 0,0 0 0,0 0 0,0 0 0,-1 0 0,1 0 0,0 0 0,0 0 0,0 0 0,0 0 0,0 0 0,0 0 0,0 0 0,0 1 0,0-1 0,0 0 0,0 0 0,0 0 0,0 0 0,3-14 0,8-19 0,-3 12 0,-4 10 0,1 0 0,-2-1 0,1 1 0,-2-1 0,1 0 0,0-20 0,-3 31 0,0 1 0,0 0 0,0 0 0,0-1 0,0 1 0,1 0 0,-1 0 0,0-1 0,0 1 0,0 0 0,0-1 0,-1 1 0,1 0 0,0 0 0,0-1 0,0 1 0,0 0 0,0 0 0,0-1 0,0 1 0,0 0 0,-1 0 0,1-1 0,0 1 0,0 0 0,0 0 0,0 0 0,-1-1 0,1 1 0,0 0 0,0 0 0,0 0 0,-1 0 0,1 0 0,0-1 0,0 1 0,-1 0 0,1 0 0,0 0 0,-1 0 0,1 0 0,0 0 0,0 0 0,-1 0 0,1 0 0,0 0 0,0 0 0,-1 0 0,1 0 0,0 0 0,0 0 0,-1 0 0,1 0 0,-1 1 0,-12 9 0,-6 13 0,1 1 0,1 0 0,0 2 0,-24 53 0,30-56 0,-6 9 0,2 0 0,1 2 0,2-1 0,1 1 0,-8 47 0,18-78 0,1 0 0,0 0 0,-1 1 0,1-1 0,1 0 0,-1 0 0,0 1 0,1-1 0,0 0 0,0 0 0,0 0 0,1 4 0,-2-6 0,1-1 0,-1 1 0,0-1 0,1 0 0,-1 1 0,1-1 0,-1 1 0,0-1 0,1 0 0,-1 1 0,1-1 0,-1 0 0,1 1 0,-1-1 0,1 0 0,-1 0 0,1 0 0,-1 1 0,1-1 0,0 0 0,-1 0 0,1 0 0,-1 0 0,1 0 0,-1 0 0,2 0 0,-1-1 0,1 1 0,0-1 0,0 0 0,-1 0 0,1 0 0,0 0 0,-1 0 0,1 0 0,-1 0 0,0 0 0,1-1 0,1-1 0,8-13 0,0-1 0,0 0 0,-2 0 0,0-1 0,-1-1 0,7-24 0,-5 15 0,2-1 0,-1-1 0,-1 0 0,-2 0 0,-1-1 0,5-54 0,-12 83 0,0 1 0,0 0 0,0 0 0,0 0 0,0-1 0,-1 1 0,1 0 0,0 0 0,0-1 0,-1 1 0,1 0 0,-1 0 0,1 0 0,-2-2 0,2 3 0,0 0 0,-1 0 0,1-1 0,0 1 0,-1 0 0,1 0 0,-1 0 0,1 0 0,0-1 0,-1 1 0,1 0 0,0 0 0,-1 0 0,1 0 0,-1 0 0,1 0 0,0 0 0,-1 0 0,1 0 0,0 0 0,-1 0 0,1 1 0,-1-1 0,1 0 0,0 0 0,-1 0 0,1 0 0,-1 1 0,-2 1 0,1 0 0,-1 0 0,1 0 0,-1 0 0,1 1 0,0-1 0,0 1 0,-3 4 0,-3 8 0,0 1 0,1 0 0,1 1 0,0-1 0,1 1 0,-4 25 0,9-40 0,-1 1 0,1-1 0,0 1 0,0 0 0,0-1 0,0 1 0,0-1 0,0 1 0,1 0 0,-1-1 0,1 1 0,0-1 0,-1 1 0,1-1 0,2 3 0,-3-5 0,1 1 0,-1-1 0,0 1 0,1-1 0,0 0 0,-1 1 0,1-1 0,-1 0 0,1 1 0,-1-1 0,1 0 0,0 1 0,-1-1 0,1 0 0,0 0 0,-1 0 0,1 0 0,0 0 0,-1 0 0,1 0 0,0 0 0,0 0 0,1 0 0,1-1 0,-1 0 0,0 0 0,0 1 0,0-1 0,0-1 0,1 1 0,-2 0 0,4-2 0,11-11 0,-1 0 0,0 0 0,-1-1 0,0-1 0,-2 0 0,0-1 0,14-25 0,-8 8 0,-2-1 0,-1 0 0,11-41 0,-23 67 0,7-30 0,-9 37 0,-1 1 0,1-1 0,-1 0 0,0 0 0,0 0 0,0 0 0,0 0 0,0 1 0,-1-1 0,1 0 0,0 0 0,-1 0 0,1 0 0,-1 1 0,-1-4 0,1 5 0,1-1 0,-1 1 0,0 0 0,1 0 0,-1-1 0,0 1 0,1 0 0,-1 0 0,0 0 0,0 0 0,1-1 0,-1 1 0,0 0 0,0 0 0,1 1 0,-1-1 0,0 0 0,1 0 0,-1 0 0,0 0 0,0 1 0,1-1 0,-1 0 0,0 1 0,1-1 0,-1 0 0,1 1 0,-1-1 0,0 1 0,1-1 0,-1 1 0,1-1 0,-1 1 0,1-1 0,-1 2 0,-21 22 0,9-6 0,1 0 0,0 1 0,2 1 0,-15 37 0,-22 89 0,43-134 0,-2 9 0,-8 43 0,14-60 0,-1 1 0,1 0 0,0-1 0,0 1 0,0 0 0,0-1 0,1 1 0,0-1 0,0 1 0,0 0 0,1-1 0,-1 0 0,1 1 0,0-1 0,3 6 0,-3-9 0,0 1 0,0 0 0,0-1 0,0 1 0,0-1 0,0 1 0,1-1 0,-1 0 0,0 0 0,1 0 0,-1 0 0,0 0 0,1-1 0,-1 1 0,1-1 0,0 1 0,-1-1 0,1 0 0,-1 0 0,1 0 0,-1 0 0,1-1 0,-1 1 0,1-1 0,-1 0 0,5-1 0,5-2 0,0-1 0,-1 0 0,21-12 0,-16 6 0,0-1 0,-1 0 0,0-1 0,-1 0 0,-1-1 0,0-1 0,-1 0 0,0-1 0,-1 0 0,-1 0 0,-1-1 0,0-1 0,9-28 0,-7 15 0,-2 0 0,-1 0 0,-2-1 0,-1 0 0,-1 0 0,-2-1 0,-3-44 0,1 73 0,0 1 0,0-1 0,0 0 0,-1 0 0,0 0 0,0 0 0,0 1 0,0-1 0,0 0 0,-1 1 0,1-1 0,-1 1 0,0-1 0,0 1 0,0 0 0,-1 0 0,1 0 0,-1 0 0,0 0 0,0 1 0,0-1 0,0 1 0,0 0 0,0 0 0,-1 0 0,1 0 0,-1 0 0,1 1 0,-1 0 0,0-1 0,1 1 0,-1 1 0,0-1 0,0 1 0,-4-1 0,-9 0 0,-1 1 0,1 1 0,0 0 0,0 1 0,0 1 0,0 1 0,0 0 0,0 2 0,1-1 0,0 2 0,1 0 0,-1 1 0,-27 19 0,17-9 0,1 2 0,1 1 0,0 0 0,2 2 0,0 1 0,-30 43 0,34-38 0,0 0 0,2 1 0,1 0 0,2 1 0,1 1 0,1 0 0,2 1 0,-8 49 0,15-63 0,1 0 0,0 0 0,2 0 0,0-1 0,1 1 0,0 0 0,7 22 0,-5-28 0,1 0 0,0-1 0,1 1 0,0-1 0,0-1 0,2 1 0,-1-1 0,1 0 0,1-1 0,19 19 0,-20-22 0,1 0 0,0 0 0,0-1 0,1 0 0,0-1 0,0 0 0,0 0 0,1-1 0,-1-1 0,1 1 0,0-2 0,0 1 0,13 0 0,-9-3 0,1 0 0,0 0 0,0-2 0,-1 0 0,1-1 0,-1 0 0,1-1 0,22-10 0,-12 2 0,0-1 0,-1 0 0,-1-2 0,0-1 0,-2-1 0,1-1 0,-2-1 0,-1-1 0,0-1 0,17-24 0,-18 18 0,-2-1 0,-1 0 0,-1-1 0,-2-1 0,-1 0 0,16-60 0,-22 61 0,0 0 0,-2-1 0,-1 1 0,-1-1 0,-1 0 0,-2 0 0,-8-50 0,6 67 0,0 1 0,0-1 0,-1 1 0,-1 0 0,0 0 0,-1 0 0,0 1 0,-1-1 0,0 1 0,-10-11 0,10 14 0,-1 1 0,1 0 0,-1 0 0,-1 1 0,1 0 0,-1 1 0,0-1 0,0 2 0,-1-1 0,1 1 0,-1 1 0,0 0 0,-13-3 0,4 3 0,-1 1 0,0 1 0,0 1 0,0 0 0,0 1 0,0 2 0,0 0 0,0 1 0,1 0 0,-1 2 0,1 1 0,1 0 0,-1 1 0,1 1 0,1 1 0,0 0 0,0 1 0,1 1 0,0 1 0,1 0 0,1 1 0,0 0 0,1 1 0,0 1 0,1 0 0,1 1 0,1 0 0,0 1 0,2 0 0,0 0 0,-11 35 0,17-45 0,1 0 0,-1 1 0,1-1 0,1 1 0,-1-1 0,1 1 0,3 14 0,-3-22 0,0 1 0,0-1 0,1 0 0,-1 1 0,1-1 0,-1 0 0,1 0 0,-1 0 0,1 1 0,0-1 0,-1 0 0,1 0 0,0 0 0,0 0 0,0 0 0,0 0 0,0-1 0,0 1 0,0 0 0,0 0 0,2 0 0,-1 0 0,0-1 0,0 0 0,1 0 0,-1 0 0,0-1 0,0 1 0,0 0 0,0-1 0,0 1 0,0-1 0,0 0 0,0 1 0,0-1 0,0 0 0,0 0 0,-1 0 0,1-1 0,2-1 0,8-6 0,-1-1 0,0 0 0,-1-1 0,0 0 0,0-1 0,-1 0 0,10-19 0,2-5 0,22-57 0,-11 7 0,-29 76 0,-1 0 0,1-1 0,-2 1 0,1-1 0,-1 1 0,-1-15 0,0 24 0,0 0 0,0-1 0,0 1 0,-1-1 0,1 1 0,0-1 0,-1 1 0,1 0 0,-1-1 0,1 1 0,-1 0 0,0-1 0,1 1 0,-1 0 0,0 0 0,0 0 0,0-1 0,0 1 0,0 0 0,0 0 0,0 1 0,0-1 0,-1 0 0,1 0 0,0 0 0,0 1 0,-2-1 0,-1 0 0,1 0 0,-1 1 0,0 0 0,1 0 0,-1 0 0,0 0 0,1 0 0,-1 1 0,0-1 0,-5 3 0,-9 3 0,0 0 0,1 2 0,0 0 0,0 1 0,1 1 0,0 0 0,1 1 0,0 1 0,-21 21 0,9-6 0,2 2 0,1 1 0,-37 59 0,46-64 0,1 2 0,1 0 0,1 1 0,-15 57 0,22-67 0,2 0 0,0 1 0,1-1 0,1 1 0,1-1 0,1 1 0,0-1 0,1 1 0,5 19 0,-4-31 0,-1 1 0,1 0 0,0-1 0,1 1 0,0-1 0,0 0 0,1 0 0,-1-1 0,1 1 0,1-1 0,-1 0 0,1-1 0,0 1 0,1-1 0,-1 0 0,1-1 0,0 1 0,0-1 0,0-1 0,1 1 0,0-1 0,-1-1 0,1 1 0,0-1 0,9 1 0,2 0 0,0-1 0,0-1 0,0-1 0,1 0 0,-1-1 0,0-1 0,0-1 0,0-1 0,33-11 0,-14-1 0,0-1 0,-2-2 0,0-2 0,-1-1 0,-2-1 0,0-2 0,-2-2 0,0-1 0,-2-1 0,-1-1 0,-2-2 0,-1 0 0,-1-2 0,-2-1 0,-2 0 0,21-50 0,-34 67 0,-1-1 0,-1 0 0,-1-1 0,0 1 0,-2-1 0,0 0 0,-1 0 0,-2 0 0,0 1 0,0-1 0,-6-24 0,4 34 0,1-1 0,-1 0 0,-1 1 0,0 0 0,-1 0 0,0 0 0,0 0 0,-1 1 0,0 0 0,0 0 0,-1 1 0,-1-1 0,1 2 0,-1-1 0,-1 1 0,1 0 0,-1 1 0,0 0 0,-1 0 0,1 1 0,-16-6 0,19 9 0,0-1 0,0 2 0,-1-1 0,1 1 0,-1 0 0,1 0 0,-1 1 0,1 0 0,-1 0 0,0 0 0,1 1 0,-1 0 0,1 0 0,0 1 0,-1 0 0,-6 3 0,5-1 0,0 0 0,1 1 0,-1 0 0,1 1 0,0-1 0,1 1 0,-1 0 0,1 1 0,1 0 0,-1 0 0,-7 13 0,-7 18 0,1 1 0,2 0 0,1 2 0,3 0 0,1 0 0,2 1 0,2 1 0,2-1 0,1 1 0,3 0 0,4 70 0,-1-99 0,1 0 0,1 0 0,0-1 0,0 1 0,1-1 0,1 0 0,11 22 0,-11-28 0,-1 0 0,1 0 0,0 0 0,0-1 0,1 0 0,0 0 0,0 0 0,0-1 0,1 0 0,0 0 0,0-1 0,0 0 0,0 0 0,11 4 0,-3-4 0,1 1 0,0-2 0,-1 0 0,1-1 0,0-1 0,0 0 0,1-1 0,-1-1 0,0 0 0,0-1 0,-1-1 0,1-1 0,24-8 0,-3-2 0,-1-1 0,-1-2 0,-1-2 0,49-34 0,-44 25 0,-1-2 0,-1-1 0,-2-2 0,-2-1 0,0-2 0,39-58 0,-52 64 0,-2-2 0,0 0 0,-2-1 0,-2 0 0,-1-1 0,-1-1 0,-2 0 0,-2-1 0,5-41 0,-11 65 0,-2 1 0,1-1 0,-1 0 0,-1 0 0,0 0 0,-4-16 0,4 24 0,-1-1 0,1 0 0,-1 1 0,0-1 0,0 1 0,-1 0 0,1-1 0,-1 1 0,0 1 0,0-1 0,-1 0 0,1 1 0,-1-1 0,1 1 0,-1 0 0,0 0 0,0 1 0,-5-3 0,-3 0 0,0 1 0,-1 0 0,1 1 0,-1 0 0,1 1 0,-1 0 0,0 1 0,0 1 0,1 0 0,-1 1 0,0 0 0,0 1 0,-19 5 0,-3 2 0,0 2 0,1 2 0,-52 26 0,45-18 0,1 2 0,1 2 0,1 2 0,1 1 0,-41 42 0,62-55 0,1 0 0,1 2 0,1 0 0,0 0 0,1 1 0,1 1 0,1 0 0,1 0 0,0 1 0,1 1 0,2-1 0,0 1 0,-5 30 0,10-44 0,1-1 0,0 0 0,0 1 0,0-1 0,2 13 0,-2-18 0,1 0 0,-1 0 0,0 0 0,1 0 0,-1 1 0,1-1 0,-1 0 0,1 0 0,0 0 0,-1 0 0,1 0 0,0 0 0,0-1 0,-1 1 0,1 0 0,0 0 0,0 0 0,0-1 0,0 1 0,0-1 0,0 1 0,0-1 0,1 1 0,-1-1 0,0 1 0,0-1 0,0 0 0,0 0 0,1 1 0,-1-1 0,0 0 0,0 0 0,0 0 0,1 0 0,-1-1 0,0 1 0,0 0 0,0 0 0,2-1 0,6-3 0,1 1 0,-1-1 0,1-1 0,-1 0 0,0 0 0,-1-1 0,0 0 0,0 0 0,10-10 0,-5 3 0,0 0 0,-2-1 0,1 0 0,15-28 0,-20 29 0,-1 0 0,0 0 0,-1 0 0,-1 0 0,0-1 0,0 0 0,-2 0 0,0 0 0,0 0 0,-1-21 0,-1 28 0,-1 0 0,0 0 0,0 0 0,0 0 0,-1 0 0,0 1 0,0-1 0,-1 1 0,0-1 0,0 1 0,0 0 0,-1 0 0,0 1 0,0-1 0,0 1 0,-1-1 0,0 2 0,0-1 0,0 0 0,-1 1 0,1 0 0,-1 0 0,-7-3 0,7 4 0,-1 0 0,0 0 0,0 1 0,-1 0 0,1 0 0,0 0 0,-1 1 0,1 0 0,-1 1 0,1 0 0,-1 0 0,-14 2 0,11 1 0,-1 0 0,0 1 0,1 0 0,0 0 0,0 1 0,0 1 0,-14 9 0,1 3 0,1 0 0,0 2 0,2 1 0,0 1 0,-31 41 0,19-15 0,1 1 0,3 2 0,-34 81 0,45-89 0,3 2 0,1 0 0,2 0 0,-10 85 0,20-118 0,2 0 0,-1 0 0,2 0 0,-1 0 0,2 0 0,-1 0 0,2 0 0,0-1 0,0 1 0,6 11 0,-7-19 0,0 0 0,0 1 0,1-2 0,0 1 0,0 0 0,0-1 0,0 1 0,1-1 0,-1 0 0,1 0 0,0 0 0,0 0 0,0-1 0,0 0 0,0 0 0,1 0 0,-1 0 0,1-1 0,-1 1 0,1-1 0,-1 0 0,1-1 0,0 1 0,-1-1 0,1 0 0,0 0 0,0 0 0,7-2 0,8-2 0,0 0 0,0-1 0,-1-2 0,0 0 0,0 0 0,0-2 0,-1 0 0,30-22 0,-11 5 0,-2-2 0,-1-1 0,31-36 0,-39 37 0,-2 0 0,-1-2 0,-1-1 0,-2-1 0,-1-1 0,-2 0 0,-1-2 0,-1 1 0,13-51 0,-23 64 0,-1-1 0,-1 0 0,-1 1 0,0-1 0,-2 0 0,-1 0 0,-4-33 0,1 38 0,0 0 0,0 1 0,-2-1 0,0 1 0,-1 1 0,-1-1 0,0 1 0,-1 0 0,0 1 0,-17-19 0,11 17 0,-1 0 0,0 1 0,-1 1 0,-1 1 0,0 1 0,-1 0 0,0 1 0,-1 1 0,0 1 0,0 1 0,-1 0 0,0 2 0,0 0 0,-1 2 0,0 0 0,0 1 0,0 2 0,-36 1 0,26 1 0,0 2 0,1 2 0,0 1 0,0 1 0,0 1 0,1 2 0,0 1 0,1 1 0,1 2 0,0 1 0,0 1 0,-38 30 0,32-17 0,2 1 0,1 2 0,1 1 0,2 1 0,1 1 0,2 1 0,2 2 0,-21 44 0,20-31 0,3 1 0,3 1 0,1 0 0,3 2 0,3-1 0,-6 60 0,15-91 0,0 0 0,1 0 0,2 0 0,0 1 0,2-1 0,7 33 0,-7-45 0,1 0 0,0 0 0,1 0 0,0-1 0,1 0 0,0 0 0,0 0 0,1-1 0,0 0 0,1 0 0,0 0 0,0-1 0,1-1 0,16 12 0,-7-8 0,2 0 0,-1-2 0,1 0 0,0-2 0,1 0 0,0-1 0,0-1 0,0-1 0,1-1 0,-1-1 0,1 0 0,0-2 0,35-4 0,-11-1 0,1-3 0,-1-2 0,-1-2 0,0-2 0,55-24 0,-64 21 0,1-1 0,-2-2 0,-1-2 0,-1-1 0,0-1 0,52-52 0,-65 55 0,-1 0 0,0-1 0,-2-1 0,-1-1 0,-1-1 0,-1 0 0,-1-1 0,-1 0 0,-1-1 0,9-37 0,-17 50 0,0 0 0,-2 0 0,1 0 0,-1 0 0,-1 0 0,-1-1 0,0 1 0,-1 0 0,0 0 0,-1 0 0,-1 0 0,0 1 0,-1-1 0,0 1 0,-1 0 0,0 1 0,-1-1 0,-1 1 0,0 0 0,-13-14 0,4 8 0,-1 1 0,0 0 0,-2 1 0,0 2 0,0 0 0,-1 0 0,-1 2 0,0 1 0,-1 1 0,-45-14 0,15 9 0,-1 3 0,-93-10 0,110 19 0,0 2 0,0 1 0,0 2 0,1 2 0,-38 8 0,55-7 0,0 0 0,1 1 0,0 1 0,0 1 0,-31 18 0,41-21 0,1 0 0,0 0 0,0 1 0,0 0 0,1 0 0,0 1 0,0 0 0,0 0 0,1 0 0,0 0 0,1 1 0,0 0 0,0 0 0,-5 16 0,7-16 0,0 0 0,0 0 0,1 1 0,0-1 0,0 1 0,1-1 0,1 0 0,-1 1 0,1-1 0,0 1 0,1-1 0,0 0 0,1 0 0,3 10 0,-1-10 0,-1 0 0,1 0 0,1 0 0,-1-1 0,1 0 0,1 0 0,-1-1 0,1 0 0,0 0 0,0 0 0,1-1 0,0 0 0,9 5 0,8 1 0,0 0 0,0-2 0,0 0 0,1-2 0,48 7 0,-15-8 0,95-1 0,-108-7 0,0-1 0,0-2 0,77-20 0,-99 19 0,0-2 0,-1-1 0,0 0 0,0-2 0,-1 0 0,0-2 0,-1 0 0,28-25 0,-42 32 0,0 0 0,-1-1 0,0 0 0,0-1 0,0 1 0,-1-1 0,-1 0 0,1 0 0,-1-1 0,0 0 0,3-14 0,-5 18 0,-1-1 0,0 1 0,-1-1 0,1 0 0,-1 1 0,0-1 0,-1 1 0,1-1 0,-1 0 0,0 1 0,-1-1 0,1 1 0,-1 0 0,0-1 0,0 1 0,-1 0 0,0 0 0,0 0 0,0 1 0,-4-6 0,-3 0 0,0 1 0,0 0 0,-1 0 0,0 1 0,-1 0 0,0 1 0,0 1 0,-1-1 0,1 2 0,-1 0 0,0 1 0,-28-6 0,-12 1 0,-105-5 0,97 12 0,0 3 0,0 2 0,-83 16 0,99-9 0,-1 1 0,1 2 0,1 2 0,1 2 0,-44 24 0,81-38 0,-51 32 0,54-33 0,1 0 0,0-1 0,-1 1 0,1 0 0,0 0 0,0 0 0,0 1 0,1-1 0,-1 0 0,0 1 0,1-1 0,0 1 0,-1 0 0,1-1 0,0 1 0,0 0 0,1 0 0,-1 3 0,1-5 0,0 0 0,0 1 0,0-1 0,1 0 0,-1 0 0,0 0 0,1 0 0,-1 0 0,1 0 0,-1 0 0,1 0 0,0 0 0,-1-1 0,1 1 0,0 0 0,0 0 0,0 0 0,-1-1 0,1 1 0,0 0 0,0-1 0,0 1 0,0-1 0,0 1 0,0-1 0,2 1 0,17 5 0,0 0 0,0-2 0,0 0 0,1-1 0,0-1 0,28-1 0,-9 0 0,621-5 0,-613 0 0,-45 3 0,-5 0 0,-24-1 0,-123-1 0,1 6 0,-249 38 0,391-40 0,-66 15 0,68-15 0,1 0 0,-1 0 0,0 1 0,1-1 0,-1 1 0,1 0 0,0 0 0,-1 0 0,1 0 0,0 1 0,0-1 0,1 1 0,-1 0 0,-2 3 0,4-5 0,1 0 0,0 0 0,-1 0 0,1 0 0,0 0 0,-1 0 0,1 0 0,0 0 0,0 1 0,0-1 0,0 0 0,0 0 0,0 0 0,0 0 0,0 0 0,1 0 0,-1 0 0,0 0 0,0 0 0,1 0 0,-1 0 0,1 0 0,-1 0 0,1 0 0,0 0 0,-1 0 0,1 0 0,0 0 0,0-1 0,-1 1 0,1 0 0,0 0 0,1 0 0,5 4 0,1 0 0,-1-1 0,1 0 0,-1 0 0,1 0 0,0-1 0,1-1 0,9 3 0,80 12 0,-85-15 0,530 32 0,-632-36 0,-249 0 0,270 5 0,0 3 0,-128 30 0,126-14 0,66-21 0,0 1 0,1-1 0,-1 1 0,0 0 0,1 0 0,-1 0 0,1 1 0,0-1 0,0 1 0,0 0 0,0 0 0,-4 5 0,6-7 0,1-1 0,0 1 0,0-1 0,0 1 0,-1-1 0,1 1 0,0-1 0,0 1 0,0-1 0,0 1 0,0-1 0,0 1 0,0-1 0,0 1 0,0-1 0,0 1 0,1-1 0,-1 1 0,0-1 0,0 1 0,0-1 0,0 1 0,1-1 0,-1 1 0,1 0 0,18 11 0,11-4 0,1 0 0,0-3 0,1 0 0,60 0 0,-53-3 0,723 6 0,-668-14 0,-87 4 0,-19-1 0,-29-1 0,-39 3 0,-1 4 0,1 3 0,1 4 0,-104 27 0,164-33 0,0 2 0,0 0 0,1 2 0,-34 17 0,48-22 0,-1 0 0,1 1 0,-1-1 0,1 1 0,0 0 0,0 0 0,1 0 0,-1 1 0,-3 6 0,5-8 0,1 0 0,0 0 0,0 0 0,0 0 0,0 0 0,0 1 0,1-1 0,-1 0 0,1 0 0,0 1 0,0-1 0,0 0 0,0 1 0,1-1 0,-1 0 0,1 0 0,1 4 0,0-2 0,1 0 0,-1 0 0,1 0 0,0 0 0,0 0 0,1-1 0,0 0 0,-1 1 0,1-1 0,1 0 0,-1-1 0,1 1 0,-1-1 0,1 0 0,0 0 0,0-1 0,6 3 0,9 3 0,1 0 0,0-1 0,25 3 0,7 0 0,0-3 0,1-3 0,-1-1 0,87-8 0,-28-7 0,128-31 0,50-35 0,-255 66 0,-1-1 0,0-2 0,-1-2 0,-1-1 0,59-43 0,-87 59 0,0-1 0,-1 0 0,1 0 0,-1 0 0,0-1 0,0 1 0,0-1 0,-1 0 0,1 1 0,-1-1 0,1 0 0,-1-1 0,-1 1 0,1 0 0,1-9 0,-2 11 0,-1 1 0,-1-1 0,1 0 0,0 0 0,0 1 0,-1-1 0,1 0 0,-1 1 0,1-1 0,-1 0 0,0 1 0,0-1 0,0 1 0,0-1 0,0 1 0,-1-3 0,-2 1 0,1 0 0,0 0 0,-1 1 0,0-1 0,1 1 0,-1 0 0,0 0 0,-7-3 0,-21-4 0,0 0 0,-1 3 0,0 0 0,-57-1 0,-44 0 0,-137 11 0,181 3 0,0 3 0,-126 33 0,212-42 0,-21 5 0,-46 19 0,65-23 0,0 1 0,1 0 0,-1 0 0,1 0 0,0 1 0,0 0 0,0 0 0,1 0 0,-1 1 0,1-1 0,0 1 0,0 0 0,-3 6 0,6-10 0,1 0 0,-1-1 0,1 1 0,-1 0 0,1 0 0,0 0 0,-1-1 0,1 1 0,0 0 0,0 0 0,0 0 0,0 0 0,0 0 0,-1 0 0,2 0 0,-1 0 0,0-1 0,0 1 0,0 0 0,0 0 0,0 0 0,1 0 0,-1 0 0,0 0 0,1-1 0,-1 1 0,1 0 0,-1 0 0,1 0 0,-1-1 0,1 1 0,0 0 0,-1-1 0,1 1 0,0-1 0,-1 1 0,1-1 0,1 2 0,4 0 0,0 1 0,0-1 0,-1 0 0,2-1 0,5 2 0,-12-3 0,38 7 0,-1-2 0,1-2 0,41-1 0,119-13 0,-186 10 0,361-50 0,-307 36 0,0-2 0,-1-3 0,95-45 0,-145 59 0,0-1 0,0-1 0,-1-1 0,0 0 0,-1 0 0,0-1 0,-1-1 0,0 0 0,20-24 0,-31 33 0,1-1 0,0 1 0,0-1 0,-1 0 0,0 0 0,1 1 0,-1-1 0,0 0 0,0 0 0,-1 0 0,1 0 0,-1 0 0,1 0 0,-1-1 0,0 1 0,0 0 0,0 0 0,-1 0 0,1 0 0,-1 0 0,0 0 0,0 0 0,0 0 0,0 0 0,0 0 0,0 0 0,-1 1 0,0-1 0,1 0 0,-1 1 0,0 0 0,0-1 0,0 1 0,-3-2 0,-5-4 0,0 1 0,0 1 0,0-1 0,-1 2 0,0 0 0,0 0 0,-21-6 0,-27-4 0,-2 2 0,-113-10 0,-126 16 0,242 8 0,0 1 0,0 4 0,0 1 0,-102 29 0,145-31 0,-1 1 0,1 0 0,-17 11 0,29-16 0,0 1 0,-1 0 0,1 0 0,0 0 0,0 1 0,1-1 0,-1 1 0,1-1 0,-1 1 0,1 0 0,0 0 0,0 0 0,0 0 0,0 0 0,0 1 0,1-1 0,0 1 0,-1-1 0,0 5 0,2-7 0,0 0 0,0-1 0,1 1 0,-1 0 0,0 0 0,0 0 0,0 0 0,1 0 0,-1 0 0,0 0 0,1 0 0,-1-1 0,1 1 0,-1 0 0,1 0 0,-1-1 0,1 1 0,-1 0 0,1 0 0,0-1 0,-1 1 0,1-1 0,0 1 0,0-1 0,0 1 0,-1-1 0,1 1 0,0-1 0,0 0 0,0 1 0,0-1 0,1 0 0,7 3 0,1-1 0,0-1 0,-1 0 0,1 0 0,0 0 0,19-3 0,66-11 0,-93 12 0,220-47 0,-212 46 0,-1-1 0,0 0 0,18-9 0,-23 5 0,-15 3 0,-14 3 0,1 2 0,-1 1 0,1 0 0,-33 9 0,44-9 0,-193 45 0,173-38 0,1 2 0,0 2 0,1 0 0,-36 23 0,30-10 0,35-25 0,0 1 0,0 0 0,0 0 0,0 0 0,0-1 0,1 2 0,-1-1 0,1 0 0,0 0 0,-1 0 0,1 1 0,0-1 0,-1 3 0,2-4 0,0 0 0,0-1 0,0 1 0,0 0 0,0-1 0,1 1 0,-1-1 0,0 1 0,0 0 0,0-1 0,0 1 0,1-1 0,-1 1 0,0 0 0,1-1 0,-1 1 0,0-1 0,1 1 0,-1-1 0,1 1 0,-1-1 0,0 0 0,1 1 0,-1-1 0,1 1 0,0-1 0,-1 0 0,1 0 0,-1 1 0,1-1 0,-1 0 0,1 0 0,0 0 0,-1 1 0,1-1 0,0 0 0,0 0 0,6 1 0,1 0 0,-1-1 0,1 1 0,-1-1 0,1-1 0,-1 1 0,15-4 0,58-19 0,-65 18 0,47-15 0,-1-3 0,-1-2 0,-2-3 0,-1-3 0,-1-2 0,79-61 0,-122 84 0,-1-1 0,1 0 0,-2-1 0,1 0 0,-2-1 0,0 0 0,9-15 0,-18 26 0,1 0 0,-1 0 0,0 0 0,0 0 0,0-1 0,0 1 0,-1 0 0,1-1 0,0 1 0,-1 0 0,0-1 0,1 1 0,-1 0 0,0-1 0,0 1 0,-1-1 0,1 1 0,0 0 0,-1-1 0,1 1 0,-1 0 0,0-1 0,0 1 0,0 0 0,0 0 0,0 0 0,0 0 0,-1 0 0,1 0 0,-1 0 0,1 0 0,-3-2 0,-3 0 0,0 0 0,0 0 0,0 0 0,0 1 0,0 0 0,-1 0 0,1 0 0,-1 1 0,-8-1 0,-32-4 0,-1 1 0,1 2 0,-1 3 0,0 2 0,-50 7 0,5 5 0,-157 43 0,139-22-121,1 5 0,2 5 0,1 5 0,3 4 0,-119 82 0,189-111 121,-47 42 0,72-57 0,1 0 0,0 1 0,1 0 0,0 0 0,0 1 0,1 0 0,1 0 0,-10 21 0,16-31 0,-1 1 0,0-1 0,1 0 0,-1 1 0,1-1 0,0 1 0,-1-1 0,1 1 0,0-1 0,0 1 0,0-1 0,0 1 0,0-1 0,0 1 0,0-1 0,0 0 0,1 1 0,-1-1 0,1 1 0,-1-1 0,1 1 0,-1-1 0,1 0 0,0 1 0,0-1 0,-1 0 0,1 0 0,0 0 0,0 0 0,2 2 0,1-1 0,0 0 0,1 0 0,-1 0 0,0 0 0,1-1 0,0 0 0,-1 0 0,1 0 0,5 0 0,26 0 101,1-1 0,-1-1-1,0-3 1,-1 0 0,57-16 0,84-26-406,323-129 0,-425 145 256,-2-3 0,86-52 1,-139 73 48,29-25 0,-44 33 0,-1 1 0,1-1 0,0 0 0,-1 0 0,0 0 0,0-1 0,0 1 0,0-1 0,-1 0 0,0 1 0,3-9 0,-5 11 0,0 1 0,1-1 0,-1 1 0,0-1 0,0 1 0,0-1 0,-1 1 0,1-1 0,0 1 0,0 0 0,-1-1 0,1 1 0,-1-1 0,1 1 0,-1 0 0,0-1 0,0 1 0,1 0 0,-1 0 0,0 0 0,0-1 0,0 1 0,0 0 0,0 0 0,0 0 0,-1 1 0,1-1 0,0 0 0,0 0 0,-1 1 0,-1-2 0,-5-1 0,0 0 0,-1 0 0,1 1 0,-11-1 0,18 2 0,-74-8 166,-1 3 1,-1 3 0,-84 8 0,146-4-103,-69 2-11,0 4 0,-106 23 0,163-24-54,1 1 0,1 1 0,-1 1 0,1 1 0,1 1 0,0 1 0,0 1 0,2 2-1,-1 0 1,2 1 0,-25 24 0,36-29 1,1 0 0,0 0 0,1 1 0,0 0 0,1 0 0,0 1 0,1 0 0,1 0 0,0 0 0,0 1 0,2 0 0,-1 0 0,-1 27 0,4-34 0,1 1 0,1-1 0,-1 1 0,1-1 0,0 0 0,1 1 0,0-1 0,0 0 0,1 0 0,-1 0 0,2 0 0,-1 0 0,1-1 0,0 1 0,0-1 0,0 0 0,1-1 0,0 1 0,0-1 0,1 0 0,0 0 0,0 0 0,0-1 0,0 0 0,0 0 0,1 0 0,0-1 0,9 3 0,19 4 0,0 0 0,1-3 0,0-1 0,0-2 0,68 0 0,-5-5 0,0-5 0,-1-4 0,0-4 0,-1-5 0,-1-4 0,112-41 0,-172 52 0,0-2 0,-1 0 0,-1-3 0,58-37 0,-84 49 0,-1-1 0,0 0 0,0-1 0,-1 1 0,0-1 0,0-1 0,0 1 0,6-12 0,-10 15 0,0 1 0,-1-1 0,0 0 0,1 1 0,-1-1 0,0 0 0,-1 0 0,1 0 0,-1 0 0,0 0 0,0 0 0,0 0 0,0 0 0,-1 0 0,1 0 0,-1 0 0,0 0 0,0 1 0,-1-1 0,1 0 0,-3-3 0,0 0 0,0 1 0,-1 0 0,0 0 0,0 1 0,0 0 0,0-1 0,-1 2 0,0-1 0,0 1 0,0 0 0,-1 0 0,1 0 0,-1 1 0,-11-3 0,-8-3 0,0 2 0,-48-7 0,11 5 0,-1 3 0,1 3 0,-1 2 0,-114 15 0,133-7 0,1 1 0,0 3 0,0 2 0,1 1 0,1 2 0,1 2 0,-63 38 0,87-45 0,0 0 0,1 2 0,-23 22 0,35-32 0,1 1 0,-1 0 0,1 0 0,0 0 0,0 0 0,0 1 0,0-1 0,1 1 0,0 0 0,0 0 0,0 0 0,0 0 0,1 0 0,0 0 0,0 0 0,0 0 0,1 10 0,0-12 0,1 0 0,0 0 0,0 0 0,0 0 0,0-1 0,0 1 0,0-1 0,1 1 0,-1 0 0,1-1 0,-1 0 0,1 1 0,0-1 0,0 0 0,0 0 0,1 0 0,-1-1 0,0 1 0,1 0 0,-1-1 0,1 1 0,0-1 0,3 1 0,4 2 0,1-1 0,0 0 0,-1-1 0,1 0 0,20 1 0,11-3 0,0-2 0,0-1 0,-1-3 0,68-16 0,159-67 0,-203 64 0,63-36 0,-108 50 0,0-1 0,-1-1 0,-1-1 0,0 0 0,-1-1 0,31-35 0,-43 43 0,0 1 0,0-1 0,-1 1 0,0-1 0,0-1 0,-1 1 0,0 0 0,0-1 0,-1 0 0,0 1 0,2-15 0,-4 17 0,0-1 0,0 0 0,-1 0 0,0 1 0,0-1 0,0 0 0,0 1 0,-1-1 0,0 1 0,-1 0 0,1-1 0,-1 1 0,0 0 0,0 1 0,0-1 0,-1 0 0,-4-4 0,-7-6 0,-1 1 0,-1 1 0,0 0 0,-1 1 0,0 1 0,-1 1 0,0 0 0,-1 2 0,-35-12 0,4 6 0,0 2 0,-98-11 0,114 20 0,0 2 0,-1 2 0,1 1 0,0 1 0,0 2 0,1 2 0,-1 1 0,1 1 0,1 3 0,0 0 0,0 2 0,-37 22 0,46-22 0,1 1 0,1 1 0,0 1 0,2 1 0,0 1 0,0 1 0,2 0 0,1 1 0,0 1 0,2 1 0,0 0 0,2 1 0,1 1 0,0 0 0,2 0 0,-8 33 0,15-47 0,0 0 0,1 0 0,1 0 0,0 0 0,0 19 0,2-24 0,0-1 0,-1 0 0,2 0 0,-1 0 0,1 0 0,-1 0 0,1-1 0,1 1 0,-1 0 0,1-1 0,-1 1 0,1-1 0,1 0 0,5 6 0,-1-3 0,0 0 0,1-1 0,-1 0 0,1 0 0,1-1 0,-1 0 0,1-1 0,14 5 0,0-2 0,0-1 0,44 5 0,-30-8 0,-1-1 0,1-3 0,0-1 0,72-13 0,141-53 0,-180 45 0,-1-3 0,115-61 0,-170 78 0,-1 0 0,1-1 0,-1-1 0,-1 0 0,0-1 0,-1 0 0,18-23 0,-26 30 0,0-1 0,0 0 0,-1 0 0,0 0 0,0-1 0,-1 1 0,0-1 0,0 1 0,0-1 0,-1 0 0,0 0 0,0 0 0,0 0 0,-1 0 0,-1 0 0,1 0 0,-1 0 0,0 1 0,0-1 0,-1 0 0,-3-7 0,1 3 0,-2 0 0,0 0 0,0 0 0,-1 1 0,0 1 0,-1-1 0,0 1 0,0 0 0,-1 1 0,0 0 0,-1 0 0,0 1 0,-16-10 0,-5 1 0,0 0 0,-1 3 0,-57-18 0,25 14 0,0 2 0,-1 4 0,-1 2 0,0 3 0,-94 3 0,103 6 0,1 3 0,-1 1 0,1 4 0,0 1 0,1 3 0,-82 35 0,113-40 0,1 2 0,1 0 0,0 1 0,1 1 0,1 2 0,0 0 0,-19 20 0,28-25 0,1 1 0,0 0 0,1 0 0,1 1 0,0 1 0,1-1 0,0 1 0,1 1 0,1-1 0,0 1 0,1 0 0,-4 24 0,6-24 0,1-1 0,1 1 0,0-1 0,0 1 0,2-1 0,0 1 0,0-1 0,10 27 0,-10-33 0,2-1 0,-1 1 0,1-1 0,0 0 0,1 0 0,-1 0 0,1 0 0,1-1 0,-1 0 0,1 0 0,0 0 0,1-1 0,-1 0 0,1 0 0,0-1 0,0 0 0,9 4 0,-2-3 0,1 0 0,-1-1 0,1-1 0,-1 0 0,1-1 0,0 0 0,0-2 0,0 1 0,27-5 0,-2-2 0,-1-2 0,61-20 0,-17-2 0,-2-4 0,-1-3 0,-1-4 0,-3-3 0,-1-3 0,-3-4 0,71-64 0,-122 98 0,-1 0 0,0-2 0,-1 0 0,-1-1 0,-1-1 0,20-33 0,-35 51 0,0 0 0,-1 0 0,1 0 0,-1 0 0,0 0 0,0 0 0,0-1 0,0 1 0,-1 0 0,1-1 0,-1 1 0,0 0 0,0-1 0,0 1 0,-1 0 0,1-1 0,-1 1 0,1 0 0,-3-5 0,1 4 0,0 1 0,0 0 0,0 0 0,-1 0 0,1 0 0,-1 1 0,0-1 0,1 1 0,-1 0 0,0-1 0,-1 1 0,1 1 0,0-1 0,-7-2 0,-8-2 0,0 1 0,0 1 0,0 0 0,0 2 0,-36-1 0,17 2 0,-1 2 0,0 2 0,0 2 0,1 1 0,0 1 0,0 3 0,1 1 0,0 1 0,-34 18 0,42-16 0,1 2 0,0 0 0,2 2 0,-1 1 0,2 1 0,1 1 0,1 1 0,0 1 0,2 1 0,0 1 0,-20 35 0,-36 83 0,68-125 0,0 1 0,2 0 0,0 0 0,1 0 0,-4 39 0,12-38 0,-3-19 0,0-1 0,1 0 0,-1 1 0,0-1 0,1 1 0,-1-1 0,0 0 0,1 0 0,-1 1 0,0-1 0,1 0 0,-1 1 0,1-1 0,-1 0 0,1 0 0,-1 0 0,0 0 0,1 1 0,-1-1 0,1 0 0,-1 0 0,1 0 0,-1 0 0,1 0 0,0 0 0,3-1 0,1-1 0,-1 1 0,1-1 0,-1 0 0,0 0 0,1 0 0,5-5 0,28-19 0,0-2 0,-2-2 0,-1-1 0,46-52 0,109-160 0,-149 183 0,59-115 0,-96 167 0,0-1 0,-1 1 0,4-16 0,-7 24 0,0 0 0,0 0 0,0-1 0,0 1 0,0 0 0,0-1 0,0 1 0,1 0 0,-1 0 0,0-1 0,0 1 0,0 0 0,0-1 0,-1 1 0,1 0 0,0 0 0,0-1 0,0 1 0,0 0 0,0 0 0,0-1 0,0 1 0,0 0 0,-1 0 0,1-1 0,0 1 0,0 0 0,0 0 0,0-1 0,-1 1 0,1 0 0,0 0 0,0 0 0,-1 0 0,1-1 0,0 1 0,0 0 0,-1 0 0,1 0 0,0 0 0,-1 0 0,-1 0 0,0 1 0,0 0 0,0 0 0,0 0 0,0 0 0,0 0 0,1 0 0,-1 0 0,0 1 0,-2 2 0,-31 31 0,0 3 0,-56 81 0,-32 57-247,8 4-1,-148 318 0,221-390 248,40-105 0,1 0 0,0 1 0,0-1 0,0 1 0,1-1 0,-1 1 0,1-1 0,0 1 0,0-1 0,0 1 0,1-1 0,-1 1 0,1-1 0,1 5 0,-2-8 0,0 1 0,1-1 0,-1 1 0,1 0 0,0-1 0,-1 1 0,1-1 0,-1 1 0,1-1 0,0 1 0,0-1 0,-1 0 0,1 1 0,0-1 0,-1 0 0,1 0 0,0 1 0,0-1 0,0 0 0,-1 0 0,1 0 0,0 0 0,1 0 0,2 0 0,0-1 0,0 0 0,-1 0 0,1 0 0,0 0 0,-1 0 0,6-4 0,19-10 0,-1-2 0,28-23 0,68-56-291,-5-4 0,-5-6-1,193-231 1,-280 304 388,-1-1 0,-1 0 0,-3-2 1,0-1-1,18-47 0,-36 77-88,-1 0 0,0-1 0,0 1-1,0-1 1,-1 0 0,0 1 0,0-1 0,-1 0 0,0 0 0,-1 1 0,0-1 0,0 0 0,-3-10 0,2 13-10,0 1 1,0-1-1,-1 0 1,0 1 0,0-1-1,0 1 1,-1 0-1,1 0 1,-1 0 0,0 1-1,0-1 1,0 1-1,-1 0 1,1 0-1,-1 0 1,1 1 0,-1 0-1,0 0 1,-9-3-1,-2 1 36,0 1 0,0 0 0,-1 1 0,1 1 0,-1 1 0,1 0 0,-1 1 0,1 0 0,0 2 0,-1 0 0,1 1 0,0 0 0,1 1 0,-18 9 0,-10 5 136,0 3 0,1 1 0,-62 47 0,62-38-171,1 2 0,2 2 0,2 1 0,1 2 0,2 2 0,1 1 0,-36 64 0,46-65 0,1 0 0,3 2 0,1 0 0,3 2 0,1-1 0,2 2 0,3-1 0,-7 73 0,14-98 0,2 0 0,0 0 0,1 0 0,1 0 0,1 0 0,1 0 0,9 28 0,-11-42 0,0 1 0,1-1 0,0 0 0,0 0 0,1 0 0,-1-1 0,1 1 0,1-1 0,-1 0 0,1 0 0,0 0 0,0-1 0,0 0 0,0 0 0,1 0 0,0 0 0,0-1 0,0 0 0,0 0 0,0-1 0,0 0 0,1 0 0,-1 0 0,1-1 0,11 1 0,-4-1 0,0-1 0,-1-1 0,1-1 0,0 1 0,-1-2 0,1 0 0,22-9 0,-2-1 0,-2-2 0,32-20 0,-10 2-53,-1-2 1,-2-3-1,-1-2 0,-2-2 0,-3-2 0,46-55 1,-61 62 5,-2 0-1,-2-2 1,-2 0 0,-1-2 0,-2-1 0,-2 0 0,-2-1 0,-1-1 0,11-55 0,-23 75 47,0 0 0,-2 0 0,0 0 0,-2-1 0,-1 1 0,0 0 0,-2 0 0,-7-28 0,7 41 0,0-1 0,-1 1 0,0 0 0,-1 0 0,0 0 0,-1 1 0,0 0 0,0 0 0,-1 1 0,-1-1 0,0 1 0,0 1 0,0 0 0,-1 0 0,0 0 0,-1 1 0,0 1 0,-18-10 0,11 9 8,0 1-1,0 1 1,0 0 0,0 2-1,-1 0 1,1 0-1,-1 2 1,0 0 0,-30 3-1,10 3 149,0 1 0,1 1 0,-61 22 0,44-9-179,2 2-1,0 3 1,1 2 0,2 3-1,-86 66 1,67-40-142,4 4 1,1 2-1,-62 83 1,82-90 164,3 2 0,3 1 0,-51 107 0,71-127 0,2 0 0,2 1 0,1 1 0,2 0 0,1 1 0,3 0 0,-3 62 0,9-98-1,0 1 0,0 0 0,0 0 1,0 0-1,1 0 0,0-1 0,0 1 1,1 0-1,0-1 0,0 1 0,0-1 0,0 0 1,1 1-1,6 8 0,-7-12 3,0 0 0,0 0 0,1-1 0,-1 1-1,0-1 1,1 1 0,-1-1 0,0 0 0,1 0 0,0 0-1,-1 0 1,1-1 0,2 2 0,1-2 16,0 1-1,0-1 1,1 0 0,-1-1 0,0 1 0,0-1-1,6-2 1,13-4 95,0-1 0,-1-1 1,0-1-1,0-1 0,-1-1 0,27-20 0,125-105-144,-151 117 52,76-66-193,105-116-1,-166 158 116,-2-1-1,-2-3 1,-1-1-1,-3-1 0,27-62 1,-45 85 57,-2-2 0,-1 1 0,8-40 0,-16 58 0,0 0 0,-1-1 0,0 1 0,-1 0 0,0-1 0,0 1 0,-1 0 0,-1-1 0,0 1 0,0 0 0,-1 0 0,0 0 0,-5-9 0,5 14 7,1 1 0,-1-1 1,0 1-1,0 0 0,-1 0 0,1 0 0,-1 1 0,0-1 1,0 1-1,0 0 0,0 0 0,0 0 0,-1 1 1,1 0-1,-1-1 0,0 2 0,0-1 0,0 0 1,0 1-1,0 0 0,0 0 0,0 1 0,0-1 1,0 1-1,0 0 0,-1 0 0,-7 2 0,-7 1 56,1 2-1,-1 0 0,1 0 1,0 2-1,-35 17 0,8 1-31,2 2 1,0 2-1,-76 66 0,58-38-36,-91 111 0,118-125 5,3 2 0,1 2 0,-31 64 0,46-76 0,1 0 0,1 1 0,2 1 0,2 0 0,-8 59 0,16-87 0,1 0 0,0 1 0,0-1 0,1 0 0,1 0 0,0 1 0,0-1 0,0 0 0,1 0 0,1 0 0,-1 0 0,2-1 0,5 13 0,-6-17 0,-1 0 0,1 0 0,0-1 0,1 1 0,-1-1 0,1 0 0,-1 0 0,1 0 0,0 0 0,0-1 0,6 3 0,-2-2 0,0 0 0,-1-1 0,1 0 0,0 0 0,0-1 0,0 0 0,16 0 0,1-3 0,0 0 0,0-2 0,-1 0 0,46-16 0,-17 1 0,62-31 0,-69 26 0,-2-2 0,0-2 0,-2-1 0,-1-3 0,61-60 0,-75 64 0,-2-1 0,0-1 0,-3-1 0,0-1 0,-2-1 0,-2 0 0,0-2 0,14-45 0,-25 60 0,-2 0 0,0 0 0,-1-1 0,-1 0 0,-1 1 0,-1-1 0,-1 0 0,-3-28 0,1 33 0,-1 1 0,-1 0 0,0 0 0,-1 0 0,0 0 0,-2 0 0,1 1 0,-2 0 0,0 1 0,0 0 0,-17-20 0,11 19 0,0 0 0,0 0 0,-2 2 0,1 0 0,-2 0 0,1 2 0,-2 0 0,1 1 0,-1 1 0,0 0 0,-1 1 0,0 1 0,0 1 0,0 1 0,-1 1 0,1 0 0,-1 2 0,0 0 0,0 1 0,0 1 0,1 1 0,-1 0 0,1 2 0,-1 0 0,1 1 0,0 1 0,1 1 0,0 1 0,0 0 0,-26 17 0,22-10 0,1 1 0,1 0 0,0 2 0,1 0 0,1 2 0,1 0 0,-17 25 0,14-14 0,2 1 0,1 1 0,1 0 0,-17 56 0,15-26 0,3 1 0,4 1 0,1 0 0,4 0 0,3 91 0,3-145 0,0 3 0,0 1 0,4 20 0,-4-33 0,1 0 0,-1 0 0,0 0 0,1-1 0,-1 1 0,1 0 0,-1 0 0,1 0 0,0-1 0,0 1 0,0 0 0,0-1 0,0 1 0,0-1 0,0 1 0,1-1 0,-1 0 0,0 1 0,1-1 0,-1 0 0,1 0 0,-1 0 0,1 0 0,0 0 0,-1 0 0,4 0 0,-1-1 0,1-1 0,0 1 0,-1-1 0,1 0 0,-1-1 0,1 1 0,-1-1 0,0 0 0,1 0 0,-1 0 0,0-1 0,0 1 0,6-6 0,23-18 0,0-1 0,-2-1 0,-1-2 0,35-45 0,-10 3 0,47-84 0,-66 95 0,-2-2 0,-4-1 0,28-81 0,-47 109 0,-1 1 0,-1-1 0,-2-1 0,-2 1 0,-1-1 0,-2 0 0,-5-69 0,1 94 0,1 0 0,-2 0 0,0 0 0,0 0 0,-1 0 0,0 1 0,-1 0 0,-1 0 0,1 0 0,-2 0 0,-10-14 0,10 18 0,0 0 0,-1 0 0,0 0 0,0 1 0,0 0 0,-1 0 0,0 1 0,0 1 0,0-1 0,0 1 0,-1 1 0,0 0 0,-18-4 0,12 5 0,0 0 0,-1 1 0,1 0 0,-1 1 0,1 1 0,-1 1 0,1 0 0,0 2 0,0-1 0,0 2 0,-28 12 0,7 1 0,0 1 0,2 2 0,-54 42 0,16-4-105,3 3-1,3 2 1,3 4 0,2 3-1,-90 135 1,87-102 97,4 3 0,6 2-1,-78 217 1,111-264 8,3 1 0,3 0 0,-12 102 0,27-156 0,0 0 0,1 0 0,0 0 0,1 0 0,-1-1 0,2 1 0,-1 0 0,1-1 0,6 16 0,-6-21 0,0 0 0,0 0 0,0 0 0,0 0 0,1-1 0,-1 1 0,1-1 0,0 0 0,-1 1 0,1-1 0,0-1 0,0 1 0,1 0 0,-1-1 0,0 1 0,0-1 0,1 0 0,-1 0 0,1 0 0,-1-1 0,1 1 0,-1-1 0,1 0 0,-1 0 0,1 0 0,-1 0 0,6-2 0,11-1 0,0-2 0,-1 0 0,0-1 0,0-1 0,-1 0 0,25-15 0,25-16-217,-1-4 0,-3-2-1,81-71 1,157-186-652,-90 36 822,-176 211 25,-2-2 0,-3-1 1,28-70-1,-51 109 59,-2-1-1,0 1 1,-1-1 0,0 0 0,-2-1 0,0 1-1,-1-31 1,-2 44-27,0 0 0,-1 0-1,1 1 1,-1-1 0,-1 0-1,1 1 1,-1-1-1,0 0 1,-1 1 0,1 0-1,-1 0 1,0 0 0,0 0-1,0 0 1,-1 0 0,0 1-1,0-1 1,0 1 0,0 0-1,-1 1 1,0-1 0,1 1-1,-1 0 1,-1 0 0,1 0-1,0 1 1,-1 0 0,-7-3-1,-2 2 60,-1 0-1,0 0 1,0 2-1,0 0 1,0 0-1,0 2 1,0 0-1,0 1 1,0 0-1,0 1 1,1 1-1,-27 11 1,-1 2 153,1 2 1,2 2-1,-55 37 1,33-16-223,2 2 0,2 3 0,3 3 0,-97 110 0,120-120 0,2 0 0,2 2 0,2 2 0,2 0 0,2 1 0,2 1 0,2 2 0,-17 66 0,24-66 10,3 0 1,2 0 0,2 1-1,4 85 1,1-108-2,2 1 0,1-1 0,1 0 0,1 0 0,2 0 0,0-1 0,1 0 0,2-1 0,1 0 0,17 27 0,-21-39-7,0-1 0,2 0 0,-1-1 1,1 0-1,0-1 0,1 0 0,0 0 0,1-1 1,0-1-1,0 0 0,0 0 0,24 7 0,-18-8-1,1-1-1,0-1 1,0-1-1,1-1 1,-1-1-1,0 0 1,1-1-1,26-4 1,-7-3-1,1-2-1,-1-1 1,-1-2 0,0-1-1,0-3 1,-2-1 0,0-1 0,39-27-1,-34 17 1,-2-2 0,-1-1 0,54-57 0,-70 63 0,-1-1 0,0-1 0,-2 0 0,-2-2 0,0 0 0,13-35 0,-29 63 0,3-9 0,0 0 0,-1 0 0,0-1 0,2-12 0,-4 21 0,-1 1 0,0-1 0,0 0 0,0 0 0,0 0 0,0 0 0,0 0 0,0 0 0,-1 0 0,1 0 0,-1 0 0,1 0 0,-1 0 0,0 0 0,0 1 0,0-1 0,0 0 0,0 0 0,0 1 0,0-1 0,-1 1 0,1-1 0,0 1 0,-1 0 0,1-1 0,-1 1 0,0 0 0,-3-2 0,1 2 0,0 0 0,-1-1 0,1 1 0,0 1 0,-1-1 0,1 1 0,-1 0 0,1 0 0,0 0 0,-1 0 0,1 1 0,-1 0 0,1 0 0,0 0 0,-5 2 0,-8 4 0,0 0 0,-24 14 0,4 3-151,0 1-1,2 1 0,0 3 0,3 0 1,0 2-1,2 2 0,1 1 1,-32 49-1,19-17-6674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1T20:46:57.253"/>
    </inkml:context>
    <inkml:brush xml:id="br0">
      <inkml:brushProperty name="width" value="0.35" units="cm"/>
      <inkml:brushProperty name="height" value="0.35" units="cm"/>
      <inkml:brushProperty name="color" value="#FFFFFF"/>
    </inkml:brush>
  </inkml:definitions>
  <inkml:trace contextRef="#ctx0" brushRef="#br0">1319 2297 24575,'2'-1'0,"1"1"0,0-1 0,0 0 0,0 0 0,0 1 0,-1-2 0,1 1 0,0 0 0,-1-1 0,1 1 0,-1-1 0,1 0 0,-1 1 0,2-4 0,29-32 0,-19 16 0,-1-1 0,-2 0 0,0-1 0,-1 0 0,-1-1 0,-2 0 0,6-28 0,-1-7 0,6-114 0,-17 156 0,0 0 0,-2-1 0,0 1 0,-1 0 0,0-1 0,-8-24 0,9 38 0,-1-1 0,0 1 0,0-1 0,0 1 0,0 0 0,-1 0 0,1 0 0,-1 0 0,0 0 0,0 0 0,-1 1 0,1 0 0,-1 0 0,0 0 0,0 0 0,0 0 0,0 1 0,0-1 0,0 1 0,-1 0 0,1 0 0,-1 1 0,1 0 0,-1-1 0,0 1 0,1 1 0,-9-1 0,-1 1 0,0 1 0,0 1 0,0 0 0,0 0 0,1 2 0,-1 0 0,1 0 0,0 1 0,0 1 0,1 0 0,-1 1 0,2 0 0,-1 1 0,-18 16 0,5-3 0,2 1 0,1 2 0,1 0 0,1 1 0,-23 39 0,22-29 0,1 1 0,2 1 0,2 1 0,2 0 0,1 1 0,2 0 0,-10 68 0,20-103 0,0-1 0,1 0 0,-1 0 0,1 0 0,0 0 0,0 0 0,0 1 0,1-1 0,-1 0 0,1 0 0,0 0 0,-1 0 0,1 0 0,1 0 0,-1 0 0,2 4 0,-1-6 0,0 0 0,0 0 0,0 0 0,1 0 0,-1 0 0,0 0 0,0 0 0,0-1 0,1 1 0,-1-1 0,0 0 0,1 1 0,-1-1 0,0 0 0,1-1 0,-1 1 0,0 0 0,1-1 0,-1 1 0,0-1 0,1 1 0,3-3 0,16-4 0,-1-1 0,1-1 0,-2-1 0,1-1 0,-1 0 0,-1-2 0,0 0 0,-1-1 0,0-1 0,-1-1 0,-1 0 0,26-33 0,-27 28 0,-1 1 0,0-2 0,-2 0 0,0-1 0,-2 0 0,0 0 0,-1-1 0,-2 0 0,-1-1 0,0 0 0,2-40 0,-8 49 0,-1-1 0,0 1 0,-2 0 0,0-1 0,0 1 0,-2 1 0,0-1 0,0 0 0,-2 1 0,0 0 0,-1 1 0,0 0 0,-1 0 0,-1 1 0,0 0 0,0 0 0,-2 1 0,1 0 0,-2 1 0,1 1 0,-1 0 0,-1 1 0,0 0 0,0 1 0,-1 0 0,0 2 0,0 0 0,-1 0 0,-19-4 0,28 10 0,0-1 0,0 1 0,0 0 0,0 1 0,-1-1 0,1 2 0,0-1 0,0 1 0,0 0 0,1 0 0,-1 1 0,0 0 0,1 0 0,-1 0 0,1 1 0,0 0 0,1 0 0,-1 1 0,1-1 0,-8 9 0,-7 9 0,1 1 0,1 1 0,-24 41 0,11-8 0,1 2 0,4 1 0,2 1 0,2 1 0,4 2 0,-20 119 0,36-169 0,-1-2 0,2 0 0,-1 0 0,2 0 0,-1 1 0,3 20 0,-1-30 0,0 0 0,-1 0 0,1-1 0,0 1 0,0 0 0,1 0 0,-1-1 0,1 1 0,-1-1 0,1 1 0,0-1 0,-1 0 0,1 0 0,1 0 0,-1 0 0,0 0 0,0 0 0,1 0 0,-1-1 0,1 1 0,-1-1 0,1 0 0,0 0 0,-1 0 0,1 0 0,0 0 0,0 0 0,0-1 0,5 1 0,7 0 0,1-1 0,-1-1 0,1 0 0,-1 0 0,0-2 0,27-7 0,96-41 0,-93 32 0,-2-3 0,0-1 0,-1-2 0,-1-2 0,-2-1 0,-1-3 0,-1-1 0,-2-1 0,-1-2 0,-1-2 0,-3-1 0,-1-1 0,-2-1 0,-1-2 0,-2 0 0,-3-2 0,-1 0 0,14-49 0,-20 45 0,-2 0 0,-2-1 0,-2 0 0,-3-1 0,0-79 0,-6 99 0,-2 0 0,0 1 0,-2-1 0,-2 1 0,0 1 0,-2-1 0,-1 1 0,-1 0 0,-1 1 0,-27-41 0,29 54 0,0 0 0,-2 0 0,1 1 0,-2 1 0,0 0 0,0 1 0,-1 0 0,-1 1 0,1 1 0,-1 0 0,-1 1 0,0 1 0,0 0 0,-1 1 0,1 1 0,-1 0 0,0 1 0,-20-1 0,15 3 0,0 1 0,0 1 0,0 0 0,1 2 0,-1 1 0,0 1 0,1 0 0,0 2 0,0 0 0,0 2 0,1 0 0,0 1 0,0 1 0,-19 14 0,9-2 0,2 1 0,1 2 0,0 1 0,2 1 0,1 0 0,1 2 0,2 1 0,1 1 0,1 1 0,2 0 0,-18 47 0,10-13 0,2 2 0,4 1 0,3 0 0,-15 138 0,25-145 0,2-1 0,3 1 0,13 114 0,-11-170 0,0 0 0,0 0 0,1 0 0,-1 0 0,1 0 0,0 0 0,1-1 0,0 1 0,0-1 0,0 1 0,0-1 0,1 0 0,0-1 0,0 1 0,0-1 0,1 1 0,5 3 0,-3-4 0,-1-1 0,1 0 0,0 0 0,0-1 0,1 0 0,-1 0 0,0-1 0,1 0 0,-1 0 0,0 0 0,1-1 0,-1 0 0,1-1 0,9-1 0,14-4 0,0 0 0,0-2 0,-1-2 0,0 0 0,-1-2 0,37-21 0,-15 4 0,-2-2 0,74-60 0,-91 62 0,0-1 0,-2-2 0,-1 0 0,-2-2 0,-1-1 0,-2-1 0,-1-2 0,-2 0 0,-2-1 0,-1-1 0,-3 0 0,-1-1 0,-1-1 0,-3-1 0,-1 1 0,-3-1 0,-1-1 0,-2 1 0,-5-73 0,-2 60 0,-21-101 0,18 129 0,-1-1 0,-1 1 0,-2 1 0,0 0 0,-19-30 0,25 48 0,-1 1 0,0 0 0,0 0 0,0 0 0,-1 1 0,0 0 0,-1 0 0,1 1 0,-1 0 0,-1 1 0,1-1 0,-1 1 0,0 1 0,0 0 0,-11-4 0,8 5 0,1 1 0,-1 0 0,0 1 0,0 0 0,0 0 0,0 2 0,0-1 0,0 2 0,0-1 0,0 2 0,1-1 0,-13 6 0,-1 2 0,0 0 0,0 3 0,1 0 0,1 1 0,0 1 0,1 1 0,0 1 0,1 1 0,2 1 0,0 1 0,0 1 0,2 0 0,-21 35 0,19-27 0,2 1 0,2 1 0,1 0 0,1 1 0,1 1 0,2-1 0,2 2 0,1-1 0,1 1 0,-1 49 0,6-59 0,2 0 0,1 0 0,1 0 0,1 0 0,1-1 0,1 1 0,14 36 0,-18-56 0,0 0 0,0-1 0,0 1 0,0-1 0,0 0 0,0 0 0,1 0 0,0 0 0,0 0 0,-1 0 0,2-1 0,-1 0 0,0 1 0,0-1 0,1 0 0,-1 0 0,1-1 0,3 2 0,0-1 0,0-1 0,0 0 0,0 0 0,0 0 0,-1-1 0,1 0 0,0 0 0,0-1 0,11-2 0,5-3 0,0-2 0,-1 0 0,1-1 0,-2-1 0,23-14 0,-18 8 0,0-1 0,-1-2 0,0 0 0,-2-2 0,-1-1 0,0 0 0,-2-2 0,0 0 0,-2-1 0,-1-1 0,22-45 0,-28 48 0,-1-1 0,-1 0 0,-1-1 0,-1 0 0,-1 0 0,-2-1 0,0 1 0,-2-1 0,-1 0 0,-1 0 0,-1 1 0,-1-1 0,-1 0 0,-9-32 0,8 43 0,0 1 0,-2 0 0,0-1 0,0 2 0,-1-1 0,-1 1 0,0 0 0,-1 0 0,-11-11 0,14 17 0,0 1 0,-1 0 0,-1 0 0,1 0 0,-1 1 0,0 0 0,0 0 0,0 1 0,0 0 0,-1 1 0,0 0 0,0 0 0,0 1 0,0 0 0,0 0 0,-10 1 0,1 1 0,0 0 0,0 2 0,0 0 0,0 2 0,0 0 0,1 0 0,0 2 0,0 0 0,0 1 0,-21 12 0,8-2 0,2 1 0,0 2 0,1 1 0,-41 39 0,39-28 0,1 0 0,1 2 0,2 2 0,1 0 0,2 1 0,2 1 0,1 1 0,2 1 0,-13 48 0,14-33 0,3 1 0,3 0 0,2 1 0,2 0 0,3 0 0,6 82 0,-3-132 0,0 1 0,1-1 0,0 1 0,1 0 0,-1-1 0,1 0 0,1 1 0,0-1 0,0 0 0,6 11 0,-7-16 0,0 0 0,-1 0 0,1 0 0,0-1 0,0 1 0,0-1 0,0 1 0,0-1 0,1 0 0,-1 1 0,0-1 0,1 0 0,-1-1 0,4 2 0,-2-1 0,1-1 0,0 1 0,-1-1 0,1 0 0,0-1 0,0 1 0,-1-1 0,1 0 0,8-3 0,13-5 0,-1-2 0,0 0 0,0-2 0,-2-1 0,37-27 0,-21 11 0,-1-3 0,48-52 0,-53 46 0,-2-1 0,-1-2 0,-3-1 0,-1-1 0,-2-1 0,18-49 0,-25 51 0,-3 0 0,-1-2 0,-2 1 0,-2-2 0,-2 1 0,1-87 0,-8 117 0,0 0 0,-2 0 0,0 0 0,0 0 0,-2 0 0,1 1 0,-2 0 0,0-1 0,-13-22 0,13 28 0,0 1 0,-1 0 0,0 1 0,-1-1 0,0 1 0,0 0 0,0 1 0,-1 0 0,0 0 0,0 0 0,0 1 0,-1 1 0,0-1 0,0 1 0,-14-4 0,8 5 0,1-1 0,-1 2 0,0 0 0,0 1 0,0 1 0,0 0 0,0 1 0,0 0 0,0 1 0,0 1 0,1 1 0,-1 0 0,1 0 0,0 2 0,0 0 0,-21 12 0,8-1 0,0 0 0,1 2 0,1 0 0,1 2 0,1 1 0,-37 46 0,39-41 0,2 1 0,1 1 0,2 1 0,0 1 0,2 0 0,2 0 0,1 1 0,-9 42 0,12-36 0,2-1 0,1 2 0,2-1 0,2 0 0,1 1 0,2-1 0,8 40 0,-7-59 0,1 0 0,1-1 0,1 1 0,1-1 0,9 19 0,-13-31 0,1 0 0,-1 0 0,1 0 0,0 0 0,1 0 0,0-1 0,0 0 0,0 0 0,0 0 0,1-1 0,-1 0 0,1 0 0,0 0 0,1-1 0,-1 0 0,1 0 0,7 2 0,4-2 0,0-1 0,-1-1 0,1 0 0,0-1 0,0-1 0,0-1 0,0-1 0,-1 0 0,1-1 0,16-7 0,3 0 0,-1-2 0,-1-2 0,0-1 0,-1-2 0,0-1 0,-2-2 0,0 0 0,53-51 0,-66 54 0,-1-1 0,-1-1 0,-1 0 0,0-1 0,-2-1 0,0-1 0,-2 0 0,-1 0 0,0-1 0,-2 0 0,-1-1 0,0 0 0,-2-1 0,3-27 0,-7 28 0,-1-1 0,0 1 0,-2-1 0,-1 1 0,-1-1 0,-2 1 0,0 0 0,-15-44 0,16 58 0,-1 1 0,0-1 0,0 1 0,-1 0 0,0 0 0,0 1 0,-1-1 0,-1 1 0,0 1 0,0 0 0,0 0 0,-1 0 0,0 1 0,-1 1 0,0-1 0,0 2 0,0-1 0,0 1 0,-1 1 0,0 0 0,-17-4 0,11 5 0,1 1 0,-1 1 0,0 1 0,1 0 0,-1 1 0,0 0 0,1 2 0,-1 0 0,1 1 0,0 0 0,0 2 0,1 0 0,-1 0 0,1 2 0,1 0 0,-1 0 0,1 1 0,-14 13 0,3-1 0,0 1 0,2 1 0,1 2 0,1 0 0,1 1 0,1 1 0,2 0 0,-20 43 0,15-22 0,3 1 0,2 2 0,3-1 0,1 2 0,-9 83 0,15-59 0,4-1 0,3 1 0,12 96 0,-12-167 0,1 13 0,2-1 0,0 1 0,0 0 0,2-1 0,0 1 0,8 16 0,-12-32 0,0 1 0,0-1 0,0 0 0,0 0 0,1 0 0,-1 0 0,1 0 0,-1 0 0,1-1 0,0 1 0,0-1 0,0 1 0,0-1 0,0 1 0,0-1 0,0 0 0,0 0 0,0 0 0,1 0 0,-1 0 0,0-1 0,1 1 0,-1-1 0,1 0 0,-1 1 0,0-1 0,1 0 0,-1 0 0,1 0 0,-1-1 0,0 1 0,5-2 0,1-1 0,-1 0 0,1 0 0,-1-1 0,0 0 0,0-1 0,0 1 0,-1-1 0,11-11 0,1-3 0,0-2 0,-2 0 0,0 0 0,-2-2 0,0 1 0,-1-2 0,-2 0 0,14-40 0,-11 20 0,-2 0 0,-2 0 0,-2-2 0,3-54 0,-8 57 0,-4-52 0,0 82 0,-1 0 0,0-1 0,0 2 0,-1-1 0,-1 0 0,0 1 0,-1-1 0,-9-15 0,12 25 0,0 0 0,0 0 0,0 0 0,-1 0 0,1 0 0,-1 1 0,0-1 0,1 1 0,-1 0 0,0 0 0,0 0 0,-1 0 0,1 1 0,0-1 0,0 1 0,-1 0 0,1 0 0,-1 0 0,1 0 0,-1 1 0,0-1 0,1 1 0,-1 0 0,1 0 0,-1 0 0,0 0 0,1 1 0,-1 0 0,-5 1 0,-7 3 0,0 1 0,0 0 0,1 1 0,-1 1 0,-13 10 0,-6 4 0,2 2 0,0 1 0,2 1 0,1 2 0,1 1 0,-45 58 0,53-58 0,2 0 0,1 1 0,1 0 0,2 2 0,1 0 0,1 0 0,2 2 0,-10 46 0,19-68 0,0 0 0,1 0 0,0 0 0,1 16 0,0-25 0,0 0 0,0-1 0,1 1 0,-1-1 0,1 1 0,0-1 0,-1 1 0,1-1 0,0 0 0,0 1 0,1-1 0,-1 0 0,0 0 0,1 0 0,-1 0 0,1 0 0,0 0 0,0 0 0,0 0 0,0-1 0,0 1 0,0-1 0,0 1 0,0-1 0,1 0 0,-1 0 0,3 1 0,0-1 0,0 0 0,0 0 0,0-1 0,0 0 0,1 0 0,-1 0 0,0 0 0,0-1 0,0 0 0,0 0 0,0 0 0,0-1 0,8-4 0,8-3 0,36-26 0,-45 28 0,39-28 0,-1-2 0,-2-1 0,-1-3 0,-2-2 0,-2-2 0,-3-2 0,-1-1 0,-2-3 0,34-62 0,-51 75 0,-1-1 0,-2-1 0,-2 0 0,-2-2 0,16-82 0,-24 91 0,-2-1 0,-1 0 0,-2 0 0,-1 0 0,-2 1 0,-1-1 0,-2 1 0,-12-42 0,9 43 0,-3 0 0,0 1 0,-23-40 0,29 60 0,-1 0 0,1 1 0,-2 0 0,0 1 0,0-1 0,0 1 0,-1 1 0,-1 0 0,1 0 0,-1 1 0,-1 0 0,-12-7 0,17 12 0,0 0 0,0 0 0,1 1 0,-1 0 0,0 0 0,0 0 0,0 1 0,0 0 0,0 0 0,0 1 0,0-1 0,0 1 0,0 0 0,0 1 0,1 0 0,-1 0 0,1 0 0,-1 0 0,1 1 0,-1 0 0,1 0 0,0 0 0,-6 6 0,-8 7 0,1 1 0,0 1 0,1 0 0,-19 29 0,7-7 0,2 3 0,2 0 0,3 1 0,1 1 0,2 1 0,2 1 0,-13 58 0,12-23 0,3 1 0,4 0 0,0 125 0,10-178 0,2-1 0,1 1 0,1-1 0,1 0 0,10 33 0,-13-55 0,2 0 0,-1-1 0,1 1 0,0 0 0,0-1 0,1 1 0,0-1 0,0 0 0,1-1 0,-1 1 0,1-1 0,1 1 0,-1-2 0,1 1 0,-1 0 0,1-1 0,1 0 0,-1-1 0,0 1 0,1-1 0,0-1 0,0 1 0,0-1 0,0 0 0,0 0 0,10 0 0,7-1 0,-1-1 0,1-1 0,-1-1 0,0-1 0,0-1 0,0-1 0,0-1 0,-1-1 0,42-19 0,-22 6 0,-2-2 0,-1-2 0,-1-1 0,43-37 0,-41 27 0,-2-2 0,-2-1 0,-1-2 0,-2-1 0,-1-2 0,-3-1 0,29-59 0,-42 71 0,-1-1 0,-2-1 0,-1 1 0,-2-2 0,-1 0 0,-2 0 0,-1 0 0,-2-1 0,-1 0 0,-2 1 0,-6-57 0,3 72 0,-2 0 0,0 1 0,-1 0 0,-1 0 0,-1 0 0,0 1 0,-17-29 0,18 38 0,0 0 0,0 1 0,-1-1 0,-1 1 0,1 1 0,-1-1 0,0 1 0,-1 1 0,0-1 0,0 1 0,0 1 0,-1 0 0,1 0 0,-1 1 0,-17-5 0,8 5 0,1 1 0,-1 0 0,0 1 0,0 1 0,0 1 0,0 1 0,0 0 0,-34 8 0,4 3 0,1 2 0,-51 23 0,59-22 0,2 2 0,0 2 0,1 2 0,0 1 0,2 1 0,1 2 0,1 2 0,1 1 0,2 1 0,-34 42 0,34-31 0,2 1 0,2 1 0,2 2 0,2 0 0,-29 84 0,38-89 0,3 0 0,1 1 0,1 1 0,3-1 0,1 1 0,2 0 0,4 57 0,0-79 0,0 0 0,1-1 0,1 1 0,10 27 0,-12-40 0,1 0 0,-1 0 0,1-1 0,0 1 0,1-1 0,0 0 0,0 0 0,0 0 0,0 0 0,1-1 0,-1 0 0,1 0 0,0 0 0,0-1 0,1 1 0,-1-1 0,8 3 0,-3-3 0,0 0 0,0 0 0,0-1 0,0-1 0,0 1 0,0-2 0,1 1 0,-1-1 0,12-2 0,2-2 0,1-1 0,46-15 0,-6-5 0,-1-3 0,-1-3 0,-2-2 0,-1-3 0,-2-3 0,84-71 0,-113 83 0,0-1 0,-2-1 0,-2-1 0,0-2 0,-2 0 0,-1-2 0,-2 0 0,-2-1 0,-1-1 0,-1-1 0,10-39 0,-19 52 0,-2-1 0,-1 0 0,0 0 0,-2 0 0,-1-1 0,-1 1 0,-7-47 0,4 51 0,-2 0 0,-1 1 0,0-1 0,-2 2 0,0-1 0,-1 1 0,-1 0 0,-1 1 0,-1 0 0,-16-20 0,18 27 0,0 0 0,0 1 0,-1 0 0,-1 0 0,1 1 0,-1 1 0,-1 0 0,-15-7 0,21 12 0,-1-1 0,1 2 0,-1-1 0,0 1 0,0 0 0,0 1 0,0-1 0,-1 2 0,1-1 0,0 1 0,0 0 0,0 1 0,-1 0 0,1 0 0,-16 6 0,7 0 0,-1 0 0,2 2 0,-1 0 0,1 1 0,-24 19 0,31-21 0,0-1 0,0 1 0,1 1 0,1-1 0,-1 1 0,1 1 0,1-1 0,0 1 0,0 0 0,-5 16 0,8-8-1365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1T20:47:02.842"/>
    </inkml:context>
    <inkml:brush xml:id="br0">
      <inkml:brushProperty name="width" value="0.35" units="cm"/>
      <inkml:brushProperty name="height" value="0.35" units="cm"/>
      <inkml:brushProperty name="color" value="#FFFFFF"/>
    </inkml:brush>
  </inkml:definitions>
  <inkml:trace contextRef="#ctx0" brushRef="#br0">1 1 24575,'3'3'0,"2"13"0,6 6 0,6 8 0,0 1 0,7 3 0,7 0 0,-1 0 0,-7-1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1T20:47:16.543"/>
    </inkml:context>
    <inkml:brush xml:id="br0">
      <inkml:brushProperty name="width" value="0.35" units="cm"/>
      <inkml:brushProperty name="height" value="0.35" units="cm"/>
    </inkml:brush>
  </inkml:definitions>
  <inkml:trace contextRef="#ctx0" brushRef="#br0">0 0 24575,'1356'213'0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1T20:47:24.351"/>
    </inkml:context>
    <inkml:brush xml:id="br0">
      <inkml:brushProperty name="width" value="0.35" units="cm"/>
      <inkml:brushProperty name="height" value="0.35" units="cm"/>
    </inkml:brush>
  </inkml:definitions>
  <inkml:trace contextRef="#ctx0" brushRef="#br0">1 8 23778,'1461'0'0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1T20:47:40.072"/>
    </inkml:context>
    <inkml:brush xml:id="br0">
      <inkml:brushProperty name="width" value="0.35" units="cm"/>
      <inkml:brushProperty name="height" value="0.35" units="cm"/>
      <inkml:brushProperty name="color" value="#FFFFFF"/>
    </inkml:brush>
  </inkml:definitions>
  <inkml:trace contextRef="#ctx0" brushRef="#br0">0 1 24502,'0'655'0,"2164"-655"0,-2164-655 0,-2164 655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1T20:47:44.841"/>
    </inkml:context>
    <inkml:brush xml:id="br0">
      <inkml:brushProperty name="width" value="0.35" units="cm"/>
      <inkml:brushProperty name="height" value="0.35" units="cm"/>
      <inkml:brushProperty name="color" value="#FFFFFF"/>
    </inkml:brush>
  </inkml:definitions>
  <inkml:trace contextRef="#ctx0" brushRef="#br0">1 0 21389,'1652'0'0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91036-DB3C-4B16-8CCF-9E1C33115837}">
  <dimension ref="A1"/>
  <sheetViews>
    <sheetView showGridLines="0" topLeftCell="A13" workbookViewId="0">
      <selection activeCell="U17" sqref="U17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EFDD8-0D43-4F79-8412-CCBDD8FFF900}">
  <dimension ref="A1:V46"/>
  <sheetViews>
    <sheetView showGridLines="0" topLeftCell="B1" workbookViewId="0">
      <selection activeCell="P14" sqref="P14"/>
    </sheetView>
  </sheetViews>
  <sheetFormatPr defaultRowHeight="14.4" x14ac:dyDescent="0.3"/>
  <cols>
    <col min="1" max="1" width="3.77734375" customWidth="1"/>
    <col min="3" max="3" width="11.77734375" bestFit="1" customWidth="1"/>
    <col min="6" max="6" width="10.44140625" bestFit="1" customWidth="1"/>
    <col min="7" max="20" width="9.88671875" bestFit="1" customWidth="1"/>
  </cols>
  <sheetData>
    <row r="1" spans="1:22" x14ac:dyDescent="0.3">
      <c r="P1" s="237" t="str">
        <f ca="1">"Active case : "&amp;OFFSET(DCF!R3,DCF!D13,0)</f>
        <v>Active case : Base</v>
      </c>
    </row>
    <row r="2" spans="1:22" ht="23.4" x14ac:dyDescent="0.45">
      <c r="B2" s="238" t="s">
        <v>241</v>
      </c>
    </row>
    <row r="3" spans="1:22" x14ac:dyDescent="0.3">
      <c r="A3" s="239"/>
      <c r="B3" s="239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239"/>
      <c r="R3" s="239"/>
      <c r="S3" s="239"/>
      <c r="T3" s="239"/>
      <c r="U3" s="239"/>
      <c r="V3" s="239"/>
    </row>
    <row r="4" spans="1:22" x14ac:dyDescent="0.3">
      <c r="B4" t="str">
        <f>DCF!B4</f>
        <v>Ticker</v>
      </c>
      <c r="C4" s="19" t="str">
        <f>DCF!C4</f>
        <v>GOOG</v>
      </c>
      <c r="E4" t="str">
        <f>DCF!E4</f>
        <v>Implied Share Price</v>
      </c>
      <c r="H4" s="244">
        <f ca="1">DCF!H4</f>
        <v>214.95364818966652</v>
      </c>
      <c r="J4" t="str">
        <f>DCF!J4</f>
        <v>Low-end</v>
      </c>
      <c r="K4" s="243">
        <f>DCF!K4</f>
        <v>168.74611280162785</v>
      </c>
      <c r="L4" s="2"/>
      <c r="M4" t="str">
        <f>DCF!M4</f>
        <v>Revenue (1), EBIT (1), WACC (1), TGR(1)</v>
      </c>
      <c r="Q4" s="256">
        <f>DCF!Q4</f>
        <v>1</v>
      </c>
      <c r="R4" t="str">
        <f>DCF!R4</f>
        <v>Conservative</v>
      </c>
    </row>
    <row r="5" spans="1:22" x14ac:dyDescent="0.3">
      <c r="B5" t="str">
        <f>DCF!B5</f>
        <v>Date</v>
      </c>
      <c r="C5" s="242">
        <v>45899</v>
      </c>
      <c r="E5" t="str">
        <f>DCF!E5</f>
        <v>Current Price</v>
      </c>
      <c r="H5">
        <f>DCF!H5</f>
        <v>212.91</v>
      </c>
      <c r="J5" t="str">
        <f>DCF!J5</f>
        <v>High-end</v>
      </c>
      <c r="K5" s="243">
        <f>DCF!K5</f>
        <v>276.4745185082495</v>
      </c>
      <c r="L5" s="2"/>
      <c r="M5" t="str">
        <f>DCF!M5</f>
        <v>Revenue (3), EBIT(3),  WACC(3), TGR(3)</v>
      </c>
      <c r="Q5" s="256">
        <f>DCF!Q5</f>
        <v>2</v>
      </c>
      <c r="R5" t="str">
        <f>DCF!R5</f>
        <v>Base</v>
      </c>
    </row>
    <row r="6" spans="1:22" x14ac:dyDescent="0.3">
      <c r="B6" t="str">
        <f>DCF!B6</f>
        <v>Year end</v>
      </c>
      <c r="C6" s="242">
        <v>46022</v>
      </c>
      <c r="E6" t="str">
        <f>DCF!E6</f>
        <v>Implied Upside/Downside</v>
      </c>
      <c r="H6" s="283">
        <f ca="1">DCF!H6</f>
        <v>9.5986482065968382E-3</v>
      </c>
      <c r="Q6" s="256">
        <f>DCF!Q6</f>
        <v>3</v>
      </c>
      <c r="R6" t="str">
        <f>DCF!R6</f>
        <v>Optimistic</v>
      </c>
    </row>
    <row r="10" spans="1:22" x14ac:dyDescent="0.3">
      <c r="B10" s="264" t="s">
        <v>19</v>
      </c>
      <c r="C10" s="265"/>
      <c r="D10" s="265"/>
      <c r="E10" s="266"/>
      <c r="F10" s="266">
        <v>2015</v>
      </c>
      <c r="G10" s="266">
        <v>2016</v>
      </c>
      <c r="H10" s="266">
        <v>2017</v>
      </c>
      <c r="I10" s="266">
        <v>2018</v>
      </c>
      <c r="J10" s="266">
        <v>2019</v>
      </c>
      <c r="K10" s="266">
        <v>2020</v>
      </c>
      <c r="L10" s="266">
        <v>2021</v>
      </c>
      <c r="M10" s="266">
        <v>2022</v>
      </c>
      <c r="N10" s="266">
        <v>2023</v>
      </c>
      <c r="O10" s="267" t="s">
        <v>20</v>
      </c>
      <c r="P10" s="267">
        <v>2025</v>
      </c>
      <c r="Q10" s="267">
        <v>2026</v>
      </c>
      <c r="R10" s="267">
        <v>2027</v>
      </c>
      <c r="S10" s="267">
        <v>2028</v>
      </c>
      <c r="T10" s="268">
        <v>2029</v>
      </c>
    </row>
    <row r="11" spans="1:22" x14ac:dyDescent="0.3">
      <c r="B11" s="52" t="s">
        <v>11</v>
      </c>
      <c r="C11" s="239"/>
      <c r="D11" s="239"/>
      <c r="E11" s="239"/>
      <c r="F11" s="269">
        <f>DCF!F47</f>
        <v>74989</v>
      </c>
      <c r="G11" s="269">
        <f>DCF!G47</f>
        <v>90272</v>
      </c>
      <c r="H11" s="269">
        <f>DCF!H47</f>
        <v>110855</v>
      </c>
      <c r="I11" s="269">
        <f>DCF!I47</f>
        <v>136819</v>
      </c>
      <c r="J11" s="269">
        <f>DCF!J47</f>
        <v>161857</v>
      </c>
      <c r="K11" s="269">
        <f>DCF!K47</f>
        <v>182527</v>
      </c>
      <c r="L11" s="269">
        <f>DCF!L47</f>
        <v>257637</v>
      </c>
      <c r="M11" s="269">
        <f>DCF!M47</f>
        <v>282836</v>
      </c>
      <c r="N11" s="269">
        <f>DCF!N47</f>
        <v>307394</v>
      </c>
      <c r="O11" s="270">
        <f>DCF!O47</f>
        <v>350018</v>
      </c>
      <c r="P11" s="269">
        <f ca="1">DCF!P47</f>
        <v>394235.78</v>
      </c>
      <c r="Q11" s="269">
        <f ca="1">DCF!Q47</f>
        <v>439217.15</v>
      </c>
      <c r="R11" s="269">
        <f ca="1">DCF!R47</f>
        <v>494718.10560664587</v>
      </c>
      <c r="S11" s="269">
        <f ca="1">DCF!S47</f>
        <v>555204.15742699755</v>
      </c>
      <c r="T11" s="270">
        <f ca="1">DCF!T47</f>
        <v>622332.90525321569</v>
      </c>
    </row>
    <row r="12" spans="1:22" x14ac:dyDescent="0.3">
      <c r="B12" s="51" t="s">
        <v>21</v>
      </c>
      <c r="F12" s="271" t="str">
        <f>DCF!F48</f>
        <v>--</v>
      </c>
      <c r="G12" s="271">
        <f>DCF!G48</f>
        <v>0.20380322447292265</v>
      </c>
      <c r="H12" s="271">
        <f>DCF!H48</f>
        <v>0.22801090038993266</v>
      </c>
      <c r="I12" s="271">
        <f>DCF!I48</f>
        <v>0.23421586757475987</v>
      </c>
      <c r="J12" s="271">
        <f>DCF!J48</f>
        <v>0.18300089899794614</v>
      </c>
      <c r="K12" s="271">
        <f>DCF!K48</f>
        <v>0.12770532012826141</v>
      </c>
      <c r="L12" s="271">
        <f>DCF!L48</f>
        <v>0.41150076427049154</v>
      </c>
      <c r="M12" s="271">
        <f>DCF!M48</f>
        <v>9.7808156437157789E-2</v>
      </c>
      <c r="N12" s="271">
        <f>DCF!N48</f>
        <v>8.6827702272695095E-2</v>
      </c>
      <c r="O12" s="272">
        <f>DCF!O48</f>
        <v>0.13866243322901561</v>
      </c>
      <c r="P12" s="271">
        <f ca="1">DCF!P48</f>
        <v>0.12633001731339544</v>
      </c>
      <c r="Q12" s="271">
        <f ca="1">DCF!Q48</f>
        <v>0.11409763466928347</v>
      </c>
      <c r="R12" s="271">
        <f ca="1">DCF!R48</f>
        <v>0.12636336173723151</v>
      </c>
      <c r="S12" s="271">
        <f ca="1">DCF!S48</f>
        <v>0.12226367123997013</v>
      </c>
      <c r="T12" s="272">
        <f ca="1">DCF!T48</f>
        <v>0.12090822254882837</v>
      </c>
      <c r="U12" s="284">
        <f ca="1">(T11/P11)^(1/4)-1</f>
        <v>0.12089951636606933</v>
      </c>
    </row>
    <row r="13" spans="1:22" x14ac:dyDescent="0.3">
      <c r="B13" s="240"/>
      <c r="F13" s="273"/>
      <c r="G13" s="273"/>
      <c r="H13" s="273"/>
      <c r="I13" s="273"/>
      <c r="J13" s="273"/>
      <c r="K13" s="273"/>
      <c r="L13" s="273"/>
      <c r="M13" s="273"/>
      <c r="N13" s="273"/>
      <c r="O13" s="274"/>
      <c r="P13" s="273"/>
      <c r="Q13" s="273"/>
      <c r="R13" s="273"/>
      <c r="S13" s="273"/>
      <c r="T13" s="274"/>
    </row>
    <row r="14" spans="1:22" x14ac:dyDescent="0.3">
      <c r="B14" s="51" t="s">
        <v>14</v>
      </c>
      <c r="F14" s="275">
        <f>DCF!F53</f>
        <v>19360</v>
      </c>
      <c r="G14" s="275">
        <f>DCF!G53</f>
        <v>23716</v>
      </c>
      <c r="H14" s="275">
        <f>DCF!H53</f>
        <v>26178</v>
      </c>
      <c r="I14" s="275">
        <f>DCF!I53</f>
        <v>27524</v>
      </c>
      <c r="J14" s="275">
        <f>DCF!J53</f>
        <v>34231</v>
      </c>
      <c r="K14" s="275">
        <f>DCF!K53</f>
        <v>41224</v>
      </c>
      <c r="L14" s="275">
        <f>DCF!L53</f>
        <v>78714</v>
      </c>
      <c r="M14" s="275">
        <f>DCF!M53</f>
        <v>74842</v>
      </c>
      <c r="N14" s="275">
        <f>DCF!N53</f>
        <v>84293</v>
      </c>
      <c r="O14" s="276">
        <f>DCF!O53</f>
        <v>112390</v>
      </c>
      <c r="P14" s="275">
        <f ca="1">DCF!P53</f>
        <v>130441.53999999998</v>
      </c>
      <c r="Q14" s="275">
        <f ca="1">DCF!Q53</f>
        <v>147085.24</v>
      </c>
      <c r="R14" s="275">
        <f ca="1">DCF!R53</f>
        <v>162737.54150380593</v>
      </c>
      <c r="S14" s="275">
        <f ca="1">DCF!S53</f>
        <v>184087.63502931772</v>
      </c>
      <c r="T14" s="276">
        <f ca="1">DCF!T53</f>
        <v>206489.63559694329</v>
      </c>
    </row>
    <row r="15" spans="1:22" x14ac:dyDescent="0.3">
      <c r="B15" s="240" t="s">
        <v>22</v>
      </c>
      <c r="F15" s="277">
        <f>DCF!F54</f>
        <v>0.25817119844243824</v>
      </c>
      <c r="G15" s="277">
        <f>DCF!G54</f>
        <v>0.26271712158808935</v>
      </c>
      <c r="H15" s="277">
        <f>DCF!H54</f>
        <v>0.23614631726128726</v>
      </c>
      <c r="I15" s="277">
        <f>DCF!I54</f>
        <v>0.20117089000796673</v>
      </c>
      <c r="J15" s="277">
        <f>DCF!J54</f>
        <v>0.21148915400631421</v>
      </c>
      <c r="K15" s="277">
        <f>DCF!K54</f>
        <v>0.22585151785763202</v>
      </c>
      <c r="L15" s="277">
        <f>DCF!L54</f>
        <v>0.3055228868524319</v>
      </c>
      <c r="M15" s="277">
        <f>DCF!M54</f>
        <v>0.26461270842467011</v>
      </c>
      <c r="N15" s="277">
        <f>DCF!N54</f>
        <v>0.27421810445226646</v>
      </c>
      <c r="O15" s="278">
        <f>DCF!O54</f>
        <v>0.32109777211457696</v>
      </c>
      <c r="P15" s="277">
        <f ca="1">DCF!P54</f>
        <v>0.33087189600091593</v>
      </c>
      <c r="Q15" s="277">
        <f ca="1">DCF!Q54</f>
        <v>0.33488045719526205</v>
      </c>
      <c r="R15" s="277">
        <f ca="1">DCF!R54</f>
        <v>0.32895004177025167</v>
      </c>
      <c r="S15" s="277">
        <f ca="1">DCF!S54</f>
        <v>0.3315674649888099</v>
      </c>
      <c r="T15" s="278">
        <f ca="1">DCF!T54</f>
        <v>0.33179932131810785</v>
      </c>
    </row>
    <row r="16" spans="1:22" x14ac:dyDescent="0.3">
      <c r="B16" s="51"/>
      <c r="F16" s="273"/>
      <c r="G16" s="273"/>
      <c r="H16" s="273"/>
      <c r="I16" s="273"/>
      <c r="J16" s="273"/>
      <c r="K16" s="273"/>
      <c r="L16" s="273"/>
      <c r="M16" s="273"/>
      <c r="N16" s="273"/>
      <c r="O16" s="274"/>
      <c r="P16" s="273"/>
      <c r="Q16" s="273"/>
      <c r="R16" s="273"/>
      <c r="S16" s="273"/>
      <c r="T16" s="274"/>
    </row>
    <row r="17" spans="2:20" x14ac:dyDescent="0.3">
      <c r="B17" s="51" t="s">
        <v>23</v>
      </c>
      <c r="F17" s="275">
        <f>DCF!F59</f>
        <v>3303</v>
      </c>
      <c r="G17" s="275">
        <f>DCF!G59</f>
        <v>4672</v>
      </c>
      <c r="H17" s="275">
        <f>DCF!H59</f>
        <v>14531</v>
      </c>
      <c r="I17" s="275">
        <f>DCF!I59</f>
        <v>4177</v>
      </c>
      <c r="J17" s="275">
        <f>DCF!J59</f>
        <v>5282</v>
      </c>
      <c r="K17" s="275">
        <f>DCF!K59</f>
        <v>7813</v>
      </c>
      <c r="L17" s="275">
        <f>DCF!L59</f>
        <v>14701</v>
      </c>
      <c r="M17" s="275">
        <f>DCF!M59</f>
        <v>11356</v>
      </c>
      <c r="N17" s="275">
        <f>DCF!N59</f>
        <v>11922</v>
      </c>
      <c r="O17" s="276">
        <f>DCF!O59</f>
        <v>19697</v>
      </c>
      <c r="P17" s="275">
        <f ca="1">DCF!P59</f>
        <v>22566.386419999995</v>
      </c>
      <c r="Q17" s="275">
        <f ca="1">DCF!Q59</f>
        <v>23361.092937810336</v>
      </c>
      <c r="R17" s="275">
        <f ca="1">DCF!R59</f>
        <v>26917.983354323689</v>
      </c>
      <c r="S17" s="275">
        <f ca="1">DCF!S59</f>
        <v>30511.558339519062</v>
      </c>
      <c r="T17" s="276">
        <f ca="1">DCF!T59</f>
        <v>33725.193996741356</v>
      </c>
    </row>
    <row r="18" spans="2:20" x14ac:dyDescent="0.3">
      <c r="B18" s="241" t="s">
        <v>24</v>
      </c>
      <c r="C18" s="103"/>
      <c r="D18" s="103"/>
      <c r="E18" s="103"/>
      <c r="F18" s="279">
        <f>DCF!F60</f>
        <v>0.16808304920869166</v>
      </c>
      <c r="G18" s="279">
        <f>DCF!G60</f>
        <v>0.19345755693581781</v>
      </c>
      <c r="H18" s="279">
        <f>DCF!H60</f>
        <v>0.53436546169970212</v>
      </c>
      <c r="I18" s="279">
        <f>DCF!I60</f>
        <v>0.1196402486179933</v>
      </c>
      <c r="J18" s="279">
        <f>DCF!J60</f>
        <v>0.13329968454258675</v>
      </c>
      <c r="K18" s="279">
        <f>DCF!K60</f>
        <v>0.16249324071378063</v>
      </c>
      <c r="L18" s="279">
        <f>DCF!L60</f>
        <v>0.16202305640663919</v>
      </c>
      <c r="M18" s="279">
        <f>DCF!M60</f>
        <v>0.1592081650964558</v>
      </c>
      <c r="N18" s="279">
        <f>DCF!N60</f>
        <v>0.13908559562280529</v>
      </c>
      <c r="O18" s="280">
        <f>DCF!O60</f>
        <v>0.16439510912657013</v>
      </c>
      <c r="P18" s="279">
        <f>DCF!P60</f>
        <v>0.17299999999999999</v>
      </c>
      <c r="Q18" s="279">
        <f>DCF!Q60</f>
        <v>0.15882690158312512</v>
      </c>
      <c r="R18" s="279">
        <f>DCF!R60</f>
        <v>0.16540733690323176</v>
      </c>
      <c r="S18" s="279">
        <f>DCF!S60</f>
        <v>0.16574474616211896</v>
      </c>
      <c r="T18" s="280">
        <f>DCF!T60</f>
        <v>0.16332632821615864</v>
      </c>
    </row>
    <row r="41" spans="2:6" x14ac:dyDescent="0.3">
      <c r="B41" s="95" t="s">
        <v>235</v>
      </c>
      <c r="C41" s="94"/>
      <c r="D41" s="94"/>
      <c r="E41" s="94"/>
      <c r="F41" s="94"/>
    </row>
    <row r="42" spans="2:6" x14ac:dyDescent="0.3">
      <c r="B42" s="56" t="s">
        <v>236</v>
      </c>
      <c r="C42" s="257"/>
      <c r="D42" s="257"/>
      <c r="E42" s="257"/>
      <c r="F42" s="258">
        <f ca="1">DCF!T79</f>
        <v>3004590.2488712613</v>
      </c>
    </row>
    <row r="43" spans="2:6" x14ac:dyDescent="0.3">
      <c r="B43" s="259" t="s">
        <v>237</v>
      </c>
      <c r="C43" s="3"/>
      <c r="D43" s="3"/>
      <c r="E43" s="3"/>
      <c r="F43" s="260">
        <f ca="1">DCF!T80</f>
        <v>2201185.8619612511</v>
      </c>
    </row>
    <row r="44" spans="2:6" x14ac:dyDescent="0.3">
      <c r="B44" s="259" t="s">
        <v>238</v>
      </c>
      <c r="C44" s="3"/>
      <c r="D44" s="3"/>
      <c r="E44" s="3"/>
      <c r="F44" s="260">
        <f ca="1">DCF!T81</f>
        <v>2672510.264163848</v>
      </c>
    </row>
    <row r="45" spans="2:6" x14ac:dyDescent="0.3">
      <c r="B45" s="259" t="s">
        <v>239</v>
      </c>
      <c r="C45" s="3"/>
      <c r="D45" s="3"/>
      <c r="E45" s="3"/>
      <c r="F45" s="260">
        <f ca="1">DCF!T84</f>
        <v>2669939.264163848</v>
      </c>
    </row>
    <row r="46" spans="2:6" x14ac:dyDescent="0.3">
      <c r="B46" s="261" t="s">
        <v>240</v>
      </c>
      <c r="C46" s="262"/>
      <c r="D46" s="262"/>
      <c r="E46" s="262"/>
      <c r="F46" s="263">
        <f ca="1">H4</f>
        <v>214.95364818966652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BBF97-422A-46DC-9E2B-7D4F4AF0EAFC}">
  <dimension ref="A1:X118"/>
  <sheetViews>
    <sheetView tabSelected="1" zoomScaleNormal="100" workbookViewId="0"/>
  </sheetViews>
  <sheetFormatPr defaultRowHeight="14.4" x14ac:dyDescent="0.3"/>
  <cols>
    <col min="1" max="1" width="3.77734375" style="3" customWidth="1"/>
    <col min="2" max="2" width="8.88671875" style="2"/>
    <col min="3" max="3" width="11.77734375" style="2" bestFit="1" customWidth="1"/>
    <col min="4" max="5" width="8.88671875" style="2"/>
    <col min="6" max="6" width="10" style="25" bestFit="1" customWidth="1"/>
    <col min="7" max="15" width="8.88671875" style="25"/>
    <col min="16" max="16" width="10.21875" style="25" bestFit="1" customWidth="1"/>
    <col min="17" max="17" width="10" style="25" bestFit="1" customWidth="1"/>
    <col min="18" max="19" width="9.109375" style="25" bestFit="1" customWidth="1"/>
    <col min="20" max="20" width="10.44140625" style="25" bestFit="1" customWidth="1"/>
    <col min="21" max="21" width="3.77734375" style="2" customWidth="1"/>
    <col min="22" max="16384" width="8.88671875" style="2"/>
  </cols>
  <sheetData>
    <row r="1" spans="1:24" x14ac:dyDescent="0.3"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4" ht="23.4" x14ac:dyDescent="0.45">
      <c r="B2" s="4" t="s">
        <v>1</v>
      </c>
      <c r="C2" s="1"/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</row>
    <row r="3" spans="1:24" x14ac:dyDescent="0.3"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4" x14ac:dyDescent="0.3">
      <c r="B4" s="3" t="s">
        <v>140</v>
      </c>
      <c r="C4" s="231" t="s">
        <v>151</v>
      </c>
      <c r="D4" s="25"/>
      <c r="E4" s="233" t="s">
        <v>141</v>
      </c>
      <c r="F4" s="234"/>
      <c r="G4" s="233"/>
      <c r="H4" s="235">
        <f ca="1">T87</f>
        <v>214.95364818966652</v>
      </c>
      <c r="I4" s="2"/>
      <c r="J4" s="26" t="s">
        <v>142</v>
      </c>
      <c r="K4" s="91">
        <v>168.74611280162785</v>
      </c>
      <c r="L4" s="2"/>
      <c r="M4" s="2" t="s">
        <v>143</v>
      </c>
      <c r="P4" s="26"/>
      <c r="Q4" s="230">
        <v>1</v>
      </c>
      <c r="R4" s="26" t="s">
        <v>144</v>
      </c>
      <c r="S4" s="2"/>
      <c r="T4" s="2"/>
    </row>
    <row r="5" spans="1:24" x14ac:dyDescent="0.3">
      <c r="B5" s="3" t="s">
        <v>145</v>
      </c>
      <c r="C5" s="232">
        <f>DATE(2025,8,30)</f>
        <v>45899</v>
      </c>
      <c r="D5" s="25"/>
      <c r="E5" s="26" t="s">
        <v>146</v>
      </c>
      <c r="G5" s="26"/>
      <c r="H5" s="92">
        <v>212.91</v>
      </c>
      <c r="I5" s="2"/>
      <c r="J5" s="26" t="s">
        <v>147</v>
      </c>
      <c r="K5" s="91">
        <v>276.4745185082495</v>
      </c>
      <c r="L5" s="2"/>
      <c r="M5" s="26" t="s">
        <v>148</v>
      </c>
      <c r="P5" s="26"/>
      <c r="Q5" s="230">
        <v>2</v>
      </c>
      <c r="R5" s="26" t="s">
        <v>7</v>
      </c>
      <c r="S5" s="2"/>
      <c r="T5" s="2"/>
    </row>
    <row r="6" spans="1:24" x14ac:dyDescent="0.3">
      <c r="B6" s="3" t="s">
        <v>149</v>
      </c>
      <c r="C6" s="232">
        <f>DATE(2025,12,31)</f>
        <v>46022</v>
      </c>
      <c r="D6" s="25"/>
      <c r="E6" s="26" t="s">
        <v>150</v>
      </c>
      <c r="G6" s="26"/>
      <c r="H6" s="32">
        <f ca="1">H4/H5-1</f>
        <v>9.5986482065968382E-3</v>
      </c>
      <c r="I6" s="2"/>
      <c r="K6" s="26"/>
      <c r="L6" s="26"/>
      <c r="N6" s="26"/>
      <c r="Q6" s="230">
        <v>3</v>
      </c>
      <c r="R6" s="26" t="s">
        <v>8</v>
      </c>
      <c r="S6" s="2"/>
      <c r="T6" s="2"/>
    </row>
    <row r="7" spans="1:24" x14ac:dyDescent="0.3"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4" x14ac:dyDescent="0.3"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4" x14ac:dyDescent="0.3">
      <c r="A9" s="3" t="s">
        <v>115</v>
      </c>
      <c r="B9" s="5" t="s">
        <v>3</v>
      </c>
      <c r="C9" s="6"/>
      <c r="D9" s="6"/>
      <c r="E9" s="6"/>
      <c r="F9" s="6"/>
      <c r="G9" s="6"/>
      <c r="H9" s="7"/>
      <c r="I9" s="6"/>
      <c r="J9" s="6"/>
      <c r="K9" s="7"/>
      <c r="L9" s="7"/>
      <c r="M9" s="6"/>
      <c r="N9" s="7"/>
      <c r="O9" s="6"/>
      <c r="P9" s="6"/>
      <c r="Q9" s="7"/>
      <c r="R9" s="7"/>
      <c r="S9" s="6"/>
      <c r="T9" s="7"/>
      <c r="U9" s="2" t="s">
        <v>2</v>
      </c>
      <c r="V9" s="3" t="s">
        <v>4</v>
      </c>
    </row>
    <row r="10" spans="1:24" x14ac:dyDescent="0.3">
      <c r="B10" s="8"/>
      <c r="C10" s="9"/>
      <c r="D10" s="9"/>
      <c r="E10" s="9"/>
      <c r="F10" s="9"/>
      <c r="G10" s="9"/>
      <c r="H10" s="10"/>
      <c r="I10" s="9"/>
      <c r="J10" s="9"/>
      <c r="K10" s="10"/>
      <c r="L10" s="10"/>
      <c r="M10" s="9"/>
      <c r="N10" s="10"/>
      <c r="O10" s="9"/>
      <c r="P10" s="9"/>
      <c r="Q10" s="10"/>
      <c r="R10" s="10"/>
      <c r="S10" s="9"/>
      <c r="T10" s="10"/>
    </row>
    <row r="11" spans="1:24" x14ac:dyDescent="0.3">
      <c r="B11" s="11" t="s">
        <v>5</v>
      </c>
      <c r="C11" s="12"/>
      <c r="D11" s="12"/>
      <c r="E11" s="9"/>
      <c r="F11" s="13" t="s">
        <v>6</v>
      </c>
      <c r="G11" s="12"/>
      <c r="H11" s="12"/>
      <c r="I11" s="14"/>
      <c r="J11" s="2"/>
      <c r="K11" s="13" t="s">
        <v>7</v>
      </c>
      <c r="L11" s="14"/>
      <c r="M11" s="14"/>
      <c r="N11" s="14"/>
      <c r="O11" s="2"/>
      <c r="P11" s="13" t="s">
        <v>8</v>
      </c>
      <c r="Q11" s="12"/>
      <c r="R11" s="12"/>
      <c r="S11" s="14"/>
      <c r="T11" s="2"/>
      <c r="U11" s="2" t="s">
        <v>2</v>
      </c>
      <c r="V11" s="215" t="s">
        <v>228</v>
      </c>
    </row>
    <row r="12" spans="1:24" x14ac:dyDescent="0.3">
      <c r="B12" s="15" t="s">
        <v>3</v>
      </c>
      <c r="C12" s="16"/>
      <c r="D12" s="17"/>
      <c r="E12" s="17"/>
      <c r="F12" s="15" t="s">
        <v>3</v>
      </c>
      <c r="G12" s="16"/>
      <c r="H12" s="18" t="s">
        <v>9</v>
      </c>
      <c r="I12" s="18" t="s">
        <v>10</v>
      </c>
      <c r="J12" s="2"/>
      <c r="K12" s="16"/>
      <c r="L12" s="16"/>
      <c r="M12" s="16"/>
      <c r="N12" s="16"/>
      <c r="O12" s="2"/>
      <c r="P12" s="15" t="s">
        <v>3</v>
      </c>
      <c r="Q12" s="16"/>
      <c r="R12" s="18" t="s">
        <v>9</v>
      </c>
      <c r="S12" s="18" t="s">
        <v>10</v>
      </c>
      <c r="T12" s="2"/>
      <c r="U12" s="2" t="s">
        <v>2</v>
      </c>
      <c r="V12" s="216" t="s">
        <v>255</v>
      </c>
    </row>
    <row r="13" spans="1:24" x14ac:dyDescent="0.3">
      <c r="B13" s="16" t="s">
        <v>11</v>
      </c>
      <c r="C13" s="16"/>
      <c r="D13" s="19">
        <v>2</v>
      </c>
      <c r="E13" s="16"/>
      <c r="F13" s="16" t="s">
        <v>11</v>
      </c>
      <c r="G13" s="16"/>
      <c r="H13" s="20" t="s">
        <v>12</v>
      </c>
      <c r="I13" s="214">
        <v>-0.1</v>
      </c>
      <c r="J13" s="2"/>
      <c r="K13" s="16"/>
      <c r="L13" s="16"/>
      <c r="M13" s="16"/>
      <c r="N13" s="16"/>
      <c r="O13" s="2"/>
      <c r="P13" s="16" t="s">
        <v>11</v>
      </c>
      <c r="Q13" s="16"/>
      <c r="R13" s="20" t="s">
        <v>12</v>
      </c>
      <c r="S13" s="211">
        <v>0.1</v>
      </c>
      <c r="T13" s="2"/>
      <c r="U13" s="2" t="s">
        <v>2</v>
      </c>
      <c r="V13" s="217" t="s">
        <v>229</v>
      </c>
    </row>
    <row r="14" spans="1:24" x14ac:dyDescent="0.3">
      <c r="B14" s="16" t="s">
        <v>14</v>
      </c>
      <c r="C14" s="16"/>
      <c r="D14" s="19">
        <v>2</v>
      </c>
      <c r="E14" s="16"/>
      <c r="F14" s="16" t="s">
        <v>11</v>
      </c>
      <c r="G14" s="16"/>
      <c r="H14" s="20" t="s">
        <v>15</v>
      </c>
      <c r="I14" s="214">
        <v>-0.05</v>
      </c>
      <c r="J14" s="2"/>
      <c r="K14" s="16"/>
      <c r="L14" s="16"/>
      <c r="M14" s="16"/>
      <c r="N14" s="16"/>
      <c r="O14" s="2"/>
      <c r="P14" s="16" t="s">
        <v>11</v>
      </c>
      <c r="Q14" s="16"/>
      <c r="R14" s="20" t="s">
        <v>15</v>
      </c>
      <c r="S14" s="211">
        <v>0.05</v>
      </c>
      <c r="T14" s="2"/>
      <c r="U14" s="2" t="s">
        <v>2</v>
      </c>
      <c r="V14" s="35" t="s">
        <v>230</v>
      </c>
    </row>
    <row r="15" spans="1:24" x14ac:dyDescent="0.3">
      <c r="B15" s="16" t="s">
        <v>16</v>
      </c>
      <c r="C15" s="16"/>
      <c r="D15" s="19">
        <v>2</v>
      </c>
      <c r="E15" s="16"/>
      <c r="F15" s="16" t="s">
        <v>14</v>
      </c>
      <c r="G15" s="16"/>
      <c r="H15" s="20" t="s">
        <v>12</v>
      </c>
      <c r="I15" s="214">
        <v>-0.1</v>
      </c>
      <c r="J15" s="2"/>
      <c r="K15" s="16"/>
      <c r="L15" s="16"/>
      <c r="M15" s="16"/>
      <c r="N15" s="16"/>
      <c r="O15" s="2"/>
      <c r="P15" s="16" t="s">
        <v>14</v>
      </c>
      <c r="Q15" s="16"/>
      <c r="R15" s="20" t="s">
        <v>12</v>
      </c>
      <c r="S15" s="211">
        <v>0.1</v>
      </c>
      <c r="T15" s="2"/>
      <c r="U15" s="2" t="s">
        <v>2</v>
      </c>
      <c r="V15" s="2" t="s">
        <v>256</v>
      </c>
    </row>
    <row r="16" spans="1:24" x14ac:dyDescent="0.3">
      <c r="B16" s="16" t="s">
        <v>17</v>
      </c>
      <c r="C16" s="16"/>
      <c r="D16" s="19">
        <v>2</v>
      </c>
      <c r="E16" s="21"/>
      <c r="F16" s="16" t="s">
        <v>14</v>
      </c>
      <c r="G16" s="16"/>
      <c r="H16" s="20" t="s">
        <v>15</v>
      </c>
      <c r="I16" s="214">
        <v>-0.05</v>
      </c>
      <c r="J16" s="2"/>
      <c r="K16" s="16"/>
      <c r="L16" s="16"/>
      <c r="M16" s="16"/>
      <c r="N16" s="16"/>
      <c r="O16" s="2"/>
      <c r="P16" s="16" t="s">
        <v>14</v>
      </c>
      <c r="Q16" s="16"/>
      <c r="R16" s="20" t="s">
        <v>15</v>
      </c>
      <c r="S16" s="211">
        <v>0.05</v>
      </c>
      <c r="T16" s="2"/>
    </row>
    <row r="17" spans="1:24" x14ac:dyDescent="0.3">
      <c r="B17" s="16"/>
      <c r="C17" s="16"/>
      <c r="D17" s="16"/>
      <c r="E17" s="16"/>
      <c r="F17" s="18"/>
      <c r="G17" s="16"/>
      <c r="H17" s="16"/>
      <c r="I17" s="18"/>
      <c r="J17" s="2"/>
      <c r="K17" s="18"/>
      <c r="L17" s="16"/>
      <c r="M17" s="16"/>
      <c r="N17" s="18"/>
      <c r="O17" s="2"/>
      <c r="P17" s="18"/>
      <c r="Q17" s="16"/>
      <c r="R17" s="16"/>
      <c r="S17" s="18"/>
      <c r="T17" s="2"/>
    </row>
    <row r="18" spans="1:24" x14ac:dyDescent="0.3">
      <c r="B18" s="16"/>
      <c r="C18" s="16"/>
      <c r="D18" s="16"/>
      <c r="E18" s="16"/>
      <c r="F18" s="18"/>
      <c r="G18" s="16"/>
      <c r="H18" s="16"/>
      <c r="I18" s="18"/>
      <c r="J18" s="2"/>
      <c r="K18" s="18"/>
      <c r="L18" s="16"/>
      <c r="M18" s="16"/>
      <c r="N18" s="18"/>
      <c r="O18" s="2"/>
      <c r="P18" s="18"/>
      <c r="Q18" s="16"/>
      <c r="R18" s="16"/>
      <c r="S18" s="18"/>
      <c r="T18" s="2"/>
    </row>
    <row r="19" spans="1:24" x14ac:dyDescent="0.3">
      <c r="B19" s="18" t="s">
        <v>18</v>
      </c>
      <c r="C19" s="16"/>
      <c r="D19" s="18" t="s">
        <v>10</v>
      </c>
      <c r="E19" s="18"/>
      <c r="F19" s="18" t="s">
        <v>18</v>
      </c>
      <c r="G19" s="16"/>
      <c r="H19" s="16"/>
      <c r="I19" s="18" t="s">
        <v>10</v>
      </c>
      <c r="J19" s="2"/>
      <c r="K19" s="18" t="s">
        <v>18</v>
      </c>
      <c r="L19" s="16"/>
      <c r="M19" s="16"/>
      <c r="N19" s="18" t="s">
        <v>10</v>
      </c>
      <c r="O19" s="2"/>
      <c r="P19" s="18" t="s">
        <v>18</v>
      </c>
      <c r="Q19" s="16"/>
      <c r="R19" s="16"/>
      <c r="S19" s="18" t="s">
        <v>10</v>
      </c>
      <c r="T19" s="2"/>
    </row>
    <row r="20" spans="1:24" x14ac:dyDescent="0.3">
      <c r="B20" s="16" t="s">
        <v>16</v>
      </c>
      <c r="C20" s="16"/>
      <c r="D20" s="22">
        <f>CHOOSE(D15,I20,N20,S20,0)</f>
        <v>8.4553357489691769E-2</v>
      </c>
      <c r="E20" s="23"/>
      <c r="F20" s="16" t="s">
        <v>16</v>
      </c>
      <c r="G20" s="16"/>
      <c r="H20" s="16"/>
      <c r="I20" s="210">
        <v>0.09</v>
      </c>
      <c r="J20" s="2"/>
      <c r="K20" s="16" t="s">
        <v>16</v>
      </c>
      <c r="L20" s="16"/>
      <c r="M20" s="16"/>
      <c r="N20" s="209">
        <f>WACC!E18</f>
        <v>8.4553357489691769E-2</v>
      </c>
      <c r="O20" s="2"/>
      <c r="P20" s="16" t="s">
        <v>16</v>
      </c>
      <c r="Q20" s="16"/>
      <c r="R20" s="16"/>
      <c r="S20" s="212">
        <v>0.08</v>
      </c>
      <c r="T20" s="2"/>
    </row>
    <row r="21" spans="1:24" x14ac:dyDescent="0.3">
      <c r="B21" s="16" t="s">
        <v>17</v>
      </c>
      <c r="C21" s="16"/>
      <c r="D21" s="24">
        <f>CHOOSE(D16,I21,N21,S21,0)</f>
        <v>2.5000000000000001E-2</v>
      </c>
      <c r="E21" s="23"/>
      <c r="F21" s="16" t="s">
        <v>17</v>
      </c>
      <c r="G21" s="16"/>
      <c r="H21" s="16"/>
      <c r="I21" s="211">
        <v>0.02</v>
      </c>
      <c r="J21" s="2"/>
      <c r="K21" s="16" t="s">
        <v>17</v>
      </c>
      <c r="L21" s="16"/>
      <c r="M21" s="16"/>
      <c r="N21" s="213">
        <v>2.5000000000000001E-2</v>
      </c>
      <c r="O21" s="2"/>
      <c r="P21" s="16" t="s">
        <v>17</v>
      </c>
      <c r="Q21" s="16"/>
      <c r="R21" s="16"/>
      <c r="S21" s="211">
        <v>0.03</v>
      </c>
      <c r="T21" s="2"/>
    </row>
    <row r="22" spans="1:24" x14ac:dyDescent="0.3">
      <c r="C22" s="25"/>
      <c r="D22" s="25"/>
      <c r="E22" s="25"/>
      <c r="H22" s="26"/>
      <c r="K22" s="26"/>
      <c r="L22" s="26"/>
      <c r="N22" s="26"/>
      <c r="Q22" s="26"/>
      <c r="R22" s="26"/>
      <c r="T22" s="26"/>
    </row>
    <row r="23" spans="1:24" x14ac:dyDescent="0.3"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4" x14ac:dyDescent="0.3"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4" x14ac:dyDescent="0.3">
      <c r="A25" s="3" t="s">
        <v>115</v>
      </c>
      <c r="B25" s="27" t="s">
        <v>19</v>
      </c>
      <c r="C25" s="6"/>
      <c r="D25" s="6"/>
      <c r="E25" s="6"/>
      <c r="F25" s="28">
        <v>2015</v>
      </c>
      <c r="G25" s="28">
        <f>F25+1</f>
        <v>2016</v>
      </c>
      <c r="H25" s="28">
        <f t="shared" ref="H25:N25" si="0">G25+1</f>
        <v>2017</v>
      </c>
      <c r="I25" s="28">
        <f t="shared" si="0"/>
        <v>2018</v>
      </c>
      <c r="J25" s="28">
        <f t="shared" si="0"/>
        <v>2019</v>
      </c>
      <c r="K25" s="28">
        <f t="shared" si="0"/>
        <v>2020</v>
      </c>
      <c r="L25" s="28">
        <f t="shared" si="0"/>
        <v>2021</v>
      </c>
      <c r="M25" s="28">
        <f t="shared" si="0"/>
        <v>2022</v>
      </c>
      <c r="N25" s="28">
        <f t="shared" si="0"/>
        <v>2023</v>
      </c>
      <c r="O25" s="29" t="s">
        <v>20</v>
      </c>
      <c r="P25" s="29">
        <v>2025</v>
      </c>
      <c r="Q25" s="29">
        <f>P25+1</f>
        <v>2026</v>
      </c>
      <c r="R25" s="29">
        <f t="shared" ref="R25:T25" si="1">Q25+1</f>
        <v>2027</v>
      </c>
      <c r="S25" s="29">
        <f t="shared" si="1"/>
        <v>2028</v>
      </c>
      <c r="T25" s="29">
        <f t="shared" si="1"/>
        <v>2029</v>
      </c>
    </row>
    <row r="26" spans="1:24" x14ac:dyDescent="0.3">
      <c r="B26" s="2" t="s">
        <v>11</v>
      </c>
      <c r="C26" s="25"/>
      <c r="D26" s="25"/>
      <c r="E26" s="25"/>
      <c r="F26" s="30">
        <f>IS!B4</f>
        <v>74989</v>
      </c>
      <c r="G26" s="30">
        <f>IS!C4</f>
        <v>90272</v>
      </c>
      <c r="H26" s="30">
        <f>IS!D4</f>
        <v>110855</v>
      </c>
      <c r="I26" s="30">
        <f>IS!E4</f>
        <v>136819</v>
      </c>
      <c r="J26" s="30">
        <f>IS!F4</f>
        <v>161857</v>
      </c>
      <c r="K26" s="30">
        <f>IS!G4</f>
        <v>182527</v>
      </c>
      <c r="L26" s="30">
        <f>IS!H4</f>
        <v>257637</v>
      </c>
      <c r="M26" s="30">
        <f>IS!I4</f>
        <v>282836</v>
      </c>
      <c r="N26" s="30">
        <f>IS!J4</f>
        <v>307394</v>
      </c>
      <c r="O26" s="30">
        <f>IS!K4</f>
        <v>350018</v>
      </c>
      <c r="P26" s="200">
        <v>394235.78</v>
      </c>
      <c r="Q26" s="200">
        <v>439217.15</v>
      </c>
      <c r="R26" s="64">
        <f>Q26*(1+R27)</f>
        <v>494718.10560664587</v>
      </c>
      <c r="S26" s="64">
        <f t="shared" ref="S26:T26" si="2">R26*(1+S27)</f>
        <v>555204.15742699755</v>
      </c>
      <c r="T26" s="64">
        <f t="shared" si="2"/>
        <v>622332.90525321569</v>
      </c>
      <c r="U26" s="2" t="s">
        <v>2</v>
      </c>
      <c r="V26" s="2" t="s">
        <v>248</v>
      </c>
    </row>
    <row r="27" spans="1:24" x14ac:dyDescent="0.3">
      <c r="B27" s="2" t="s">
        <v>21</v>
      </c>
      <c r="C27" s="25"/>
      <c r="D27" s="25"/>
      <c r="E27" s="25"/>
      <c r="F27" s="66" t="s">
        <v>112</v>
      </c>
      <c r="G27" s="32">
        <f>G26/F26-1</f>
        <v>0.20380322447292265</v>
      </c>
      <c r="H27" s="32">
        <f t="shared" ref="H27:O27" si="3">H26/G26-1</f>
        <v>0.22801090038993266</v>
      </c>
      <c r="I27" s="32">
        <f t="shared" si="3"/>
        <v>0.23421586757475987</v>
      </c>
      <c r="J27" s="32">
        <f t="shared" si="3"/>
        <v>0.18300089899794614</v>
      </c>
      <c r="K27" s="32">
        <f t="shared" si="3"/>
        <v>0.12770532012826141</v>
      </c>
      <c r="L27" s="32">
        <f t="shared" si="3"/>
        <v>0.41150076427049154</v>
      </c>
      <c r="M27" s="32">
        <f t="shared" si="3"/>
        <v>9.7808156437157789E-2</v>
      </c>
      <c r="N27" s="32">
        <f t="shared" si="3"/>
        <v>8.6827702272695095E-2</v>
      </c>
      <c r="O27" s="32">
        <f t="shared" si="3"/>
        <v>0.13866243322901561</v>
      </c>
      <c r="P27" s="32">
        <f t="shared" ref="P27" si="4">P26/O26-1</f>
        <v>0.12633001731339544</v>
      </c>
      <c r="Q27" s="32">
        <f t="shared" ref="Q27" si="5">Q26/P26-1</f>
        <v>0.11409763466928347</v>
      </c>
      <c r="R27" s="65">
        <f>AVERAGE(O27:Q27)</f>
        <v>0.12636336173723151</v>
      </c>
      <c r="S27" s="65">
        <f t="shared" ref="S27:T27" si="6">AVERAGE(P27:R27)</f>
        <v>0.12226367123997013</v>
      </c>
      <c r="T27" s="65">
        <f t="shared" si="6"/>
        <v>0.12090822254882837</v>
      </c>
      <c r="V27" s="199"/>
      <c r="W27" s="21"/>
      <c r="X27" s="21"/>
    </row>
    <row r="28" spans="1:24" x14ac:dyDescent="0.3">
      <c r="C28" s="25"/>
      <c r="D28" s="25"/>
      <c r="E28" s="25"/>
    </row>
    <row r="29" spans="1:24" x14ac:dyDescent="0.3">
      <c r="B29" s="2" t="s">
        <v>14</v>
      </c>
      <c r="C29" s="25"/>
      <c r="D29" s="25"/>
      <c r="E29" s="25"/>
      <c r="F29" s="30">
        <f>IS!B11</f>
        <v>19360</v>
      </c>
      <c r="G29" s="30">
        <f>IS!C11</f>
        <v>23716</v>
      </c>
      <c r="H29" s="30">
        <f>IS!D11</f>
        <v>26178</v>
      </c>
      <c r="I29" s="30">
        <f>IS!E11</f>
        <v>27524</v>
      </c>
      <c r="J29" s="30">
        <f>IS!F11</f>
        <v>34231</v>
      </c>
      <c r="K29" s="30">
        <f>IS!G11</f>
        <v>41224</v>
      </c>
      <c r="L29" s="30">
        <f>IS!H11</f>
        <v>78714</v>
      </c>
      <c r="M29" s="30">
        <f>IS!I11</f>
        <v>74842</v>
      </c>
      <c r="N29" s="30">
        <f>IS!J11</f>
        <v>84293</v>
      </c>
      <c r="O29" s="30">
        <f>IS!K11</f>
        <v>112390</v>
      </c>
      <c r="P29" s="200">
        <v>130441.54</v>
      </c>
      <c r="Q29" s="200">
        <v>147085.24</v>
      </c>
      <c r="R29" s="64">
        <f>R30*R26</f>
        <v>162737.54150380593</v>
      </c>
      <c r="S29" s="64">
        <f t="shared" ref="S29:T29" si="7">S30*S26</f>
        <v>184087.63502931772</v>
      </c>
      <c r="T29" s="64">
        <f t="shared" si="7"/>
        <v>206489.63559694329</v>
      </c>
      <c r="U29" s="2" t="s">
        <v>2</v>
      </c>
      <c r="V29" s="2" t="s">
        <v>248</v>
      </c>
    </row>
    <row r="30" spans="1:24" x14ac:dyDescent="0.3">
      <c r="B30" s="31" t="s">
        <v>22</v>
      </c>
      <c r="C30" s="25"/>
      <c r="D30" s="25"/>
      <c r="E30" s="25"/>
      <c r="F30" s="32">
        <f>F29/F$26</f>
        <v>0.25817119844243824</v>
      </c>
      <c r="G30" s="32">
        <f t="shared" ref="G30:Q30" si="8">G29/G$26</f>
        <v>0.26271712158808935</v>
      </c>
      <c r="H30" s="32">
        <f t="shared" si="8"/>
        <v>0.23614631726128726</v>
      </c>
      <c r="I30" s="32">
        <f t="shared" si="8"/>
        <v>0.20117089000796673</v>
      </c>
      <c r="J30" s="32">
        <f t="shared" si="8"/>
        <v>0.21148915400631421</v>
      </c>
      <c r="K30" s="32">
        <f t="shared" si="8"/>
        <v>0.22585151785763202</v>
      </c>
      <c r="L30" s="32">
        <f t="shared" si="8"/>
        <v>0.3055228868524319</v>
      </c>
      <c r="M30" s="32">
        <f t="shared" si="8"/>
        <v>0.26461270842467011</v>
      </c>
      <c r="N30" s="32">
        <f t="shared" si="8"/>
        <v>0.27421810445226646</v>
      </c>
      <c r="O30" s="32">
        <f t="shared" si="8"/>
        <v>0.32109777211457696</v>
      </c>
      <c r="P30" s="32">
        <f t="shared" si="8"/>
        <v>0.33087189600091593</v>
      </c>
      <c r="Q30" s="32">
        <f t="shared" si="8"/>
        <v>0.33488045719526205</v>
      </c>
      <c r="R30" s="65">
        <f>AVERAGE(O30:Q30)</f>
        <v>0.32895004177025167</v>
      </c>
      <c r="S30" s="65">
        <f t="shared" ref="S30:T30" si="9">AVERAGE(P30:R30)</f>
        <v>0.3315674649888099</v>
      </c>
      <c r="T30" s="65">
        <f t="shared" si="9"/>
        <v>0.33179932131810785</v>
      </c>
      <c r="V30" s="33"/>
    </row>
    <row r="31" spans="1:24" x14ac:dyDescent="0.3">
      <c r="C31" s="25"/>
      <c r="D31" s="25"/>
      <c r="E31" s="25"/>
      <c r="P31" s="32"/>
    </row>
    <row r="32" spans="1:24" x14ac:dyDescent="0.3">
      <c r="B32" s="2" t="s">
        <v>23</v>
      </c>
      <c r="C32" s="25"/>
      <c r="D32" s="25"/>
      <c r="E32" s="25"/>
      <c r="F32" s="34">
        <f>IS!B14</f>
        <v>3303</v>
      </c>
      <c r="G32" s="34">
        <f>IS!C14</f>
        <v>4672</v>
      </c>
      <c r="H32" s="34">
        <f>IS!D14</f>
        <v>14531</v>
      </c>
      <c r="I32" s="34">
        <f>IS!E14</f>
        <v>4177</v>
      </c>
      <c r="J32" s="34">
        <f>IS!F14</f>
        <v>5282</v>
      </c>
      <c r="K32" s="34">
        <f>IS!G14</f>
        <v>7813</v>
      </c>
      <c r="L32" s="34">
        <f>IS!H14</f>
        <v>14701</v>
      </c>
      <c r="M32" s="34">
        <f>IS!I14</f>
        <v>11356</v>
      </c>
      <c r="N32" s="34">
        <f>IS!J14</f>
        <v>11922</v>
      </c>
      <c r="O32" s="34">
        <f>IS!K14</f>
        <v>19697</v>
      </c>
      <c r="P32" s="281">
        <f>P33*P29</f>
        <v>22566.386419999999</v>
      </c>
      <c r="Q32" s="67">
        <f t="shared" ref="Q32:T32" si="10">Q33*Q29</f>
        <v>23361.092937810336</v>
      </c>
      <c r="R32" s="67">
        <f t="shared" si="10"/>
        <v>26917.983354323689</v>
      </c>
      <c r="S32" s="67">
        <f t="shared" si="10"/>
        <v>30511.558339519062</v>
      </c>
      <c r="T32" s="67">
        <f t="shared" si="10"/>
        <v>33725.193996741356</v>
      </c>
      <c r="U32" s="2" t="s">
        <v>2</v>
      </c>
      <c r="V32" s="282" t="s">
        <v>254</v>
      </c>
    </row>
    <row r="33" spans="1:22" x14ac:dyDescent="0.3">
      <c r="B33" s="31" t="s">
        <v>24</v>
      </c>
      <c r="C33" s="25"/>
      <c r="D33" s="25"/>
      <c r="E33" s="25"/>
      <c r="F33" s="62">
        <f>IS!B14/IS!B13</f>
        <v>0.16808304920869166</v>
      </c>
      <c r="G33" s="62">
        <f>IS!C14/IS!C13</f>
        <v>0.19345755693581781</v>
      </c>
      <c r="H33" s="62">
        <f>IS!D14/IS!D13</f>
        <v>0.53436546169970212</v>
      </c>
      <c r="I33" s="62">
        <f>IS!E14/IS!E13</f>
        <v>0.1196402486179933</v>
      </c>
      <c r="J33" s="62">
        <f>IS!F14/IS!F13</f>
        <v>0.13329968454258675</v>
      </c>
      <c r="K33" s="62">
        <f>IS!G14/IS!G13</f>
        <v>0.16249324071378063</v>
      </c>
      <c r="L33" s="62">
        <f>IS!H14/IS!H13</f>
        <v>0.16202305640663919</v>
      </c>
      <c r="M33" s="62">
        <f>IS!I14/IS!I13</f>
        <v>0.1592081650964558</v>
      </c>
      <c r="N33" s="62">
        <f>IS!J14/IS!J13</f>
        <v>0.13908559562280529</v>
      </c>
      <c r="O33" s="62">
        <f>IS!K14/IS!K13</f>
        <v>0.16439510912657013</v>
      </c>
      <c r="P33" s="236">
        <v>0.17299999999999999</v>
      </c>
      <c r="Q33" s="65">
        <f t="shared" ref="Q33:T33" si="11">AVERAGE(N33:P33)</f>
        <v>0.15882690158312512</v>
      </c>
      <c r="R33" s="65">
        <f t="shared" si="11"/>
        <v>0.16540733690323176</v>
      </c>
      <c r="S33" s="65">
        <f t="shared" si="11"/>
        <v>0.16574474616211896</v>
      </c>
      <c r="T33" s="65">
        <f t="shared" si="11"/>
        <v>0.16332632821615864</v>
      </c>
      <c r="U33" s="2" t="s">
        <v>2</v>
      </c>
      <c r="V33" s="2" t="s">
        <v>231</v>
      </c>
    </row>
    <row r="34" spans="1:22" x14ac:dyDescent="0.3">
      <c r="C34" s="25"/>
      <c r="D34" s="25"/>
      <c r="E34" s="25"/>
      <c r="V34" s="36"/>
    </row>
    <row r="35" spans="1:22" x14ac:dyDescent="0.3">
      <c r="A35" s="3" t="s">
        <v>115</v>
      </c>
      <c r="B35" s="37" t="s">
        <v>25</v>
      </c>
      <c r="C35" s="38"/>
      <c r="D35" s="38"/>
      <c r="E35" s="38"/>
      <c r="F35" s="28">
        <v>2015</v>
      </c>
      <c r="G35" s="28">
        <f>F35+1</f>
        <v>2016</v>
      </c>
      <c r="H35" s="28">
        <f t="shared" ref="H35:N35" si="12">G35+1</f>
        <v>2017</v>
      </c>
      <c r="I35" s="28">
        <f t="shared" si="12"/>
        <v>2018</v>
      </c>
      <c r="J35" s="28">
        <f t="shared" si="12"/>
        <v>2019</v>
      </c>
      <c r="K35" s="28">
        <f t="shared" si="12"/>
        <v>2020</v>
      </c>
      <c r="L35" s="28">
        <f t="shared" si="12"/>
        <v>2021</v>
      </c>
      <c r="M35" s="28">
        <f t="shared" si="12"/>
        <v>2022</v>
      </c>
      <c r="N35" s="28">
        <f t="shared" si="12"/>
        <v>2023</v>
      </c>
      <c r="O35" s="29" t="s">
        <v>20</v>
      </c>
    </row>
    <row r="36" spans="1:22" x14ac:dyDescent="0.3">
      <c r="B36" s="2" t="s">
        <v>26</v>
      </c>
      <c r="C36" s="25"/>
      <c r="D36" s="25"/>
      <c r="E36" s="25"/>
      <c r="F36" s="34">
        <f>CFS!B7</f>
        <v>5063</v>
      </c>
      <c r="G36" s="34">
        <f>CFS!C7</f>
        <v>6144</v>
      </c>
      <c r="H36" s="34">
        <f>CFS!D7</f>
        <v>6915</v>
      </c>
      <c r="I36" s="34">
        <f>CFS!E7</f>
        <v>9035</v>
      </c>
      <c r="J36" s="34">
        <f>CFS!F7</f>
        <v>11781</v>
      </c>
      <c r="K36" s="34">
        <f>CFS!G7</f>
        <v>13697</v>
      </c>
      <c r="L36" s="34">
        <f>CFS!H7</f>
        <v>10273</v>
      </c>
      <c r="M36" s="34">
        <f>CFS!I7</f>
        <v>13475</v>
      </c>
      <c r="N36" s="34">
        <f>CFS!J7</f>
        <v>11946</v>
      </c>
      <c r="O36" s="34">
        <f>CFS!K7</f>
        <v>15311</v>
      </c>
      <c r="U36" s="2" t="s">
        <v>2</v>
      </c>
      <c r="V36" s="2" t="s">
        <v>27</v>
      </c>
    </row>
    <row r="37" spans="1:22" x14ac:dyDescent="0.3">
      <c r="B37" s="31" t="s">
        <v>28</v>
      </c>
      <c r="C37" s="25"/>
      <c r="D37" s="25"/>
      <c r="E37" s="25"/>
      <c r="F37" s="32">
        <f>F36/F$26</f>
        <v>6.7516569096800857E-2</v>
      </c>
      <c r="G37" s="32">
        <f t="shared" ref="G37" si="13">G36/G$26</f>
        <v>6.8060971286777738E-2</v>
      </c>
      <c r="H37" s="32">
        <f t="shared" ref="H37" si="14">H36/H$26</f>
        <v>6.237878309503405E-2</v>
      </c>
      <c r="I37" s="32">
        <f t="shared" ref="I37" si="15">I36/I$26</f>
        <v>6.6036149949933856E-2</v>
      </c>
      <c r="J37" s="32">
        <f t="shared" ref="J37" si="16">J36/J$26</f>
        <v>7.2786472009242723E-2</v>
      </c>
      <c r="K37" s="32">
        <f t="shared" ref="K37" si="17">K36/K$26</f>
        <v>7.5040952845332465E-2</v>
      </c>
      <c r="L37" s="32">
        <f t="shared" ref="L37" si="18">L36/L$26</f>
        <v>3.9873931151193344E-2</v>
      </c>
      <c r="M37" s="32">
        <f t="shared" ref="M37" si="19">M36/M$26</f>
        <v>4.764245004172029E-2</v>
      </c>
      <c r="N37" s="32">
        <f t="shared" ref="N37" si="20">N36/N$26</f>
        <v>3.8862176880485634E-2</v>
      </c>
      <c r="O37" s="32">
        <f t="shared" ref="O37" si="21">O36/O$26</f>
        <v>4.3743464621819446E-2</v>
      </c>
    </row>
    <row r="38" spans="1:22" x14ac:dyDescent="0.3">
      <c r="C38" s="25"/>
      <c r="D38" s="25"/>
      <c r="E38" s="25"/>
    </row>
    <row r="39" spans="1:22" x14ac:dyDescent="0.3">
      <c r="B39" s="2" t="s">
        <v>29</v>
      </c>
      <c r="C39" s="25"/>
      <c r="D39" s="25"/>
      <c r="E39" s="25"/>
      <c r="F39" s="71">
        <f>CFS!B16</f>
        <v>-9915</v>
      </c>
      <c r="G39" s="71">
        <f>CFS!C16</f>
        <v>-9972</v>
      </c>
      <c r="H39" s="71">
        <f>CFS!D16</f>
        <v>-13184</v>
      </c>
      <c r="I39" s="71">
        <f>CFS!E16</f>
        <v>-25139</v>
      </c>
      <c r="J39" s="71">
        <f>CFS!F16</f>
        <v>-23548</v>
      </c>
      <c r="K39" s="71">
        <f>CFS!G16</f>
        <v>-22281</v>
      </c>
      <c r="L39" s="71">
        <f>CFS!H16</f>
        <v>-24640</v>
      </c>
      <c r="M39" s="71">
        <f>CFS!I16</f>
        <v>-31485</v>
      </c>
      <c r="N39" s="71">
        <f>CFS!J16</f>
        <v>-32251</v>
      </c>
      <c r="O39" s="71">
        <f>CFS!K16</f>
        <v>-52535</v>
      </c>
      <c r="U39" s="2" t="s">
        <v>2</v>
      </c>
      <c r="V39" s="2" t="s">
        <v>30</v>
      </c>
    </row>
    <row r="40" spans="1:22" x14ac:dyDescent="0.3">
      <c r="B40" s="31" t="s">
        <v>31</v>
      </c>
      <c r="C40" s="25"/>
      <c r="D40" s="25"/>
      <c r="E40" s="25"/>
      <c r="F40" s="69">
        <f>F39/F$26</f>
        <v>-0.13221939217751938</v>
      </c>
      <c r="G40" s="69">
        <f t="shared" ref="G40" si="22">G39/G$26</f>
        <v>-0.11046614675646933</v>
      </c>
      <c r="H40" s="69">
        <f t="shared" ref="H40" si="23">H39/H$26</f>
        <v>-0.11893013395877497</v>
      </c>
      <c r="I40" s="69">
        <f t="shared" ref="I40" si="24">I39/I$26</f>
        <v>-0.18373910056351822</v>
      </c>
      <c r="J40" s="69">
        <f t="shared" ref="J40" si="25">J39/J$26</f>
        <v>-0.14548644791389931</v>
      </c>
      <c r="K40" s="69">
        <f t="shared" ref="K40" si="26">K39/K$26</f>
        <v>-0.12206961161910293</v>
      </c>
      <c r="L40" s="69">
        <f t="shared" ref="L40" si="27">L39/L$26</f>
        <v>-9.5638437025737766E-2</v>
      </c>
      <c r="M40" s="69">
        <f t="shared" ref="M40" si="28">M39/M$26</f>
        <v>-0.11131892686928113</v>
      </c>
      <c r="N40" s="69">
        <f t="shared" ref="N40" si="29">N39/N$26</f>
        <v>-0.10491746748472644</v>
      </c>
      <c r="O40" s="69">
        <f t="shared" ref="O40" si="30">O39/O$26</f>
        <v>-0.15009228096840735</v>
      </c>
      <c r="U40" s="2" t="s">
        <v>2</v>
      </c>
      <c r="V40" s="2" t="s">
        <v>252</v>
      </c>
    </row>
    <row r="41" spans="1:22" x14ac:dyDescent="0.3">
      <c r="C41" s="25"/>
      <c r="D41" s="25"/>
      <c r="E41" s="25"/>
    </row>
    <row r="42" spans="1:22" x14ac:dyDescent="0.3">
      <c r="B42" s="2" t="s">
        <v>32</v>
      </c>
      <c r="C42" s="25"/>
      <c r="D42" s="25"/>
      <c r="E42" s="25"/>
      <c r="F42" s="71">
        <f>CFS!B14</f>
        <v>-409</v>
      </c>
      <c r="G42" s="71">
        <f>CFS!C14</f>
        <v>3300</v>
      </c>
      <c r="H42" s="71">
        <f>CFS!D14</f>
        <v>9246</v>
      </c>
      <c r="I42" s="71">
        <f>CFS!E14</f>
        <v>4908</v>
      </c>
      <c r="J42" s="71">
        <f>CFS!F14</f>
        <v>819</v>
      </c>
      <c r="K42" s="71">
        <f>CFS!G14</f>
        <v>1827</v>
      </c>
      <c r="L42" s="71">
        <f>CFS!H14</f>
        <v>-1523</v>
      </c>
      <c r="M42" s="71">
        <f>CFS!I14</f>
        <v>-2235</v>
      </c>
      <c r="N42" s="71">
        <f>CFS!J14</f>
        <v>-3845</v>
      </c>
      <c r="O42" s="71">
        <f>CFS!K14</f>
        <v>-8406</v>
      </c>
      <c r="U42" s="2" t="s">
        <v>2</v>
      </c>
      <c r="V42" s="2" t="s">
        <v>33</v>
      </c>
    </row>
    <row r="43" spans="1:22" x14ac:dyDescent="0.3">
      <c r="B43" s="31" t="s">
        <v>22</v>
      </c>
      <c r="C43" s="25"/>
      <c r="D43" s="25"/>
      <c r="E43" s="25"/>
      <c r="F43" s="69">
        <f>F42/F$26</f>
        <v>-5.4541332728800223E-3</v>
      </c>
      <c r="G43" s="69">
        <f t="shared" ref="G43" si="31">G42/G$26</f>
        <v>3.6556185749734134E-2</v>
      </c>
      <c r="H43" s="69">
        <f t="shared" ref="H43" si="32">H42/H$26</f>
        <v>8.3406251409498894E-2</v>
      </c>
      <c r="I43" s="69">
        <f t="shared" ref="I43" si="33">I42/I$26</f>
        <v>3.5872210730965727E-2</v>
      </c>
      <c r="J43" s="69">
        <f t="shared" ref="J43" si="34">J42/J$26</f>
        <v>5.0600221182896012E-3</v>
      </c>
      <c r="K43" s="69">
        <f t="shared" ref="K43" si="35">K42/K$26</f>
        <v>1.0009478049822766E-2</v>
      </c>
      <c r="L43" s="69">
        <f t="shared" ref="L43" si="36">L42/L$26</f>
        <v>-5.9114180028489701E-3</v>
      </c>
      <c r="M43" s="69">
        <f t="shared" ref="M43" si="37">M42/M$26</f>
        <v>-7.9021058139699327E-3</v>
      </c>
      <c r="N43" s="69">
        <f t="shared" ref="N43" si="38">N42/N$26</f>
        <v>-1.25083768713768E-2</v>
      </c>
      <c r="O43" s="69">
        <f t="shared" ref="O43" si="39">O42/O$26</f>
        <v>-2.4015907753315545E-2</v>
      </c>
    </row>
    <row r="44" spans="1:22" x14ac:dyDescent="0.3">
      <c r="B44" s="31" t="s">
        <v>34</v>
      </c>
      <c r="C44" s="25"/>
      <c r="D44" s="25"/>
      <c r="E44" s="25"/>
      <c r="F44" s="40"/>
      <c r="G44" s="32"/>
      <c r="H44" s="39"/>
      <c r="I44" s="32"/>
      <c r="J44" s="32"/>
      <c r="K44" s="32"/>
      <c r="L44" s="32"/>
      <c r="M44" s="32"/>
      <c r="N44" s="32"/>
      <c r="O44" s="32"/>
    </row>
    <row r="45" spans="1:22" x14ac:dyDescent="0.3">
      <c r="C45" s="25"/>
      <c r="D45" s="25"/>
      <c r="E45" s="25"/>
      <c r="P45" s="72">
        <v>1</v>
      </c>
      <c r="Q45" s="72">
        <f>P45+1</f>
        <v>2</v>
      </c>
      <c r="R45" s="72">
        <f>Q45+1</f>
        <v>3</v>
      </c>
      <c r="S45" s="72">
        <f>R45+1</f>
        <v>4</v>
      </c>
      <c r="T45" s="72">
        <f>S45+1</f>
        <v>5</v>
      </c>
    </row>
    <row r="46" spans="1:22" x14ac:dyDescent="0.3">
      <c r="A46" s="3" t="s">
        <v>115</v>
      </c>
      <c r="B46" s="37" t="s">
        <v>35</v>
      </c>
      <c r="C46" s="38"/>
      <c r="D46" s="38"/>
      <c r="E46" s="38"/>
      <c r="F46" s="28">
        <v>2015</v>
      </c>
      <c r="G46" s="28">
        <f>F46+1</f>
        <v>2016</v>
      </c>
      <c r="H46" s="28">
        <f t="shared" ref="H46:N46" si="40">G46+1</f>
        <v>2017</v>
      </c>
      <c r="I46" s="28">
        <f t="shared" si="40"/>
        <v>2018</v>
      </c>
      <c r="J46" s="28">
        <f t="shared" si="40"/>
        <v>2019</v>
      </c>
      <c r="K46" s="28">
        <f t="shared" si="40"/>
        <v>2020</v>
      </c>
      <c r="L46" s="28">
        <f t="shared" si="40"/>
        <v>2021</v>
      </c>
      <c r="M46" s="28">
        <f t="shared" si="40"/>
        <v>2022</v>
      </c>
      <c r="N46" s="28">
        <f t="shared" si="40"/>
        <v>2023</v>
      </c>
      <c r="O46" s="29" t="s">
        <v>20</v>
      </c>
      <c r="P46" s="29">
        <v>2025</v>
      </c>
      <c r="Q46" s="29">
        <f>P46+1</f>
        <v>2026</v>
      </c>
      <c r="R46" s="29">
        <f t="shared" ref="R46:T46" si="41">Q46+1</f>
        <v>2027</v>
      </c>
      <c r="S46" s="29">
        <f t="shared" si="41"/>
        <v>2028</v>
      </c>
      <c r="T46" s="29">
        <f t="shared" si="41"/>
        <v>2029</v>
      </c>
    </row>
    <row r="47" spans="1:22" x14ac:dyDescent="0.3">
      <c r="B47" s="2" t="s">
        <v>11</v>
      </c>
      <c r="C47" s="25"/>
      <c r="D47" s="25"/>
      <c r="E47" s="25"/>
      <c r="F47" s="41">
        <f>F26</f>
        <v>74989</v>
      </c>
      <c r="G47" s="41">
        <f t="shared" ref="G47:O47" si="42">G26</f>
        <v>90272</v>
      </c>
      <c r="H47" s="41">
        <f t="shared" si="42"/>
        <v>110855</v>
      </c>
      <c r="I47" s="41">
        <f t="shared" si="42"/>
        <v>136819</v>
      </c>
      <c r="J47" s="41">
        <f t="shared" si="42"/>
        <v>161857</v>
      </c>
      <c r="K47" s="41">
        <f t="shared" si="42"/>
        <v>182527</v>
      </c>
      <c r="L47" s="41">
        <f t="shared" si="42"/>
        <v>257637</v>
      </c>
      <c r="M47" s="41">
        <f t="shared" si="42"/>
        <v>282836</v>
      </c>
      <c r="N47" s="41">
        <f t="shared" si="42"/>
        <v>307394</v>
      </c>
      <c r="O47" s="41">
        <f t="shared" si="42"/>
        <v>350018</v>
      </c>
      <c r="P47" s="42">
        <f ca="1">O47*(1+P48)</f>
        <v>394235.78</v>
      </c>
      <c r="Q47" s="42">
        <f t="shared" ref="Q47:T47" ca="1" si="43">P47*(1+Q48)</f>
        <v>439217.15</v>
      </c>
      <c r="R47" s="42">
        <f t="shared" ca="1" si="43"/>
        <v>494718.10560664587</v>
      </c>
      <c r="S47" s="42">
        <f t="shared" ca="1" si="43"/>
        <v>555204.15742699755</v>
      </c>
      <c r="T47" s="42">
        <f t="shared" ca="1" si="43"/>
        <v>622332.90525321569</v>
      </c>
      <c r="V47" s="43"/>
    </row>
    <row r="48" spans="1:22" x14ac:dyDescent="0.3">
      <c r="B48" s="2" t="s">
        <v>21</v>
      </c>
      <c r="C48" s="25"/>
      <c r="D48" s="25"/>
      <c r="E48" s="25"/>
      <c r="F48" s="49" t="str">
        <f t="shared" ref="F48:O48" si="44">F27</f>
        <v>--</v>
      </c>
      <c r="G48" s="49">
        <f t="shared" si="44"/>
        <v>0.20380322447292265</v>
      </c>
      <c r="H48" s="49">
        <f t="shared" si="44"/>
        <v>0.22801090038993266</v>
      </c>
      <c r="I48" s="49">
        <f t="shared" si="44"/>
        <v>0.23421586757475987</v>
      </c>
      <c r="J48" s="49">
        <f t="shared" si="44"/>
        <v>0.18300089899794614</v>
      </c>
      <c r="K48" s="49">
        <f t="shared" si="44"/>
        <v>0.12770532012826141</v>
      </c>
      <c r="L48" s="49">
        <f t="shared" si="44"/>
        <v>0.41150076427049154</v>
      </c>
      <c r="M48" s="49">
        <f t="shared" si="44"/>
        <v>9.7808156437157789E-2</v>
      </c>
      <c r="N48" s="49">
        <f t="shared" si="44"/>
        <v>8.6827702272695095E-2</v>
      </c>
      <c r="O48" s="49">
        <f t="shared" si="44"/>
        <v>0.13866243322901561</v>
      </c>
      <c r="P48" s="32">
        <f ca="1">OFFSET(P48,$D$13,0)</f>
        <v>0.12633001731339544</v>
      </c>
      <c r="Q48" s="32">
        <f t="shared" ref="Q48:T48" ca="1" si="45">OFFSET(Q48,$D$13,0)</f>
        <v>0.11409763466928347</v>
      </c>
      <c r="R48" s="32">
        <f t="shared" ca="1" si="45"/>
        <v>0.12636336173723151</v>
      </c>
      <c r="S48" s="32">
        <f t="shared" ca="1" si="45"/>
        <v>0.12226367123997013</v>
      </c>
      <c r="T48" s="32">
        <f t="shared" ca="1" si="45"/>
        <v>0.12090822254882837</v>
      </c>
      <c r="V48" s="44"/>
    </row>
    <row r="49" spans="2:22" x14ac:dyDescent="0.3">
      <c r="B49" s="31" t="s">
        <v>36</v>
      </c>
      <c r="C49" s="25"/>
      <c r="D49" s="25"/>
      <c r="E49" s="25"/>
      <c r="H49" s="45"/>
      <c r="P49" s="46">
        <f>P50*(1+$I$13)</f>
        <v>0.1136970155820559</v>
      </c>
      <c r="Q49" s="46">
        <f>Q50*(1+$I$13)</f>
        <v>0.10268787120235512</v>
      </c>
      <c r="R49" s="46">
        <f t="shared" ref="R49:T49" si="46">R50*(1+$I$14)</f>
        <v>0.12004519365036992</v>
      </c>
      <c r="S49" s="46">
        <f t="shared" si="46"/>
        <v>0.11615048767797162</v>
      </c>
      <c r="T49" s="46">
        <f t="shared" si="46"/>
        <v>0.11486281142138695</v>
      </c>
    </row>
    <row r="50" spans="2:22" x14ac:dyDescent="0.3">
      <c r="B50" s="31" t="s">
        <v>37</v>
      </c>
      <c r="C50" s="25"/>
      <c r="D50" s="25"/>
      <c r="E50" s="25"/>
      <c r="H50" s="45"/>
      <c r="P50" s="46">
        <f>P27</f>
        <v>0.12633001731339544</v>
      </c>
      <c r="Q50" s="46">
        <f t="shared" ref="Q50:T50" si="47">Q27</f>
        <v>0.11409763466928347</v>
      </c>
      <c r="R50" s="46">
        <f t="shared" si="47"/>
        <v>0.12636336173723151</v>
      </c>
      <c r="S50" s="46">
        <f t="shared" si="47"/>
        <v>0.12226367123997013</v>
      </c>
      <c r="T50" s="46">
        <f t="shared" si="47"/>
        <v>0.12090822254882837</v>
      </c>
    </row>
    <row r="51" spans="2:22" x14ac:dyDescent="0.3">
      <c r="B51" s="31" t="s">
        <v>38</v>
      </c>
      <c r="C51" s="25"/>
      <c r="D51" s="25"/>
      <c r="E51" s="25"/>
      <c r="P51" s="46">
        <f>P50*(1+$S$13)</f>
        <v>0.13896301904473499</v>
      </c>
      <c r="Q51" s="46">
        <f>Q50*(1+$S$13)</f>
        <v>0.12550739813621181</v>
      </c>
      <c r="R51" s="46">
        <f t="shared" ref="R51:T51" si="48">R50*(1+$S$14)</f>
        <v>0.13268152982409309</v>
      </c>
      <c r="S51" s="46">
        <f t="shared" si="48"/>
        <v>0.12837685480196864</v>
      </c>
      <c r="T51" s="46">
        <f t="shared" si="48"/>
        <v>0.1269536336762698</v>
      </c>
    </row>
    <row r="52" spans="2:22" x14ac:dyDescent="0.3">
      <c r="C52" s="25"/>
      <c r="D52" s="25"/>
      <c r="E52" s="25"/>
    </row>
    <row r="53" spans="2:22" x14ac:dyDescent="0.3">
      <c r="B53" s="2" t="s">
        <v>14</v>
      </c>
      <c r="C53" s="25"/>
      <c r="D53" s="25"/>
      <c r="E53" s="25"/>
      <c r="F53" s="47">
        <f>F29</f>
        <v>19360</v>
      </c>
      <c r="G53" s="47">
        <f t="shared" ref="G53:O53" si="49">G29</f>
        <v>23716</v>
      </c>
      <c r="H53" s="47">
        <f t="shared" si="49"/>
        <v>26178</v>
      </c>
      <c r="I53" s="47">
        <f t="shared" si="49"/>
        <v>27524</v>
      </c>
      <c r="J53" s="47">
        <f t="shared" si="49"/>
        <v>34231</v>
      </c>
      <c r="K53" s="47">
        <f t="shared" si="49"/>
        <v>41224</v>
      </c>
      <c r="L53" s="47">
        <f t="shared" si="49"/>
        <v>78714</v>
      </c>
      <c r="M53" s="47">
        <f t="shared" si="49"/>
        <v>74842</v>
      </c>
      <c r="N53" s="47">
        <f t="shared" si="49"/>
        <v>84293</v>
      </c>
      <c r="O53" s="47">
        <f t="shared" si="49"/>
        <v>112390</v>
      </c>
      <c r="P53" s="48">
        <f ca="1">P54*P47</f>
        <v>130441.53999999998</v>
      </c>
      <c r="Q53" s="48">
        <f t="shared" ref="Q53:T53" ca="1" si="50">Q54*Q47</f>
        <v>147085.24</v>
      </c>
      <c r="R53" s="48">
        <f t="shared" ca="1" si="50"/>
        <v>162737.54150380593</v>
      </c>
      <c r="S53" s="48">
        <f t="shared" ca="1" si="50"/>
        <v>184087.63502931772</v>
      </c>
      <c r="T53" s="48">
        <f t="shared" ca="1" si="50"/>
        <v>206489.63559694329</v>
      </c>
    </row>
    <row r="54" spans="2:22" x14ac:dyDescent="0.3">
      <c r="B54" s="31" t="s">
        <v>22</v>
      </c>
      <c r="C54" s="25"/>
      <c r="D54" s="25"/>
      <c r="E54" s="25"/>
      <c r="F54" s="49">
        <f t="shared" ref="F54:O54" si="51">F30</f>
        <v>0.25817119844243824</v>
      </c>
      <c r="G54" s="49">
        <f t="shared" si="51"/>
        <v>0.26271712158808935</v>
      </c>
      <c r="H54" s="49">
        <f t="shared" si="51"/>
        <v>0.23614631726128726</v>
      </c>
      <c r="I54" s="49">
        <f t="shared" si="51"/>
        <v>0.20117089000796673</v>
      </c>
      <c r="J54" s="49">
        <f t="shared" si="51"/>
        <v>0.21148915400631421</v>
      </c>
      <c r="K54" s="49">
        <f t="shared" si="51"/>
        <v>0.22585151785763202</v>
      </c>
      <c r="L54" s="49">
        <f t="shared" si="51"/>
        <v>0.3055228868524319</v>
      </c>
      <c r="M54" s="49">
        <f t="shared" si="51"/>
        <v>0.26461270842467011</v>
      </c>
      <c r="N54" s="49">
        <f t="shared" si="51"/>
        <v>0.27421810445226646</v>
      </c>
      <c r="O54" s="49">
        <f t="shared" si="51"/>
        <v>0.32109777211457696</v>
      </c>
      <c r="P54" s="32">
        <f ca="1">OFFSET(P54,$D$14,0)</f>
        <v>0.33087189600091593</v>
      </c>
      <c r="Q54" s="32">
        <f t="shared" ref="Q54:T54" ca="1" si="52">OFFSET(Q54,$D$14,0)</f>
        <v>0.33488045719526205</v>
      </c>
      <c r="R54" s="32">
        <f t="shared" ca="1" si="52"/>
        <v>0.32895004177025167</v>
      </c>
      <c r="S54" s="32">
        <f t="shared" ca="1" si="52"/>
        <v>0.3315674649888099</v>
      </c>
      <c r="T54" s="32">
        <f t="shared" ca="1" si="52"/>
        <v>0.33179932131810785</v>
      </c>
    </row>
    <row r="55" spans="2:22" x14ac:dyDescent="0.3">
      <c r="B55" s="31" t="s">
        <v>36</v>
      </c>
      <c r="C55" s="25"/>
      <c r="D55" s="25"/>
      <c r="E55" s="25"/>
      <c r="P55" s="46">
        <f>P56*(1+I15)</f>
        <v>0.29778470640082433</v>
      </c>
      <c r="Q55" s="46">
        <f t="shared" ref="Q55:T55" si="53">Q56*(1+$I$16)</f>
        <v>0.31813643433549893</v>
      </c>
      <c r="R55" s="46">
        <f t="shared" si="53"/>
        <v>0.31250253968173908</v>
      </c>
      <c r="S55" s="46">
        <f t="shared" si="53"/>
        <v>0.3149890917393694</v>
      </c>
      <c r="T55" s="46">
        <f t="shared" si="53"/>
        <v>0.31520935525220245</v>
      </c>
    </row>
    <row r="56" spans="2:22" x14ac:dyDescent="0.3">
      <c r="B56" s="31" t="s">
        <v>37</v>
      </c>
      <c r="C56" s="25"/>
      <c r="D56" s="25"/>
      <c r="E56" s="25"/>
      <c r="P56" s="46">
        <f>P30</f>
        <v>0.33087189600091593</v>
      </c>
      <c r="Q56" s="46">
        <f t="shared" ref="Q56:T56" si="54">Q30</f>
        <v>0.33488045719526205</v>
      </c>
      <c r="R56" s="46">
        <f t="shared" si="54"/>
        <v>0.32895004177025167</v>
      </c>
      <c r="S56" s="46">
        <f t="shared" si="54"/>
        <v>0.3315674649888099</v>
      </c>
      <c r="T56" s="46">
        <f t="shared" si="54"/>
        <v>0.33179932131810785</v>
      </c>
      <c r="V56" s="2" t="s">
        <v>249</v>
      </c>
    </row>
    <row r="57" spans="2:22" x14ac:dyDescent="0.3">
      <c r="B57" s="31" t="s">
        <v>38</v>
      </c>
      <c r="C57" s="25"/>
      <c r="D57" s="25"/>
      <c r="E57" s="25"/>
      <c r="P57" s="46">
        <f>P56*(1+$S$15)</f>
        <v>0.36395908560100754</v>
      </c>
      <c r="Q57" s="46">
        <f t="shared" ref="Q57:T57" si="55">Q56*(1+$S$16)</f>
        <v>0.35162448005502517</v>
      </c>
      <c r="R57" s="46">
        <f t="shared" si="55"/>
        <v>0.34539754385876426</v>
      </c>
      <c r="S57" s="46">
        <f t="shared" si="55"/>
        <v>0.3481458382382504</v>
      </c>
      <c r="T57" s="46">
        <f t="shared" si="55"/>
        <v>0.34838928738401326</v>
      </c>
    </row>
    <row r="58" spans="2:22" x14ac:dyDescent="0.3">
      <c r="B58" s="31"/>
      <c r="C58" s="25"/>
      <c r="D58" s="25"/>
      <c r="E58" s="25"/>
    </row>
    <row r="59" spans="2:22" x14ac:dyDescent="0.3">
      <c r="B59" s="2" t="s">
        <v>23</v>
      </c>
      <c r="C59" s="25" t="s">
        <v>39</v>
      </c>
      <c r="D59" s="25"/>
      <c r="E59" s="25"/>
      <c r="F59" s="50">
        <f>F32</f>
        <v>3303</v>
      </c>
      <c r="G59" s="50">
        <f t="shared" ref="G59:O59" si="56">G32</f>
        <v>4672</v>
      </c>
      <c r="H59" s="50">
        <f t="shared" si="56"/>
        <v>14531</v>
      </c>
      <c r="I59" s="50">
        <f t="shared" si="56"/>
        <v>4177</v>
      </c>
      <c r="J59" s="50">
        <f t="shared" si="56"/>
        <v>5282</v>
      </c>
      <c r="K59" s="50">
        <f t="shared" si="56"/>
        <v>7813</v>
      </c>
      <c r="L59" s="50">
        <f t="shared" si="56"/>
        <v>14701</v>
      </c>
      <c r="M59" s="50">
        <f t="shared" si="56"/>
        <v>11356</v>
      </c>
      <c r="N59" s="50">
        <f t="shared" si="56"/>
        <v>11922</v>
      </c>
      <c r="O59" s="50">
        <f t="shared" si="56"/>
        <v>19697</v>
      </c>
      <c r="P59" s="48">
        <f ca="1">P60*P53</f>
        <v>22566.386419999995</v>
      </c>
      <c r="Q59" s="48">
        <f t="shared" ref="Q59:T59" ca="1" si="57">Q60*Q53</f>
        <v>23361.092937810336</v>
      </c>
      <c r="R59" s="48">
        <f t="shared" ca="1" si="57"/>
        <v>26917.983354323689</v>
      </c>
      <c r="S59" s="48">
        <f t="shared" ca="1" si="57"/>
        <v>30511.558339519062</v>
      </c>
      <c r="T59" s="48">
        <f t="shared" ca="1" si="57"/>
        <v>33725.193996741356</v>
      </c>
    </row>
    <row r="60" spans="2:22" x14ac:dyDescent="0.3">
      <c r="B60" s="31" t="s">
        <v>24</v>
      </c>
      <c r="C60" s="25"/>
      <c r="D60" s="25"/>
      <c r="E60" s="25"/>
      <c r="F60" s="49">
        <f t="shared" ref="F60:O60" si="58">F33</f>
        <v>0.16808304920869166</v>
      </c>
      <c r="G60" s="49">
        <f t="shared" si="58"/>
        <v>0.19345755693581781</v>
      </c>
      <c r="H60" s="49">
        <f t="shared" si="58"/>
        <v>0.53436546169970212</v>
      </c>
      <c r="I60" s="49">
        <f t="shared" si="58"/>
        <v>0.1196402486179933</v>
      </c>
      <c r="J60" s="49">
        <f t="shared" si="58"/>
        <v>0.13329968454258675</v>
      </c>
      <c r="K60" s="49">
        <f t="shared" si="58"/>
        <v>0.16249324071378063</v>
      </c>
      <c r="L60" s="49">
        <f t="shared" si="58"/>
        <v>0.16202305640663919</v>
      </c>
      <c r="M60" s="49">
        <f t="shared" si="58"/>
        <v>0.1592081650964558</v>
      </c>
      <c r="N60" s="49">
        <f t="shared" si="58"/>
        <v>0.13908559562280529</v>
      </c>
      <c r="O60" s="49">
        <f t="shared" si="58"/>
        <v>0.16439510912657013</v>
      </c>
      <c r="P60" s="218">
        <f>P33</f>
        <v>0.17299999999999999</v>
      </c>
      <c r="Q60" s="218">
        <f t="shared" ref="Q60:T60" si="59">Q33</f>
        <v>0.15882690158312512</v>
      </c>
      <c r="R60" s="218">
        <f t="shared" si="59"/>
        <v>0.16540733690323176</v>
      </c>
      <c r="S60" s="218">
        <f t="shared" si="59"/>
        <v>0.16574474616211896</v>
      </c>
      <c r="T60" s="218">
        <f t="shared" si="59"/>
        <v>0.16332632821615864</v>
      </c>
    </row>
    <row r="62" spans="2:22" x14ac:dyDescent="0.3">
      <c r="B62" s="226" t="s">
        <v>40</v>
      </c>
      <c r="C62" s="227"/>
      <c r="D62" s="227"/>
      <c r="E62" s="227"/>
      <c r="F62" s="228"/>
      <c r="G62" s="228"/>
      <c r="H62" s="228"/>
      <c r="I62" s="228"/>
      <c r="J62" s="228"/>
      <c r="K62" s="228"/>
      <c r="L62" s="228"/>
      <c r="M62" s="228"/>
      <c r="N62" s="228"/>
      <c r="O62" s="228"/>
      <c r="P62" s="229">
        <f ca="1">P53-P59</f>
        <v>107875.15357999998</v>
      </c>
      <c r="Q62" s="229">
        <f t="shared" ref="Q62:T62" ca="1" si="60">Q53-Q59</f>
        <v>123724.14706218966</v>
      </c>
      <c r="R62" s="229">
        <f t="shared" ca="1" si="60"/>
        <v>135819.55814948224</v>
      </c>
      <c r="S62" s="229">
        <f t="shared" ca="1" si="60"/>
        <v>153576.07668979868</v>
      </c>
      <c r="T62" s="229">
        <f t="shared" ca="1" si="60"/>
        <v>172764.44160020194</v>
      </c>
      <c r="U62" s="51" t="s">
        <v>2</v>
      </c>
      <c r="V62" s="2" t="s">
        <v>41</v>
      </c>
    </row>
    <row r="64" spans="2:22" x14ac:dyDescent="0.3">
      <c r="B64" s="2" t="s">
        <v>232</v>
      </c>
      <c r="F64" s="50">
        <f>F36</f>
        <v>5063</v>
      </c>
      <c r="G64" s="50">
        <f t="shared" ref="G64:O64" si="61">G36</f>
        <v>6144</v>
      </c>
      <c r="H64" s="50">
        <f t="shared" si="61"/>
        <v>6915</v>
      </c>
      <c r="I64" s="50">
        <f t="shared" si="61"/>
        <v>9035</v>
      </c>
      <c r="J64" s="50">
        <f t="shared" si="61"/>
        <v>11781</v>
      </c>
      <c r="K64" s="50">
        <f t="shared" si="61"/>
        <v>13697</v>
      </c>
      <c r="L64" s="50">
        <f t="shared" si="61"/>
        <v>10273</v>
      </c>
      <c r="M64" s="50">
        <f t="shared" si="61"/>
        <v>13475</v>
      </c>
      <c r="N64" s="50">
        <f t="shared" si="61"/>
        <v>11946</v>
      </c>
      <c r="O64" s="50">
        <f t="shared" si="61"/>
        <v>15311</v>
      </c>
      <c r="P64" s="48">
        <f ca="1">P65*P$47</f>
        <v>17116.15265445675</v>
      </c>
      <c r="Q64" s="48">
        <f t="shared" ref="Q64:T64" ca="1" si="62">Q65*Q$47</f>
        <v>22526.140023976481</v>
      </c>
      <c r="R64" s="48">
        <f t="shared" ca="1" si="62"/>
        <v>29266.541239559087</v>
      </c>
      <c r="S64" s="48">
        <f t="shared" ca="1" si="62"/>
        <v>37214.783703642839</v>
      </c>
      <c r="T64" s="48">
        <f t="shared" ca="1" si="62"/>
        <v>46612.734603465855</v>
      </c>
    </row>
    <row r="65" spans="2:22" x14ac:dyDescent="0.3">
      <c r="B65" s="31" t="s">
        <v>28</v>
      </c>
      <c r="F65" s="49">
        <f t="shared" ref="F65:O65" si="63">F37</f>
        <v>6.7516569096800857E-2</v>
      </c>
      <c r="G65" s="49">
        <f t="shared" si="63"/>
        <v>6.8060971286777738E-2</v>
      </c>
      <c r="H65" s="49">
        <f t="shared" si="63"/>
        <v>6.237878309503405E-2</v>
      </c>
      <c r="I65" s="49">
        <f t="shared" si="63"/>
        <v>6.6036149949933856E-2</v>
      </c>
      <c r="J65" s="49">
        <f t="shared" si="63"/>
        <v>7.2786472009242723E-2</v>
      </c>
      <c r="K65" s="49">
        <f t="shared" si="63"/>
        <v>7.5040952845332465E-2</v>
      </c>
      <c r="L65" s="49">
        <f t="shared" si="63"/>
        <v>3.9873931151193344E-2</v>
      </c>
      <c r="M65" s="49">
        <f t="shared" si="63"/>
        <v>4.764245004172029E-2</v>
      </c>
      <c r="N65" s="49">
        <f t="shared" si="63"/>
        <v>3.8862176880485634E-2</v>
      </c>
      <c r="O65" s="49">
        <f t="shared" si="63"/>
        <v>4.3743464621819446E-2</v>
      </c>
      <c r="P65" s="220">
        <f>AVERAGE(M65:O65)</f>
        <v>4.3416030514675123E-2</v>
      </c>
      <c r="Q65" s="79">
        <f>P65+($T$65-$P$65)/($T$46-$P$46)</f>
        <v>5.1287022886006339E-2</v>
      </c>
      <c r="R65" s="79">
        <f t="shared" ref="R65:S65" si="64">Q65+($T$65-$P$65)/($T$46-$P$46)</f>
        <v>5.9158015257337555E-2</v>
      </c>
      <c r="S65" s="79">
        <f t="shared" si="64"/>
        <v>6.7029007628668771E-2</v>
      </c>
      <c r="T65" s="219">
        <v>7.4899999999999994E-2</v>
      </c>
    </row>
    <row r="66" spans="2:22" x14ac:dyDescent="0.3">
      <c r="F66" s="50"/>
      <c r="G66" s="50"/>
      <c r="H66" s="50"/>
      <c r="I66" s="50"/>
      <c r="J66" s="50"/>
      <c r="K66" s="50"/>
      <c r="L66" s="50"/>
      <c r="M66" s="50"/>
      <c r="N66" s="50"/>
    </row>
    <row r="67" spans="2:22" x14ac:dyDescent="0.3">
      <c r="B67" s="2" t="s">
        <v>233</v>
      </c>
      <c r="F67" s="73">
        <f>F39</f>
        <v>-9915</v>
      </c>
      <c r="G67" s="73">
        <f t="shared" ref="G67:O67" si="65">G39</f>
        <v>-9972</v>
      </c>
      <c r="H67" s="73">
        <f t="shared" si="65"/>
        <v>-13184</v>
      </c>
      <c r="I67" s="73">
        <f t="shared" si="65"/>
        <v>-25139</v>
      </c>
      <c r="J67" s="73">
        <f t="shared" si="65"/>
        <v>-23548</v>
      </c>
      <c r="K67" s="73">
        <f t="shared" si="65"/>
        <v>-22281</v>
      </c>
      <c r="L67" s="73">
        <f t="shared" si="65"/>
        <v>-24640</v>
      </c>
      <c r="M67" s="73">
        <f t="shared" si="65"/>
        <v>-31485</v>
      </c>
      <c r="N67" s="73">
        <f t="shared" si="65"/>
        <v>-32251</v>
      </c>
      <c r="O67" s="73">
        <f t="shared" si="65"/>
        <v>-52535</v>
      </c>
      <c r="P67" s="48">
        <f ca="1">P68*P$47</f>
        <v>-48139.957017366331</v>
      </c>
      <c r="Q67" s="48">
        <f t="shared" ref="Q67" ca="1" si="66">Q68*Q$47</f>
        <v>-50765.670784596601</v>
      </c>
      <c r="R67" s="48">
        <f t="shared" ref="R67" ca="1" si="67">R68*R$47</f>
        <v>-53951.373783268522</v>
      </c>
      <c r="S67" s="48">
        <f t="shared" ref="S67" ca="1" si="68">S68*S$47</f>
        <v>-56923.632961721276</v>
      </c>
      <c r="T67" s="48">
        <f t="shared" ref="T67" ca="1" si="69">T68*T$47</f>
        <v>-59743.958904308711</v>
      </c>
    </row>
    <row r="68" spans="2:22" x14ac:dyDescent="0.3">
      <c r="B68" s="31" t="s">
        <v>31</v>
      </c>
      <c r="F68" s="70">
        <f t="shared" ref="F68:O68" si="70">F40</f>
        <v>-0.13221939217751938</v>
      </c>
      <c r="G68" s="70">
        <f t="shared" si="70"/>
        <v>-0.11046614675646933</v>
      </c>
      <c r="H68" s="70">
        <f t="shared" si="70"/>
        <v>-0.11893013395877497</v>
      </c>
      <c r="I68" s="70">
        <f t="shared" si="70"/>
        <v>-0.18373910056351822</v>
      </c>
      <c r="J68" s="70">
        <f t="shared" si="70"/>
        <v>-0.14548644791389931</v>
      </c>
      <c r="K68" s="70">
        <f t="shared" si="70"/>
        <v>-0.12206961161910293</v>
      </c>
      <c r="L68" s="70">
        <f t="shared" si="70"/>
        <v>-9.5638437025737766E-2</v>
      </c>
      <c r="M68" s="70">
        <f t="shared" si="70"/>
        <v>-0.11131892686928113</v>
      </c>
      <c r="N68" s="70">
        <f t="shared" si="70"/>
        <v>-0.10491746748472644</v>
      </c>
      <c r="O68" s="70">
        <f t="shared" si="70"/>
        <v>-0.15009228096840735</v>
      </c>
      <c r="P68" s="221">
        <f>AVERAGE(M68:O68)</f>
        <v>-0.12210955844080497</v>
      </c>
      <c r="Q68" s="79">
        <f>P68+($T$68-$P$68)/($T$46-$P$46)</f>
        <v>-0.11558216883060372</v>
      </c>
      <c r="R68" s="79">
        <f t="shared" ref="R68:S68" si="71">Q68+($T$68-$P$68)/($T$46-$P$46)</f>
        <v>-0.10905477922040248</v>
      </c>
      <c r="S68" s="79">
        <f t="shared" si="71"/>
        <v>-0.10252738961020123</v>
      </c>
      <c r="T68" s="219">
        <v>-9.6000000000000002E-2</v>
      </c>
    </row>
    <row r="69" spans="2:22" x14ac:dyDescent="0.3">
      <c r="F69" s="50"/>
      <c r="G69" s="50"/>
      <c r="H69" s="50"/>
      <c r="I69" s="50"/>
      <c r="J69" s="50"/>
      <c r="K69" s="50"/>
      <c r="L69" s="50"/>
      <c r="M69" s="50"/>
      <c r="N69" s="50"/>
    </row>
    <row r="70" spans="2:22" x14ac:dyDescent="0.3">
      <c r="B70" s="2" t="s">
        <v>234</v>
      </c>
      <c r="F70" s="73">
        <f>F42</f>
        <v>-409</v>
      </c>
      <c r="G70" s="73">
        <f t="shared" ref="G70:O70" si="72">G42</f>
        <v>3300</v>
      </c>
      <c r="H70" s="73">
        <f t="shared" si="72"/>
        <v>9246</v>
      </c>
      <c r="I70" s="73">
        <f t="shared" si="72"/>
        <v>4908</v>
      </c>
      <c r="J70" s="73">
        <f t="shared" si="72"/>
        <v>819</v>
      </c>
      <c r="K70" s="73">
        <f t="shared" si="72"/>
        <v>1827</v>
      </c>
      <c r="L70" s="73">
        <f t="shared" si="72"/>
        <v>-1523</v>
      </c>
      <c r="M70" s="73">
        <f t="shared" si="72"/>
        <v>-2235</v>
      </c>
      <c r="N70" s="73">
        <f t="shared" si="72"/>
        <v>-3845</v>
      </c>
      <c r="O70" s="73">
        <f t="shared" si="72"/>
        <v>-8406</v>
      </c>
      <c r="P70" s="48">
        <f ca="1">P71*P$47</f>
        <v>-5838.1575623901881</v>
      </c>
      <c r="Q70" s="48">
        <f t="shared" ref="Q70" ca="1" si="73">Q71*Q$47</f>
        <v>-7513.5110483141243</v>
      </c>
      <c r="R70" s="48">
        <f t="shared" ref="R70" ca="1" si="74">R71*R$47</f>
        <v>-9599.7072200724506</v>
      </c>
      <c r="S70" s="48">
        <f t="shared" ref="S70" ca="1" si="75">S71*S$47</f>
        <v>-12049.151222937648</v>
      </c>
      <c r="T70" s="48">
        <f t="shared" ref="T70" ca="1" si="76">T71*T$47</f>
        <v>-14935.989726077178</v>
      </c>
      <c r="U70" s="2" t="s">
        <v>2</v>
      </c>
      <c r="V70" s="2" t="s">
        <v>257</v>
      </c>
    </row>
    <row r="71" spans="2:22" x14ac:dyDescent="0.3">
      <c r="B71" s="31" t="s">
        <v>22</v>
      </c>
      <c r="F71" s="70">
        <f t="shared" ref="F71:O71" si="77">F43</f>
        <v>-5.4541332728800223E-3</v>
      </c>
      <c r="G71" s="70">
        <f t="shared" si="77"/>
        <v>3.6556185749734134E-2</v>
      </c>
      <c r="H71" s="70">
        <f t="shared" si="77"/>
        <v>8.3406251409498894E-2</v>
      </c>
      <c r="I71" s="70">
        <f t="shared" si="77"/>
        <v>3.5872210730965727E-2</v>
      </c>
      <c r="J71" s="70">
        <f t="shared" si="77"/>
        <v>5.0600221182896012E-3</v>
      </c>
      <c r="K71" s="70">
        <f t="shared" si="77"/>
        <v>1.0009478049822766E-2</v>
      </c>
      <c r="L71" s="70">
        <f t="shared" si="77"/>
        <v>-5.9114180028489701E-3</v>
      </c>
      <c r="M71" s="70">
        <f t="shared" si="77"/>
        <v>-7.9021058139699327E-3</v>
      </c>
      <c r="N71" s="70">
        <f t="shared" si="77"/>
        <v>-1.25083768713768E-2</v>
      </c>
      <c r="O71" s="70">
        <f t="shared" si="77"/>
        <v>-2.4015907753315545E-2</v>
      </c>
      <c r="P71" s="221">
        <f>AVERAGE(M71:O71)</f>
        <v>-1.4808796812887425E-2</v>
      </c>
      <c r="Q71" s="79">
        <f>P71+($T$71-$P$71)/($T$46-$P$46)</f>
        <v>-1.7106597609665569E-2</v>
      </c>
      <c r="R71" s="79">
        <f t="shared" ref="R71:S71" si="78">Q71+($T$71-$P$71)/($T$46-$P$46)</f>
        <v>-1.9404398406443712E-2</v>
      </c>
      <c r="S71" s="79">
        <f t="shared" si="78"/>
        <v>-2.1702199203221854E-2</v>
      </c>
      <c r="T71" s="219">
        <v>-2.4E-2</v>
      </c>
      <c r="U71" s="2" t="s">
        <v>251</v>
      </c>
      <c r="V71" s="2" t="s">
        <v>258</v>
      </c>
    </row>
    <row r="73" spans="2:22" x14ac:dyDescent="0.3">
      <c r="B73" s="56" t="s">
        <v>42</v>
      </c>
      <c r="C73" s="53"/>
      <c r="D73" s="53"/>
      <c r="E73" s="53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224">
        <f t="shared" ref="P73:R73" ca="1" si="79">P62+P64-(-P67)-P70</f>
        <v>82689.506779480595</v>
      </c>
      <c r="Q73" s="224">
        <f t="shared" ca="1" si="79"/>
        <v>102998.12734988367</v>
      </c>
      <c r="R73" s="224">
        <f t="shared" ca="1" si="79"/>
        <v>120734.43282584526</v>
      </c>
      <c r="S73" s="224">
        <f ca="1">S62+S64-(-S67)-S70</f>
        <v>145916.37865465789</v>
      </c>
      <c r="T73" s="224">
        <f t="shared" ref="T73" ca="1" si="80">T62+T64-(-T67)-T70</f>
        <v>174569.20702543628</v>
      </c>
      <c r="U73" s="51" t="s">
        <v>2</v>
      </c>
      <c r="V73" s="2" t="s">
        <v>250</v>
      </c>
    </row>
    <row r="74" spans="2:22" ht="15" thickBot="1" x14ac:dyDescent="0.35">
      <c r="B74" s="223" t="s">
        <v>43</v>
      </c>
      <c r="C74" s="54"/>
      <c r="D74" s="54"/>
      <c r="E74" s="54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225">
        <f ca="1">(P73*P76)/(1+wacc)^P77</f>
        <v>27192.804032225566</v>
      </c>
      <c r="Q74" s="225">
        <f ca="1">Q73/(1+wacc)^Q77</f>
        <v>96261.707153120718</v>
      </c>
      <c r="R74" s="225">
        <f ca="1">R73/(1+wacc)^R77</f>
        <v>104040.98467279924</v>
      </c>
      <c r="S74" s="225">
        <f ca="1">S73/(1+wacc)^S77</f>
        <v>115938.16630676016</v>
      </c>
      <c r="T74" s="225">
        <f ca="1">T73/(1+wacc)^T77</f>
        <v>127890.74003769142</v>
      </c>
      <c r="U74" s="51" t="s">
        <v>2</v>
      </c>
      <c r="V74" s="2" t="s">
        <v>44</v>
      </c>
    </row>
    <row r="76" spans="2:22" x14ac:dyDescent="0.3">
      <c r="B76" s="2" t="s">
        <v>113</v>
      </c>
      <c r="P76" s="76">
        <f>YEARFRAC(C5,C6,)</f>
        <v>0.33333333333333331</v>
      </c>
      <c r="Q76" s="76"/>
      <c r="R76" s="76"/>
      <c r="S76" s="76"/>
      <c r="T76" s="76"/>
    </row>
    <row r="77" spans="2:22" x14ac:dyDescent="0.3">
      <c r="B77" s="2" t="s">
        <v>45</v>
      </c>
      <c r="P77" s="76">
        <f>P76/2</f>
        <v>0.16666666666666666</v>
      </c>
      <c r="Q77" s="76">
        <f>P76+0.5</f>
        <v>0.83333333333333326</v>
      </c>
      <c r="R77" s="76">
        <f>Q77+1</f>
        <v>1.8333333333333333</v>
      </c>
      <c r="S77" s="76">
        <f t="shared" ref="S77:T77" si="81">R77+1</f>
        <v>2.833333333333333</v>
      </c>
      <c r="T77" s="76">
        <f t="shared" si="81"/>
        <v>3.833333333333333</v>
      </c>
    </row>
    <row r="79" spans="2:22" x14ac:dyDescent="0.3">
      <c r="B79" s="2" t="s">
        <v>46</v>
      </c>
      <c r="T79" s="48">
        <f ca="1">(T73*(1+tgr))/(wacc-tgr)</f>
        <v>3004590.2488712613</v>
      </c>
      <c r="U79" s="2" t="s">
        <v>2</v>
      </c>
      <c r="V79" s="2" t="s">
        <v>47</v>
      </c>
    </row>
    <row r="80" spans="2:22" x14ac:dyDescent="0.3">
      <c r="B80" s="2" t="s">
        <v>48</v>
      </c>
      <c r="T80" s="48">
        <f ca="1">T79/(1+wacc)^T77</f>
        <v>2201185.8619612511</v>
      </c>
      <c r="U80" s="2" t="s">
        <v>2</v>
      </c>
      <c r="V80" s="2" t="s">
        <v>49</v>
      </c>
    </row>
    <row r="81" spans="1:22" x14ac:dyDescent="0.3">
      <c r="B81" s="3" t="s">
        <v>50</v>
      </c>
      <c r="T81" s="77">
        <f ca="1">SUM(P74:T74)+T80</f>
        <v>2672510.264163848</v>
      </c>
      <c r="U81" s="2" t="s">
        <v>2</v>
      </c>
      <c r="V81" s="2" t="s">
        <v>51</v>
      </c>
    </row>
    <row r="82" spans="1:22" x14ac:dyDescent="0.3">
      <c r="B82" s="2" t="s">
        <v>52</v>
      </c>
      <c r="T82" s="93">
        <v>21036</v>
      </c>
      <c r="U82" s="2" t="s">
        <v>2</v>
      </c>
      <c r="V82" s="2" t="s">
        <v>247</v>
      </c>
    </row>
    <row r="83" spans="1:22" x14ac:dyDescent="0.3">
      <c r="B83" s="2" t="s">
        <v>53</v>
      </c>
      <c r="T83" s="93">
        <v>23607</v>
      </c>
      <c r="U83" s="2" t="s">
        <v>2</v>
      </c>
      <c r="V83" s="2" t="s">
        <v>247</v>
      </c>
    </row>
    <row r="84" spans="1:22" x14ac:dyDescent="0.3">
      <c r="B84" s="3" t="s">
        <v>54</v>
      </c>
      <c r="T84" s="77">
        <f ca="1">T81+T82-T83</f>
        <v>2669939.264163848</v>
      </c>
      <c r="U84" s="2" t="s">
        <v>2</v>
      </c>
      <c r="V84" s="2" t="s">
        <v>55</v>
      </c>
    </row>
    <row r="86" spans="1:22" x14ac:dyDescent="0.3">
      <c r="B86" s="2" t="s">
        <v>246</v>
      </c>
      <c r="T86" s="78">
        <f>Shares!E15</f>
        <v>12421</v>
      </c>
      <c r="U86" s="2" t="s">
        <v>2</v>
      </c>
      <c r="V86" s="2" t="s">
        <v>259</v>
      </c>
    </row>
    <row r="87" spans="1:22" x14ac:dyDescent="0.3">
      <c r="B87" s="3" t="s">
        <v>57</v>
      </c>
      <c r="T87" s="222">
        <f ca="1">T84/T86</f>
        <v>214.95364818966652</v>
      </c>
      <c r="U87" s="2" t="s">
        <v>2</v>
      </c>
      <c r="V87" s="2" t="s">
        <v>58</v>
      </c>
    </row>
    <row r="91" spans="1:22" ht="18" x14ac:dyDescent="0.35">
      <c r="A91" s="3" t="s">
        <v>115</v>
      </c>
      <c r="B91" s="58" t="s">
        <v>245</v>
      </c>
      <c r="C91" s="59"/>
      <c r="D91" s="59"/>
      <c r="E91" s="60"/>
      <c r="F91" s="6"/>
      <c r="G91" s="6"/>
      <c r="H91" s="6"/>
      <c r="I91" s="6"/>
      <c r="J91" s="6"/>
      <c r="K91" s="6"/>
      <c r="L91" s="6"/>
    </row>
    <row r="92" spans="1:22" x14ac:dyDescent="0.3">
      <c r="A92" s="2"/>
    </row>
    <row r="93" spans="1:22" x14ac:dyDescent="0.3">
      <c r="A93" s="2"/>
    </row>
    <row r="94" spans="1:22" x14ac:dyDescent="0.3">
      <c r="A94" s="2"/>
    </row>
    <row r="95" spans="1:22" x14ac:dyDescent="0.3">
      <c r="A95" s="2"/>
    </row>
    <row r="96" spans="1:22" x14ac:dyDescent="0.3">
      <c r="A96" s="2"/>
      <c r="G96" s="251" t="s">
        <v>16</v>
      </c>
      <c r="H96" s="252"/>
      <c r="I96" s="252"/>
      <c r="J96" s="252"/>
      <c r="K96" s="252"/>
    </row>
    <row r="97" spans="1:12" x14ac:dyDescent="0.3">
      <c r="A97" s="2"/>
      <c r="F97" s="247">
        <f ca="1">T81</f>
        <v>2672510.264163848</v>
      </c>
      <c r="G97" s="248">
        <v>7.4499999999999997E-2</v>
      </c>
      <c r="H97" s="248">
        <v>7.9500000000000001E-2</v>
      </c>
      <c r="I97" s="248">
        <v>8.4561587985595488E-2</v>
      </c>
      <c r="J97" s="248">
        <v>8.9499999999999996E-2</v>
      </c>
      <c r="K97" s="248">
        <v>9.4500000000000001E-2</v>
      </c>
      <c r="L97" s="32"/>
    </row>
    <row r="98" spans="1:12" x14ac:dyDescent="0.3">
      <c r="A98" s="2"/>
      <c r="F98" s="63">
        <v>1.4999999999999999E-2</v>
      </c>
      <c r="G98" s="249">
        <f t="dataTable" ref="G98:K102" dt2D="1" dtr="1" r1="D20" r2="D21" ca="1"/>
        <v>2742612.1309839739</v>
      </c>
      <c r="H98" s="25">
        <v>2525368.8484396925</v>
      </c>
      <c r="I98" s="25">
        <v>2337365.0019647996</v>
      </c>
      <c r="J98" s="25">
        <v>2178651.2198413149</v>
      </c>
      <c r="K98" s="25">
        <v>2038132.9892606258</v>
      </c>
    </row>
    <row r="99" spans="1:12" x14ac:dyDescent="0.3">
      <c r="A99" s="2"/>
      <c r="F99" s="63">
        <v>0.02</v>
      </c>
      <c r="G99" s="250">
        <v>2962198.8076684903</v>
      </c>
      <c r="H99" s="25">
        <v>2708486.4666519701</v>
      </c>
      <c r="I99" s="25">
        <v>2491786.2286947989</v>
      </c>
      <c r="J99" s="25">
        <v>2310877.9935743399</v>
      </c>
      <c r="K99" s="25">
        <v>2152237.5242292206</v>
      </c>
    </row>
    <row r="100" spans="1:12" x14ac:dyDescent="0.3">
      <c r="A100" s="2"/>
      <c r="E100" s="234" t="s">
        <v>17</v>
      </c>
      <c r="F100" s="63">
        <v>2.5000000000000001E-2</v>
      </c>
      <c r="G100" s="250">
        <v>3226146.4291377575</v>
      </c>
      <c r="H100" s="25">
        <v>2925203.6478389772</v>
      </c>
      <c r="I100" s="246">
        <v>2672133.7666519843</v>
      </c>
      <c r="J100" s="25">
        <v>2463605.0423047328</v>
      </c>
      <c r="K100" s="25">
        <v>2282759.9778983328</v>
      </c>
    </row>
    <row r="101" spans="1:12" x14ac:dyDescent="0.3">
      <c r="A101" s="2"/>
      <c r="F101" s="63">
        <v>0.03</v>
      </c>
      <c r="G101" s="250">
        <v>3549408.1228473093</v>
      </c>
      <c r="H101" s="25">
        <v>3185702.077750633</v>
      </c>
      <c r="I101" s="25">
        <v>2885535.243216089</v>
      </c>
      <c r="J101" s="25">
        <v>2642000.5025864528</v>
      </c>
      <c r="K101" s="25">
        <v>2433518.4708959898</v>
      </c>
    </row>
    <row r="102" spans="1:12" x14ac:dyDescent="0.3">
      <c r="A102" s="2"/>
      <c r="F102" s="63">
        <v>3.5000000000000003E-2</v>
      </c>
      <c r="G102" s="250">
        <v>3954508.2200276335</v>
      </c>
      <c r="H102" s="25">
        <v>3504739.4806761434</v>
      </c>
      <c r="I102" s="25">
        <v>3141994.5565521154</v>
      </c>
      <c r="J102" s="25">
        <v>2853129.0748464693</v>
      </c>
      <c r="K102" s="25">
        <v>2609614.5257419925</v>
      </c>
    </row>
    <row r="103" spans="1:12" x14ac:dyDescent="0.3">
      <c r="A103" s="2"/>
      <c r="F103" s="32"/>
    </row>
    <row r="104" spans="1:12" x14ac:dyDescent="0.3">
      <c r="A104" s="2"/>
      <c r="F104" s="32"/>
    </row>
    <row r="105" spans="1:12" x14ac:dyDescent="0.3">
      <c r="A105" s="2"/>
    </row>
    <row r="106" spans="1:12" x14ac:dyDescent="0.3">
      <c r="A106" s="2"/>
    </row>
    <row r="107" spans="1:12" ht="18" x14ac:dyDescent="0.35">
      <c r="A107" s="3" t="s">
        <v>115</v>
      </c>
      <c r="B107" s="58" t="s">
        <v>244</v>
      </c>
      <c r="C107" s="59"/>
      <c r="D107" s="59"/>
      <c r="E107" s="60"/>
      <c r="F107" s="6"/>
      <c r="G107" s="6"/>
      <c r="H107" s="6"/>
      <c r="I107" s="6"/>
      <c r="J107" s="6"/>
      <c r="K107" s="6"/>
      <c r="L107" s="6"/>
    </row>
    <row r="112" spans="1:12" x14ac:dyDescent="0.3">
      <c r="G112" s="251" t="s">
        <v>16</v>
      </c>
      <c r="H112" s="252"/>
      <c r="I112" s="252"/>
      <c r="J112" s="252"/>
      <c r="K112" s="252"/>
    </row>
    <row r="113" spans="5:11" x14ac:dyDescent="0.3">
      <c r="F113" s="247">
        <f ca="1">T87</f>
        <v>214.95364818966652</v>
      </c>
      <c r="G113" s="248">
        <v>7.4499999999999997E-2</v>
      </c>
      <c r="H113" s="248">
        <v>7.9500000000000001E-2</v>
      </c>
      <c r="I113" s="248">
        <v>8.4561587985595488E-2</v>
      </c>
      <c r="J113" s="248">
        <v>8.9499999999999996E-2</v>
      </c>
      <c r="K113" s="248">
        <v>9.4500000000000001E-2</v>
      </c>
    </row>
    <row r="114" spans="5:11" x14ac:dyDescent="0.3">
      <c r="F114" s="63">
        <v>1.4999999999999999E-2</v>
      </c>
      <c r="G114" s="253">
        <f t="dataTable" ref="G114:K118" dt2D="1" dtr="1" r1="D20" r2="D21" ca="1"/>
        <v>220.59746646678801</v>
      </c>
      <c r="H114" s="76">
        <v>203.1074670670391</v>
      </c>
      <c r="I114" s="76">
        <v>187.97150003742047</v>
      </c>
      <c r="J114" s="76">
        <v>175.19364140095925</v>
      </c>
      <c r="K114" s="76">
        <v>163.88068507049559</v>
      </c>
    </row>
    <row r="115" spans="5:11" x14ac:dyDescent="0.3">
      <c r="F115" s="63">
        <v>0.02</v>
      </c>
      <c r="G115" s="254">
        <v>238.27612975352147</v>
      </c>
      <c r="H115" s="76">
        <v>217.85004964591982</v>
      </c>
      <c r="I115" s="76">
        <v>200.40377012275977</v>
      </c>
      <c r="J115" s="76">
        <v>185.8390623600628</v>
      </c>
      <c r="K115" s="76">
        <v>173.06710604856457</v>
      </c>
    </row>
    <row r="116" spans="5:11" x14ac:dyDescent="0.3">
      <c r="E116" s="234" t="s">
        <v>17</v>
      </c>
      <c r="F116" s="63">
        <v>2.5000000000000001E-2</v>
      </c>
      <c r="G116" s="254">
        <v>259.52624016888797</v>
      </c>
      <c r="H116" s="76">
        <v>235.29769324844835</v>
      </c>
      <c r="I116" s="255">
        <v>214.92333682086661</v>
      </c>
      <c r="J116" s="76">
        <v>198.1349361810428</v>
      </c>
      <c r="K116" s="76">
        <v>183.57531421772262</v>
      </c>
    </row>
    <row r="117" spans="5:11" x14ac:dyDescent="0.3">
      <c r="F117" s="63">
        <v>0.03</v>
      </c>
      <c r="G117" s="254">
        <v>285.55165629557274</v>
      </c>
      <c r="H117" s="76">
        <v>256.27011333633629</v>
      </c>
      <c r="I117" s="76">
        <v>232.10403697094347</v>
      </c>
      <c r="J117" s="76">
        <v>212.49734341731363</v>
      </c>
      <c r="K117" s="76">
        <v>195.7127019479905</v>
      </c>
    </row>
    <row r="118" spans="5:11" x14ac:dyDescent="0.3">
      <c r="F118" s="63">
        <v>3.5000000000000003E-2</v>
      </c>
      <c r="G118" s="254">
        <v>318.16578536572206</v>
      </c>
      <c r="H118" s="76">
        <v>281.95543681476079</v>
      </c>
      <c r="I118" s="76">
        <v>252.75127256679136</v>
      </c>
      <c r="J118" s="76">
        <v>229.49505473363411</v>
      </c>
      <c r="K118" s="76">
        <v>209.88998677578235</v>
      </c>
    </row>
  </sheetData>
  <dataValidations count="1">
    <dataValidation type="list" allowBlank="1" showInputMessage="1" showErrorMessage="1" sqref="D13:D16" xr:uid="{AFE28C46-128C-439A-A572-DCB790C37A90}">
      <formula1>"1,2,3"</formula1>
    </dataValidation>
  </dataValidation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1CF0-7BDE-47C5-A30C-6AB53F4256D9}">
  <dimension ref="A1:Q42"/>
  <sheetViews>
    <sheetView showGridLines="0" topLeftCell="B1" workbookViewId="0">
      <selection activeCell="A29" sqref="A29"/>
    </sheetView>
  </sheetViews>
  <sheetFormatPr defaultRowHeight="14.4" x14ac:dyDescent="0.3"/>
  <cols>
    <col min="1" max="1" width="3.77734375" style="3" customWidth="1"/>
    <col min="2" max="2" width="39.21875" style="2" bestFit="1" customWidth="1"/>
    <col min="3" max="3" width="14.21875" style="2" customWidth="1"/>
    <col min="4" max="4" width="15.21875" style="2" customWidth="1"/>
    <col min="5" max="5" width="16.88671875" style="2" customWidth="1"/>
    <col min="6" max="16384" width="8.88671875" style="2"/>
  </cols>
  <sheetData>
    <row r="1" spans="1:17" x14ac:dyDescent="0.3">
      <c r="A1" s="2"/>
    </row>
    <row r="2" spans="1:17" ht="21" x14ac:dyDescent="0.4">
      <c r="A2" s="1"/>
      <c r="B2" s="186" t="s">
        <v>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">
      <c r="A3" s="2"/>
    </row>
    <row r="4" spans="1:17" x14ac:dyDescent="0.3">
      <c r="A4" s="3" t="s">
        <v>115</v>
      </c>
      <c r="B4" s="187" t="s">
        <v>195</v>
      </c>
      <c r="C4" s="188"/>
      <c r="D4" s="188"/>
      <c r="E4" s="188"/>
      <c r="F4" s="188"/>
      <c r="G4" s="188"/>
      <c r="H4" s="188"/>
      <c r="I4" s="188"/>
      <c r="J4" s="188"/>
      <c r="K4" s="188"/>
      <c r="L4" s="188"/>
      <c r="M4" s="188"/>
    </row>
    <row r="5" spans="1:17" ht="5.4" customHeight="1" x14ac:dyDescent="0.3"/>
    <row r="6" spans="1:17" x14ac:dyDescent="0.3">
      <c r="B6" s="2" t="s">
        <v>196</v>
      </c>
      <c r="E6" s="189">
        <v>212.91</v>
      </c>
    </row>
    <row r="7" spans="1:17" x14ac:dyDescent="0.3">
      <c r="B7" s="2" t="s">
        <v>197</v>
      </c>
      <c r="E7" s="201">
        <v>12122</v>
      </c>
    </row>
    <row r="8" spans="1:17" x14ac:dyDescent="0.3">
      <c r="B8" s="2" t="s">
        <v>198</v>
      </c>
      <c r="E8" s="25">
        <f>E31</f>
        <v>0</v>
      </c>
    </row>
    <row r="9" spans="1:17" x14ac:dyDescent="0.3">
      <c r="B9" s="2" t="s">
        <v>199</v>
      </c>
      <c r="E9" s="25">
        <f>SUMPRODUCT(D20:D29,E20:E29)</f>
        <v>0</v>
      </c>
    </row>
    <row r="10" spans="1:17" x14ac:dyDescent="0.3">
      <c r="B10" s="2" t="s">
        <v>200</v>
      </c>
      <c r="E10" s="25">
        <f>E9/E6</f>
        <v>0</v>
      </c>
    </row>
    <row r="11" spans="1:17" x14ac:dyDescent="0.3">
      <c r="B11" s="2" t="s">
        <v>201</v>
      </c>
      <c r="E11" s="25">
        <f>E8-E10</f>
        <v>0</v>
      </c>
    </row>
    <row r="12" spans="1:17" x14ac:dyDescent="0.3">
      <c r="B12" s="2" t="s">
        <v>224</v>
      </c>
      <c r="E12" s="202">
        <f>299+E41</f>
        <v>299</v>
      </c>
    </row>
    <row r="14" spans="1:17" x14ac:dyDescent="0.3">
      <c r="E14" s="16"/>
    </row>
    <row r="15" spans="1:17" x14ac:dyDescent="0.3">
      <c r="B15" s="3" t="s">
        <v>202</v>
      </c>
      <c r="E15" s="190">
        <f>E7+E11+E12</f>
        <v>12421</v>
      </c>
    </row>
    <row r="17" spans="1:5" x14ac:dyDescent="0.3">
      <c r="A17" s="3" t="s">
        <v>115</v>
      </c>
      <c r="B17" s="187" t="s">
        <v>203</v>
      </c>
      <c r="C17" s="188"/>
      <c r="D17" s="188"/>
      <c r="E17" s="188"/>
    </row>
    <row r="18" spans="1:5" ht="6" customHeight="1" x14ac:dyDescent="0.3"/>
    <row r="19" spans="1:5" x14ac:dyDescent="0.3">
      <c r="C19" s="83" t="s">
        <v>204</v>
      </c>
      <c r="D19" s="83" t="s">
        <v>205</v>
      </c>
      <c r="E19" s="83" t="s">
        <v>206</v>
      </c>
    </row>
    <row r="20" spans="1:5" x14ac:dyDescent="0.3">
      <c r="B20" s="191" t="s">
        <v>207</v>
      </c>
      <c r="C20" s="192"/>
      <c r="D20" s="192"/>
      <c r="E20" s="16">
        <f>IF(D20&lt;$E$6,C20)</f>
        <v>0</v>
      </c>
    </row>
    <row r="21" spans="1:5" x14ac:dyDescent="0.3">
      <c r="B21" s="191" t="s">
        <v>208</v>
      </c>
      <c r="C21" s="192"/>
      <c r="D21" s="192"/>
      <c r="E21" s="16">
        <f t="shared" ref="E21:E29" si="0">IF(D21&lt;$E$6,C21)</f>
        <v>0</v>
      </c>
    </row>
    <row r="22" spans="1:5" x14ac:dyDescent="0.3">
      <c r="B22" s="191" t="s">
        <v>209</v>
      </c>
      <c r="C22" s="192"/>
      <c r="D22" s="192"/>
      <c r="E22" s="16">
        <f t="shared" si="0"/>
        <v>0</v>
      </c>
    </row>
    <row r="23" spans="1:5" x14ac:dyDescent="0.3">
      <c r="B23" s="191" t="s">
        <v>210</v>
      </c>
      <c r="C23" s="192"/>
      <c r="D23" s="192"/>
      <c r="E23" s="16">
        <f t="shared" si="0"/>
        <v>0</v>
      </c>
    </row>
    <row r="24" spans="1:5" x14ac:dyDescent="0.3">
      <c r="B24" s="191" t="s">
        <v>211</v>
      </c>
      <c r="C24" s="192"/>
      <c r="D24" s="192"/>
      <c r="E24" s="16">
        <f t="shared" si="0"/>
        <v>0</v>
      </c>
    </row>
    <row r="25" spans="1:5" x14ac:dyDescent="0.3">
      <c r="B25" s="191" t="s">
        <v>212</v>
      </c>
      <c r="C25" s="192"/>
      <c r="D25" s="192"/>
      <c r="E25" s="16">
        <f t="shared" si="0"/>
        <v>0</v>
      </c>
    </row>
    <row r="26" spans="1:5" x14ac:dyDescent="0.3">
      <c r="B26" s="191" t="s">
        <v>213</v>
      </c>
      <c r="C26" s="192"/>
      <c r="D26" s="192"/>
      <c r="E26" s="16">
        <f t="shared" si="0"/>
        <v>0</v>
      </c>
    </row>
    <row r="27" spans="1:5" x14ac:dyDescent="0.3">
      <c r="B27" s="191" t="s">
        <v>214</v>
      </c>
      <c r="C27" s="192"/>
      <c r="D27" s="192"/>
      <c r="E27" s="16">
        <f t="shared" si="0"/>
        <v>0</v>
      </c>
    </row>
    <row r="28" spans="1:5" x14ac:dyDescent="0.3">
      <c r="B28" s="191" t="s">
        <v>215</v>
      </c>
      <c r="C28" s="192"/>
      <c r="D28" s="192"/>
      <c r="E28" s="16">
        <f t="shared" si="0"/>
        <v>0</v>
      </c>
    </row>
    <row r="29" spans="1:5" x14ac:dyDescent="0.3">
      <c r="B29" s="191" t="s">
        <v>216</v>
      </c>
      <c r="C29" s="192"/>
      <c r="D29" s="192"/>
      <c r="E29" s="16">
        <f t="shared" si="0"/>
        <v>0</v>
      </c>
    </row>
    <row r="30" spans="1:5" ht="6" customHeight="1" x14ac:dyDescent="0.3"/>
    <row r="31" spans="1:5" x14ac:dyDescent="0.3">
      <c r="A31" s="3" t="s">
        <v>115</v>
      </c>
      <c r="B31" s="193" t="s">
        <v>130</v>
      </c>
      <c r="C31" s="194"/>
      <c r="D31" s="194"/>
      <c r="E31" s="193">
        <f>SUM(E20:E29)</f>
        <v>0</v>
      </c>
    </row>
    <row r="34" spans="1:5" x14ac:dyDescent="0.3">
      <c r="A34" s="3" t="s">
        <v>115</v>
      </c>
      <c r="B34" s="187" t="s">
        <v>217</v>
      </c>
      <c r="C34" s="187"/>
      <c r="D34" s="187"/>
      <c r="E34" s="187"/>
    </row>
    <row r="35" spans="1:5" ht="4.8" customHeight="1" x14ac:dyDescent="0.3"/>
    <row r="36" spans="1:5" x14ac:dyDescent="0.3">
      <c r="B36" s="2" t="s">
        <v>218</v>
      </c>
      <c r="E36" s="195">
        <v>0</v>
      </c>
    </row>
    <row r="37" spans="1:5" x14ac:dyDescent="0.3">
      <c r="B37" s="2" t="s">
        <v>219</v>
      </c>
      <c r="E37" s="192">
        <v>0</v>
      </c>
    </row>
    <row r="38" spans="1:5" x14ac:dyDescent="0.3">
      <c r="B38" s="2" t="s">
        <v>220</v>
      </c>
      <c r="E38" s="2">
        <f>IFERROR(E36/E39,0)</f>
        <v>0</v>
      </c>
    </row>
    <row r="39" spans="1:5" x14ac:dyDescent="0.3">
      <c r="B39" s="2" t="s">
        <v>221</v>
      </c>
      <c r="E39" s="2">
        <f>E36*E37/1000</f>
        <v>0</v>
      </c>
    </row>
    <row r="41" spans="1:5" x14ac:dyDescent="0.3">
      <c r="B41" s="2" t="s">
        <v>222</v>
      </c>
      <c r="E41" s="196">
        <f>IF(E6&gt;E38,E39,0)</f>
        <v>0</v>
      </c>
    </row>
    <row r="42" spans="1:5" x14ac:dyDescent="0.3">
      <c r="B42" s="2" t="s">
        <v>223</v>
      </c>
      <c r="E42" s="89">
        <f>-E36</f>
        <v>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B9C36-6841-4A7C-A55A-E14CA8B9F12A}">
  <dimension ref="A2:S31"/>
  <sheetViews>
    <sheetView showGridLines="0" workbookViewId="0">
      <selection activeCell="E18" sqref="E18"/>
    </sheetView>
  </sheetViews>
  <sheetFormatPr defaultRowHeight="14.4" x14ac:dyDescent="0.3"/>
  <cols>
    <col min="1" max="1" width="3.77734375" style="2" customWidth="1"/>
    <col min="2" max="2" width="28" style="2" bestFit="1" customWidth="1"/>
    <col min="3" max="3" width="8.88671875" style="2"/>
    <col min="4" max="4" width="12.5546875" style="2" bestFit="1" customWidth="1"/>
    <col min="5" max="5" width="11.21875" style="2" bestFit="1" customWidth="1"/>
    <col min="6" max="6" width="8.44140625" style="2" bestFit="1" customWidth="1"/>
    <col min="7" max="7" width="7.6640625" style="2" bestFit="1" customWidth="1"/>
    <col min="8" max="8" width="14" style="2" bestFit="1" customWidth="1"/>
    <col min="9" max="18" width="8.88671875" style="2"/>
    <col min="19" max="19" width="13.44140625" style="2" bestFit="1" customWidth="1"/>
    <col min="20" max="16384" width="8.88671875" style="2"/>
  </cols>
  <sheetData>
    <row r="2" spans="1:19" ht="25.8" x14ac:dyDescent="0.5">
      <c r="B2" s="80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9" ht="1.8" customHeight="1" x14ac:dyDescent="0.3"/>
    <row r="4" spans="1:19" x14ac:dyDescent="0.3">
      <c r="A4" s="3" t="s">
        <v>115</v>
      </c>
      <c r="B4" s="81" t="s">
        <v>16</v>
      </c>
      <c r="C4" s="82"/>
      <c r="D4" s="82"/>
      <c r="E4" s="82"/>
      <c r="F4" s="8"/>
      <c r="G4" s="83" t="s">
        <v>4</v>
      </c>
    </row>
    <row r="5" spans="1:19" x14ac:dyDescent="0.3">
      <c r="B5" s="2" t="s">
        <v>116</v>
      </c>
      <c r="D5" s="197">
        <f>COMPS!D11*Shares!E15</f>
        <v>2644555.11</v>
      </c>
      <c r="E5" s="89">
        <v>2644555.11</v>
      </c>
      <c r="F5" s="84" t="s">
        <v>2</v>
      </c>
      <c r="G5" s="2" t="s">
        <v>225</v>
      </c>
      <c r="S5" s="42"/>
    </row>
    <row r="6" spans="1:19" x14ac:dyDescent="0.3">
      <c r="B6" s="2" t="s">
        <v>117</v>
      </c>
      <c r="E6" s="85">
        <f>E5/(E5+E12)</f>
        <v>0.99590161790665876</v>
      </c>
      <c r="F6" s="84" t="s">
        <v>2</v>
      </c>
      <c r="G6" s="2" t="s">
        <v>118</v>
      </c>
    </row>
    <row r="7" spans="1:19" x14ac:dyDescent="0.3">
      <c r="B7" s="2" t="s">
        <v>119</v>
      </c>
      <c r="E7" s="85">
        <f>E8+(E9*E10)</f>
        <v>8.1484000000000001E-2</v>
      </c>
      <c r="F7" s="199" t="s">
        <v>2</v>
      </c>
      <c r="G7" s="2" t="s">
        <v>120</v>
      </c>
    </row>
    <row r="8" spans="1:19" x14ac:dyDescent="0.3">
      <c r="B8" s="2" t="s">
        <v>121</v>
      </c>
      <c r="E8" s="203">
        <v>4.2700000000000002E-2</v>
      </c>
      <c r="F8" s="84" t="s">
        <v>2</v>
      </c>
      <c r="G8" s="57" t="s">
        <v>122</v>
      </c>
    </row>
    <row r="9" spans="1:19" x14ac:dyDescent="0.3">
      <c r="B9" s="2" t="s">
        <v>123</v>
      </c>
      <c r="E9" s="86">
        <v>1.01</v>
      </c>
      <c r="F9" s="84"/>
      <c r="G9" s="57"/>
    </row>
    <row r="10" spans="1:19" x14ac:dyDescent="0.3">
      <c r="B10" s="2" t="s">
        <v>124</v>
      </c>
      <c r="E10" s="204">
        <v>3.8399999999999997E-2</v>
      </c>
      <c r="F10" s="84" t="s">
        <v>2</v>
      </c>
      <c r="G10" s="57" t="s">
        <v>226</v>
      </c>
    </row>
    <row r="11" spans="1:19" x14ac:dyDescent="0.3">
      <c r="F11" s="16"/>
      <c r="G11" s="57"/>
    </row>
    <row r="12" spans="1:19" x14ac:dyDescent="0.3">
      <c r="B12" s="2" t="s">
        <v>125</v>
      </c>
      <c r="E12" s="205">
        <v>10883</v>
      </c>
      <c r="F12" s="84" t="s">
        <v>2</v>
      </c>
      <c r="G12" s="57" t="s">
        <v>126</v>
      </c>
      <c r="S12" s="88"/>
    </row>
    <row r="13" spans="1:19" x14ac:dyDescent="0.3">
      <c r="B13" s="2" t="s">
        <v>127</v>
      </c>
      <c r="E13" s="85">
        <f>E12/E5</f>
        <v>4.115247951856825E-3</v>
      </c>
      <c r="F13" s="84" t="s">
        <v>2</v>
      </c>
      <c r="G13" s="57" t="s">
        <v>128</v>
      </c>
    </row>
    <row r="14" spans="1:19" x14ac:dyDescent="0.3">
      <c r="B14" s="2" t="s">
        <v>129</v>
      </c>
      <c r="E14" s="90">
        <f>(295*2)/E12</f>
        <v>5.421299274097216E-2</v>
      </c>
      <c r="F14" s="84" t="s">
        <v>2</v>
      </c>
      <c r="G14" s="2" t="s">
        <v>227</v>
      </c>
    </row>
    <row r="15" spans="1:19" x14ac:dyDescent="0.3">
      <c r="B15" s="1" t="s">
        <v>24</v>
      </c>
      <c r="C15" s="1"/>
      <c r="D15" s="1"/>
      <c r="E15" s="206">
        <v>0.17299999999999999</v>
      </c>
      <c r="F15" s="84" t="s">
        <v>2</v>
      </c>
      <c r="G15" s="57" t="s">
        <v>253</v>
      </c>
    </row>
    <row r="16" spans="1:19" x14ac:dyDescent="0.3">
      <c r="B16" s="2" t="s">
        <v>130</v>
      </c>
      <c r="E16" s="89">
        <f>E5+E12</f>
        <v>2655438.11</v>
      </c>
      <c r="F16" s="84" t="s">
        <v>2</v>
      </c>
      <c r="G16" s="57" t="s">
        <v>131</v>
      </c>
    </row>
    <row r="17" spans="1:9" x14ac:dyDescent="0.3">
      <c r="F17" s="16"/>
    </row>
    <row r="18" spans="1:9" x14ac:dyDescent="0.3">
      <c r="B18" s="3" t="s">
        <v>16</v>
      </c>
      <c r="E18" s="87">
        <f>E6*E7+E13*(1-E15)</f>
        <v>8.4553357489691769E-2</v>
      </c>
      <c r="F18" s="198" t="s">
        <v>2</v>
      </c>
      <c r="G18" s="2" t="s">
        <v>132</v>
      </c>
    </row>
    <row r="21" spans="1:9" x14ac:dyDescent="0.3">
      <c r="A21" s="3" t="s">
        <v>115</v>
      </c>
      <c r="B21" s="245" t="s">
        <v>243</v>
      </c>
    </row>
    <row r="22" spans="1:9" x14ac:dyDescent="0.3">
      <c r="A22" s="3" t="s">
        <v>115</v>
      </c>
      <c r="B22" s="81" t="s">
        <v>123</v>
      </c>
      <c r="C22" s="82"/>
      <c r="D22" s="82"/>
      <c r="E22" s="82"/>
      <c r="F22" s="82"/>
      <c r="G22" s="82"/>
      <c r="H22" s="82"/>
    </row>
    <row r="23" spans="1:9" ht="4.2" customHeight="1" x14ac:dyDescent="0.3"/>
    <row r="24" spans="1:9" x14ac:dyDescent="0.3">
      <c r="B24" s="95" t="s">
        <v>193</v>
      </c>
      <c r="C24" s="94"/>
      <c r="D24" s="95" t="s">
        <v>133</v>
      </c>
      <c r="E24" s="95" t="s">
        <v>134</v>
      </c>
      <c r="F24" s="95" t="s">
        <v>135</v>
      </c>
      <c r="G24" s="95" t="s">
        <v>24</v>
      </c>
      <c r="H24" s="95" t="s">
        <v>136</v>
      </c>
    </row>
    <row r="25" spans="1:9" x14ac:dyDescent="0.3">
      <c r="A25" s="36"/>
      <c r="B25" s="2" t="s">
        <v>152</v>
      </c>
      <c r="D25" s="207">
        <v>1.2</v>
      </c>
      <c r="E25" s="33">
        <f>COMPS!G15</f>
        <v>3445048.13</v>
      </c>
      <c r="F25" s="96">
        <f>9923+9345+82430-36269-19103</f>
        <v>46326</v>
      </c>
      <c r="G25" s="208">
        <v>0.154</v>
      </c>
      <c r="H25" s="97">
        <f>(D25/(1+(1-G25)*(F25/E25)))</f>
        <v>1.1865020330979354</v>
      </c>
      <c r="I25" s="2" t="s">
        <v>137</v>
      </c>
    </row>
    <row r="26" spans="1:9" x14ac:dyDescent="0.3">
      <c r="B26" s="2" t="s">
        <v>153</v>
      </c>
      <c r="D26" s="207">
        <v>1.05</v>
      </c>
      <c r="E26" s="33">
        <f>COMPS!G14</f>
        <v>3766311.07</v>
      </c>
      <c r="F26" s="96">
        <f>2999+39882-28828-50790</f>
        <v>-36737</v>
      </c>
      <c r="G26" s="208">
        <v>0.18</v>
      </c>
      <c r="H26" s="97">
        <f t="shared" ref="H26:H28" si="0">(D26/(1+(1-G26)*(F26/E26)))</f>
        <v>1.0584660000384938</v>
      </c>
    </row>
    <row r="27" spans="1:9" x14ac:dyDescent="0.3">
      <c r="B27" s="2" t="s">
        <v>177</v>
      </c>
      <c r="D27" s="207">
        <v>1.31</v>
      </c>
      <c r="E27" s="33">
        <f>COMPS!G13</f>
        <v>2442264.87</v>
      </c>
      <c r="F27" s="96">
        <f>50718-57741-35439</f>
        <v>-42462</v>
      </c>
      <c r="G27" s="208">
        <v>0.1699</v>
      </c>
      <c r="H27" s="97">
        <f t="shared" si="0"/>
        <v>1.3291832845300962</v>
      </c>
    </row>
    <row r="28" spans="1:9" x14ac:dyDescent="0.3">
      <c r="B28" s="2" t="s">
        <v>179</v>
      </c>
      <c r="D28" s="207">
        <v>1.27</v>
      </c>
      <c r="E28" s="33">
        <f>COMPS!G16</f>
        <v>1855718.91</v>
      </c>
      <c r="F28" s="96">
        <f>28832-12005-35066</f>
        <v>-18239</v>
      </c>
      <c r="G28" s="208">
        <v>0.1</v>
      </c>
      <c r="H28" s="97">
        <f t="shared" si="0"/>
        <v>1.2813342759834767</v>
      </c>
    </row>
    <row r="30" spans="1:9" x14ac:dyDescent="0.3">
      <c r="B30" s="2" t="s">
        <v>138</v>
      </c>
      <c r="D30" s="98">
        <f>AVERAGE(H25:H28)</f>
        <v>1.2138713984125005</v>
      </c>
    </row>
    <row r="31" spans="1:9" x14ac:dyDescent="0.3">
      <c r="B31" s="3" t="s">
        <v>194</v>
      </c>
      <c r="D31" s="99">
        <f>D30*(1+(1-E15)*(E12-DCF!T82)/WACC!E5)</f>
        <v>1.2100173252686877</v>
      </c>
      <c r="F31" s="2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E08F2-484D-43EC-BB1D-362F320C26B6}">
  <dimension ref="A1:AC62"/>
  <sheetViews>
    <sheetView showGridLines="0" topLeftCell="A9" workbookViewId="0">
      <selection activeCell="A27" sqref="A27"/>
    </sheetView>
  </sheetViews>
  <sheetFormatPr defaultColWidth="12.44140625" defaultRowHeight="14.4" outlineLevelRow="1" x14ac:dyDescent="0.3"/>
  <cols>
    <col min="1" max="1" width="4.88671875" style="16" customWidth="1"/>
    <col min="2" max="4" width="12.44140625" style="2"/>
    <col min="5" max="5" width="12.5546875" style="2" bestFit="1" customWidth="1"/>
    <col min="6" max="7" width="14" style="2" bestFit="1" customWidth="1"/>
    <col min="8" max="8" width="12.44140625" style="2"/>
    <col min="9" max="11" width="13.6640625" style="2" bestFit="1" customWidth="1"/>
    <col min="12" max="12" width="13.21875" style="2" bestFit="1" customWidth="1"/>
    <col min="13" max="13" width="12.6640625" style="2" bestFit="1" customWidth="1"/>
    <col min="14" max="14" width="13.21875" style="2" bestFit="1" customWidth="1"/>
    <col min="15" max="15" width="12.6640625" style="2" bestFit="1" customWidth="1"/>
    <col min="16" max="16384" width="12.44140625" style="2"/>
  </cols>
  <sheetData>
    <row r="1" spans="1:29" customFormat="1" x14ac:dyDescent="0.3">
      <c r="A1" s="100"/>
    </row>
    <row r="2" spans="1:29" s="103" customFormat="1" ht="21" x14ac:dyDescent="0.4">
      <c r="A2" s="101"/>
      <c r="B2" s="102" t="s">
        <v>155</v>
      </c>
      <c r="F2" s="104"/>
      <c r="R2" s="104"/>
      <c r="U2" s="104"/>
    </row>
    <row r="3" spans="1:29" customFormat="1" x14ac:dyDescent="0.3">
      <c r="A3" s="100"/>
    </row>
    <row r="4" spans="1:29" customFormat="1" ht="15.6" x14ac:dyDescent="0.3">
      <c r="A4" s="100"/>
      <c r="B4" s="105" t="s">
        <v>145</v>
      </c>
      <c r="C4" s="106">
        <f>DATE(2025,8,30)</f>
        <v>45899</v>
      </c>
      <c r="F4" s="107"/>
    </row>
    <row r="5" spans="1:29" customFormat="1" ht="15.6" x14ac:dyDescent="0.3">
      <c r="A5" s="100"/>
      <c r="B5" s="105" t="s">
        <v>156</v>
      </c>
      <c r="C5" s="108" t="s">
        <v>242</v>
      </c>
    </row>
    <row r="6" spans="1:29" customFormat="1" x14ac:dyDescent="0.3">
      <c r="A6" s="100"/>
    </row>
    <row r="7" spans="1:29" customFormat="1" ht="17.399999999999999" x14ac:dyDescent="0.3">
      <c r="A7" s="100"/>
      <c r="B7" s="109"/>
      <c r="C7" s="110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2" t="s">
        <v>157</v>
      </c>
      <c r="Y7" s="112"/>
      <c r="Z7" s="112"/>
      <c r="AA7" s="112"/>
      <c r="AB7" s="112"/>
      <c r="AC7" s="112"/>
    </row>
    <row r="8" spans="1:29" customFormat="1" ht="17.399999999999999" x14ac:dyDescent="0.3">
      <c r="A8" s="100"/>
      <c r="B8" s="109"/>
      <c r="C8" s="109"/>
      <c r="D8" s="111" t="s">
        <v>158</v>
      </c>
      <c r="E8" s="111" t="s">
        <v>159</v>
      </c>
      <c r="F8" s="111" t="s">
        <v>160</v>
      </c>
      <c r="G8" s="111" t="s">
        <v>161</v>
      </c>
      <c r="H8" s="112"/>
      <c r="I8" s="112" t="s">
        <v>11</v>
      </c>
      <c r="J8" s="112"/>
      <c r="K8" s="112"/>
      <c r="L8" s="112" t="s">
        <v>76</v>
      </c>
      <c r="M8" s="112"/>
      <c r="N8" s="112" t="s">
        <v>162</v>
      </c>
      <c r="O8" s="112"/>
      <c r="P8" s="111"/>
      <c r="Q8" s="112" t="s">
        <v>163</v>
      </c>
      <c r="R8" s="112"/>
      <c r="S8" s="112" t="s">
        <v>164</v>
      </c>
      <c r="T8" s="112"/>
      <c r="U8" s="112" t="s">
        <v>165</v>
      </c>
      <c r="V8" s="112"/>
      <c r="W8" s="111"/>
      <c r="X8" s="112" t="s">
        <v>166</v>
      </c>
      <c r="Y8" s="112"/>
      <c r="Z8" s="112" t="s">
        <v>167</v>
      </c>
      <c r="AA8" s="112"/>
      <c r="AB8" s="112" t="s">
        <v>168</v>
      </c>
      <c r="AC8" s="112"/>
    </row>
    <row r="9" spans="1:29" customFormat="1" ht="15.6" customHeight="1" x14ac:dyDescent="0.3">
      <c r="A9" s="100"/>
      <c r="B9" s="113" t="s">
        <v>140</v>
      </c>
      <c r="C9" s="113" t="s">
        <v>169</v>
      </c>
      <c r="D9" s="114" t="s">
        <v>170</v>
      </c>
      <c r="E9" s="114" t="s">
        <v>171</v>
      </c>
      <c r="F9" s="114" t="s">
        <v>172</v>
      </c>
      <c r="G9" s="114" t="s">
        <v>173</v>
      </c>
      <c r="H9" s="115"/>
      <c r="I9" s="115" t="s">
        <v>174</v>
      </c>
      <c r="J9" s="115">
        <f>I9+1</f>
        <v>25</v>
      </c>
      <c r="K9" s="115">
        <f>J9+1</f>
        <v>26</v>
      </c>
      <c r="L9" s="115" t="s">
        <v>175</v>
      </c>
      <c r="M9" s="115" t="s">
        <v>13</v>
      </c>
      <c r="N9" s="115" t="str">
        <f>L9</f>
        <v>'25</v>
      </c>
      <c r="O9" s="115" t="str">
        <f>M9</f>
        <v>'26</v>
      </c>
      <c r="P9" s="114"/>
      <c r="Q9" s="115" t="s">
        <v>176</v>
      </c>
      <c r="R9" s="115" t="s">
        <v>12</v>
      </c>
      <c r="S9" s="115" t="s">
        <v>175</v>
      </c>
      <c r="T9" s="115" t="s">
        <v>13</v>
      </c>
      <c r="U9" s="115" t="str">
        <f>S9</f>
        <v>'25</v>
      </c>
      <c r="V9" s="115" t="str">
        <f>T9</f>
        <v>'26</v>
      </c>
      <c r="W9" s="115"/>
      <c r="X9" s="115" t="s">
        <v>175</v>
      </c>
      <c r="Y9" s="115" t="s">
        <v>13</v>
      </c>
      <c r="Z9" s="115" t="s">
        <v>175</v>
      </c>
      <c r="AA9" s="115" t="s">
        <v>13</v>
      </c>
      <c r="AB9" s="115" t="s">
        <v>175</v>
      </c>
      <c r="AC9" s="115" t="s">
        <v>13</v>
      </c>
    </row>
    <row r="10" spans="1:29" customFormat="1" ht="5.0999999999999996" customHeight="1" x14ac:dyDescent="0.3">
      <c r="A10" s="100"/>
      <c r="B10" s="116"/>
      <c r="C10" s="116"/>
      <c r="D10" s="117"/>
      <c r="E10" s="117"/>
      <c r="F10" s="117"/>
      <c r="G10" s="117"/>
      <c r="H10" s="117"/>
      <c r="I10" s="117"/>
      <c r="J10" s="117"/>
      <c r="K10" s="117"/>
      <c r="L10" s="117"/>
      <c r="M10" s="117"/>
      <c r="N10" s="117"/>
      <c r="O10" s="117"/>
      <c r="P10" s="117"/>
      <c r="Q10" s="118"/>
      <c r="R10" s="118"/>
      <c r="S10" s="118"/>
      <c r="T10" s="118"/>
      <c r="U10" s="118"/>
      <c r="V10" s="118"/>
      <c r="W10" s="118"/>
      <c r="X10" s="118"/>
      <c r="Y10" s="118"/>
      <c r="Z10" s="118"/>
      <c r="AA10" s="118"/>
      <c r="AB10" s="118"/>
      <c r="AC10" s="118"/>
    </row>
    <row r="11" spans="1:29" customFormat="1" ht="15.6" x14ac:dyDescent="0.3">
      <c r="A11" s="100"/>
      <c r="B11" s="119" t="s">
        <v>154</v>
      </c>
      <c r="C11" s="120" t="str">
        <f>VLOOKUP($B11,[1]Database!$B$8:$O$34,[1]Database!C$4,0)</f>
        <v>Alphabet Inc. Class A</v>
      </c>
      <c r="D11" s="120">
        <f>VLOOKUP($B11,[1]Database!$B$8:$O$34,[1]Database!D$4,0)</f>
        <v>212.91</v>
      </c>
      <c r="E11" s="120">
        <f>VLOOKUP($B11,[1]Database!$B$8:$O$34,[1]Database!E$4,0)</f>
        <v>12198</v>
      </c>
      <c r="F11" s="120">
        <f>VLOOKUP($B11,[1]Database!$B$8:$O$34,[1]Database!F$4,0)</f>
        <v>2524820.14</v>
      </c>
      <c r="G11" s="120">
        <f>VLOOKUP($B11,[1]Database!$B$8:$O$34,[1]Database!G$4,0)</f>
        <v>2578300.14</v>
      </c>
      <c r="H11" s="120"/>
      <c r="I11" s="120">
        <f>VLOOKUP($B11,[1]Database!$B$8:$O$34,[1]Database!I$4,0)</f>
        <v>350018</v>
      </c>
      <c r="J11" s="120">
        <f>VLOOKUP($B11,[1]Database!$B$8:$O$34,[1]Database!J$4,0)</f>
        <v>387817.32</v>
      </c>
      <c r="K11" s="120">
        <f>VLOOKUP($B11,[1]Database!$B$8:$O$34,[1]Database!K$4,0)</f>
        <v>428897.93</v>
      </c>
      <c r="L11" s="120">
        <f>VLOOKUP($B11,[1]Database!$B$8:$O$34,[1]Database!L$4,0)</f>
        <v>172681.77</v>
      </c>
      <c r="M11" s="120">
        <f>VLOOKUP($B11,[1]Database!$B$8:$O$34,[1]Database!M$4,0)</f>
        <v>195965.74</v>
      </c>
      <c r="N11" s="120">
        <f>VLOOKUP($B11,[1]Database!$B$8:$O$34,[1]Database!N$4,0)</f>
        <v>116876.3</v>
      </c>
      <c r="O11" s="120">
        <f>VLOOKUP($B11,[1]Database!$B$8:$O$34,[1]Database!O$4,0)</f>
        <v>122718.11</v>
      </c>
      <c r="P11" s="121"/>
      <c r="Q11" s="122">
        <f>J11/I11-1</f>
        <v>0.1079925032426905</v>
      </c>
      <c r="R11" s="122">
        <f>K11/J11-1</f>
        <v>0.1059277342229068</v>
      </c>
      <c r="S11" s="122">
        <f>L11/J11</f>
        <v>0.44526575037958588</v>
      </c>
      <c r="T11" s="122">
        <f t="shared" ref="T11" si="0">M11/K11</f>
        <v>0.45690530611793811</v>
      </c>
      <c r="U11" s="122">
        <f>N11/J11</f>
        <v>0.30136946952240296</v>
      </c>
      <c r="V11" s="122">
        <f t="shared" ref="V11" si="1">O11/K11</f>
        <v>0.28612427670145202</v>
      </c>
      <c r="W11" s="123"/>
      <c r="X11" s="124">
        <f>$F11/J11</f>
        <v>6.5103336282144388</v>
      </c>
      <c r="Y11" s="124">
        <f>$F11/K11</f>
        <v>5.8867622420094223</v>
      </c>
      <c r="Z11" s="124">
        <f t="shared" ref="Z11:AA11" si="2">$F11/L11</f>
        <v>14.621231528956416</v>
      </c>
      <c r="AA11" s="124">
        <f t="shared" si="2"/>
        <v>12.883987476586469</v>
      </c>
      <c r="AB11" s="124">
        <f>$G11/N11</f>
        <v>22.060076679361</v>
      </c>
      <c r="AC11" s="124">
        <f t="shared" ref="AC11" si="3">$G11/O11</f>
        <v>21.009940097675887</v>
      </c>
    </row>
    <row r="12" spans="1:29" customFormat="1" ht="4.95" customHeight="1" x14ac:dyDescent="0.3">
      <c r="A12" s="100"/>
      <c r="B12" s="125"/>
      <c r="D12" s="126"/>
      <c r="E12" s="127"/>
      <c r="F12" s="127"/>
      <c r="G12" s="127"/>
      <c r="H12" s="128"/>
      <c r="I12" s="127"/>
      <c r="J12" s="127"/>
      <c r="K12" s="127"/>
      <c r="L12" s="127"/>
      <c r="M12" s="127"/>
      <c r="N12" s="127"/>
      <c r="O12" s="127"/>
      <c r="P12" s="128"/>
      <c r="Q12" s="128"/>
      <c r="R12" s="128"/>
      <c r="S12" s="128"/>
      <c r="T12" s="128"/>
      <c r="U12" s="128"/>
      <c r="V12" s="128"/>
      <c r="W12" s="128"/>
      <c r="X12" s="129"/>
      <c r="Y12" s="129"/>
      <c r="Z12" s="129"/>
      <c r="AA12" s="129"/>
      <c r="AB12" s="129"/>
      <c r="AC12" s="129"/>
    </row>
    <row r="13" spans="1:29" customFormat="1" ht="15.6" x14ac:dyDescent="0.3">
      <c r="A13" s="100">
        <v>1</v>
      </c>
      <c r="B13" s="130" t="s">
        <v>177</v>
      </c>
      <c r="C13" t="str">
        <f>VLOOKUP($B13,[1]Database!$B$8:$O$34,[1]Database!C$4,0)</f>
        <v>Amazon.com, Inc.</v>
      </c>
      <c r="D13">
        <f>VLOOKUP($B13,[1]Database!$B$8:$O$34,[1]Database!D$4,0)</f>
        <v>229</v>
      </c>
      <c r="E13">
        <f>VLOOKUP($B13,[1]Database!$B$8:$O$34,[1]Database!E$4,0)</f>
        <v>10806</v>
      </c>
      <c r="F13">
        <f>VLOOKUP($B13,[1]Database!$B$8:$O$34,[1]Database!F$4,0)</f>
        <v>2508654.87</v>
      </c>
      <c r="G13">
        <f>VLOOKUP($B13,[1]Database!$B$8:$O$34,[1]Database!G$4,0)</f>
        <v>2442264.87</v>
      </c>
      <c r="I13">
        <f>VLOOKUP($B13,[1]Database!$B$8:$O$34,[1]Database!I$4,0)</f>
        <v>637959</v>
      </c>
      <c r="J13">
        <f>VLOOKUP($B13,[1]Database!$B$8:$O$34,[1]Database!J$4,0)</f>
        <v>695217.39</v>
      </c>
      <c r="K13">
        <f>VLOOKUP($B13,[1]Database!$B$8:$O$34,[1]Database!K$4,0)</f>
        <v>762821.81</v>
      </c>
      <c r="L13">
        <f>VLOOKUP($B13,[1]Database!$B$8:$O$34,[1]Database!L$4,0)</f>
        <v>161644.92000000001</v>
      </c>
      <c r="M13">
        <f>VLOOKUP($B13,[1]Database!$B$8:$O$34,[1]Database!M$4,0)</f>
        <v>191295.24</v>
      </c>
      <c r="N13">
        <f>VLOOKUP($B13,[1]Database!$B$8:$O$34,[1]Database!N$4,0)</f>
        <v>67124.19</v>
      </c>
      <c r="O13">
        <f>VLOOKUP($B13,[1]Database!$B$8:$O$34,[1]Database!O$4,0)</f>
        <v>79700.67</v>
      </c>
      <c r="P13" s="123"/>
      <c r="Q13" s="123">
        <f>J13/I13-1</f>
        <v>8.9752460581322691E-2</v>
      </c>
      <c r="R13" s="123">
        <f>K13/J13-1</f>
        <v>9.7242130263743842E-2</v>
      </c>
      <c r="S13" s="123">
        <f>L13/J13</f>
        <v>0.23250989161821745</v>
      </c>
      <c r="T13" s="123">
        <f t="shared" ref="T13:T18" si="4">M13/K13</f>
        <v>0.2507731654919515</v>
      </c>
      <c r="U13" s="123">
        <f>N13/J13</f>
        <v>9.6551367910978181E-2</v>
      </c>
      <c r="V13" s="123">
        <f t="shared" ref="V13:V18" si="5">O13/K13</f>
        <v>0.10448137291722163</v>
      </c>
      <c r="W13" s="123"/>
      <c r="X13" s="129">
        <f>$F13/J13</f>
        <v>3.6084466615543089</v>
      </c>
      <c r="Y13" s="129">
        <f>$F13/K13</f>
        <v>3.2886512120045439</v>
      </c>
      <c r="Z13" s="129">
        <f t="shared" ref="Z13:AA18" si="6">$F13/L13</f>
        <v>15.519540422303404</v>
      </c>
      <c r="AA13" s="129">
        <f t="shared" si="6"/>
        <v>13.114047531972046</v>
      </c>
      <c r="AB13" s="129">
        <f>$G13/N13</f>
        <v>36.384273240392176</v>
      </c>
      <c r="AC13" s="129">
        <f t="shared" ref="AC13:AC18" si="7">$G13/O13</f>
        <v>30.642965360266107</v>
      </c>
    </row>
    <row r="14" spans="1:29" customFormat="1" ht="15.6" x14ac:dyDescent="0.3">
      <c r="A14" s="100">
        <f>A13+1</f>
        <v>2</v>
      </c>
      <c r="B14" s="130" t="s">
        <v>153</v>
      </c>
      <c r="C14" t="str">
        <f>VLOOKUP($B14,[1]Database!$B$8:$O$34,[1]Database!C$4,0)</f>
        <v>Microsoft Corporation</v>
      </c>
      <c r="D14">
        <f>VLOOKUP($B14,[1]Database!$B$8:$O$34,[1]Database!D$4,0)</f>
        <v>506.59</v>
      </c>
      <c r="E14">
        <f>VLOOKUP($B14,[1]Database!$B$8:$O$34,[1]Database!E$4,0)</f>
        <v>7461</v>
      </c>
      <c r="F14">
        <f>VLOOKUP($B14,[1]Database!$B$8:$O$34,[1]Database!F$4,0)</f>
        <v>3783930.07</v>
      </c>
      <c r="G14">
        <f>VLOOKUP($B14,[1]Database!$B$8:$O$34,[1]Database!G$4,0)</f>
        <v>3766311.07</v>
      </c>
      <c r="I14">
        <f>VLOOKUP($B14,[1]Database!$B$8:$O$34,[1]Database!I$4,0)</f>
        <v>245122</v>
      </c>
      <c r="J14">
        <f>VLOOKUP($B14,[1]Database!$B$8:$O$34,[1]Database!J$4,0)</f>
        <v>279029.28000000003</v>
      </c>
      <c r="K14">
        <f>VLOOKUP($B14,[1]Database!$B$8:$O$34,[1]Database!K$4,0)</f>
        <v>316492.86</v>
      </c>
      <c r="L14">
        <f>VLOOKUP($B14,[1]Database!$B$8:$O$34,[1]Database!L$4,0)</f>
        <v>55721.51</v>
      </c>
      <c r="M14">
        <f>VLOOKUP($B14,[1]Database!$B$8:$O$34,[1]Database!M$4,0)</f>
        <v>178744.69</v>
      </c>
      <c r="N14">
        <f>VLOOKUP($B14,[1]Database!$B$8:$O$34,[1]Database!N$4,0)</f>
        <v>99973.45</v>
      </c>
      <c r="O14">
        <f>VLOOKUP($B14,[1]Database!$B$8:$O$34,[1]Database!O$4,0)</f>
        <v>113022.48</v>
      </c>
      <c r="P14" s="123"/>
      <c r="Q14" s="123">
        <f t="shared" ref="Q14:R18" si="8">J14/I14-1</f>
        <v>0.13832817943717823</v>
      </c>
      <c r="R14" s="123">
        <f t="shared" si="8"/>
        <v>0.13426397401735035</v>
      </c>
      <c r="S14" s="123">
        <f t="shared" ref="S14:S18" si="9">L14/J14</f>
        <v>0.19969771631134911</v>
      </c>
      <c r="T14" s="123">
        <f t="shared" si="4"/>
        <v>0.56476689553122938</v>
      </c>
      <c r="U14" s="123">
        <f t="shared" ref="U14:U18" si="10">N14/J14</f>
        <v>0.3582901765721504</v>
      </c>
      <c r="V14" s="123">
        <f t="shared" si="5"/>
        <v>0.35710909876450292</v>
      </c>
      <c r="W14" s="123"/>
      <c r="X14" s="129">
        <f t="shared" ref="X14:Y18" si="11">$F14/J14</f>
        <v>13.561050187994606</v>
      </c>
      <c r="Y14" s="129">
        <f t="shared" si="11"/>
        <v>11.955814958985172</v>
      </c>
      <c r="Z14" s="129">
        <f t="shared" si="6"/>
        <v>67.90788817460259</v>
      </c>
      <c r="AA14" s="129">
        <f t="shared" si="6"/>
        <v>21.169468418894009</v>
      </c>
      <c r="AB14" s="129">
        <f t="shared" ref="AB14:AB18" si="12">$G14/N14</f>
        <v>37.673112911478</v>
      </c>
      <c r="AC14" s="129">
        <f t="shared" si="7"/>
        <v>33.323557136597955</v>
      </c>
    </row>
    <row r="15" spans="1:29" customFormat="1" ht="15.6" x14ac:dyDescent="0.3">
      <c r="A15" s="100">
        <f t="shared" ref="A15:A18" si="13">A14+1</f>
        <v>3</v>
      </c>
      <c r="B15" s="130" t="s">
        <v>178</v>
      </c>
      <c r="C15" t="str">
        <f>VLOOKUP($B15,[1]Database!$B$8:$O$34,[1]Database!C$4,0)</f>
        <v>Apple Inc.</v>
      </c>
      <c r="D15">
        <f>VLOOKUP($B15,[1]Database!$B$8:$O$34,[1]Database!D$4,0)</f>
        <v>232.14</v>
      </c>
      <c r="E15">
        <f>VLOOKUP($B15,[1]Database!$B$8:$O$34,[1]Database!E$4,0)</f>
        <v>14948.18</v>
      </c>
      <c r="F15">
        <f>VLOOKUP($B15,[1]Database!$B$8:$O$34,[1]Database!F$4,0)</f>
        <v>3413760.13</v>
      </c>
      <c r="G15">
        <f>VLOOKUP($B15,[1]Database!$B$8:$O$34,[1]Database!G$4,0)</f>
        <v>3445048.13</v>
      </c>
      <c r="I15">
        <f>VLOOKUP($B15,[1]Database!$B$8:$O$34,[1]Database!I$4,0)</f>
        <v>391035</v>
      </c>
      <c r="J15">
        <f>VLOOKUP($B15,[1]Database!$B$8:$O$34,[1]Database!J$4,0)</f>
        <v>407341.31</v>
      </c>
      <c r="K15">
        <f>VLOOKUP($B15,[1]Database!$B$8:$O$34,[1]Database!K$4,0)</f>
        <v>431340.79</v>
      </c>
      <c r="L15">
        <f>VLOOKUP($B15,[1]Database!$B$8:$O$34,[1]Database!L$4,0)</f>
        <v>139515.15</v>
      </c>
      <c r="M15">
        <f>VLOOKUP($B15,[1]Database!$B$8:$O$34,[1]Database!M$4,0)</f>
        <v>147838.18</v>
      </c>
      <c r="N15">
        <f>VLOOKUP($B15,[1]Database!$B$8:$O$34,[1]Database!N$4,0)</f>
        <v>107818.29</v>
      </c>
      <c r="O15">
        <f>VLOOKUP($B15,[1]Database!$B$8:$O$34,[1]Database!O$4,0)</f>
        <v>114634.61</v>
      </c>
      <c r="P15" s="123"/>
      <c r="Q15" s="123">
        <f t="shared" si="8"/>
        <v>4.1700384876034002E-2</v>
      </c>
      <c r="R15" s="123">
        <f t="shared" si="8"/>
        <v>5.8917373246528681E-2</v>
      </c>
      <c r="S15" s="123">
        <f t="shared" si="9"/>
        <v>0.34250184446060722</v>
      </c>
      <c r="T15" s="123">
        <f t="shared" si="4"/>
        <v>0.34274101459312484</v>
      </c>
      <c r="U15" s="123">
        <f t="shared" si="10"/>
        <v>0.26468783635030779</v>
      </c>
      <c r="V15" s="123">
        <f t="shared" si="5"/>
        <v>0.26576343498605826</v>
      </c>
      <c r="W15" s="123"/>
      <c r="X15" s="129">
        <f t="shared" si="11"/>
        <v>8.3805890691518616</v>
      </c>
      <c r="Y15" s="129">
        <f t="shared" si="11"/>
        <v>7.9142993408993387</v>
      </c>
      <c r="Z15" s="129">
        <f t="shared" si="6"/>
        <v>24.468741423422475</v>
      </c>
      <c r="AA15" s="129">
        <f t="shared" si="6"/>
        <v>23.091194236833815</v>
      </c>
      <c r="AB15" s="129">
        <f t="shared" si="12"/>
        <v>31.952353631280928</v>
      </c>
      <c r="AC15" s="129">
        <f t="shared" si="7"/>
        <v>30.05242596454945</v>
      </c>
    </row>
    <row r="16" spans="1:29" customFormat="1" ht="15.6" x14ac:dyDescent="0.3">
      <c r="A16" s="100">
        <f t="shared" si="13"/>
        <v>4</v>
      </c>
      <c r="B16" s="130" t="s">
        <v>179</v>
      </c>
      <c r="C16" t="str">
        <f>VLOOKUP($B16,[1]Database!$B$8:$O$34,[1]Database!C$4,0)</f>
        <v xml:space="preserve">META Platforms, Inc. </v>
      </c>
      <c r="D16">
        <f>VLOOKUP($B16,[1]Database!$B$8:$O$34,[1]Database!D$4,0)</f>
        <v>738.7</v>
      </c>
      <c r="E16">
        <f>VLOOKUP($B16,[1]Database!$B$8:$O$34,[1]Database!E$4,0)</f>
        <v>2570</v>
      </c>
      <c r="F16">
        <f>VLOOKUP($B16,[1]Database!$B$8:$O$34,[1]Database!F$4,0)</f>
        <v>1858207.91</v>
      </c>
      <c r="G16">
        <f>VLOOKUP($B16,[1]Database!$B$8:$O$34,[1]Database!G$4,0)</f>
        <v>1855718.91</v>
      </c>
      <c r="I16">
        <f>VLOOKUP($B16,[1]Database!$B$8:$O$34,[1]Database!I$4,0)</f>
        <v>164501</v>
      </c>
      <c r="J16">
        <f>VLOOKUP($B16,[1]Database!$B$8:$O$34,[1]Database!J$4,0)</f>
        <v>196001.85</v>
      </c>
      <c r="K16">
        <f>VLOOKUP($B16,[1]Database!$B$8:$O$34,[1]Database!K$4,0)</f>
        <v>227655.15</v>
      </c>
      <c r="L16">
        <f>VLOOKUP($B16,[1]Database!$B$8:$O$34,[1]Database!L$4,0)</f>
        <v>119791.72</v>
      </c>
      <c r="M16">
        <f>VLOOKUP($B16,[1]Database!$B$8:$O$34,[1]Database!M$4,0)</f>
        <v>137842.76</v>
      </c>
      <c r="N16">
        <f>VLOOKUP($B16,[1]Database!$B$8:$O$34,[1]Database!N$4,0)</f>
        <v>71334.179999999993</v>
      </c>
      <c r="O16">
        <f>VLOOKUP($B16,[1]Database!$B$8:$O$34,[1]Database!O$4,0)</f>
        <v>76079.899999999994</v>
      </c>
      <c r="P16" s="123"/>
      <c r="Q16" s="123">
        <f t="shared" si="8"/>
        <v>0.19149336478197698</v>
      </c>
      <c r="R16" s="123">
        <f t="shared" si="8"/>
        <v>0.16149490425728108</v>
      </c>
      <c r="S16" s="123">
        <f t="shared" si="9"/>
        <v>0.61117647614040371</v>
      </c>
      <c r="T16" s="123">
        <f t="shared" si="4"/>
        <v>0.60548931135535489</v>
      </c>
      <c r="U16" s="123">
        <f t="shared" si="10"/>
        <v>0.36394646275022402</v>
      </c>
      <c r="V16" s="123">
        <f t="shared" si="5"/>
        <v>0.3341892331449563</v>
      </c>
      <c r="W16" s="123"/>
      <c r="X16" s="129">
        <f t="shared" si="11"/>
        <v>9.4805631171338423</v>
      </c>
      <c r="Y16" s="129">
        <f t="shared" si="11"/>
        <v>8.1623802931758842</v>
      </c>
      <c r="Z16" s="129">
        <f t="shared" si="6"/>
        <v>15.51198955987943</v>
      </c>
      <c r="AA16" s="129">
        <f t="shared" si="6"/>
        <v>13.480634818977796</v>
      </c>
      <c r="AB16" s="129">
        <f t="shared" si="12"/>
        <v>26.0144423052175</v>
      </c>
      <c r="AC16" s="129">
        <f t="shared" si="7"/>
        <v>24.391710688368413</v>
      </c>
    </row>
    <row r="17" spans="1:29" customFormat="1" ht="15.6" x14ac:dyDescent="0.3">
      <c r="A17" s="100">
        <f t="shared" si="13"/>
        <v>5</v>
      </c>
      <c r="B17" s="130" t="s">
        <v>180</v>
      </c>
      <c r="C17" t="str">
        <f>VLOOKUP($B17,[1]Database!$B$8:$O$34,[1]Database!C$4,0)</f>
        <v>Netflix, Inc.</v>
      </c>
      <c r="D17">
        <f>VLOOKUP($B17,[1]Database!$B$8:$O$34,[1]Database!D$4,0)</f>
        <v>1208.25</v>
      </c>
      <c r="E17">
        <f>VLOOKUP($B17,[1]Database!$B$8:$O$34,[1]Database!E$4,0)</f>
        <v>434.88</v>
      </c>
      <c r="F17">
        <f>VLOOKUP($B17,[1]Database!$B$8:$O$34,[1]Database!F$4,0)</f>
        <v>521960.7</v>
      </c>
      <c r="G17">
        <f>VLOOKUP($B17,[1]Database!$B$8:$O$34,[1]Database!G$4,0)</f>
        <v>513417.26</v>
      </c>
      <c r="I17">
        <f>VLOOKUP($B17,[1]Database!$B$8:$O$34,[1]Database!I$4,0)</f>
        <v>39000.97</v>
      </c>
      <c r="J17">
        <f>VLOOKUP($B17,[1]Database!$B$8:$O$34,[1]Database!J$4,0)</f>
        <v>45061.34</v>
      </c>
      <c r="K17">
        <f>VLOOKUP($B17,[1]Database!$B$8:$O$34,[1]Database!K$4,0)</f>
        <v>50899.07</v>
      </c>
      <c r="L17">
        <f>VLOOKUP($B17,[1]Database!$B$8:$O$34,[1]Database!L$4,0)</f>
        <v>14202.37</v>
      </c>
      <c r="M17">
        <f>VLOOKUP($B17,[1]Database!$B$8:$O$34,[1]Database!M$4,0)</f>
        <v>17142.07</v>
      </c>
      <c r="N17">
        <f>VLOOKUP($B17,[1]Database!$B$8:$O$34,[1]Database!N$4,0)</f>
        <v>11411.88</v>
      </c>
      <c r="O17">
        <f>VLOOKUP($B17,[1]Database!$B$8:$O$34,[1]Database!O$4,0)</f>
        <v>13856.91</v>
      </c>
      <c r="P17" s="123"/>
      <c r="Q17" s="123">
        <f t="shared" si="8"/>
        <v>0.1553902377299845</v>
      </c>
      <c r="R17" s="123">
        <f t="shared" si="8"/>
        <v>0.12955074127844401</v>
      </c>
      <c r="S17" s="123">
        <f t="shared" si="9"/>
        <v>0.31517859877225135</v>
      </c>
      <c r="T17" s="123">
        <f t="shared" si="4"/>
        <v>0.3367855247649908</v>
      </c>
      <c r="U17" s="123">
        <f t="shared" si="10"/>
        <v>0.25325212255117135</v>
      </c>
      <c r="V17" s="123">
        <f t="shared" si="5"/>
        <v>0.27224289166776522</v>
      </c>
      <c r="W17" s="123"/>
      <c r="X17" s="129">
        <f t="shared" si="11"/>
        <v>11.583337290901692</v>
      </c>
      <c r="Y17" s="129">
        <f t="shared" si="11"/>
        <v>10.254818015338984</v>
      </c>
      <c r="Z17" s="129">
        <f t="shared" si="6"/>
        <v>36.751661870518795</v>
      </c>
      <c r="AA17" s="129">
        <f t="shared" si="6"/>
        <v>30.449105621433119</v>
      </c>
      <c r="AB17" s="129">
        <f t="shared" si="12"/>
        <v>44.98971773274868</v>
      </c>
      <c r="AC17" s="129">
        <f t="shared" si="7"/>
        <v>37.051352718607539</v>
      </c>
    </row>
    <row r="18" spans="1:29" customFormat="1" ht="15.6" x14ac:dyDescent="0.3">
      <c r="A18" s="100">
        <f t="shared" si="13"/>
        <v>6</v>
      </c>
      <c r="B18" s="130" t="s">
        <v>181</v>
      </c>
      <c r="C18" t="str">
        <f>VLOOKUP($B18,[1]Database!$B$8:$O$34,[1]Database!C$4,0)</f>
        <v>Salesforce, Inc.</v>
      </c>
      <c r="D18">
        <f>VLOOKUP($B18,[1]Database!$B$8:$O$34,[1]Database!D$4,0)</f>
        <v>256.25</v>
      </c>
      <c r="E18">
        <f>VLOOKUP($B18,[1]Database!$B$8:$O$34,[1]Database!E$4,0)</f>
        <v>970</v>
      </c>
      <c r="F18">
        <f>VLOOKUP($B18,[1]Database!$B$8:$O$34,[1]Database!F$4,0)</f>
        <v>239587</v>
      </c>
      <c r="G18">
        <f>VLOOKUP($B18,[1]Database!$B$8:$O$34,[1]Database!G$4,0)</f>
        <v>244975</v>
      </c>
      <c r="I18">
        <f>VLOOKUP($B18,[1]Database!$B$8:$O$34,[1]Database!I$4,0)</f>
        <v>37895</v>
      </c>
      <c r="J18">
        <f>VLOOKUP($B18,[1]Database!$B$8:$O$34,[1]Database!J$4,0)</f>
        <v>41237.230000000003</v>
      </c>
      <c r="K18">
        <f>VLOOKUP($B18,[1]Database!$B$8:$O$34,[1]Database!K$4,0)</f>
        <v>44980.81</v>
      </c>
      <c r="L18">
        <f>VLOOKUP($B18,[1]Database!$B$8:$O$34,[1]Database!L$4,0)</f>
        <v>16061.58</v>
      </c>
      <c r="M18">
        <f>VLOOKUP($B18,[1]Database!$B$8:$O$34,[1]Database!M$4,0)</f>
        <v>17698.39</v>
      </c>
      <c r="N18">
        <f>VLOOKUP($B18,[1]Database!$B$8:$O$34,[1]Database!N$4,0)</f>
        <v>10984.53</v>
      </c>
      <c r="O18">
        <f>VLOOKUP($B18,[1]Database!$B$8:$O$34,[1]Database!O$4,0)</f>
        <v>12338.89</v>
      </c>
      <c r="P18" s="123"/>
      <c r="Q18" s="123">
        <f t="shared" si="8"/>
        <v>8.8197123631085894E-2</v>
      </c>
      <c r="R18" s="123">
        <f t="shared" si="8"/>
        <v>9.0781558315143673E-2</v>
      </c>
      <c r="S18" s="123">
        <f t="shared" si="9"/>
        <v>0.3894922137107657</v>
      </c>
      <c r="T18" s="123">
        <f t="shared" si="4"/>
        <v>0.393465346666723</v>
      </c>
      <c r="U18" s="123">
        <f t="shared" si="10"/>
        <v>0.26637409932723416</v>
      </c>
      <c r="V18" s="123">
        <f t="shared" si="5"/>
        <v>0.27431453546523504</v>
      </c>
      <c r="W18" s="123"/>
      <c r="X18" s="129">
        <f t="shared" si="11"/>
        <v>5.8099683223145684</v>
      </c>
      <c r="Y18" s="129">
        <f t="shared" si="11"/>
        <v>5.3264269807502354</v>
      </c>
      <c r="Z18" s="129">
        <f t="shared" si="6"/>
        <v>14.916776556229213</v>
      </c>
      <c r="AA18" s="129">
        <f t="shared" si="6"/>
        <v>13.537220052219439</v>
      </c>
      <c r="AB18" s="129">
        <f t="shared" si="12"/>
        <v>22.301819012738822</v>
      </c>
      <c r="AC18" s="129">
        <f t="shared" si="7"/>
        <v>19.853892854219463</v>
      </c>
    </row>
    <row r="19" spans="1:29" customFormat="1" ht="15.6" x14ac:dyDescent="0.3">
      <c r="A19" s="100"/>
      <c r="B19" s="125"/>
      <c r="P19" s="123"/>
      <c r="Q19" s="123"/>
      <c r="R19" s="123"/>
      <c r="S19" s="123"/>
      <c r="T19" s="123"/>
      <c r="U19" s="123"/>
      <c r="V19" s="123"/>
      <c r="W19" s="123"/>
      <c r="X19" s="129"/>
      <c r="Y19" s="129"/>
      <c r="Z19" s="129"/>
      <c r="AA19" s="129"/>
      <c r="AB19" s="129"/>
      <c r="AC19" s="129"/>
    </row>
    <row r="20" spans="1:29" customFormat="1" ht="15.6" x14ac:dyDescent="0.3">
      <c r="A20" s="100"/>
      <c r="B20" s="125"/>
      <c r="P20" s="123"/>
      <c r="Q20" s="123"/>
      <c r="R20" s="123"/>
      <c r="S20" s="123"/>
      <c r="T20" s="123"/>
      <c r="U20" s="123"/>
      <c r="V20" s="123"/>
      <c r="W20" s="123"/>
      <c r="X20" s="129"/>
      <c r="Y20" s="129"/>
      <c r="Z20" s="129"/>
      <c r="AA20" s="129"/>
      <c r="AB20" s="129"/>
      <c r="AC20" s="129"/>
    </row>
    <row r="21" spans="1:29" customFormat="1" ht="5.0999999999999996" customHeight="1" x14ac:dyDescent="0.3">
      <c r="A21" s="100"/>
      <c r="B21" s="125"/>
      <c r="D21" s="100"/>
      <c r="E21" s="100"/>
      <c r="F21" s="131"/>
      <c r="G21" s="131"/>
      <c r="I21" s="123"/>
      <c r="J21" s="123"/>
      <c r="K21" s="123"/>
      <c r="L21" s="123"/>
      <c r="M21" s="123"/>
      <c r="N21" s="123"/>
      <c r="O21" s="123"/>
      <c r="P21" s="123"/>
      <c r="Q21" s="123"/>
      <c r="R21" s="123"/>
      <c r="S21" s="123"/>
      <c r="T21" s="123"/>
      <c r="U21" s="123"/>
      <c r="V21" s="123"/>
      <c r="W21" s="123"/>
      <c r="X21" s="129"/>
      <c r="Y21" s="129"/>
      <c r="Z21" s="129"/>
      <c r="AA21" s="129"/>
      <c r="AB21" s="129"/>
      <c r="AC21" s="129"/>
    </row>
    <row r="22" spans="1:29" customFormat="1" ht="15.6" outlineLevel="1" x14ac:dyDescent="0.3">
      <c r="A22" s="100"/>
      <c r="B22" s="132" t="s">
        <v>182</v>
      </c>
      <c r="C22" s="133"/>
      <c r="D22" s="133"/>
      <c r="E22" s="133"/>
      <c r="F22" s="133"/>
      <c r="G22" s="133"/>
      <c r="H22" s="134"/>
      <c r="I22" s="134"/>
      <c r="J22" s="134"/>
      <c r="K22" s="134"/>
      <c r="L22" s="134"/>
      <c r="M22" s="134"/>
      <c r="N22" s="134"/>
      <c r="O22" s="134"/>
      <c r="P22" s="134"/>
      <c r="Q22" s="134">
        <f>AVERAGE(Q11:Q20)</f>
        <v>0.11612203632575326</v>
      </c>
      <c r="R22" s="134">
        <f t="shared" ref="R22:V22" si="14">AVERAGE(R11:R20)</f>
        <v>0.11116834508591407</v>
      </c>
      <c r="S22" s="134">
        <f t="shared" si="14"/>
        <v>0.36226035591331146</v>
      </c>
      <c r="T22" s="134">
        <f t="shared" si="14"/>
        <v>0.42156093778875897</v>
      </c>
      <c r="U22" s="134">
        <f t="shared" si="14"/>
        <v>0.27206736214063842</v>
      </c>
      <c r="V22" s="134">
        <f t="shared" si="14"/>
        <v>0.27060354909245593</v>
      </c>
      <c r="W22" s="134"/>
      <c r="X22" s="135">
        <f t="shared" ref="X22:AC22" si="15">AVERAGE(X11:X20)</f>
        <v>8.4191840396093305</v>
      </c>
      <c r="Y22" s="135">
        <f t="shared" si="15"/>
        <v>7.5413075775947975</v>
      </c>
      <c r="Z22" s="135">
        <f t="shared" si="15"/>
        <v>27.099689933701764</v>
      </c>
      <c r="AA22" s="135">
        <f t="shared" si="15"/>
        <v>18.246522593845242</v>
      </c>
      <c r="AB22" s="135">
        <f t="shared" si="15"/>
        <v>31.625113644745305</v>
      </c>
      <c r="AC22" s="136">
        <f t="shared" si="15"/>
        <v>28.046549260040688</v>
      </c>
    </row>
    <row r="23" spans="1:29" customFormat="1" ht="15.6" outlineLevel="1" x14ac:dyDescent="0.3">
      <c r="A23" s="100"/>
      <c r="B23" s="137" t="s">
        <v>183</v>
      </c>
      <c r="C23" s="138"/>
      <c r="D23" s="138"/>
      <c r="E23" s="138"/>
      <c r="F23" s="138"/>
      <c r="G23" s="138"/>
      <c r="H23" s="139"/>
      <c r="I23" s="139"/>
      <c r="J23" s="139"/>
      <c r="K23" s="139"/>
      <c r="L23" s="139"/>
      <c r="M23" s="139"/>
      <c r="N23" s="139"/>
      <c r="O23" s="139"/>
      <c r="P23" s="139"/>
      <c r="Q23" s="139">
        <f>MEDIAN(Q11:Q20)</f>
        <v>0.1079925032426905</v>
      </c>
      <c r="R23" s="139">
        <f t="shared" ref="R23:V23" si="16">MEDIAN(R11:R20)</f>
        <v>0.1059277342229068</v>
      </c>
      <c r="S23" s="139">
        <f t="shared" si="16"/>
        <v>0.34250184446060722</v>
      </c>
      <c r="T23" s="139">
        <f t="shared" si="16"/>
        <v>0.393465346666723</v>
      </c>
      <c r="U23" s="139">
        <f t="shared" si="16"/>
        <v>0.26637409932723416</v>
      </c>
      <c r="V23" s="139">
        <f t="shared" si="16"/>
        <v>0.27431453546523504</v>
      </c>
      <c r="W23" s="139"/>
      <c r="X23" s="140">
        <f t="shared" ref="X23:AC23" si="17">MEDIAN(X11:X20)</f>
        <v>8.3805890691518616</v>
      </c>
      <c r="Y23" s="140">
        <f t="shared" si="17"/>
        <v>7.9142993408993387</v>
      </c>
      <c r="Z23" s="140">
        <f t="shared" si="17"/>
        <v>15.519540422303404</v>
      </c>
      <c r="AA23" s="140">
        <f t="shared" si="17"/>
        <v>13.537220052219439</v>
      </c>
      <c r="AB23" s="140">
        <f t="shared" si="17"/>
        <v>31.952353631280928</v>
      </c>
      <c r="AC23" s="141">
        <f t="shared" si="17"/>
        <v>30.05242596454945</v>
      </c>
    </row>
    <row r="24" spans="1:29" customFormat="1" ht="15.6" customHeight="1" outlineLevel="1" x14ac:dyDescent="0.3">
      <c r="A24" s="100"/>
      <c r="B24" s="116"/>
      <c r="C24" s="116"/>
      <c r="D24" s="117"/>
      <c r="E24" s="117"/>
      <c r="F24" s="117"/>
      <c r="G24" s="117"/>
      <c r="I24" s="117"/>
      <c r="J24" s="117"/>
      <c r="K24" s="117"/>
      <c r="L24" s="117"/>
      <c r="M24" s="117"/>
      <c r="N24" s="117"/>
      <c r="O24" s="117"/>
      <c r="P24" s="117"/>
      <c r="Q24" s="118"/>
      <c r="R24" s="118"/>
      <c r="S24" s="118"/>
      <c r="T24" s="118"/>
      <c r="U24" s="118"/>
      <c r="V24" s="118"/>
      <c r="W24" s="118"/>
      <c r="X24" s="118"/>
      <c r="Y24" s="118"/>
      <c r="Z24" s="118"/>
      <c r="AA24" s="118"/>
      <c r="AB24" s="118"/>
      <c r="AC24" s="118"/>
    </row>
    <row r="25" spans="1:29" customFormat="1" ht="15.75" customHeight="1" outlineLevel="1" x14ac:dyDescent="0.3">
      <c r="A25" s="142"/>
      <c r="B25" s="109"/>
      <c r="C25" s="109"/>
      <c r="D25" s="112" t="s">
        <v>184</v>
      </c>
      <c r="E25" s="112"/>
      <c r="F25" s="112"/>
      <c r="G25" s="111"/>
      <c r="H25" s="112" t="s">
        <v>185</v>
      </c>
      <c r="I25" s="112"/>
      <c r="J25" s="112"/>
      <c r="K25" s="111"/>
      <c r="L25" s="112" t="s">
        <v>50</v>
      </c>
      <c r="M25" s="112"/>
      <c r="N25" s="112"/>
      <c r="O25" s="111"/>
      <c r="P25" s="111"/>
      <c r="Q25" s="112"/>
      <c r="R25" s="112"/>
      <c r="S25" s="112"/>
      <c r="T25" s="112" t="s">
        <v>54</v>
      </c>
      <c r="U25" s="112"/>
      <c r="V25" s="112"/>
      <c r="W25" s="111"/>
      <c r="X25" s="112" t="s">
        <v>141</v>
      </c>
      <c r="Y25" s="112"/>
      <c r="Z25" s="112"/>
      <c r="AA25" s="111"/>
      <c r="AB25" s="111"/>
      <c r="AC25" s="111"/>
    </row>
    <row r="26" spans="1:29" customFormat="1" ht="15.6" customHeight="1" outlineLevel="1" x14ac:dyDescent="0.3">
      <c r="A26" s="100"/>
      <c r="B26" s="113" t="s">
        <v>186</v>
      </c>
      <c r="C26" s="113"/>
      <c r="D26" s="114" t="s">
        <v>11</v>
      </c>
      <c r="E26" s="114" t="s">
        <v>76</v>
      </c>
      <c r="F26" s="114" t="s">
        <v>187</v>
      </c>
      <c r="G26" s="114"/>
      <c r="H26" s="114" t="s">
        <v>11</v>
      </c>
      <c r="I26" s="114" t="s">
        <v>76</v>
      </c>
      <c r="J26" s="114" t="s">
        <v>188</v>
      </c>
      <c r="K26" s="114"/>
      <c r="L26" s="114" t="s">
        <v>11</v>
      </c>
      <c r="M26" s="114" t="s">
        <v>76</v>
      </c>
      <c r="N26" s="114" t="s">
        <v>162</v>
      </c>
      <c r="O26" s="114"/>
      <c r="P26" s="114" t="s">
        <v>189</v>
      </c>
      <c r="Q26" s="114" t="s">
        <v>125</v>
      </c>
      <c r="R26" s="114" t="s">
        <v>190</v>
      </c>
      <c r="S26" s="114"/>
      <c r="T26" s="114" t="s">
        <v>11</v>
      </c>
      <c r="U26" s="114" t="s">
        <v>76</v>
      </c>
      <c r="V26" s="114" t="s">
        <v>162</v>
      </c>
      <c r="W26" s="114"/>
      <c r="X26" s="114" t="s">
        <v>11</v>
      </c>
      <c r="Y26" s="114" t="s">
        <v>76</v>
      </c>
      <c r="Z26" s="114" t="s">
        <v>162</v>
      </c>
      <c r="AA26" s="114"/>
      <c r="AB26" s="114"/>
      <c r="AC26" s="114"/>
    </row>
    <row r="27" spans="1:29" customFormat="1" ht="15.6" customHeight="1" outlineLevel="1" x14ac:dyDescent="0.3">
      <c r="A27" s="100"/>
      <c r="B27" s="116" t="s">
        <v>191</v>
      </c>
      <c r="C27" s="116"/>
      <c r="D27" s="143">
        <f>MIN(Y13:Y20)</f>
        <v>3.2886512120045439</v>
      </c>
      <c r="E27" s="143">
        <f>MIN(AA13:AA20)</f>
        <v>13.114047531972046</v>
      </c>
      <c r="F27" s="143">
        <f>MIN(AC13:AC20)</f>
        <v>19.853892854219463</v>
      </c>
      <c r="G27" s="117"/>
      <c r="H27" s="131">
        <v>428897.93</v>
      </c>
      <c r="I27" s="131">
        <v>195965.74</v>
      </c>
      <c r="J27" s="144">
        <v>9.39</v>
      </c>
      <c r="L27" s="131">
        <f>D27*H27</f>
        <v>1410495.69732074</v>
      </c>
      <c r="M27" s="131">
        <f>E27*I27</f>
        <v>2569904.0289980755</v>
      </c>
      <c r="N27" s="131" t="s">
        <v>112</v>
      </c>
      <c r="P27" s="145">
        <v>95148</v>
      </c>
      <c r="Q27" s="145">
        <v>23607</v>
      </c>
      <c r="R27" s="146">
        <v>12421</v>
      </c>
      <c r="S27" s="147"/>
      <c r="T27" s="148">
        <f>L27+P27-Q27</f>
        <v>1482036.69732074</v>
      </c>
      <c r="U27" s="148">
        <f t="shared" ref="U27:U30" si="18">M27+Q27-R27</f>
        <v>2581090.0289980755</v>
      </c>
      <c r="V27" s="148">
        <f>J27*R27*F27</f>
        <v>2315622.8575058212</v>
      </c>
      <c r="W27" s="118"/>
      <c r="X27" s="149">
        <f>T27/$R27</f>
        <v>119.31701934793817</v>
      </c>
      <c r="Y27" s="149">
        <f t="shared" ref="Y27:Z30" si="19">U27/$R27</f>
        <v>207.80050148925815</v>
      </c>
      <c r="Z27" s="149">
        <f t="shared" si="19"/>
        <v>186.42805390112076</v>
      </c>
      <c r="AB27" s="118"/>
      <c r="AC27" s="118"/>
    </row>
    <row r="28" spans="1:29" customFormat="1" ht="15.6" customHeight="1" outlineLevel="1" x14ac:dyDescent="0.3">
      <c r="A28" s="100"/>
      <c r="B28" s="116" t="s">
        <v>182</v>
      </c>
      <c r="C28" s="116"/>
      <c r="D28" s="143">
        <f>Y22</f>
        <v>7.5413075775947975</v>
      </c>
      <c r="E28" s="143">
        <f>AA22</f>
        <v>18.246522593845242</v>
      </c>
      <c r="F28" s="143">
        <f>AC22</f>
        <v>28.046549260040688</v>
      </c>
      <c r="G28" s="117"/>
      <c r="H28" s="131">
        <v>428897.93</v>
      </c>
      <c r="I28" s="131">
        <v>195965.74</v>
      </c>
      <c r="J28" s="144">
        <v>9.39</v>
      </c>
      <c r="K28" s="131"/>
      <c r="L28" s="131">
        <f t="shared" ref="L28:M30" si="20">D28*H28</f>
        <v>3234451.209523723</v>
      </c>
      <c r="M28" s="131">
        <f t="shared" si="20"/>
        <v>3575693.3025296023</v>
      </c>
      <c r="N28" s="131" t="s">
        <v>112</v>
      </c>
      <c r="P28" s="145">
        <v>95148</v>
      </c>
      <c r="Q28" s="145">
        <v>23607</v>
      </c>
      <c r="R28" s="150">
        <v>12421</v>
      </c>
      <c r="T28" s="148">
        <f t="shared" ref="T28:T30" si="21">L28+P28-Q28</f>
        <v>3305992.209523723</v>
      </c>
      <c r="U28" s="148">
        <f t="shared" si="18"/>
        <v>3586879.3025296023</v>
      </c>
      <c r="V28" s="148">
        <f t="shared" ref="V28:V30" si="22">J28*R28*F28</f>
        <v>3271158.508690685</v>
      </c>
      <c r="W28" s="118"/>
      <c r="X28" s="149">
        <f t="shared" ref="X28:X30" si="23">T28/$R28</f>
        <v>266.16151755283175</v>
      </c>
      <c r="Y28" s="149">
        <f t="shared" si="19"/>
        <v>288.77540476045425</v>
      </c>
      <c r="Z28" s="149">
        <f t="shared" si="19"/>
        <v>263.35709755178209</v>
      </c>
      <c r="AA28" s="118"/>
      <c r="AB28" s="118"/>
      <c r="AC28" s="118"/>
    </row>
    <row r="29" spans="1:29" customFormat="1" ht="15.6" customHeight="1" outlineLevel="1" x14ac:dyDescent="0.3">
      <c r="A29" s="100"/>
      <c r="B29" s="116" t="s">
        <v>183</v>
      </c>
      <c r="C29" s="116"/>
      <c r="D29" s="143">
        <f>Y23</f>
        <v>7.9142993408993387</v>
      </c>
      <c r="E29" s="143">
        <f>AA23</f>
        <v>13.537220052219439</v>
      </c>
      <c r="F29" s="143">
        <f>AC23</f>
        <v>30.05242596454945</v>
      </c>
      <c r="G29" s="117"/>
      <c r="H29" s="131">
        <v>428897.93</v>
      </c>
      <c r="I29" s="131">
        <v>195965.74</v>
      </c>
      <c r="J29" s="144">
        <v>9.39</v>
      </c>
      <c r="K29" s="131"/>
      <c r="L29" s="131">
        <f t="shared" si="20"/>
        <v>3394426.6047120905</v>
      </c>
      <c r="M29" s="131">
        <f t="shared" si="20"/>
        <v>2652831.3450760208</v>
      </c>
      <c r="N29" s="131" t="s">
        <v>112</v>
      </c>
      <c r="P29" s="145">
        <v>95148</v>
      </c>
      <c r="Q29" s="145">
        <v>23607</v>
      </c>
      <c r="R29" s="150">
        <v>12421</v>
      </c>
      <c r="T29" s="148">
        <f t="shared" si="21"/>
        <v>3465967.6047120905</v>
      </c>
      <c r="U29" s="148">
        <f t="shared" si="18"/>
        <v>2664017.3450760208</v>
      </c>
      <c r="V29" s="148">
        <f t="shared" si="22"/>
        <v>3505110.3074842291</v>
      </c>
      <c r="W29" s="118"/>
      <c r="X29" s="149">
        <f t="shared" si="23"/>
        <v>279.04094716303763</v>
      </c>
      <c r="Y29" s="149">
        <f t="shared" si="19"/>
        <v>214.47688149714361</v>
      </c>
      <c r="Z29" s="149">
        <f t="shared" si="19"/>
        <v>282.19227980711935</v>
      </c>
      <c r="AA29" s="118"/>
      <c r="AB29" s="118"/>
      <c r="AC29" s="118"/>
    </row>
    <row r="30" spans="1:29" customFormat="1" ht="15.6" customHeight="1" outlineLevel="1" x14ac:dyDescent="0.3">
      <c r="A30" s="100"/>
      <c r="B30" s="116" t="s">
        <v>192</v>
      </c>
      <c r="C30" s="116"/>
      <c r="D30" s="143">
        <f>MAX(Y13:Y20)</f>
        <v>11.955814958985172</v>
      </c>
      <c r="E30" s="143">
        <f>MAX(AA13:AA20)</f>
        <v>30.449105621433119</v>
      </c>
      <c r="F30" s="143">
        <f>MAX(AC13:AC20)</f>
        <v>37.051352718607539</v>
      </c>
      <c r="G30" s="117"/>
      <c r="H30" s="131">
        <v>428897.93</v>
      </c>
      <c r="I30" s="131">
        <v>195965.74</v>
      </c>
      <c r="J30" s="144">
        <v>9.39</v>
      </c>
      <c r="K30" s="131"/>
      <c r="L30" s="131">
        <f>D30*H30</f>
        <v>5127824.2873717751</v>
      </c>
      <c r="M30" s="131">
        <f t="shared" si="20"/>
        <v>5966981.5154423006</v>
      </c>
      <c r="N30" s="131" t="s">
        <v>112</v>
      </c>
      <c r="P30" s="145">
        <v>95148</v>
      </c>
      <c r="Q30" s="145">
        <v>23607</v>
      </c>
      <c r="R30" s="150">
        <v>12421</v>
      </c>
      <c r="T30" s="148">
        <f t="shared" si="21"/>
        <v>5199365.2873717751</v>
      </c>
      <c r="U30" s="148">
        <f t="shared" si="18"/>
        <v>5978167.5154423006</v>
      </c>
      <c r="V30" s="148">
        <f t="shared" si="22"/>
        <v>4321417.4613863695</v>
      </c>
      <c r="W30" s="118"/>
      <c r="X30" s="149">
        <f t="shared" si="23"/>
        <v>418.59474175765035</v>
      </c>
      <c r="Y30" s="149">
        <f t="shared" si="19"/>
        <v>481.29518681606157</v>
      </c>
      <c r="Z30" s="149">
        <f t="shared" si="19"/>
        <v>347.91220202772479</v>
      </c>
      <c r="AA30" s="118"/>
      <c r="AB30" s="118"/>
      <c r="AC30" s="118"/>
    </row>
    <row r="31" spans="1:29" customFormat="1" ht="15.6" customHeight="1" outlineLevel="1" x14ac:dyDescent="0.3">
      <c r="A31" s="100"/>
      <c r="B31" s="116"/>
      <c r="C31" s="116"/>
      <c r="D31" s="143"/>
      <c r="E31" s="143"/>
      <c r="F31" s="143"/>
      <c r="G31" s="117"/>
      <c r="H31" s="100"/>
      <c r="I31" s="131"/>
      <c r="J31" s="131"/>
      <c r="K31" s="131"/>
      <c r="L31" s="131"/>
      <c r="M31" s="131"/>
      <c r="N31" s="131"/>
      <c r="P31" s="131"/>
      <c r="Q31" s="131"/>
      <c r="R31" s="151"/>
      <c r="U31" s="118"/>
      <c r="V31" s="118"/>
      <c r="W31" s="118"/>
      <c r="X31" s="118"/>
      <c r="Y31" s="118"/>
      <c r="Z31" s="118"/>
      <c r="AA31" s="118"/>
      <c r="AB31" s="118"/>
      <c r="AC31" s="118"/>
    </row>
    <row r="32" spans="1:29" s="157" customFormat="1" ht="15.6" customHeight="1" outlineLevel="1" x14ac:dyDescent="0.3">
      <c r="A32" s="152"/>
      <c r="B32" s="153"/>
      <c r="C32" s="153"/>
      <c r="D32" s="154"/>
      <c r="E32" s="154"/>
      <c r="F32" s="154"/>
      <c r="G32" s="155"/>
      <c r="H32" s="152"/>
      <c r="I32" s="156"/>
      <c r="J32" s="156"/>
      <c r="K32" s="156"/>
      <c r="L32" s="156"/>
      <c r="M32" s="156"/>
      <c r="N32" s="156"/>
      <c r="P32" s="156"/>
      <c r="Q32" s="156"/>
      <c r="R32" s="158"/>
      <c r="U32" s="159"/>
      <c r="V32" s="159"/>
      <c r="W32" s="159"/>
      <c r="X32" s="159"/>
      <c r="Y32" s="159"/>
      <c r="Z32" s="159"/>
      <c r="AA32" s="159"/>
      <c r="AB32" s="159"/>
      <c r="AC32" s="159"/>
    </row>
    <row r="33" spans="2:29" ht="15.6" customHeight="1" x14ac:dyDescent="0.3">
      <c r="B33" s="160"/>
      <c r="C33" s="160"/>
      <c r="D33" s="161"/>
      <c r="E33" s="161"/>
      <c r="F33" s="161"/>
      <c r="G33" s="161"/>
      <c r="H33" s="160"/>
      <c r="I33" s="160"/>
      <c r="J33" s="161"/>
      <c r="K33" s="161"/>
      <c r="L33" s="161"/>
      <c r="M33" s="161"/>
      <c r="N33" s="160"/>
      <c r="O33" s="160"/>
      <c r="P33" s="162"/>
      <c r="Q33" s="163"/>
      <c r="R33" s="163"/>
      <c r="S33" s="163"/>
      <c r="T33" s="163"/>
      <c r="U33" s="163"/>
      <c r="V33" s="163"/>
      <c r="W33" s="163"/>
      <c r="X33" s="163"/>
      <c r="Y33" s="163"/>
      <c r="Z33" s="163"/>
      <c r="AA33" s="163"/>
      <c r="AB33" s="163"/>
      <c r="AC33" s="163"/>
    </row>
    <row r="34" spans="2:29" ht="15.6" customHeight="1" x14ac:dyDescent="0.3">
      <c r="B34" s="164"/>
      <c r="C34" s="165"/>
      <c r="D34" s="162"/>
      <c r="E34" s="162"/>
      <c r="F34" s="162"/>
      <c r="G34" s="162"/>
      <c r="H34" s="162"/>
      <c r="I34" s="162"/>
      <c r="J34" s="162"/>
      <c r="K34" s="162"/>
      <c r="L34" s="162"/>
      <c r="M34" s="162"/>
      <c r="N34" s="162"/>
      <c r="O34" s="162"/>
      <c r="P34" s="162"/>
      <c r="Q34" s="162"/>
      <c r="R34" s="162"/>
      <c r="S34" s="162"/>
      <c r="T34" s="162"/>
      <c r="U34" s="162"/>
      <c r="V34" s="162"/>
      <c r="W34" s="162"/>
      <c r="X34" s="162"/>
      <c r="Y34" s="162"/>
      <c r="Z34" s="162"/>
      <c r="AA34" s="162"/>
      <c r="AB34" s="162"/>
      <c r="AC34" s="162"/>
    </row>
    <row r="35" spans="2:29" ht="15.6" customHeight="1" x14ac:dyDescent="0.3">
      <c r="B35" s="164"/>
      <c r="C35" s="164"/>
      <c r="D35" s="162"/>
      <c r="E35" s="162"/>
      <c r="F35" s="162"/>
      <c r="G35" s="162"/>
      <c r="H35" s="166"/>
      <c r="I35" s="167"/>
      <c r="J35" s="166"/>
      <c r="K35" s="166"/>
      <c r="L35" s="166"/>
      <c r="M35" s="166"/>
      <c r="N35" s="166"/>
      <c r="O35" s="166"/>
      <c r="P35" s="162"/>
      <c r="Q35" s="162"/>
      <c r="R35" s="162"/>
      <c r="S35" s="162"/>
      <c r="T35" s="162"/>
      <c r="U35" s="162"/>
      <c r="V35" s="162"/>
      <c r="W35" s="162"/>
      <c r="X35" s="162"/>
      <c r="Y35" s="162"/>
      <c r="Z35" s="162"/>
      <c r="AA35" s="162"/>
      <c r="AB35" s="162"/>
      <c r="AC35" s="162"/>
    </row>
    <row r="36" spans="2:29" ht="15.6" customHeight="1" x14ac:dyDescent="0.3">
      <c r="B36" s="164"/>
      <c r="C36" s="164"/>
      <c r="D36" s="162"/>
      <c r="E36" s="162"/>
      <c r="F36" s="162"/>
      <c r="G36" s="162"/>
      <c r="H36" s="163"/>
      <c r="I36" s="163"/>
      <c r="J36" s="163"/>
      <c r="K36" s="163"/>
      <c r="L36" s="163"/>
      <c r="M36" s="163"/>
      <c r="N36" s="163"/>
      <c r="O36" s="163"/>
      <c r="P36" s="162"/>
      <c r="Q36" s="162"/>
      <c r="R36" s="162"/>
      <c r="S36" s="162"/>
      <c r="T36" s="162"/>
      <c r="U36" s="162"/>
      <c r="V36" s="162"/>
      <c r="W36" s="162"/>
      <c r="X36" s="162"/>
      <c r="Y36" s="162"/>
      <c r="Z36" s="162"/>
      <c r="AA36" s="162"/>
      <c r="AB36" s="162"/>
      <c r="AC36" s="162"/>
    </row>
    <row r="37" spans="2:29" ht="15.6" customHeight="1" x14ac:dyDescent="0.3">
      <c r="B37" s="130"/>
      <c r="D37" s="168"/>
      <c r="E37" s="169"/>
      <c r="F37" s="170"/>
      <c r="G37" s="170"/>
      <c r="H37" s="169"/>
      <c r="I37" s="171"/>
      <c r="J37" s="171"/>
      <c r="K37" s="172"/>
      <c r="L37" s="172"/>
      <c r="M37" s="172"/>
      <c r="N37" s="172"/>
      <c r="O37" s="172"/>
      <c r="P37" s="173"/>
      <c r="Q37" s="173"/>
      <c r="R37" s="174"/>
      <c r="S37" s="174"/>
      <c r="T37" s="174"/>
      <c r="U37" s="174"/>
      <c r="V37" s="174"/>
      <c r="W37" s="174"/>
      <c r="X37" s="174"/>
      <c r="Y37" s="174"/>
      <c r="Z37" s="174"/>
      <c r="AA37" s="174"/>
      <c r="AB37" s="163"/>
      <c r="AC37" s="163"/>
    </row>
    <row r="38" spans="2:29" ht="15.6" customHeight="1" x14ac:dyDescent="0.3">
      <c r="B38" s="130"/>
      <c r="D38" s="168"/>
      <c r="E38" s="170"/>
      <c r="F38" s="170"/>
      <c r="G38" s="170"/>
      <c r="H38" s="169"/>
      <c r="I38" s="175"/>
      <c r="J38" s="175"/>
      <c r="K38" s="175"/>
      <c r="L38" s="175"/>
      <c r="M38" s="175"/>
      <c r="N38" s="175"/>
      <c r="O38" s="175"/>
      <c r="P38" s="173"/>
      <c r="Q38" s="173"/>
      <c r="R38" s="173"/>
      <c r="S38" s="173"/>
      <c r="T38" s="174"/>
      <c r="U38" s="174"/>
      <c r="V38" s="174"/>
      <c r="W38" s="174"/>
      <c r="X38" s="174"/>
      <c r="Y38" s="174"/>
      <c r="Z38" s="174"/>
      <c r="AA38" s="174"/>
      <c r="AB38" s="163"/>
      <c r="AC38" s="163"/>
    </row>
    <row r="39" spans="2:29" ht="15.6" customHeight="1" x14ac:dyDescent="0.3">
      <c r="B39" s="130"/>
      <c r="D39" s="168"/>
      <c r="E39" s="170"/>
      <c r="F39" s="170"/>
      <c r="G39" s="170"/>
      <c r="H39" s="169"/>
      <c r="I39" s="175"/>
      <c r="J39" s="175"/>
      <c r="K39" s="175"/>
      <c r="L39" s="175"/>
      <c r="M39" s="175"/>
      <c r="N39" s="175"/>
      <c r="O39" s="175"/>
      <c r="P39" s="173"/>
      <c r="Q39" s="173"/>
      <c r="R39" s="173"/>
      <c r="S39" s="173"/>
      <c r="T39" s="163"/>
      <c r="U39" s="163"/>
      <c r="V39" s="163"/>
      <c r="W39" s="163"/>
      <c r="X39" s="163"/>
      <c r="Y39" s="163"/>
      <c r="Z39" s="163"/>
      <c r="AA39" s="163"/>
      <c r="AB39" s="163"/>
      <c r="AC39" s="163"/>
    </row>
    <row r="40" spans="2:29" ht="15.6" customHeight="1" x14ac:dyDescent="0.3">
      <c r="B40" s="130"/>
      <c r="D40" s="169"/>
      <c r="E40" s="175"/>
      <c r="F40" s="170"/>
      <c r="G40" s="170"/>
      <c r="H40" s="169"/>
      <c r="I40" s="175"/>
      <c r="J40" s="175"/>
      <c r="K40" s="175"/>
      <c r="L40" s="175"/>
      <c r="M40" s="175"/>
      <c r="N40" s="175"/>
      <c r="O40" s="175"/>
      <c r="P40" s="173"/>
      <c r="Q40" s="173"/>
      <c r="R40" s="173"/>
      <c r="S40" s="173"/>
      <c r="T40" s="163"/>
      <c r="U40" s="163"/>
      <c r="V40" s="163"/>
      <c r="W40" s="163"/>
      <c r="X40" s="163"/>
      <c r="Y40" s="163"/>
      <c r="Z40" s="163"/>
      <c r="AA40" s="163"/>
      <c r="AB40" s="163"/>
      <c r="AC40" s="163"/>
    </row>
    <row r="41" spans="2:29" ht="15.6" x14ac:dyDescent="0.3">
      <c r="B41" s="130"/>
      <c r="D41" s="169"/>
      <c r="E41" s="175"/>
      <c r="F41" s="170"/>
      <c r="G41" s="170"/>
      <c r="H41" s="169"/>
      <c r="I41" s="175"/>
      <c r="J41" s="175"/>
      <c r="K41" s="175"/>
      <c r="L41" s="175"/>
      <c r="M41" s="175"/>
      <c r="N41" s="175"/>
      <c r="O41" s="175"/>
      <c r="P41" s="173"/>
      <c r="Q41" s="173"/>
      <c r="R41" s="173"/>
      <c r="S41" s="173"/>
      <c r="T41" s="163"/>
      <c r="U41" s="163"/>
      <c r="V41" s="163"/>
      <c r="W41" s="163"/>
      <c r="X41" s="163"/>
      <c r="Y41" s="163"/>
      <c r="Z41" s="163"/>
      <c r="AA41" s="163"/>
      <c r="AB41" s="163"/>
      <c r="AC41" s="163"/>
    </row>
    <row r="42" spans="2:29" ht="15.6" x14ac:dyDescent="0.3">
      <c r="B42" s="130"/>
      <c r="D42" s="169"/>
      <c r="E42" s="176"/>
      <c r="F42" s="170"/>
      <c r="G42" s="170"/>
      <c r="H42" s="169"/>
      <c r="I42" s="175"/>
      <c r="J42" s="175"/>
      <c r="K42" s="175"/>
      <c r="L42" s="175"/>
      <c r="M42" s="175"/>
      <c r="N42" s="175"/>
      <c r="O42" s="175"/>
      <c r="P42" s="173"/>
      <c r="Q42" s="173"/>
      <c r="R42" s="173"/>
      <c r="S42" s="173"/>
      <c r="T42" s="163"/>
      <c r="U42" s="163"/>
      <c r="V42" s="163"/>
      <c r="W42" s="163"/>
      <c r="X42" s="163"/>
      <c r="Y42" s="163"/>
      <c r="Z42" s="163"/>
      <c r="AA42" s="163"/>
      <c r="AB42" s="163"/>
      <c r="AC42" s="163"/>
    </row>
    <row r="43" spans="2:29" ht="15.6" x14ac:dyDescent="0.3">
      <c r="B43" s="130"/>
      <c r="D43" s="169"/>
      <c r="E43" s="175"/>
      <c r="F43" s="170"/>
      <c r="G43" s="170"/>
      <c r="H43" s="169"/>
      <c r="I43" s="175"/>
      <c r="J43" s="175"/>
      <c r="K43" s="175"/>
      <c r="L43" s="175"/>
      <c r="M43" s="175"/>
      <c r="N43" s="175"/>
      <c r="O43" s="175"/>
      <c r="P43" s="173"/>
      <c r="Q43" s="173"/>
      <c r="R43" s="173"/>
      <c r="S43" s="177"/>
      <c r="T43" s="163"/>
      <c r="U43" s="163"/>
      <c r="V43" s="163"/>
      <c r="W43" s="163"/>
      <c r="X43" s="163"/>
      <c r="Y43" s="163"/>
      <c r="Z43" s="163"/>
      <c r="AA43" s="163"/>
      <c r="AB43" s="163"/>
      <c r="AC43" s="163"/>
    </row>
    <row r="44" spans="2:29" ht="15.6" x14ac:dyDescent="0.3">
      <c r="B44" s="130"/>
      <c r="D44" s="169"/>
      <c r="E44" s="178"/>
      <c r="F44" s="170"/>
      <c r="G44" s="170"/>
      <c r="H44" s="169"/>
      <c r="I44" s="175"/>
      <c r="J44" s="175"/>
      <c r="K44" s="175"/>
      <c r="L44" s="175"/>
      <c r="M44" s="175"/>
      <c r="N44" s="175"/>
      <c r="O44" s="175"/>
      <c r="P44" s="173"/>
      <c r="Q44" s="173"/>
    </row>
    <row r="45" spans="2:29" ht="15.6" x14ac:dyDescent="0.3">
      <c r="B45" s="130"/>
      <c r="D45" s="169"/>
      <c r="E45" s="175"/>
      <c r="F45" s="170"/>
      <c r="G45" s="170"/>
      <c r="H45" s="169"/>
      <c r="I45" s="175"/>
      <c r="J45" s="175"/>
      <c r="K45" s="175"/>
      <c r="L45" s="175"/>
      <c r="M45" s="175"/>
      <c r="N45" s="175"/>
      <c r="O45" s="175"/>
      <c r="P45" s="173"/>
      <c r="Q45" s="173"/>
      <c r="R45" s="173"/>
      <c r="S45" s="173"/>
      <c r="T45" s="163"/>
      <c r="U45" s="163"/>
      <c r="V45" s="163"/>
      <c r="W45" s="163"/>
      <c r="X45" s="163"/>
      <c r="Y45" s="163"/>
      <c r="Z45" s="163"/>
      <c r="AA45" s="163"/>
      <c r="AB45" s="163"/>
      <c r="AC45" s="163"/>
    </row>
    <row r="46" spans="2:29" ht="15.6" x14ac:dyDescent="0.3">
      <c r="B46" s="130"/>
      <c r="D46" s="169"/>
      <c r="E46" s="175"/>
      <c r="F46" s="170"/>
      <c r="G46" s="170"/>
      <c r="H46" s="169"/>
      <c r="I46" s="175"/>
      <c r="J46" s="175"/>
      <c r="K46" s="175"/>
      <c r="L46" s="175"/>
      <c r="M46" s="175"/>
      <c r="N46" s="175"/>
      <c r="O46" s="175"/>
      <c r="T46" s="163"/>
      <c r="U46" s="163"/>
      <c r="V46" s="163"/>
      <c r="W46" s="163"/>
      <c r="X46" s="163"/>
      <c r="Y46" s="163"/>
      <c r="Z46" s="163"/>
      <c r="AA46" s="163"/>
      <c r="AB46" s="163"/>
      <c r="AC46" s="163"/>
    </row>
    <row r="47" spans="2:29" ht="15.6" x14ac:dyDescent="0.3">
      <c r="B47" s="130"/>
      <c r="D47" s="169"/>
      <c r="E47" s="175"/>
      <c r="F47" s="170"/>
      <c r="G47" s="170"/>
      <c r="H47" s="169"/>
      <c r="I47" s="175"/>
      <c r="J47" s="175"/>
      <c r="K47" s="175"/>
      <c r="L47" s="175"/>
      <c r="M47" s="175"/>
      <c r="N47" s="175"/>
      <c r="O47" s="175"/>
      <c r="P47" s="173"/>
      <c r="Q47" s="173"/>
      <c r="R47" s="173"/>
      <c r="S47" s="173"/>
      <c r="T47" s="163"/>
      <c r="U47" s="163"/>
      <c r="V47" s="163"/>
      <c r="W47" s="163"/>
      <c r="X47" s="163"/>
      <c r="Y47" s="163"/>
      <c r="Z47" s="163"/>
      <c r="AA47" s="163"/>
      <c r="AB47" s="163"/>
      <c r="AC47" s="163"/>
    </row>
    <row r="48" spans="2:29" ht="15.6" x14ac:dyDescent="0.3">
      <c r="B48" s="130"/>
      <c r="D48" s="169"/>
      <c r="E48" s="175"/>
      <c r="F48" s="170"/>
      <c r="G48" s="170"/>
      <c r="H48" s="169"/>
      <c r="I48" s="175"/>
      <c r="J48" s="175"/>
      <c r="K48" s="175"/>
      <c r="L48" s="175"/>
      <c r="M48" s="175"/>
      <c r="N48" s="175"/>
      <c r="O48" s="175"/>
      <c r="P48" s="173"/>
      <c r="Q48" s="173"/>
      <c r="R48" s="173"/>
      <c r="S48" s="173"/>
      <c r="T48" s="163"/>
      <c r="U48" s="163"/>
      <c r="V48" s="163"/>
      <c r="W48" s="163"/>
      <c r="X48" s="163"/>
      <c r="Y48" s="163"/>
      <c r="Z48" s="163"/>
      <c r="AA48" s="163"/>
      <c r="AB48" s="163"/>
      <c r="AC48" s="163"/>
    </row>
    <row r="49" spans="2:29" ht="15.6" x14ac:dyDescent="0.3">
      <c r="B49" s="130"/>
      <c r="D49" s="169"/>
      <c r="E49" s="170"/>
      <c r="F49" s="170"/>
      <c r="G49" s="170"/>
      <c r="H49" s="169"/>
      <c r="I49" s="179"/>
      <c r="J49" s="179"/>
      <c r="K49" s="179"/>
      <c r="L49" s="180"/>
      <c r="M49" s="179"/>
      <c r="N49" s="180"/>
      <c r="O49" s="179"/>
      <c r="T49" s="163"/>
      <c r="U49" s="163"/>
      <c r="V49" s="163"/>
      <c r="W49" s="163"/>
      <c r="X49" s="163"/>
      <c r="Y49" s="163"/>
      <c r="Z49" s="163"/>
      <c r="AA49" s="163"/>
      <c r="AB49" s="163"/>
      <c r="AC49" s="163"/>
    </row>
    <row r="50" spans="2:29" ht="15.6" x14ac:dyDescent="0.3">
      <c r="B50" s="130"/>
      <c r="D50" s="55"/>
      <c r="E50" s="181"/>
      <c r="F50" s="170"/>
      <c r="G50" s="170"/>
      <c r="I50" s="170"/>
      <c r="J50" s="170"/>
      <c r="K50" s="170"/>
      <c r="L50" s="170"/>
      <c r="M50" s="170"/>
      <c r="N50" s="170"/>
      <c r="O50" s="170"/>
      <c r="P50" s="182"/>
      <c r="Q50" s="163"/>
      <c r="R50" s="163"/>
      <c r="S50" s="163"/>
      <c r="T50" s="163"/>
      <c r="U50" s="163"/>
      <c r="V50" s="163"/>
      <c r="W50" s="163"/>
      <c r="X50" s="163"/>
      <c r="Y50" s="163"/>
      <c r="Z50" s="163"/>
      <c r="AA50" s="163"/>
      <c r="AB50" s="163"/>
      <c r="AC50" s="163"/>
    </row>
    <row r="51" spans="2:29" ht="15.6" x14ac:dyDescent="0.3">
      <c r="B51" s="130"/>
      <c r="D51" s="169"/>
      <c r="E51" s="175"/>
      <c r="F51" s="183"/>
      <c r="G51" s="183"/>
      <c r="H51" s="169"/>
      <c r="I51" s="175"/>
      <c r="J51" s="175"/>
      <c r="K51" s="175"/>
      <c r="L51" s="175"/>
      <c r="M51" s="175"/>
      <c r="N51" s="175"/>
      <c r="O51" s="175"/>
      <c r="P51" s="173"/>
      <c r="Q51" s="173"/>
      <c r="R51" s="173"/>
      <c r="S51" s="173"/>
      <c r="T51" s="163"/>
      <c r="U51" s="163"/>
      <c r="V51" s="163"/>
      <c r="W51" s="163"/>
      <c r="X51" s="163"/>
      <c r="Y51" s="163"/>
      <c r="Z51" s="163"/>
      <c r="AA51" s="163"/>
      <c r="AB51" s="163"/>
      <c r="AC51" s="163"/>
    </row>
    <row r="52" spans="2:29" ht="15.6" x14ac:dyDescent="0.3">
      <c r="B52" s="130"/>
      <c r="D52" s="169"/>
      <c r="E52" s="170"/>
      <c r="F52" s="183"/>
      <c r="G52" s="183"/>
      <c r="H52" s="169"/>
      <c r="I52" s="168"/>
      <c r="J52" s="168"/>
      <c r="K52" s="168"/>
      <c r="L52" s="168"/>
      <c r="M52" s="168"/>
      <c r="N52" s="168"/>
      <c r="O52" s="168"/>
      <c r="T52" s="163"/>
      <c r="U52" s="163"/>
      <c r="V52" s="163"/>
      <c r="W52" s="163"/>
      <c r="X52" s="163"/>
      <c r="Y52" s="163"/>
      <c r="Z52" s="163"/>
      <c r="AA52" s="163"/>
      <c r="AB52" s="163"/>
      <c r="AC52" s="163"/>
    </row>
    <row r="53" spans="2:29" ht="15.6" x14ac:dyDescent="0.3">
      <c r="D53" s="16"/>
      <c r="E53" s="181"/>
      <c r="F53" s="181"/>
      <c r="G53" s="181"/>
      <c r="I53" s="181"/>
      <c r="J53" s="181"/>
      <c r="K53" s="181"/>
      <c r="L53" s="181"/>
      <c r="M53" s="181"/>
      <c r="N53" s="181"/>
      <c r="O53" s="181"/>
      <c r="P53" s="182"/>
      <c r="Q53" s="163"/>
      <c r="R53" s="163"/>
      <c r="S53" s="163"/>
      <c r="T53" s="163"/>
      <c r="U53" s="163"/>
      <c r="V53" s="163"/>
      <c r="W53" s="163"/>
      <c r="X53" s="163"/>
      <c r="Y53" s="163"/>
      <c r="Z53" s="163"/>
      <c r="AA53" s="163"/>
      <c r="AB53" s="163"/>
      <c r="AC53" s="163"/>
    </row>
    <row r="54" spans="2:29" ht="15.6" x14ac:dyDescent="0.3">
      <c r="D54" s="16"/>
      <c r="E54" s="181"/>
      <c r="G54" s="181"/>
      <c r="I54" s="181"/>
      <c r="J54" s="181"/>
      <c r="K54" s="181"/>
      <c r="L54" s="181"/>
      <c r="M54" s="181"/>
      <c r="N54" s="181"/>
      <c r="O54" s="181"/>
      <c r="P54" s="182"/>
      <c r="Q54" s="163"/>
      <c r="R54" s="163"/>
      <c r="S54" s="163"/>
      <c r="T54" s="163"/>
      <c r="U54" s="163"/>
      <c r="V54" s="163"/>
      <c r="W54" s="163"/>
      <c r="X54" s="163"/>
      <c r="Y54" s="163"/>
      <c r="Z54" s="163"/>
      <c r="AA54" s="163"/>
      <c r="AB54" s="163"/>
      <c r="AC54" s="163"/>
    </row>
    <row r="55" spans="2:29" ht="15.6" x14ac:dyDescent="0.3">
      <c r="D55" s="16"/>
      <c r="E55" s="181"/>
      <c r="F55" s="181"/>
      <c r="G55" s="181"/>
      <c r="I55" s="181"/>
      <c r="J55" s="181"/>
      <c r="K55" s="181"/>
      <c r="L55" s="181"/>
      <c r="M55" s="181"/>
      <c r="N55" s="181"/>
      <c r="O55" s="181"/>
      <c r="P55" s="182"/>
      <c r="Q55" s="163"/>
      <c r="R55" s="163"/>
      <c r="S55" s="163"/>
      <c r="T55" s="163"/>
      <c r="U55" s="163"/>
      <c r="V55" s="163"/>
      <c r="W55" s="163"/>
      <c r="X55" s="163"/>
      <c r="Y55" s="163"/>
      <c r="Z55" s="163"/>
      <c r="AA55" s="163"/>
      <c r="AB55" s="163"/>
      <c r="AC55" s="163"/>
    </row>
    <row r="56" spans="2:29" ht="15.6" x14ac:dyDescent="0.3">
      <c r="B56" s="184"/>
      <c r="D56" s="16"/>
      <c r="E56" s="181"/>
      <c r="F56" s="181"/>
      <c r="G56" s="181"/>
      <c r="I56" s="181"/>
      <c r="J56" s="181"/>
      <c r="K56" s="181"/>
      <c r="L56" s="181"/>
      <c r="M56" s="181"/>
      <c r="N56" s="181"/>
      <c r="O56" s="181"/>
      <c r="P56" s="182"/>
      <c r="Q56" s="163"/>
      <c r="R56" s="163"/>
      <c r="S56" s="163"/>
      <c r="T56" s="163"/>
      <c r="U56" s="163"/>
      <c r="V56" s="163"/>
      <c r="W56" s="163"/>
      <c r="X56" s="163"/>
      <c r="Y56" s="163"/>
      <c r="Z56" s="163"/>
      <c r="AA56" s="163"/>
      <c r="AB56" s="163"/>
      <c r="AC56" s="163"/>
    </row>
    <row r="57" spans="2:29" ht="15.6" x14ac:dyDescent="0.3">
      <c r="B57" s="184"/>
      <c r="D57" s="16"/>
      <c r="E57" s="181"/>
      <c r="F57" s="181"/>
      <c r="G57" s="181"/>
      <c r="I57" s="181"/>
      <c r="J57" s="181"/>
      <c r="K57" s="181"/>
      <c r="L57" s="181"/>
      <c r="M57" s="181"/>
      <c r="N57" s="181"/>
      <c r="O57" s="181"/>
      <c r="P57" s="182"/>
      <c r="Q57" s="163"/>
      <c r="R57" s="163"/>
      <c r="S57" s="163"/>
      <c r="T57" s="163"/>
      <c r="U57" s="163"/>
      <c r="V57" s="163"/>
      <c r="W57" s="163"/>
      <c r="X57" s="163"/>
      <c r="Y57" s="163"/>
      <c r="Z57" s="163"/>
      <c r="AA57" s="163"/>
      <c r="AB57" s="163"/>
      <c r="AC57" s="163"/>
    </row>
    <row r="58" spans="2:29" ht="15.6" x14ac:dyDescent="0.3">
      <c r="B58" s="130"/>
      <c r="D58" s="16"/>
      <c r="E58" s="181"/>
      <c r="F58" s="181"/>
      <c r="G58" s="181"/>
      <c r="I58" s="181"/>
      <c r="J58" s="181"/>
      <c r="K58" s="181"/>
      <c r="L58" s="181"/>
      <c r="M58" s="181"/>
      <c r="N58" s="181"/>
      <c r="O58" s="181"/>
      <c r="P58" s="182"/>
      <c r="Q58" s="163"/>
      <c r="R58" s="163"/>
      <c r="S58" s="163"/>
      <c r="T58" s="163"/>
      <c r="U58" s="163"/>
      <c r="V58" s="163"/>
      <c r="W58" s="163"/>
      <c r="X58" s="163"/>
      <c r="Y58" s="163"/>
      <c r="Z58" s="163"/>
      <c r="AA58" s="163"/>
      <c r="AB58" s="163"/>
      <c r="AC58" s="163"/>
    </row>
    <row r="59" spans="2:29" ht="15.6" x14ac:dyDescent="0.3">
      <c r="B59" s="130"/>
      <c r="D59" s="16"/>
      <c r="E59" s="181"/>
      <c r="F59" s="181"/>
      <c r="G59" s="181"/>
      <c r="I59" s="181"/>
      <c r="J59" s="181"/>
      <c r="K59" s="181"/>
      <c r="L59" s="181"/>
      <c r="M59" s="181"/>
      <c r="N59" s="181"/>
      <c r="O59" s="181"/>
      <c r="P59" s="182"/>
      <c r="Q59" s="163"/>
      <c r="R59" s="163"/>
      <c r="S59" s="163"/>
      <c r="T59" s="163"/>
      <c r="U59" s="163"/>
      <c r="V59" s="163"/>
      <c r="W59" s="163"/>
      <c r="X59" s="163"/>
      <c r="Y59" s="163"/>
      <c r="Z59" s="163"/>
      <c r="AA59" s="163"/>
      <c r="AB59" s="163"/>
      <c r="AC59" s="163"/>
    </row>
    <row r="60" spans="2:29" ht="15.6" x14ac:dyDescent="0.3">
      <c r="B60" s="130"/>
      <c r="D60" s="16"/>
      <c r="E60" s="181"/>
      <c r="F60" s="181"/>
      <c r="G60" s="181"/>
      <c r="I60" s="181"/>
      <c r="J60" s="181"/>
      <c r="K60" s="181"/>
      <c r="L60" s="181"/>
      <c r="M60" s="181"/>
      <c r="N60" s="181"/>
      <c r="O60" s="181"/>
      <c r="P60" s="182"/>
      <c r="Q60" s="163"/>
      <c r="R60" s="163"/>
      <c r="S60" s="163"/>
      <c r="T60" s="163"/>
      <c r="U60" s="163"/>
      <c r="V60" s="163"/>
      <c r="W60" s="163"/>
      <c r="X60" s="163"/>
      <c r="Y60" s="163"/>
      <c r="Z60" s="163"/>
      <c r="AA60" s="163"/>
      <c r="AB60" s="163"/>
      <c r="AC60" s="163"/>
    </row>
    <row r="61" spans="2:29" ht="15.6" x14ac:dyDescent="0.3">
      <c r="B61" s="184"/>
      <c r="D61" s="16"/>
      <c r="E61" s="181"/>
      <c r="F61" s="181"/>
      <c r="G61" s="181"/>
      <c r="I61" s="181"/>
      <c r="J61" s="181"/>
      <c r="K61" s="181"/>
      <c r="L61" s="181"/>
      <c r="M61" s="181"/>
      <c r="N61" s="181"/>
      <c r="O61" s="181"/>
      <c r="P61" s="182"/>
      <c r="Q61" s="163"/>
      <c r="R61" s="163"/>
      <c r="S61" s="163"/>
      <c r="T61" s="163"/>
      <c r="U61" s="163"/>
      <c r="V61" s="163"/>
      <c r="W61" s="163"/>
      <c r="X61" s="163"/>
      <c r="Y61" s="163"/>
      <c r="Z61" s="163"/>
      <c r="AA61" s="163"/>
      <c r="AB61" s="163"/>
      <c r="AC61" s="163"/>
    </row>
    <row r="62" spans="2:29" ht="5.0999999999999996" customHeight="1" x14ac:dyDescent="0.3">
      <c r="B62" s="130"/>
      <c r="D62" s="16"/>
      <c r="E62" s="16"/>
      <c r="F62" s="181"/>
      <c r="G62" s="181"/>
      <c r="I62" s="182"/>
      <c r="J62" s="182"/>
      <c r="K62" s="182"/>
      <c r="L62" s="182"/>
      <c r="M62" s="182"/>
      <c r="N62" s="182"/>
      <c r="O62" s="182"/>
      <c r="P62" s="182"/>
      <c r="Q62" s="182"/>
      <c r="R62" s="182"/>
      <c r="S62" s="182"/>
      <c r="T62" s="182"/>
      <c r="U62" s="182"/>
      <c r="V62" s="182"/>
      <c r="W62" s="182"/>
      <c r="X62" s="185"/>
      <c r="Y62" s="185"/>
      <c r="Z62" s="185"/>
      <c r="AA62" s="185"/>
      <c r="AB62" s="185"/>
      <c r="AC62" s="185"/>
    </row>
  </sheetData>
  <conditionalFormatting sqref="H12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1:P21 P13:P18 P20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2:P62 P57:P61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9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53:P56 P50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1:Q2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3:Q56 Q50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7:Q6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2:R20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7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3:R56 R50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7:R61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1:V1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2:S20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7"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53:S56 S50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57:S61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2:T20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37:T40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41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42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45:T47 T42:T43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45:T47 T43"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48:T56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57:T61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1:U20 V1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7:U40"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41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45:U47 U42:U43"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48:U56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57:U61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2:V2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37:V40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41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45:V47 V42:V43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48:V56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57:V61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11:X20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37:X40"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41">
    <cfRule type="colorScale" priority="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42:X43 X45">
    <cfRule type="colorScale" priority="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46:X47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48:X56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57:X61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12:Y20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37:Y40">
    <cfRule type="colorScale" priority="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41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45:Y47 Y42:Y43">
    <cfRule type="colorScale" priority="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48:Y56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57:Y61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11:AA1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12:Z2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37:Z40"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41"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45:Z47 Z42:Z43">
    <cfRule type="colorScale" priority="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48:Z56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57:Z61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2:AA20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7:AA40">
    <cfRule type="colorScale" priority="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1"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5:AA47 AA42:AA43">
    <cfRule type="colorScale" priority="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8:AA56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57:AA61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37:AB40">
    <cfRule type="colorScale" priority="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41">
    <cfRule type="colorScale" priority="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42:AB43 AB45">
    <cfRule type="colorScale" priority="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46:AB47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48:AB56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57:AB61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1:AC11 AB12:AB20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11:AC20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37:AC40">
    <cfRule type="colorScale" priority="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41"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42:AC43 AC45">
    <cfRule type="colorScale" priority="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46:AC47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48:AC56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57:AC61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ignoredErrors>
    <ignoredError sqref="I9" numberStoredAsText="1"/>
  </ignoredErrors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948CA-64A7-4033-9723-743D2DB7FCDF}">
  <dimension ref="A1:K25"/>
  <sheetViews>
    <sheetView showGridLines="0" topLeftCell="A13" workbookViewId="0">
      <selection activeCell="K25" sqref="K25"/>
    </sheetView>
  </sheetViews>
  <sheetFormatPr defaultRowHeight="14.4" x14ac:dyDescent="0.3"/>
  <cols>
    <col min="1" max="1" width="32.6640625" bestFit="1" customWidth="1"/>
    <col min="2" max="10" width="9.5546875" bestFit="1" customWidth="1"/>
  </cols>
  <sheetData>
    <row r="1" spans="1:11" ht="18" x14ac:dyDescent="0.35">
      <c r="A1" s="61" t="s">
        <v>59</v>
      </c>
    </row>
    <row r="2" spans="1:11" x14ac:dyDescent="0.3">
      <c r="A2" s="2" t="s">
        <v>60</v>
      </c>
    </row>
    <row r="3" spans="1:11" x14ac:dyDescent="0.3">
      <c r="B3">
        <v>2015</v>
      </c>
      <c r="C3">
        <f t="shared" ref="C3:J3" si="0">B3+1</f>
        <v>2016</v>
      </c>
      <c r="D3">
        <f t="shared" si="0"/>
        <v>2017</v>
      </c>
      <c r="E3">
        <f t="shared" si="0"/>
        <v>2018</v>
      </c>
      <c r="F3">
        <f t="shared" si="0"/>
        <v>2019</v>
      </c>
      <c r="G3">
        <f t="shared" si="0"/>
        <v>2020</v>
      </c>
      <c r="H3">
        <f t="shared" si="0"/>
        <v>2021</v>
      </c>
      <c r="I3">
        <f t="shared" si="0"/>
        <v>2022</v>
      </c>
      <c r="J3">
        <f t="shared" si="0"/>
        <v>2023</v>
      </c>
      <c r="K3">
        <v>2024</v>
      </c>
    </row>
    <row r="4" spans="1:11" x14ac:dyDescent="0.3">
      <c r="A4" s="3" t="s">
        <v>61</v>
      </c>
      <c r="B4">
        <v>74989</v>
      </c>
      <c r="C4">
        <v>90272</v>
      </c>
      <c r="D4">
        <v>110855</v>
      </c>
      <c r="E4">
        <v>136819</v>
      </c>
      <c r="F4">
        <v>161857</v>
      </c>
      <c r="G4">
        <v>182527</v>
      </c>
      <c r="H4">
        <v>257637</v>
      </c>
      <c r="I4">
        <v>282836</v>
      </c>
      <c r="J4">
        <v>307394</v>
      </c>
      <c r="K4">
        <v>350018</v>
      </c>
    </row>
    <row r="5" spans="1:11" x14ac:dyDescent="0.3">
      <c r="A5" s="26" t="s">
        <v>62</v>
      </c>
      <c r="B5">
        <v>28164</v>
      </c>
      <c r="C5">
        <v>35138</v>
      </c>
      <c r="D5">
        <v>45583</v>
      </c>
      <c r="E5">
        <v>59549</v>
      </c>
      <c r="F5">
        <v>71896</v>
      </c>
      <c r="G5">
        <v>84732</v>
      </c>
      <c r="H5">
        <v>110939</v>
      </c>
      <c r="I5">
        <v>126203</v>
      </c>
      <c r="J5">
        <v>133332</v>
      </c>
      <c r="K5">
        <v>146306</v>
      </c>
    </row>
    <row r="6" spans="1:11" x14ac:dyDescent="0.3">
      <c r="A6" s="3" t="s">
        <v>63</v>
      </c>
      <c r="B6">
        <v>46825</v>
      </c>
      <c r="C6">
        <v>55134</v>
      </c>
      <c r="D6">
        <v>65272</v>
      </c>
      <c r="E6">
        <v>77270</v>
      </c>
      <c r="F6">
        <v>89961</v>
      </c>
      <c r="G6">
        <v>97795</v>
      </c>
      <c r="H6">
        <v>146698</v>
      </c>
      <c r="I6">
        <v>156633</v>
      </c>
      <c r="J6">
        <v>174062</v>
      </c>
      <c r="K6">
        <v>203712</v>
      </c>
    </row>
    <row r="7" spans="1:11" x14ac:dyDescent="0.3">
      <c r="A7" s="26" t="s">
        <v>64</v>
      </c>
      <c r="B7">
        <v>12282</v>
      </c>
      <c r="C7">
        <v>13948</v>
      </c>
      <c r="D7">
        <v>16625</v>
      </c>
      <c r="E7">
        <v>21419</v>
      </c>
      <c r="F7">
        <v>26018</v>
      </c>
      <c r="G7">
        <v>27573</v>
      </c>
      <c r="H7">
        <v>31562</v>
      </c>
      <c r="I7">
        <v>39500</v>
      </c>
      <c r="J7">
        <v>45427</v>
      </c>
      <c r="K7">
        <v>49326</v>
      </c>
    </row>
    <row r="8" spans="1:11" x14ac:dyDescent="0.3">
      <c r="A8" s="26" t="s">
        <v>65</v>
      </c>
      <c r="B8">
        <v>15183</v>
      </c>
      <c r="C8">
        <v>17470</v>
      </c>
      <c r="D8">
        <v>19733</v>
      </c>
      <c r="E8">
        <v>23256</v>
      </c>
      <c r="F8">
        <v>28015</v>
      </c>
      <c r="G8">
        <v>28998</v>
      </c>
      <c r="H8">
        <v>36422</v>
      </c>
      <c r="I8">
        <v>42291</v>
      </c>
      <c r="J8">
        <v>44342</v>
      </c>
      <c r="K8">
        <v>41996</v>
      </c>
    </row>
    <row r="9" spans="1:11" x14ac:dyDescent="0.3">
      <c r="A9" s="26" t="s">
        <v>66</v>
      </c>
      <c r="D9">
        <v>-2736</v>
      </c>
      <c r="E9">
        <v>-5071</v>
      </c>
      <c r="F9">
        <v>-1697</v>
      </c>
    </row>
    <row r="10" spans="1:11" x14ac:dyDescent="0.3">
      <c r="A10" s="2" t="s">
        <v>67</v>
      </c>
      <c r="B10">
        <v>27465</v>
      </c>
      <c r="C10">
        <v>31418</v>
      </c>
      <c r="D10">
        <v>39094</v>
      </c>
      <c r="E10">
        <v>49746</v>
      </c>
      <c r="F10">
        <v>55730</v>
      </c>
      <c r="G10">
        <v>56571</v>
      </c>
      <c r="H10">
        <v>67984</v>
      </c>
      <c r="I10">
        <v>81791</v>
      </c>
      <c r="J10">
        <v>89769</v>
      </c>
      <c r="K10">
        <v>91322</v>
      </c>
    </row>
    <row r="11" spans="1:11" x14ac:dyDescent="0.3">
      <c r="A11" s="3" t="s">
        <v>68</v>
      </c>
      <c r="B11">
        <v>19360</v>
      </c>
      <c r="C11">
        <v>23716</v>
      </c>
      <c r="D11">
        <v>26178</v>
      </c>
      <c r="E11">
        <v>27524</v>
      </c>
      <c r="F11">
        <v>34231</v>
      </c>
      <c r="G11">
        <v>41224</v>
      </c>
      <c r="H11">
        <v>78714</v>
      </c>
      <c r="I11">
        <v>74842</v>
      </c>
      <c r="J11">
        <v>84293</v>
      </c>
      <c r="K11">
        <v>112390</v>
      </c>
    </row>
    <row r="12" spans="1:11" x14ac:dyDescent="0.3">
      <c r="A12" s="2" t="s">
        <v>69</v>
      </c>
      <c r="B12">
        <v>291</v>
      </c>
      <c r="C12">
        <v>434</v>
      </c>
      <c r="D12">
        <v>1015</v>
      </c>
      <c r="E12">
        <v>7389</v>
      </c>
      <c r="F12">
        <v>5394</v>
      </c>
      <c r="G12">
        <v>6858</v>
      </c>
      <c r="H12">
        <v>12020</v>
      </c>
      <c r="I12">
        <v>-3514</v>
      </c>
      <c r="J12">
        <v>1424</v>
      </c>
      <c r="K12">
        <v>7425</v>
      </c>
    </row>
    <row r="13" spans="1:11" x14ac:dyDescent="0.3">
      <c r="A13" s="3" t="s">
        <v>70</v>
      </c>
      <c r="B13">
        <v>19651</v>
      </c>
      <c r="C13">
        <v>24150</v>
      </c>
      <c r="D13">
        <v>27193</v>
      </c>
      <c r="E13">
        <v>34913</v>
      </c>
      <c r="F13">
        <v>39625</v>
      </c>
      <c r="G13">
        <v>48082</v>
      </c>
      <c r="H13">
        <v>90734</v>
      </c>
      <c r="I13">
        <v>71328</v>
      </c>
      <c r="J13">
        <v>85717</v>
      </c>
      <c r="K13">
        <v>119815</v>
      </c>
    </row>
    <row r="14" spans="1:11" x14ac:dyDescent="0.3">
      <c r="A14" s="2" t="s">
        <v>71</v>
      </c>
      <c r="B14">
        <v>3303</v>
      </c>
      <c r="C14">
        <v>4672</v>
      </c>
      <c r="D14">
        <v>14531</v>
      </c>
      <c r="E14">
        <v>4177</v>
      </c>
      <c r="F14">
        <v>5282</v>
      </c>
      <c r="G14">
        <v>7813</v>
      </c>
      <c r="H14">
        <v>14701</v>
      </c>
      <c r="I14">
        <v>11356</v>
      </c>
      <c r="J14">
        <v>11922</v>
      </c>
      <c r="K14">
        <v>19697</v>
      </c>
    </row>
    <row r="15" spans="1:11" x14ac:dyDescent="0.3">
      <c r="A15" s="3" t="s">
        <v>71</v>
      </c>
      <c r="B15">
        <v>16348</v>
      </c>
      <c r="C15">
        <v>19478</v>
      </c>
      <c r="D15">
        <v>12662</v>
      </c>
      <c r="E15">
        <v>30736</v>
      </c>
      <c r="F15">
        <v>34343</v>
      </c>
      <c r="G15">
        <v>40269</v>
      </c>
      <c r="H15">
        <v>76033</v>
      </c>
      <c r="I15">
        <v>59972</v>
      </c>
      <c r="J15">
        <v>73795</v>
      </c>
      <c r="K15">
        <v>100118</v>
      </c>
    </row>
    <row r="16" spans="1:11" x14ac:dyDescent="0.3">
      <c r="A16" s="2" t="s">
        <v>72</v>
      </c>
    </row>
    <row r="17" spans="1:11" x14ac:dyDescent="0.3">
      <c r="A17" s="3" t="s">
        <v>73</v>
      </c>
      <c r="B17">
        <v>16348</v>
      </c>
      <c r="C17">
        <v>19478</v>
      </c>
      <c r="D17">
        <v>12662</v>
      </c>
      <c r="E17">
        <v>30736</v>
      </c>
      <c r="F17">
        <v>34343</v>
      </c>
      <c r="G17">
        <v>40269</v>
      </c>
      <c r="H17">
        <v>76033</v>
      </c>
      <c r="I17">
        <v>59972</v>
      </c>
      <c r="J17">
        <v>73795</v>
      </c>
      <c r="K17">
        <v>100118</v>
      </c>
    </row>
    <row r="18" spans="1:11" x14ac:dyDescent="0.3">
      <c r="A18" s="2" t="s">
        <v>74</v>
      </c>
    </row>
    <row r="19" spans="1:11" x14ac:dyDescent="0.3">
      <c r="A19" s="3" t="s">
        <v>75</v>
      </c>
      <c r="B19">
        <v>15826</v>
      </c>
      <c r="C19">
        <v>19478</v>
      </c>
      <c r="D19">
        <v>12662</v>
      </c>
      <c r="E19">
        <v>30736</v>
      </c>
      <c r="F19">
        <v>34343</v>
      </c>
      <c r="G19">
        <v>40269</v>
      </c>
      <c r="H19">
        <v>76033</v>
      </c>
      <c r="I19">
        <v>59972</v>
      </c>
      <c r="J19">
        <v>73795</v>
      </c>
      <c r="K19">
        <v>100118</v>
      </c>
    </row>
    <row r="20" spans="1:11" x14ac:dyDescent="0.3">
      <c r="A20" s="2" t="s">
        <v>76</v>
      </c>
      <c r="B20">
        <v>24423</v>
      </c>
      <c r="C20">
        <v>29860</v>
      </c>
      <c r="D20">
        <v>33093</v>
      </c>
      <c r="E20">
        <v>36559</v>
      </c>
      <c r="F20">
        <v>46012</v>
      </c>
      <c r="G20">
        <v>54921</v>
      </c>
      <c r="H20">
        <v>88987</v>
      </c>
      <c r="I20">
        <v>88317</v>
      </c>
      <c r="J20">
        <v>96239</v>
      </c>
      <c r="K20">
        <v>127701</v>
      </c>
    </row>
    <row r="21" spans="1:11" x14ac:dyDescent="0.3">
      <c r="A21" s="2" t="s">
        <v>14</v>
      </c>
      <c r="B21">
        <v>19360</v>
      </c>
      <c r="C21">
        <v>23716</v>
      </c>
      <c r="D21">
        <v>26178</v>
      </c>
      <c r="E21">
        <v>27524</v>
      </c>
      <c r="F21">
        <v>34231</v>
      </c>
      <c r="G21">
        <v>41224</v>
      </c>
      <c r="H21">
        <v>78714</v>
      </c>
      <c r="I21">
        <v>74842</v>
      </c>
      <c r="J21">
        <v>84293</v>
      </c>
      <c r="K21">
        <v>112390</v>
      </c>
    </row>
    <row r="22" spans="1:11" x14ac:dyDescent="0.3">
      <c r="A22" s="2" t="s">
        <v>77</v>
      </c>
      <c r="B22">
        <v>13692.52</v>
      </c>
      <c r="C22">
        <v>13755.56</v>
      </c>
      <c r="D22">
        <v>13858.02</v>
      </c>
      <c r="E22">
        <v>13902.8</v>
      </c>
      <c r="F22">
        <v>13851.92</v>
      </c>
      <c r="G22">
        <v>13616</v>
      </c>
      <c r="H22">
        <v>13353</v>
      </c>
      <c r="I22">
        <v>13063</v>
      </c>
      <c r="J22">
        <v>12630</v>
      </c>
      <c r="K22">
        <v>12319</v>
      </c>
    </row>
    <row r="23" spans="1:11" x14ac:dyDescent="0.3">
      <c r="A23" s="2" t="s">
        <v>78</v>
      </c>
      <c r="B23">
        <v>14893.5</v>
      </c>
      <c r="C23">
        <v>14951.3</v>
      </c>
      <c r="D23">
        <v>15014.6</v>
      </c>
      <c r="E23">
        <v>15002.98</v>
      </c>
      <c r="F23">
        <v>14901.66</v>
      </c>
      <c r="G23">
        <v>14665</v>
      </c>
      <c r="H23">
        <v>14462</v>
      </c>
      <c r="I23">
        <v>14046</v>
      </c>
      <c r="J23">
        <v>13599</v>
      </c>
      <c r="K23">
        <v>13313</v>
      </c>
    </row>
    <row r="24" spans="1:11" x14ac:dyDescent="0.3">
      <c r="A24" s="3" t="s">
        <v>79</v>
      </c>
      <c r="B24">
        <v>1.1555</v>
      </c>
      <c r="C24">
        <v>1.4159999999999999</v>
      </c>
      <c r="D24">
        <v>0.91349999999999998</v>
      </c>
      <c r="E24">
        <v>2.2109999999999999</v>
      </c>
      <c r="F24">
        <v>2.4794999999999998</v>
      </c>
      <c r="G24">
        <v>2.96</v>
      </c>
      <c r="H24">
        <v>5.69</v>
      </c>
      <c r="I24">
        <v>4.59</v>
      </c>
      <c r="J24">
        <v>5.84</v>
      </c>
      <c r="K24">
        <v>8.1300000000000008</v>
      </c>
    </row>
    <row r="25" spans="1:11" x14ac:dyDescent="0.3">
      <c r="A25" s="3" t="s">
        <v>80</v>
      </c>
      <c r="B25">
        <v>1.1419999999999999</v>
      </c>
      <c r="C25">
        <v>1.3925000000000001</v>
      </c>
      <c r="D25">
        <v>0.9</v>
      </c>
      <c r="E25">
        <v>2.1850000000000001</v>
      </c>
      <c r="F25">
        <v>2.4580000000000002</v>
      </c>
      <c r="G25">
        <v>2.93</v>
      </c>
      <c r="H25">
        <v>5.61</v>
      </c>
      <c r="I25">
        <v>4.5599999999999996</v>
      </c>
      <c r="J25">
        <v>5.8</v>
      </c>
      <c r="K25">
        <v>8.0399999999999991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B577E-08BB-437E-BAD3-CFD571EC0FE8}">
  <dimension ref="A1:K34"/>
  <sheetViews>
    <sheetView showGridLines="0" workbookViewId="0">
      <selection activeCell="A17" sqref="A17"/>
    </sheetView>
  </sheetViews>
  <sheetFormatPr defaultRowHeight="14.4" x14ac:dyDescent="0.3"/>
  <cols>
    <col min="1" max="1" width="46.109375" bestFit="1" customWidth="1"/>
  </cols>
  <sheetData>
    <row r="1" spans="1:11" x14ac:dyDescent="0.3">
      <c r="A1" s="3" t="s">
        <v>81</v>
      </c>
    </row>
    <row r="2" spans="1:11" x14ac:dyDescent="0.3">
      <c r="A2" s="2" t="s">
        <v>82</v>
      </c>
    </row>
    <row r="3" spans="1:11" x14ac:dyDescent="0.3">
      <c r="A3" s="2" t="s">
        <v>83</v>
      </c>
    </row>
    <row r="4" spans="1:11" x14ac:dyDescent="0.3">
      <c r="A4" s="2" t="s">
        <v>60</v>
      </c>
    </row>
    <row r="5" spans="1:11" x14ac:dyDescent="0.3">
      <c r="B5">
        <v>2015</v>
      </c>
      <c r="C5">
        <f t="shared" ref="C5:J5" si="0">B5+1</f>
        <v>2016</v>
      </c>
      <c r="D5">
        <f t="shared" si="0"/>
        <v>2017</v>
      </c>
      <c r="E5">
        <f t="shared" si="0"/>
        <v>2018</v>
      </c>
      <c r="F5">
        <f t="shared" si="0"/>
        <v>2019</v>
      </c>
      <c r="G5">
        <f t="shared" si="0"/>
        <v>2020</v>
      </c>
      <c r="H5">
        <f t="shared" si="0"/>
        <v>2021</v>
      </c>
      <c r="I5">
        <f t="shared" si="0"/>
        <v>2022</v>
      </c>
      <c r="J5">
        <f t="shared" si="0"/>
        <v>2023</v>
      </c>
      <c r="K5">
        <v>2024</v>
      </c>
    </row>
    <row r="6" spans="1:11" x14ac:dyDescent="0.3">
      <c r="A6" s="2" t="s">
        <v>84</v>
      </c>
      <c r="B6">
        <v>16348</v>
      </c>
      <c r="C6">
        <v>19478</v>
      </c>
      <c r="D6">
        <v>12662</v>
      </c>
      <c r="E6">
        <v>30736</v>
      </c>
      <c r="F6">
        <v>34343</v>
      </c>
      <c r="G6">
        <v>40269</v>
      </c>
      <c r="H6">
        <v>76033</v>
      </c>
      <c r="I6">
        <v>59972</v>
      </c>
      <c r="J6">
        <v>73795</v>
      </c>
      <c r="K6">
        <v>100118</v>
      </c>
    </row>
    <row r="7" spans="1:11" x14ac:dyDescent="0.3">
      <c r="A7" s="2" t="s">
        <v>85</v>
      </c>
      <c r="B7">
        <v>5063</v>
      </c>
      <c r="C7">
        <v>6144</v>
      </c>
      <c r="D7">
        <v>6915</v>
      </c>
      <c r="E7">
        <v>9035</v>
      </c>
      <c r="F7">
        <v>11781</v>
      </c>
      <c r="G7">
        <v>13697</v>
      </c>
      <c r="H7">
        <v>10273</v>
      </c>
      <c r="I7">
        <v>13475</v>
      </c>
      <c r="J7">
        <v>11946</v>
      </c>
      <c r="K7">
        <v>15311</v>
      </c>
    </row>
    <row r="8" spans="1:11" x14ac:dyDescent="0.3">
      <c r="A8" s="2" t="s">
        <v>86</v>
      </c>
      <c r="B8">
        <v>5570</v>
      </c>
      <c r="C8">
        <v>7114</v>
      </c>
      <c r="D8">
        <v>8268</v>
      </c>
      <c r="E8">
        <v>3292</v>
      </c>
      <c r="F8">
        <v>7577</v>
      </c>
      <c r="G8">
        <v>9331</v>
      </c>
      <c r="H8">
        <v>6869</v>
      </c>
      <c r="I8">
        <v>20283</v>
      </c>
      <c r="J8">
        <v>19850</v>
      </c>
      <c r="K8">
        <v>18276</v>
      </c>
    </row>
    <row r="9" spans="1:11" x14ac:dyDescent="0.3">
      <c r="A9" s="2" t="s">
        <v>87</v>
      </c>
      <c r="B9">
        <v>10633</v>
      </c>
      <c r="C9">
        <v>13258</v>
      </c>
      <c r="D9">
        <v>15183</v>
      </c>
      <c r="E9">
        <v>12327</v>
      </c>
      <c r="F9">
        <v>19358</v>
      </c>
      <c r="G9">
        <v>23028</v>
      </c>
      <c r="H9">
        <v>17142</v>
      </c>
      <c r="I9">
        <v>33758</v>
      </c>
      <c r="J9">
        <v>31796</v>
      </c>
      <c r="K9">
        <v>33587</v>
      </c>
    </row>
    <row r="10" spans="1:11" x14ac:dyDescent="0.3">
      <c r="A10" s="2" t="s">
        <v>88</v>
      </c>
      <c r="B10">
        <v>-2094</v>
      </c>
      <c r="C10">
        <v>-2578</v>
      </c>
      <c r="D10">
        <v>-3768</v>
      </c>
      <c r="E10">
        <v>-2169</v>
      </c>
      <c r="F10">
        <v>-4340</v>
      </c>
      <c r="G10">
        <v>-6524</v>
      </c>
      <c r="H10">
        <v>-9095</v>
      </c>
      <c r="I10">
        <v>-2317</v>
      </c>
      <c r="J10">
        <v>-7833</v>
      </c>
      <c r="K10">
        <v>-5891</v>
      </c>
    </row>
    <row r="11" spans="1:11" x14ac:dyDescent="0.3">
      <c r="A11" s="2" t="s">
        <v>89</v>
      </c>
    </row>
    <row r="12" spans="1:11" x14ac:dyDescent="0.3">
      <c r="A12" s="2" t="s">
        <v>90</v>
      </c>
      <c r="B12">
        <v>203</v>
      </c>
      <c r="C12">
        <v>110</v>
      </c>
      <c r="D12">
        <v>731</v>
      </c>
      <c r="E12">
        <v>1067</v>
      </c>
      <c r="F12">
        <v>428</v>
      </c>
      <c r="G12">
        <v>694</v>
      </c>
      <c r="H12">
        <v>283</v>
      </c>
      <c r="I12">
        <v>707</v>
      </c>
      <c r="J12">
        <v>664</v>
      </c>
      <c r="K12">
        <v>359</v>
      </c>
    </row>
    <row r="13" spans="1:11" x14ac:dyDescent="0.3">
      <c r="A13" s="2" t="s">
        <v>91</v>
      </c>
      <c r="B13">
        <v>-275</v>
      </c>
      <c r="C13">
        <v>535</v>
      </c>
      <c r="D13">
        <v>-1774</v>
      </c>
      <c r="E13">
        <v>-836</v>
      </c>
      <c r="F13">
        <v>-584</v>
      </c>
      <c r="G13">
        <v>-695</v>
      </c>
      <c r="H13">
        <v>-1072</v>
      </c>
      <c r="I13">
        <v>-4679</v>
      </c>
      <c r="J13">
        <v>-1618</v>
      </c>
      <c r="K13">
        <v>-354</v>
      </c>
    </row>
    <row r="14" spans="1:11" x14ac:dyDescent="0.3">
      <c r="A14" s="68" t="s">
        <v>92</v>
      </c>
      <c r="B14">
        <v>-409</v>
      </c>
      <c r="C14">
        <v>3300</v>
      </c>
      <c r="D14">
        <v>9246</v>
      </c>
      <c r="E14">
        <v>4908</v>
      </c>
      <c r="F14">
        <v>819</v>
      </c>
      <c r="G14">
        <v>1827</v>
      </c>
      <c r="H14">
        <v>-1523</v>
      </c>
      <c r="I14">
        <v>-2235</v>
      </c>
      <c r="J14">
        <v>-3845</v>
      </c>
      <c r="K14">
        <v>-8406</v>
      </c>
    </row>
    <row r="15" spans="1:11" x14ac:dyDescent="0.3">
      <c r="A15" s="3" t="s">
        <v>93</v>
      </c>
      <c r="B15">
        <v>26572</v>
      </c>
      <c r="C15">
        <v>36036</v>
      </c>
      <c r="D15">
        <v>37091</v>
      </c>
      <c r="E15">
        <v>47971</v>
      </c>
      <c r="F15">
        <v>54520</v>
      </c>
      <c r="G15">
        <v>65124</v>
      </c>
      <c r="H15">
        <v>91652</v>
      </c>
      <c r="I15">
        <v>91495</v>
      </c>
      <c r="J15">
        <v>101746</v>
      </c>
      <c r="K15">
        <v>125299</v>
      </c>
    </row>
    <row r="16" spans="1:11" x14ac:dyDescent="0.3">
      <c r="A16" s="68" t="s">
        <v>114</v>
      </c>
      <c r="B16">
        <v>-9915</v>
      </c>
      <c r="C16">
        <v>-9972</v>
      </c>
      <c r="D16">
        <v>-13184</v>
      </c>
      <c r="E16">
        <v>-25139</v>
      </c>
      <c r="F16">
        <v>-23548</v>
      </c>
      <c r="G16">
        <v>-22281</v>
      </c>
      <c r="H16">
        <v>-24640</v>
      </c>
      <c r="I16">
        <v>-31485</v>
      </c>
      <c r="J16">
        <v>-32251</v>
      </c>
      <c r="K16">
        <v>-52535</v>
      </c>
    </row>
    <row r="17" spans="1:11" x14ac:dyDescent="0.3">
      <c r="A17" s="2" t="s">
        <v>94</v>
      </c>
    </row>
    <row r="18" spans="1:11" x14ac:dyDescent="0.3">
      <c r="A18" s="2" t="s">
        <v>95</v>
      </c>
      <c r="B18">
        <v>-236</v>
      </c>
      <c r="C18">
        <v>-986</v>
      </c>
      <c r="D18">
        <v>-287</v>
      </c>
      <c r="E18">
        <v>-1491</v>
      </c>
      <c r="F18">
        <v>-2515</v>
      </c>
      <c r="G18">
        <v>-738</v>
      </c>
      <c r="H18">
        <v>-2618</v>
      </c>
      <c r="I18">
        <v>-6969</v>
      </c>
      <c r="J18">
        <v>-495</v>
      </c>
      <c r="K18">
        <v>-2931</v>
      </c>
    </row>
    <row r="19" spans="1:11" x14ac:dyDescent="0.3">
      <c r="A19" s="2" t="s">
        <v>96</v>
      </c>
      <c r="B19">
        <v>-11463</v>
      </c>
      <c r="C19">
        <v>-17614</v>
      </c>
      <c r="D19">
        <v>-18236</v>
      </c>
      <c r="E19">
        <v>-1651</v>
      </c>
      <c r="F19">
        <v>-2490</v>
      </c>
      <c r="G19">
        <v>-3670</v>
      </c>
      <c r="H19">
        <v>-6902</v>
      </c>
      <c r="I19">
        <v>18948</v>
      </c>
      <c r="J19">
        <v>8814</v>
      </c>
      <c r="K19">
        <v>16749</v>
      </c>
    </row>
    <row r="20" spans="1:11" x14ac:dyDescent="0.3">
      <c r="A20" s="2" t="s">
        <v>97</v>
      </c>
      <c r="B20">
        <v>-1747</v>
      </c>
      <c r="C20">
        <v>-165</v>
      </c>
      <c r="D20">
        <v>-1212</v>
      </c>
      <c r="E20">
        <v>-321</v>
      </c>
      <c r="F20">
        <v>-1527</v>
      </c>
      <c r="G20">
        <v>-6152</v>
      </c>
      <c r="H20">
        <v>-1904</v>
      </c>
      <c r="I20">
        <v>-2381</v>
      </c>
      <c r="J20">
        <v>-2080</v>
      </c>
      <c r="K20">
        <v>-4152</v>
      </c>
    </row>
    <row r="21" spans="1:11" x14ac:dyDescent="0.3">
      <c r="A21" s="2" t="s">
        <v>98</v>
      </c>
      <c r="B21">
        <v>-13210</v>
      </c>
      <c r="C21">
        <v>-17779</v>
      </c>
      <c r="D21">
        <v>-19448</v>
      </c>
      <c r="E21">
        <v>-1972</v>
      </c>
      <c r="F21">
        <v>-4017</v>
      </c>
      <c r="G21">
        <v>-9822</v>
      </c>
      <c r="H21">
        <v>-8806</v>
      </c>
      <c r="I21">
        <v>16567</v>
      </c>
      <c r="J21">
        <v>6734</v>
      </c>
      <c r="K21">
        <v>12597</v>
      </c>
    </row>
    <row r="22" spans="1:11" x14ac:dyDescent="0.3">
      <c r="A22" s="2" t="s">
        <v>99</v>
      </c>
      <c r="B22">
        <v>-350</v>
      </c>
      <c r="C22">
        <v>-2428</v>
      </c>
      <c r="D22">
        <v>1518</v>
      </c>
      <c r="E22">
        <v>98</v>
      </c>
      <c r="F22">
        <v>589</v>
      </c>
      <c r="G22">
        <v>68</v>
      </c>
      <c r="H22">
        <v>541</v>
      </c>
      <c r="I22">
        <v>1589</v>
      </c>
      <c r="J22">
        <v>-1051</v>
      </c>
      <c r="K22">
        <v>-2667</v>
      </c>
    </row>
    <row r="23" spans="1:11" x14ac:dyDescent="0.3">
      <c r="A23" s="3" t="s">
        <v>100</v>
      </c>
      <c r="B23">
        <v>-23711</v>
      </c>
      <c r="C23">
        <v>-31165</v>
      </c>
      <c r="D23">
        <v>-31401</v>
      </c>
      <c r="E23">
        <v>-28504</v>
      </c>
      <c r="F23">
        <v>-29491</v>
      </c>
      <c r="G23">
        <v>-32773</v>
      </c>
      <c r="H23">
        <v>-35523</v>
      </c>
      <c r="I23">
        <v>-20298</v>
      </c>
      <c r="J23">
        <v>-27063</v>
      </c>
      <c r="K23">
        <v>-45536</v>
      </c>
    </row>
    <row r="24" spans="1:11" x14ac:dyDescent="0.3">
      <c r="A24" s="2" t="s">
        <v>101</v>
      </c>
      <c r="B24">
        <v>-23</v>
      </c>
      <c r="C24">
        <v>-1335</v>
      </c>
      <c r="D24">
        <v>-86</v>
      </c>
      <c r="E24">
        <v>-61</v>
      </c>
      <c r="F24">
        <v>-268</v>
      </c>
      <c r="G24">
        <v>9661</v>
      </c>
      <c r="H24">
        <v>-1236</v>
      </c>
      <c r="I24">
        <v>-1196</v>
      </c>
      <c r="J24">
        <v>-760</v>
      </c>
      <c r="K24">
        <v>888</v>
      </c>
    </row>
    <row r="25" spans="1:11" x14ac:dyDescent="0.3">
      <c r="A25" s="2" t="s">
        <v>102</v>
      </c>
    </row>
    <row r="26" spans="1:11" x14ac:dyDescent="0.3">
      <c r="A26" s="2" t="s">
        <v>103</v>
      </c>
      <c r="B26">
        <v>-23</v>
      </c>
      <c r="C26">
        <v>-1335</v>
      </c>
      <c r="D26">
        <v>-86</v>
      </c>
      <c r="E26">
        <v>-61</v>
      </c>
      <c r="F26">
        <v>-268</v>
      </c>
      <c r="G26">
        <v>9661</v>
      </c>
      <c r="H26">
        <v>-1236</v>
      </c>
      <c r="I26">
        <v>-1196</v>
      </c>
      <c r="J26">
        <v>-760</v>
      </c>
      <c r="K26">
        <v>888</v>
      </c>
    </row>
    <row r="27" spans="1:11" x14ac:dyDescent="0.3">
      <c r="A27" s="2" t="s">
        <v>104</v>
      </c>
      <c r="B27">
        <v>-1780</v>
      </c>
      <c r="C27">
        <v>-3693</v>
      </c>
      <c r="D27">
        <v>-4046</v>
      </c>
      <c r="E27">
        <v>-8125</v>
      </c>
      <c r="F27">
        <v>-18176</v>
      </c>
      <c r="G27">
        <v>-28349</v>
      </c>
      <c r="H27">
        <v>-49964</v>
      </c>
      <c r="I27">
        <v>-59296</v>
      </c>
      <c r="J27">
        <v>-61504</v>
      </c>
      <c r="K27">
        <v>-62222</v>
      </c>
    </row>
    <row r="28" spans="1:11" x14ac:dyDescent="0.3">
      <c r="A28" s="2" t="s">
        <v>105</v>
      </c>
      <c r="B28">
        <v>-1780</v>
      </c>
      <c r="C28">
        <v>-3693</v>
      </c>
      <c r="D28">
        <v>-4046</v>
      </c>
      <c r="E28">
        <v>-8125</v>
      </c>
      <c r="F28">
        <v>-18176</v>
      </c>
      <c r="G28">
        <v>-28349</v>
      </c>
      <c r="H28">
        <v>-49964</v>
      </c>
      <c r="I28">
        <v>-59296</v>
      </c>
      <c r="J28">
        <v>-61504</v>
      </c>
      <c r="K28">
        <v>-62222</v>
      </c>
    </row>
    <row r="29" spans="1:11" x14ac:dyDescent="0.3">
      <c r="A29" s="2" t="s">
        <v>106</v>
      </c>
      <c r="K29">
        <v>-7363</v>
      </c>
    </row>
    <row r="30" spans="1:11" x14ac:dyDescent="0.3">
      <c r="A30" s="2" t="s">
        <v>107</v>
      </c>
      <c r="B30">
        <v>-2422</v>
      </c>
      <c r="C30">
        <v>-3304</v>
      </c>
      <c r="D30">
        <v>-4166</v>
      </c>
      <c r="E30">
        <v>-4993</v>
      </c>
      <c r="F30">
        <v>-4765</v>
      </c>
      <c r="G30">
        <v>-5720</v>
      </c>
      <c r="H30">
        <v>-10162</v>
      </c>
      <c r="I30">
        <v>-9265</v>
      </c>
      <c r="J30">
        <v>-9829</v>
      </c>
      <c r="K30">
        <v>-11036</v>
      </c>
    </row>
    <row r="31" spans="1:11" x14ac:dyDescent="0.3">
      <c r="A31" s="3" t="s">
        <v>108</v>
      </c>
      <c r="B31">
        <v>-4225</v>
      </c>
      <c r="C31">
        <v>-8332</v>
      </c>
      <c r="D31">
        <v>-8298</v>
      </c>
      <c r="E31">
        <v>-13179</v>
      </c>
      <c r="F31">
        <v>-23209</v>
      </c>
      <c r="G31">
        <v>-24408</v>
      </c>
      <c r="H31">
        <v>-61362</v>
      </c>
      <c r="I31">
        <v>-69757</v>
      </c>
      <c r="J31">
        <v>-72093</v>
      </c>
      <c r="K31">
        <v>-79733</v>
      </c>
    </row>
    <row r="32" spans="1:11" x14ac:dyDescent="0.3">
      <c r="A32" s="3" t="s">
        <v>109</v>
      </c>
      <c r="B32">
        <v>-1798</v>
      </c>
      <c r="C32">
        <v>-3631</v>
      </c>
      <c r="D32">
        <v>-2203</v>
      </c>
      <c r="E32">
        <v>5986</v>
      </c>
      <c r="F32">
        <v>1797</v>
      </c>
      <c r="G32">
        <v>7967</v>
      </c>
      <c r="H32">
        <v>-5520</v>
      </c>
      <c r="I32">
        <v>934</v>
      </c>
      <c r="J32">
        <v>2169</v>
      </c>
      <c r="K32">
        <v>-582</v>
      </c>
    </row>
    <row r="33" spans="1:11" x14ac:dyDescent="0.3">
      <c r="A33" s="3" t="s">
        <v>110</v>
      </c>
      <c r="B33">
        <v>5203</v>
      </c>
      <c r="C33">
        <v>6703</v>
      </c>
      <c r="D33">
        <v>7679</v>
      </c>
      <c r="E33">
        <v>9353</v>
      </c>
      <c r="F33">
        <v>10794</v>
      </c>
      <c r="G33">
        <v>12991</v>
      </c>
      <c r="H33">
        <v>15376</v>
      </c>
      <c r="I33">
        <v>19362</v>
      </c>
      <c r="J33">
        <v>22460</v>
      </c>
      <c r="K33">
        <v>22785</v>
      </c>
    </row>
    <row r="34" spans="1:11" x14ac:dyDescent="0.3">
      <c r="A34" s="3" t="s">
        <v>111</v>
      </c>
      <c r="I34">
        <v>0</v>
      </c>
      <c r="J34">
        <v>0</v>
      </c>
      <c r="K34">
        <v>-7363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Cover</vt:lpstr>
      <vt:lpstr>Summary</vt:lpstr>
      <vt:lpstr>DCF</vt:lpstr>
      <vt:lpstr>Shares</vt:lpstr>
      <vt:lpstr>WACC</vt:lpstr>
      <vt:lpstr>COMPS</vt:lpstr>
      <vt:lpstr>IS</vt:lpstr>
      <vt:lpstr>CFS</vt:lpstr>
      <vt:lpstr>tgr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Bhardwaj</dc:creator>
  <cp:lastModifiedBy>Siddhant Bhardwaj</cp:lastModifiedBy>
  <dcterms:created xsi:type="dcterms:W3CDTF">2025-08-02T14:02:56Z</dcterms:created>
  <dcterms:modified xsi:type="dcterms:W3CDTF">2025-09-01T21:50:54Z</dcterms:modified>
</cp:coreProperties>
</file>