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 HUB\"/>
    </mc:Choice>
  </mc:AlternateContent>
  <xr:revisionPtr revIDLastSave="0" documentId="13_ncr:1_{555DE643-9E95-46FB-826B-907F45360D73}" xr6:coauthVersionLast="47" xr6:coauthVersionMax="47" xr10:uidLastSave="{00000000-0000-0000-0000-000000000000}"/>
  <bookViews>
    <workbookView xWindow="-108" yWindow="-108" windowWidth="23256" windowHeight="12456" xr2:uid="{850597BA-6F0D-4812-BD6A-6F66DB230F10}"/>
  </bookViews>
  <sheets>
    <sheet name="Cover" sheetId="13" r:id="rId1"/>
    <sheet name="Operating Model" sheetId="1" r:id="rId2"/>
    <sheet name="DCF&gt;&gt;&gt;" sheetId="8" r:id="rId3"/>
    <sheet name="Consolidated DCF" sheetId="12" r:id="rId4"/>
    <sheet name="North America" sheetId="7" r:id="rId5"/>
    <sheet name="International" sheetId="10" r:id="rId6"/>
    <sheet name="AWS" sheetId="11" r:id="rId7"/>
    <sheet name="WACC" sheetId="4" r:id="rId8"/>
    <sheet name="COMPS" sheetId="14" r:id="rId9"/>
    <sheet name="Shares" sheetId="5" r:id="rId10"/>
    <sheet name="FS&gt;&gt;" sheetId="9" r:id="rId11"/>
    <sheet name="Segment data" sheetId="2" r:id="rId12"/>
    <sheet name="CSF" sheetId="6" r:id="rId13"/>
    <sheet name="IS" sheetId="3" r:id="rId14"/>
    <sheet name="Assumptions" sheetId="15" r:id="rId15"/>
  </sheets>
  <externalReferences>
    <externalReference r:id="rId16"/>
  </externalReferences>
  <definedNames>
    <definedName name="TGR">'Operating Model'!$C$11</definedName>
    <definedName name="WACC">'Operating Model'!$C$10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4" i="1" l="1"/>
  <c r="T73" i="1"/>
  <c r="S73" i="1"/>
  <c r="R73" i="1"/>
  <c r="Q73" i="1"/>
  <c r="P73" i="1"/>
  <c r="T72" i="1"/>
  <c r="S72" i="1"/>
  <c r="R72" i="1"/>
  <c r="Q72" i="1"/>
  <c r="P72" i="1"/>
  <c r="J40" i="15"/>
  <c r="I40" i="15"/>
  <c r="H40" i="15"/>
  <c r="G40" i="15"/>
  <c r="F40" i="15"/>
  <c r="G39" i="15"/>
  <c r="F39" i="15"/>
  <c r="G108" i="15"/>
  <c r="F108" i="15"/>
  <c r="C4" i="14"/>
  <c r="E107" i="15"/>
  <c r="E108" i="15" s="1"/>
  <c r="D107" i="15"/>
  <c r="D108" i="15" s="1"/>
  <c r="C107" i="15"/>
  <c r="C108" i="15" s="1"/>
  <c r="T40" i="1"/>
  <c r="S40" i="1"/>
  <c r="R40" i="1"/>
  <c r="Q40" i="1"/>
  <c r="P40" i="1"/>
  <c r="P36" i="1"/>
  <c r="T32" i="1"/>
  <c r="S32" i="1"/>
  <c r="R32" i="1"/>
  <c r="Q32" i="1"/>
  <c r="Q42" i="1"/>
  <c r="P42" i="1"/>
  <c r="Q38" i="1"/>
  <c r="Q36" i="1" s="1"/>
  <c r="P38" i="1"/>
  <c r="Q34" i="1"/>
  <c r="P34" i="1"/>
  <c r="T24" i="1"/>
  <c r="S24" i="1"/>
  <c r="R24" i="1"/>
  <c r="Q24" i="1"/>
  <c r="P24" i="1"/>
  <c r="T20" i="1"/>
  <c r="S20" i="1"/>
  <c r="R20" i="1"/>
  <c r="Q20" i="1"/>
  <c r="P20" i="1"/>
  <c r="Q26" i="1"/>
  <c r="P26" i="1"/>
  <c r="Q22" i="1"/>
  <c r="P22" i="1"/>
  <c r="T16" i="1"/>
  <c r="S16" i="1"/>
  <c r="R16" i="1"/>
  <c r="Q16" i="1"/>
  <c r="P16" i="1"/>
  <c r="Q18" i="1"/>
  <c r="P18" i="1"/>
  <c r="E87" i="15"/>
  <c r="D87" i="15"/>
  <c r="C87" i="15"/>
  <c r="P53" i="1"/>
  <c r="E79" i="15"/>
  <c r="E77" i="15" s="1"/>
  <c r="E80" i="15" s="1"/>
  <c r="D79" i="15"/>
  <c r="D77" i="15" s="1"/>
  <c r="D80" i="15" s="1"/>
  <c r="C79" i="15"/>
  <c r="E74" i="15"/>
  <c r="E72" i="15" s="1"/>
  <c r="E75" i="15" s="1"/>
  <c r="D74" i="15"/>
  <c r="C74" i="15"/>
  <c r="E69" i="15"/>
  <c r="E67" i="15" s="1"/>
  <c r="E70" i="15" s="1"/>
  <c r="D69" i="15"/>
  <c r="D67" i="15" s="1"/>
  <c r="D70" i="15" s="1"/>
  <c r="C69" i="15"/>
  <c r="E64" i="15"/>
  <c r="D64" i="15"/>
  <c r="C64" i="15"/>
  <c r="E55" i="15"/>
  <c r="E53" i="15" s="1"/>
  <c r="D55" i="15"/>
  <c r="D53" i="15" s="1"/>
  <c r="C55" i="15"/>
  <c r="C53" i="15" s="1"/>
  <c r="E50" i="15"/>
  <c r="E48" i="15" s="1"/>
  <c r="D50" i="15"/>
  <c r="D48" i="15" s="1"/>
  <c r="C50" i="15"/>
  <c r="C48" i="15" s="1"/>
  <c r="E45" i="15"/>
  <c r="D45" i="15"/>
  <c r="D43" i="15" s="1"/>
  <c r="C45" i="15"/>
  <c r="C43" i="15" s="1"/>
  <c r="E56" i="15"/>
  <c r="D56" i="15"/>
  <c r="C56" i="15"/>
  <c r="E51" i="15"/>
  <c r="D51" i="15"/>
  <c r="C51" i="15"/>
  <c r="E46" i="15"/>
  <c r="D46" i="15"/>
  <c r="C46" i="15"/>
  <c r="E40" i="15"/>
  <c r="D40" i="15"/>
  <c r="C40" i="15"/>
  <c r="E32" i="15"/>
  <c r="D32" i="15"/>
  <c r="C32" i="15"/>
  <c r="E28" i="15"/>
  <c r="D28" i="15"/>
  <c r="C28" i="15"/>
  <c r="E24" i="15"/>
  <c r="D24" i="15"/>
  <c r="C24" i="15"/>
  <c r="C21" i="15"/>
  <c r="D4" i="15"/>
  <c r="E15" i="15"/>
  <c r="E101" i="15" s="1"/>
  <c r="E99" i="15" s="1"/>
  <c r="E100" i="15" s="1"/>
  <c r="D15" i="15"/>
  <c r="D101" i="15" s="1"/>
  <c r="D99" i="15" s="1"/>
  <c r="D100" i="15" s="1"/>
  <c r="C15" i="15"/>
  <c r="C101" i="15" s="1"/>
  <c r="C99" i="15" s="1"/>
  <c r="C100" i="15" s="1"/>
  <c r="E11" i="15"/>
  <c r="E97" i="15" s="1"/>
  <c r="E95" i="15" s="1"/>
  <c r="E96" i="15" s="1"/>
  <c r="D11" i="15"/>
  <c r="D97" i="15" s="1"/>
  <c r="D95" i="15" s="1"/>
  <c r="D96" i="15" s="1"/>
  <c r="C11" i="15"/>
  <c r="C97" i="15" s="1"/>
  <c r="C95" i="15" s="1"/>
  <c r="C96" i="15" s="1"/>
  <c r="E7" i="15"/>
  <c r="E93" i="15" s="1"/>
  <c r="E91" i="15" s="1"/>
  <c r="E92" i="15" s="1"/>
  <c r="D7" i="15"/>
  <c r="D93" i="15" s="1"/>
  <c r="D91" i="15" s="1"/>
  <c r="D92" i="15" s="1"/>
  <c r="C7" i="15"/>
  <c r="C93" i="15" s="1"/>
  <c r="C91" i="15" s="1"/>
  <c r="C92" i="15" s="1"/>
  <c r="G21" i="15"/>
  <c r="F21" i="15"/>
  <c r="E21" i="15"/>
  <c r="D21" i="15"/>
  <c r="E1" i="15"/>
  <c r="F1" i="15" s="1"/>
  <c r="G1" i="15" s="1"/>
  <c r="H1" i="15" s="1"/>
  <c r="I1" i="15" s="1"/>
  <c r="J1" i="15" s="1"/>
  <c r="E4" i="15"/>
  <c r="F4" i="15"/>
  <c r="G4" i="15"/>
  <c r="F87" i="15" l="1"/>
  <c r="F86" i="15" s="1"/>
  <c r="R42" i="1"/>
  <c r="T42" i="1" s="1"/>
  <c r="S42" i="1"/>
  <c r="R38" i="1"/>
  <c r="R34" i="1"/>
  <c r="T34" i="1" s="1"/>
  <c r="S34" i="1"/>
  <c r="R26" i="1"/>
  <c r="S26" i="1" s="1"/>
  <c r="R22" i="1"/>
  <c r="T22" i="1" s="1"/>
  <c r="S22" i="1"/>
  <c r="R18" i="1"/>
  <c r="T18" i="1" s="1"/>
  <c r="S18" i="1"/>
  <c r="F46" i="15"/>
  <c r="F69" i="15"/>
  <c r="G69" i="15" s="1"/>
  <c r="H69" i="15" s="1"/>
  <c r="F64" i="15"/>
  <c r="F63" i="15" s="1"/>
  <c r="F56" i="15"/>
  <c r="G56" i="15" s="1"/>
  <c r="H56" i="15" s="1"/>
  <c r="F79" i="15"/>
  <c r="G79" i="15" s="1"/>
  <c r="H79" i="15" s="1"/>
  <c r="F51" i="15"/>
  <c r="G51" i="15" s="1"/>
  <c r="H51" i="15" s="1"/>
  <c r="F74" i="15"/>
  <c r="C77" i="15"/>
  <c r="C80" i="15" s="1"/>
  <c r="F80" i="15" s="1"/>
  <c r="G46" i="15"/>
  <c r="E43" i="15"/>
  <c r="C72" i="15"/>
  <c r="C75" i="15" s="1"/>
  <c r="C67" i="15"/>
  <c r="C70" i="15" s="1"/>
  <c r="F70" i="15" s="1"/>
  <c r="D72" i="15"/>
  <c r="D75" i="15" s="1"/>
  <c r="F32" i="15"/>
  <c r="F31" i="15" s="1"/>
  <c r="F45" i="15"/>
  <c r="G45" i="15" s="1"/>
  <c r="F50" i="15"/>
  <c r="F55" i="15"/>
  <c r="H46" i="15"/>
  <c r="F11" i="15"/>
  <c r="F7" i="15"/>
  <c r="F24" i="15"/>
  <c r="F23" i="15" s="1"/>
  <c r="H21" i="15"/>
  <c r="I21" i="15" s="1"/>
  <c r="F15" i="15"/>
  <c r="F28" i="15"/>
  <c r="F27" i="15" s="1"/>
  <c r="H4" i="15"/>
  <c r="I4" i="15" s="1"/>
  <c r="J4" i="15" s="1"/>
  <c r="G64" i="15" l="1"/>
  <c r="G87" i="15"/>
  <c r="H87" i="15" s="1"/>
  <c r="F67" i="15"/>
  <c r="H108" i="15"/>
  <c r="F6" i="15"/>
  <c r="F44" i="15" s="1"/>
  <c r="F93" i="15"/>
  <c r="F91" i="15" s="1"/>
  <c r="F92" i="15" s="1"/>
  <c r="F14" i="15"/>
  <c r="F78" i="15" s="1"/>
  <c r="F101" i="15"/>
  <c r="F99" i="15" s="1"/>
  <c r="F10" i="15"/>
  <c r="F49" i="15" s="1"/>
  <c r="F97" i="15"/>
  <c r="F95" i="15" s="1"/>
  <c r="F96" i="15" s="1"/>
  <c r="G32" i="15"/>
  <c r="G31" i="15" s="1"/>
  <c r="G7" i="15"/>
  <c r="H7" i="15" s="1"/>
  <c r="S38" i="1"/>
  <c r="S36" i="1" s="1"/>
  <c r="R36" i="1"/>
  <c r="T38" i="1"/>
  <c r="T36" i="1" s="1"/>
  <c r="T26" i="1"/>
  <c r="F72" i="15"/>
  <c r="F77" i="15"/>
  <c r="G80" i="15"/>
  <c r="H80" i="15" s="1"/>
  <c r="G74" i="15"/>
  <c r="I79" i="15"/>
  <c r="J79" i="15" s="1"/>
  <c r="F48" i="15"/>
  <c r="G50" i="15"/>
  <c r="G70" i="15"/>
  <c r="G11" i="15"/>
  <c r="I46" i="15"/>
  <c r="J46" i="15" s="1"/>
  <c r="F53" i="15"/>
  <c r="G55" i="15"/>
  <c r="H64" i="15"/>
  <c r="G63" i="15"/>
  <c r="I51" i="15"/>
  <c r="J51" i="15" s="1"/>
  <c r="F43" i="15"/>
  <c r="F75" i="15"/>
  <c r="G75" i="15" s="1"/>
  <c r="I56" i="15"/>
  <c r="J56" i="15" s="1"/>
  <c r="H45" i="15"/>
  <c r="I45" i="15" s="1"/>
  <c r="I69" i="15"/>
  <c r="J69" i="15" s="1"/>
  <c r="H11" i="15"/>
  <c r="G24" i="15"/>
  <c r="G23" i="15" s="1"/>
  <c r="G28" i="15"/>
  <c r="G27" i="15" s="1"/>
  <c r="G15" i="15"/>
  <c r="G101" i="15" s="1"/>
  <c r="H3" i="15"/>
  <c r="G43" i="15" l="1"/>
  <c r="F54" i="15"/>
  <c r="F68" i="15"/>
  <c r="G86" i="15"/>
  <c r="F100" i="15"/>
  <c r="G72" i="15"/>
  <c r="H32" i="15"/>
  <c r="I32" i="15" s="1"/>
  <c r="H107" i="15"/>
  <c r="I108" i="15"/>
  <c r="J108" i="15" s="1"/>
  <c r="I87" i="15"/>
  <c r="H86" i="15"/>
  <c r="G99" i="15"/>
  <c r="G10" i="15"/>
  <c r="G49" i="15" s="1"/>
  <c r="G97" i="15"/>
  <c r="G6" i="15"/>
  <c r="G44" i="15" s="1"/>
  <c r="G93" i="15"/>
  <c r="G91" i="15" s="1"/>
  <c r="I7" i="15"/>
  <c r="I93" i="15" s="1"/>
  <c r="H93" i="15"/>
  <c r="I11" i="15"/>
  <c r="I97" i="15" s="1"/>
  <c r="H97" i="15"/>
  <c r="G67" i="15"/>
  <c r="G77" i="15"/>
  <c r="I80" i="15"/>
  <c r="J80" i="15" s="1"/>
  <c r="G53" i="15"/>
  <c r="H74" i="15"/>
  <c r="H70" i="15"/>
  <c r="H55" i="15"/>
  <c r="F73" i="15"/>
  <c r="H75" i="15"/>
  <c r="I64" i="15"/>
  <c r="H63" i="15"/>
  <c r="G48" i="15"/>
  <c r="H50" i="15"/>
  <c r="H24" i="15"/>
  <c r="I24" i="15" s="1"/>
  <c r="J24" i="15" s="1"/>
  <c r="J45" i="15"/>
  <c r="H43" i="15"/>
  <c r="H28" i="15"/>
  <c r="I28" i="15" s="1"/>
  <c r="G14" i="15"/>
  <c r="H15" i="15"/>
  <c r="I3" i="15"/>
  <c r="H6" i="15"/>
  <c r="H44" i="15" s="1"/>
  <c r="H10" i="15"/>
  <c r="H49" i="15" s="1"/>
  <c r="H20" i="15"/>
  <c r="H39" i="15" l="1"/>
  <c r="G95" i="15"/>
  <c r="J32" i="15"/>
  <c r="J7" i="15"/>
  <c r="J93" i="15" s="1"/>
  <c r="G73" i="15"/>
  <c r="G96" i="15"/>
  <c r="I107" i="15"/>
  <c r="I39" i="15" s="1"/>
  <c r="J11" i="15"/>
  <c r="J97" i="15" s="1"/>
  <c r="H91" i="15"/>
  <c r="H92" i="15" s="1"/>
  <c r="I86" i="15"/>
  <c r="I95" i="15" s="1"/>
  <c r="H14" i="15"/>
  <c r="H54" i="15" s="1"/>
  <c r="H101" i="15"/>
  <c r="H99" i="15" s="1"/>
  <c r="G68" i="15"/>
  <c r="H95" i="15"/>
  <c r="H96" i="15" s="1"/>
  <c r="G92" i="15"/>
  <c r="G100" i="15"/>
  <c r="I74" i="15"/>
  <c r="J74" i="15" s="1"/>
  <c r="H77" i="15"/>
  <c r="H72" i="15"/>
  <c r="H67" i="15"/>
  <c r="I63" i="15"/>
  <c r="I55" i="15"/>
  <c r="H53" i="15"/>
  <c r="G54" i="15"/>
  <c r="G78" i="15"/>
  <c r="I50" i="15"/>
  <c r="J50" i="15" s="1"/>
  <c r="H48" i="15"/>
  <c r="I75" i="15"/>
  <c r="H73" i="15"/>
  <c r="I70" i="15"/>
  <c r="H68" i="15"/>
  <c r="I43" i="15"/>
  <c r="J28" i="15"/>
  <c r="I15" i="15"/>
  <c r="H27" i="15"/>
  <c r="H23" i="15"/>
  <c r="H31" i="15"/>
  <c r="I10" i="15"/>
  <c r="I49" i="15" s="1"/>
  <c r="J3" i="15"/>
  <c r="I6" i="15"/>
  <c r="I44" i="15" s="1"/>
  <c r="I20" i="15"/>
  <c r="J86" i="15" l="1"/>
  <c r="J91" i="15" s="1"/>
  <c r="H78" i="15"/>
  <c r="H100" i="15"/>
  <c r="I96" i="15"/>
  <c r="J107" i="15"/>
  <c r="I91" i="15"/>
  <c r="I92" i="15" s="1"/>
  <c r="J95" i="15"/>
  <c r="J15" i="15"/>
  <c r="J101" i="15" s="1"/>
  <c r="J99" i="15" s="1"/>
  <c r="I101" i="15"/>
  <c r="I99" i="15" s="1"/>
  <c r="I14" i="15"/>
  <c r="I78" i="15" s="1"/>
  <c r="I53" i="15"/>
  <c r="I68" i="15"/>
  <c r="J43" i="15"/>
  <c r="J63" i="15"/>
  <c r="I67" i="15"/>
  <c r="I72" i="15"/>
  <c r="I77" i="15"/>
  <c r="I54" i="15"/>
  <c r="J55" i="15"/>
  <c r="I48" i="15"/>
  <c r="J70" i="15"/>
  <c r="I73" i="15"/>
  <c r="J75" i="15"/>
  <c r="I31" i="15"/>
  <c r="I23" i="15"/>
  <c r="I27" i="15"/>
  <c r="J10" i="15"/>
  <c r="J49" i="15" s="1"/>
  <c r="J6" i="15"/>
  <c r="J44" i="15" s="1"/>
  <c r="J20" i="15"/>
  <c r="J39" i="15" l="1"/>
  <c r="J14" i="15"/>
  <c r="J100" i="15" s="1"/>
  <c r="I100" i="15"/>
  <c r="J92" i="15"/>
  <c r="J96" i="15"/>
  <c r="J53" i="15"/>
  <c r="J48" i="15"/>
  <c r="J68" i="15"/>
  <c r="J78" i="15"/>
  <c r="J72" i="15"/>
  <c r="J77" i="15"/>
  <c r="J67" i="15"/>
  <c r="J73" i="15"/>
  <c r="J23" i="15"/>
  <c r="J31" i="15"/>
  <c r="J27" i="15"/>
  <c r="J54" i="15" l="1"/>
  <c r="V29" i="1"/>
  <c r="P30" i="14" l="1"/>
  <c r="P29" i="14"/>
  <c r="P28" i="14"/>
  <c r="P27" i="14"/>
  <c r="Q17" i="1" l="1"/>
  <c r="Q21" i="1" l="1"/>
  <c r="E46" i="11"/>
  <c r="E46" i="7"/>
  <c r="Q25" i="1" l="1"/>
  <c r="E46" i="10"/>
  <c r="F6" i="12"/>
  <c r="E29" i="5"/>
  <c r="E28" i="5"/>
  <c r="E27" i="5"/>
  <c r="E26" i="5"/>
  <c r="E25" i="5"/>
  <c r="E24" i="5"/>
  <c r="E23" i="5"/>
  <c r="E22" i="5"/>
  <c r="E21" i="5"/>
  <c r="E38" i="5"/>
  <c r="E42" i="5"/>
  <c r="E39" i="5"/>
  <c r="E41" i="5" s="1"/>
  <c r="E12" i="5" s="1"/>
  <c r="T41" i="12"/>
  <c r="F26" i="4"/>
  <c r="F25" i="4"/>
  <c r="F33" i="4"/>
  <c r="F24" i="4"/>
  <c r="O18" i="14"/>
  <c r="N18" i="14"/>
  <c r="M18" i="14"/>
  <c r="L18" i="14"/>
  <c r="K18" i="14"/>
  <c r="J18" i="14"/>
  <c r="I18" i="14"/>
  <c r="G18" i="14"/>
  <c r="F18" i="14"/>
  <c r="Y18" i="14" s="1"/>
  <c r="E18" i="14"/>
  <c r="D18" i="14"/>
  <c r="C18" i="14"/>
  <c r="O17" i="14"/>
  <c r="N17" i="14"/>
  <c r="M17" i="14"/>
  <c r="L17" i="14"/>
  <c r="K17" i="14"/>
  <c r="J17" i="14"/>
  <c r="I17" i="14"/>
  <c r="G17" i="14"/>
  <c r="F17" i="14"/>
  <c r="E17" i="14"/>
  <c r="D17" i="14"/>
  <c r="C17" i="14"/>
  <c r="O16" i="14"/>
  <c r="N16" i="14"/>
  <c r="U16" i="14" s="1"/>
  <c r="M16" i="14"/>
  <c r="L16" i="14"/>
  <c r="K16" i="14"/>
  <c r="J16" i="14"/>
  <c r="Q16" i="14" s="1"/>
  <c r="I16" i="14"/>
  <c r="G16" i="14"/>
  <c r="AC16" i="14" s="1"/>
  <c r="F16" i="14"/>
  <c r="Y16" i="14" s="1"/>
  <c r="E16" i="14"/>
  <c r="D16" i="14"/>
  <c r="C16" i="14"/>
  <c r="O15" i="14"/>
  <c r="N15" i="14"/>
  <c r="M15" i="14"/>
  <c r="L15" i="14"/>
  <c r="K15" i="14"/>
  <c r="R15" i="14" s="1"/>
  <c r="J15" i="14"/>
  <c r="U15" i="14" s="1"/>
  <c r="I15" i="14"/>
  <c r="Q15" i="14" s="1"/>
  <c r="G15" i="14"/>
  <c r="F15" i="14"/>
  <c r="Y15" i="14" s="1"/>
  <c r="E15" i="14"/>
  <c r="D15" i="14"/>
  <c r="C15" i="14"/>
  <c r="V14" i="14"/>
  <c r="O14" i="14"/>
  <c r="N14" i="14"/>
  <c r="M14" i="14"/>
  <c r="AA14" i="14" s="1"/>
  <c r="L14" i="14"/>
  <c r="K14" i="14"/>
  <c r="J14" i="14"/>
  <c r="R14" i="14" s="1"/>
  <c r="I14" i="14"/>
  <c r="G14" i="14"/>
  <c r="F14" i="14"/>
  <c r="E14" i="14"/>
  <c r="D14" i="14"/>
  <c r="C14" i="14"/>
  <c r="A14" i="14"/>
  <c r="A15" i="14" s="1"/>
  <c r="A16" i="14" s="1"/>
  <c r="A17" i="14" s="1"/>
  <c r="A18" i="14" s="1"/>
  <c r="O13" i="14"/>
  <c r="N13" i="14"/>
  <c r="AB13" i="14" s="1"/>
  <c r="M13" i="14"/>
  <c r="L13" i="14"/>
  <c r="K13" i="14"/>
  <c r="J13" i="14"/>
  <c r="S13" i="14" s="1"/>
  <c r="I13" i="14"/>
  <c r="G13" i="14"/>
  <c r="F13" i="14"/>
  <c r="E13" i="14"/>
  <c r="D13" i="14"/>
  <c r="C13" i="14"/>
  <c r="O11" i="14"/>
  <c r="N11" i="14"/>
  <c r="AB11" i="14" s="1"/>
  <c r="M11" i="14"/>
  <c r="I27" i="14" s="1"/>
  <c r="L11" i="14"/>
  <c r="K11" i="14"/>
  <c r="J11" i="14"/>
  <c r="S11" i="14" s="1"/>
  <c r="I11" i="14"/>
  <c r="G11" i="14"/>
  <c r="F11" i="14"/>
  <c r="E11" i="14"/>
  <c r="C11" i="14"/>
  <c r="V9" i="14"/>
  <c r="U9" i="14"/>
  <c r="O9" i="14"/>
  <c r="N9" i="14"/>
  <c r="J9" i="14"/>
  <c r="K9" i="14" s="1"/>
  <c r="V15" i="14" l="1"/>
  <c r="V13" i="14"/>
  <c r="S16" i="14"/>
  <c r="S17" i="14"/>
  <c r="AB17" i="14"/>
  <c r="R18" i="14"/>
  <c r="V18" i="14"/>
  <c r="AC14" i="14"/>
  <c r="U18" i="14"/>
  <c r="E25" i="4"/>
  <c r="H25" i="4" s="1"/>
  <c r="Z15" i="14"/>
  <c r="X17" i="14"/>
  <c r="V17" i="14"/>
  <c r="R11" i="14"/>
  <c r="X13" i="14"/>
  <c r="R13" i="14"/>
  <c r="U14" i="14"/>
  <c r="T15" i="14"/>
  <c r="AC18" i="14"/>
  <c r="Z18" i="14"/>
  <c r="E33" i="4"/>
  <c r="H33" i="4" s="1"/>
  <c r="AC15" i="14"/>
  <c r="R17" i="14"/>
  <c r="E26" i="4"/>
  <c r="H26" i="4" s="1"/>
  <c r="X11" i="14"/>
  <c r="V11" i="14"/>
  <c r="V23" i="14" s="1"/>
  <c r="Z14" i="14"/>
  <c r="T16" i="14"/>
  <c r="V16" i="14"/>
  <c r="AA18" i="14"/>
  <c r="E24" i="4"/>
  <c r="H24" i="4" s="1"/>
  <c r="R22" i="14"/>
  <c r="T11" i="14"/>
  <c r="Y11" i="14"/>
  <c r="AC11" i="14"/>
  <c r="S14" i="14"/>
  <c r="X14" i="14"/>
  <c r="AB14" i="14"/>
  <c r="AA15" i="14"/>
  <c r="T17" i="14"/>
  <c r="Y17" i="14"/>
  <c r="AC17" i="14"/>
  <c r="X18" i="14"/>
  <c r="Q11" i="14"/>
  <c r="U11" i="14"/>
  <c r="Z11" i="14"/>
  <c r="Q13" i="14"/>
  <c r="U13" i="14"/>
  <c r="Z13" i="14"/>
  <c r="T14" i="14"/>
  <c r="Y14" i="14"/>
  <c r="S15" i="14"/>
  <c r="X15" i="14"/>
  <c r="AB15" i="14"/>
  <c r="R16" i="14"/>
  <c r="AA16" i="14"/>
  <c r="Q17" i="14"/>
  <c r="U17" i="14"/>
  <c r="Z17" i="14"/>
  <c r="T18" i="14"/>
  <c r="H27" i="14"/>
  <c r="T13" i="14"/>
  <c r="Y13" i="14"/>
  <c r="AC13" i="14"/>
  <c r="Z16" i="14"/>
  <c r="S18" i="14"/>
  <c r="AB18" i="14"/>
  <c r="AA11" i="14"/>
  <c r="AA13" i="14"/>
  <c r="Q14" i="14"/>
  <c r="X16" i="14"/>
  <c r="AB16" i="14"/>
  <c r="AA17" i="14"/>
  <c r="Q18" i="14"/>
  <c r="D28" i="4" l="1"/>
  <c r="S23" i="14"/>
  <c r="V22" i="14"/>
  <c r="AB22" i="14"/>
  <c r="X23" i="14"/>
  <c r="S22" i="14"/>
  <c r="R23" i="14"/>
  <c r="E27" i="14"/>
  <c r="M27" i="14" s="1"/>
  <c r="U27" i="14" s="1"/>
  <c r="Y27" i="14" s="1"/>
  <c r="E30" i="14"/>
  <c r="M30" i="14" s="1"/>
  <c r="U30" i="14" s="1"/>
  <c r="Y30" i="14" s="1"/>
  <c r="U23" i="14"/>
  <c r="U22" i="14"/>
  <c r="T23" i="14"/>
  <c r="T22" i="14"/>
  <c r="Y23" i="14"/>
  <c r="D29" i="14" s="1"/>
  <c r="L29" i="14" s="1"/>
  <c r="T29" i="14" s="1"/>
  <c r="X29" i="14" s="1"/>
  <c r="Y22" i="14"/>
  <c r="D28" i="14" s="1"/>
  <c r="L28" i="14" s="1"/>
  <c r="T28" i="14" s="1"/>
  <c r="X28" i="14" s="1"/>
  <c r="AA23" i="14"/>
  <c r="E29" i="14" s="1"/>
  <c r="M29" i="14" s="1"/>
  <c r="U29" i="14" s="1"/>
  <c r="Y29" i="14" s="1"/>
  <c r="AA22" i="14"/>
  <c r="E28" i="14" s="1"/>
  <c r="M28" i="14" s="1"/>
  <c r="U28" i="14" s="1"/>
  <c r="Y28" i="14" s="1"/>
  <c r="F30" i="14"/>
  <c r="V30" i="14" s="1"/>
  <c r="Z30" i="14" s="1"/>
  <c r="F27" i="14"/>
  <c r="V27" i="14" s="1"/>
  <c r="Z27" i="14" s="1"/>
  <c r="Q23" i="14"/>
  <c r="Q22" i="14"/>
  <c r="X22" i="14"/>
  <c r="AB23" i="14"/>
  <c r="Z23" i="14"/>
  <c r="Z22" i="14"/>
  <c r="D27" i="14"/>
  <c r="L27" i="14" s="1"/>
  <c r="T27" i="14" s="1"/>
  <c r="X27" i="14" s="1"/>
  <c r="D30" i="14"/>
  <c r="L30" i="14" s="1"/>
  <c r="T30" i="14" s="1"/>
  <c r="X30" i="14" s="1"/>
  <c r="AC23" i="14"/>
  <c r="F29" i="14" s="1"/>
  <c r="V29" i="14" s="1"/>
  <c r="Z29" i="14" s="1"/>
  <c r="AC22" i="14"/>
  <c r="F28" i="14" s="1"/>
  <c r="V28" i="14" s="1"/>
  <c r="Z28" i="14" s="1"/>
  <c r="Q46" i="10" l="1"/>
  <c r="Q46" i="7"/>
  <c r="Q46" i="11"/>
  <c r="P18" i="12"/>
  <c r="F12" i="12"/>
  <c r="Q10" i="12"/>
  <c r="R10" i="12" s="1"/>
  <c r="S10" i="12" s="1"/>
  <c r="T10" i="12" s="1"/>
  <c r="G10" i="12"/>
  <c r="H10" i="12" s="1"/>
  <c r="I10" i="12" s="1"/>
  <c r="J10" i="12" s="1"/>
  <c r="K10" i="12" s="1"/>
  <c r="L10" i="12" s="1"/>
  <c r="M10" i="12" s="1"/>
  <c r="N10" i="12" s="1"/>
  <c r="Q14" i="11"/>
  <c r="P14" i="11"/>
  <c r="Q12" i="11"/>
  <c r="F12" i="11"/>
  <c r="P18" i="11"/>
  <c r="Q10" i="11"/>
  <c r="R10" i="11" s="1"/>
  <c r="S10" i="11" s="1"/>
  <c r="T10" i="11" s="1"/>
  <c r="G10" i="11"/>
  <c r="H10" i="11" s="1"/>
  <c r="I10" i="11" s="1"/>
  <c r="J10" i="11" s="1"/>
  <c r="K10" i="11" s="1"/>
  <c r="L10" i="11" s="1"/>
  <c r="M10" i="11" s="1"/>
  <c r="N10" i="11" s="1"/>
  <c r="Q14" i="10"/>
  <c r="P14" i="10"/>
  <c r="Q12" i="10"/>
  <c r="F12" i="10"/>
  <c r="P18" i="10"/>
  <c r="Q10" i="10"/>
  <c r="R10" i="10" s="1"/>
  <c r="S10" i="10" s="1"/>
  <c r="T10" i="10" s="1"/>
  <c r="G10" i="10"/>
  <c r="H10" i="10" s="1"/>
  <c r="I10" i="10" s="1"/>
  <c r="J10" i="10" s="1"/>
  <c r="K10" i="10" s="1"/>
  <c r="L10" i="10" s="1"/>
  <c r="M10" i="10" s="1"/>
  <c r="N10" i="10" s="1"/>
  <c r="P18" i="7"/>
  <c r="Q14" i="7"/>
  <c r="Q12" i="7"/>
  <c r="F12" i="7"/>
  <c r="Q10" i="7"/>
  <c r="R10" i="7" s="1"/>
  <c r="S10" i="7" s="1"/>
  <c r="T10" i="7" s="1"/>
  <c r="G10" i="7"/>
  <c r="H10" i="7" s="1"/>
  <c r="I10" i="7" s="1"/>
  <c r="J10" i="7" s="1"/>
  <c r="K10" i="7" s="1"/>
  <c r="L10" i="7" s="1"/>
  <c r="M10" i="7" s="1"/>
  <c r="N10" i="7" s="1"/>
  <c r="T152" i="1"/>
  <c r="T151" i="1"/>
  <c r="E14" i="4"/>
  <c r="C6" i="1"/>
  <c r="C5" i="1"/>
  <c r="P34" i="12" s="1"/>
  <c r="P35" i="12" s="1"/>
  <c r="F123" i="1"/>
  <c r="P145" i="1" l="1"/>
  <c r="P34" i="7"/>
  <c r="P35" i="7" s="1"/>
  <c r="P34" i="10"/>
  <c r="P35" i="10" s="1"/>
  <c r="P34" i="11"/>
  <c r="Q35" i="11" s="1"/>
  <c r="R35" i="11" s="1"/>
  <c r="S35" i="11" s="1"/>
  <c r="T35" i="11" s="1"/>
  <c r="Q14" i="12"/>
  <c r="P17" i="10"/>
  <c r="P20" i="10" s="1"/>
  <c r="Q35" i="12"/>
  <c r="R35" i="12" s="1"/>
  <c r="S35" i="12" s="1"/>
  <c r="T35" i="12" s="1"/>
  <c r="P17" i="11"/>
  <c r="P20" i="11" s="1"/>
  <c r="Q101" i="1"/>
  <c r="R101" i="1" s="1"/>
  <c r="S101" i="1" s="1"/>
  <c r="T101" i="1" s="1"/>
  <c r="G101" i="1"/>
  <c r="H101" i="1" s="1"/>
  <c r="I101" i="1" s="1"/>
  <c r="J101" i="1" s="1"/>
  <c r="K101" i="1" s="1"/>
  <c r="L101" i="1" s="1"/>
  <c r="M101" i="1" s="1"/>
  <c r="N101" i="1" s="1"/>
  <c r="O89" i="1"/>
  <c r="N89" i="1"/>
  <c r="M89" i="1"/>
  <c r="L89" i="1"/>
  <c r="K89" i="1"/>
  <c r="J89" i="1"/>
  <c r="I89" i="1"/>
  <c r="H89" i="1"/>
  <c r="G89" i="1"/>
  <c r="F89" i="1"/>
  <c r="O84" i="1"/>
  <c r="N84" i="1"/>
  <c r="M84" i="1"/>
  <c r="L84" i="1"/>
  <c r="K84" i="1"/>
  <c r="J84" i="1"/>
  <c r="I84" i="1"/>
  <c r="H84" i="1"/>
  <c r="G84" i="1"/>
  <c r="F84" i="1"/>
  <c r="O117" i="1"/>
  <c r="N117" i="1"/>
  <c r="M117" i="1"/>
  <c r="L117" i="1"/>
  <c r="K117" i="1"/>
  <c r="J117" i="1"/>
  <c r="I117" i="1"/>
  <c r="H117" i="1"/>
  <c r="G117" i="1"/>
  <c r="F117" i="1"/>
  <c r="O98" i="1"/>
  <c r="N98" i="1"/>
  <c r="M98" i="1"/>
  <c r="L98" i="1"/>
  <c r="K98" i="1"/>
  <c r="J98" i="1"/>
  <c r="I98" i="1"/>
  <c r="H98" i="1"/>
  <c r="G98" i="1"/>
  <c r="F98" i="1"/>
  <c r="O72" i="1"/>
  <c r="N72" i="1"/>
  <c r="M72" i="1"/>
  <c r="L72" i="1"/>
  <c r="K72" i="1"/>
  <c r="J72" i="1"/>
  <c r="I72" i="1"/>
  <c r="H72" i="1"/>
  <c r="G72" i="1"/>
  <c r="F72" i="1"/>
  <c r="K3" i="6"/>
  <c r="J3" i="6" s="1"/>
  <c r="I3" i="6" s="1"/>
  <c r="H3" i="6" s="1"/>
  <c r="G3" i="6" s="1"/>
  <c r="F3" i="6" s="1"/>
  <c r="E3" i="6" s="1"/>
  <c r="D3" i="6" s="1"/>
  <c r="C3" i="6" s="1"/>
  <c r="Q35" i="7" l="1"/>
  <c r="R35" i="7" s="1"/>
  <c r="S35" i="7" s="1"/>
  <c r="T35" i="7" s="1"/>
  <c r="Q35" i="10"/>
  <c r="R35" i="10" s="1"/>
  <c r="S35" i="10" s="1"/>
  <c r="T35" i="10" s="1"/>
  <c r="P35" i="11"/>
  <c r="Q146" i="1"/>
  <c r="R146" i="1" s="1"/>
  <c r="S146" i="1" s="1"/>
  <c r="T146" i="1" s="1"/>
  <c r="P146" i="1"/>
  <c r="F74" i="1"/>
  <c r="J74" i="1"/>
  <c r="N74" i="1"/>
  <c r="G74" i="1"/>
  <c r="K74" i="1"/>
  <c r="O74" i="1"/>
  <c r="M74" i="1"/>
  <c r="H74" i="1"/>
  <c r="L74" i="1"/>
  <c r="I74" i="1"/>
  <c r="E20" i="5" l="1"/>
  <c r="E9" i="5" s="1"/>
  <c r="E10" i="5" s="1"/>
  <c r="O48" i="1"/>
  <c r="N48" i="1"/>
  <c r="M48" i="1"/>
  <c r="L48" i="1"/>
  <c r="K48" i="1"/>
  <c r="J48" i="1"/>
  <c r="I48" i="1"/>
  <c r="H48" i="1"/>
  <c r="G48" i="1"/>
  <c r="F48" i="1"/>
  <c r="F49" i="1" l="1"/>
  <c r="F129" i="1" s="1"/>
  <c r="F128" i="1"/>
  <c r="J49" i="1"/>
  <c r="J129" i="1" s="1"/>
  <c r="J128" i="1"/>
  <c r="N49" i="1"/>
  <c r="N128" i="1"/>
  <c r="G49" i="1"/>
  <c r="G129" i="1" s="1"/>
  <c r="G128" i="1"/>
  <c r="K49" i="1"/>
  <c r="K129" i="1" s="1"/>
  <c r="K128" i="1"/>
  <c r="O49" i="1"/>
  <c r="O129" i="1" s="1"/>
  <c r="O128" i="1"/>
  <c r="H49" i="1"/>
  <c r="H129" i="1" s="1"/>
  <c r="H128" i="1"/>
  <c r="L49" i="1"/>
  <c r="L129" i="1" s="1"/>
  <c r="L128" i="1"/>
  <c r="I49" i="1"/>
  <c r="I129" i="1" s="1"/>
  <c r="I128" i="1"/>
  <c r="M49" i="1"/>
  <c r="M129" i="1" s="1"/>
  <c r="M128" i="1"/>
  <c r="E31" i="5"/>
  <c r="E8" i="5" s="1"/>
  <c r="E11" i="5" s="1"/>
  <c r="E15" i="5" s="1"/>
  <c r="N129" i="1" l="1"/>
  <c r="Q49" i="1"/>
  <c r="R49" i="1" s="1"/>
  <c r="S49" i="1" s="1"/>
  <c r="T49" i="1" s="1"/>
  <c r="E5" i="4"/>
  <c r="T45" i="12"/>
  <c r="T155" i="1"/>
  <c r="D29" i="4" l="1"/>
  <c r="E9" i="4" s="1"/>
  <c r="E7" i="4" s="1"/>
  <c r="E6" i="4"/>
  <c r="E13" i="4"/>
  <c r="E16" i="4"/>
  <c r="P129" i="1"/>
  <c r="C4" i="3"/>
  <c r="Q47" i="1"/>
  <c r="R47" i="1" s="1"/>
  <c r="S47" i="1" s="1"/>
  <c r="T47" i="1" s="1"/>
  <c r="G47" i="1"/>
  <c r="H47" i="1" s="1"/>
  <c r="I47" i="1" s="1"/>
  <c r="J47" i="1" s="1"/>
  <c r="K47" i="1" s="1"/>
  <c r="L47" i="1" s="1"/>
  <c r="M47" i="1" s="1"/>
  <c r="N47" i="1" s="1"/>
  <c r="K4" i="3"/>
  <c r="J4" i="3" s="1"/>
  <c r="I4" i="3" s="1"/>
  <c r="H4" i="3" s="1"/>
  <c r="G4" i="3" s="1"/>
  <c r="F4" i="3" s="1"/>
  <c r="E4" i="3" s="1"/>
  <c r="D4" i="3" s="1"/>
  <c r="Q18" i="11" l="1"/>
  <c r="Q17" i="11" s="1"/>
  <c r="Q20" i="11" s="1"/>
  <c r="Q18" i="12"/>
  <c r="Q18" i="7"/>
  <c r="Q17" i="7" s="1"/>
  <c r="Q20" i="7" s="1"/>
  <c r="Q18" i="10"/>
  <c r="Q17" i="10" s="1"/>
  <c r="E18" i="4"/>
  <c r="C10" i="1" s="1"/>
  <c r="Q129" i="1"/>
  <c r="Q120" i="1"/>
  <c r="R120" i="1" s="1"/>
  <c r="S120" i="1" s="1"/>
  <c r="T120" i="1" s="1"/>
  <c r="G121" i="1"/>
  <c r="H121" i="1" s="1"/>
  <c r="I121" i="1" s="1"/>
  <c r="J121" i="1" s="1"/>
  <c r="K121" i="1" s="1"/>
  <c r="L121" i="1" s="1"/>
  <c r="M121" i="1" s="1"/>
  <c r="N121" i="1" s="1"/>
  <c r="Q121" i="1"/>
  <c r="R121" i="1" s="1"/>
  <c r="S121" i="1" s="1"/>
  <c r="T121" i="1" s="1"/>
  <c r="O79" i="1"/>
  <c r="N79" i="1"/>
  <c r="M79" i="1"/>
  <c r="L79" i="1"/>
  <c r="K79" i="1"/>
  <c r="J79" i="1"/>
  <c r="I79" i="1"/>
  <c r="H79" i="1"/>
  <c r="G79" i="1"/>
  <c r="F79" i="1"/>
  <c r="Q77" i="1"/>
  <c r="R77" i="1" s="1"/>
  <c r="S77" i="1" s="1"/>
  <c r="T77" i="1" s="1"/>
  <c r="G77" i="1"/>
  <c r="H77" i="1" s="1"/>
  <c r="I77" i="1" s="1"/>
  <c r="J77" i="1" s="1"/>
  <c r="K77" i="1" s="1"/>
  <c r="L77" i="1" s="1"/>
  <c r="M77" i="1" s="1"/>
  <c r="N77" i="1" s="1"/>
  <c r="O63" i="1"/>
  <c r="N63" i="1"/>
  <c r="M63" i="1"/>
  <c r="L63" i="1"/>
  <c r="K63" i="1"/>
  <c r="J63" i="1"/>
  <c r="I63" i="1"/>
  <c r="H63" i="1"/>
  <c r="G63" i="1"/>
  <c r="F63" i="1"/>
  <c r="O58" i="1"/>
  <c r="N58" i="1"/>
  <c r="M58" i="1"/>
  <c r="L58" i="1"/>
  <c r="K58" i="1"/>
  <c r="J58" i="1"/>
  <c r="I58" i="1"/>
  <c r="H58" i="1"/>
  <c r="G58" i="1"/>
  <c r="F58" i="1"/>
  <c r="O53" i="1"/>
  <c r="N53" i="1"/>
  <c r="M53" i="1"/>
  <c r="L53" i="1"/>
  <c r="K53" i="1"/>
  <c r="J53" i="1"/>
  <c r="I53" i="1"/>
  <c r="H53" i="1"/>
  <c r="G53" i="1"/>
  <c r="F53" i="1"/>
  <c r="O40" i="1"/>
  <c r="O14" i="11" s="1"/>
  <c r="N40" i="1"/>
  <c r="N14" i="11" s="1"/>
  <c r="M40" i="1"/>
  <c r="M14" i="11" s="1"/>
  <c r="L40" i="1"/>
  <c r="L14" i="11" s="1"/>
  <c r="K40" i="1"/>
  <c r="K14" i="11" s="1"/>
  <c r="J40" i="1"/>
  <c r="J14" i="11" s="1"/>
  <c r="I40" i="1"/>
  <c r="I14" i="11" s="1"/>
  <c r="H40" i="1"/>
  <c r="H14" i="11" s="1"/>
  <c r="G40" i="1"/>
  <c r="G14" i="11" s="1"/>
  <c r="F40" i="1"/>
  <c r="F14" i="11" s="1"/>
  <c r="O36" i="1"/>
  <c r="O14" i="10" s="1"/>
  <c r="N36" i="1"/>
  <c r="N14" i="10" s="1"/>
  <c r="M36" i="1"/>
  <c r="M14" i="10" s="1"/>
  <c r="L36" i="1"/>
  <c r="L14" i="10" s="1"/>
  <c r="K36" i="1"/>
  <c r="K14" i="10" s="1"/>
  <c r="J36" i="1"/>
  <c r="J14" i="10" s="1"/>
  <c r="I36" i="1"/>
  <c r="I14" i="10" s="1"/>
  <c r="H36" i="1"/>
  <c r="H14" i="10" s="1"/>
  <c r="G36" i="1"/>
  <c r="G14" i="10" s="1"/>
  <c r="F36" i="1"/>
  <c r="F14" i="10" s="1"/>
  <c r="O32" i="1"/>
  <c r="O14" i="7" s="1"/>
  <c r="O14" i="12" s="1"/>
  <c r="N32" i="1"/>
  <c r="N14" i="7" s="1"/>
  <c r="M32" i="1"/>
  <c r="M14" i="7" s="1"/>
  <c r="L32" i="1"/>
  <c r="L14" i="7" s="1"/>
  <c r="L14" i="12" s="1"/>
  <c r="K32" i="1"/>
  <c r="K14" i="7" s="1"/>
  <c r="K14" i="12" s="1"/>
  <c r="J32" i="1"/>
  <c r="J14" i="7" s="1"/>
  <c r="I32" i="1"/>
  <c r="I14" i="7" s="1"/>
  <c r="H32" i="1"/>
  <c r="H14" i="7" s="1"/>
  <c r="H14" i="12" s="1"/>
  <c r="G32" i="1"/>
  <c r="G14" i="7" s="1"/>
  <c r="G14" i="12" s="1"/>
  <c r="F32" i="1"/>
  <c r="F14" i="7" s="1"/>
  <c r="O24" i="1"/>
  <c r="N24" i="1"/>
  <c r="N11" i="11" s="1"/>
  <c r="M24" i="1"/>
  <c r="M11" i="11" s="1"/>
  <c r="L24" i="1"/>
  <c r="L11" i="11" s="1"/>
  <c r="K24" i="1"/>
  <c r="K11" i="11" s="1"/>
  <c r="J24" i="1"/>
  <c r="J11" i="11" s="1"/>
  <c r="I24" i="1"/>
  <c r="I11" i="11" s="1"/>
  <c r="H24" i="1"/>
  <c r="H11" i="11" s="1"/>
  <c r="G24" i="1"/>
  <c r="G11" i="11" s="1"/>
  <c r="F24" i="1"/>
  <c r="F11" i="11" s="1"/>
  <c r="O20" i="1"/>
  <c r="N20" i="1"/>
  <c r="N11" i="10" s="1"/>
  <c r="M20" i="1"/>
  <c r="M11" i="10" s="1"/>
  <c r="L20" i="1"/>
  <c r="L11" i="10" s="1"/>
  <c r="K20" i="1"/>
  <c r="K11" i="10" s="1"/>
  <c r="J20" i="1"/>
  <c r="J11" i="10" s="1"/>
  <c r="I20" i="1"/>
  <c r="I11" i="10" s="1"/>
  <c r="H20" i="1"/>
  <c r="H11" i="10" s="1"/>
  <c r="G20" i="1"/>
  <c r="G11" i="10" s="1"/>
  <c r="F20" i="1"/>
  <c r="F11" i="10" s="1"/>
  <c r="O16" i="1"/>
  <c r="N16" i="1"/>
  <c r="N11" i="7" s="1"/>
  <c r="N11" i="12" s="1"/>
  <c r="M16" i="1"/>
  <c r="M11" i="7" s="1"/>
  <c r="M11" i="12" s="1"/>
  <c r="L16" i="1"/>
  <c r="L11" i="7" s="1"/>
  <c r="K16" i="1"/>
  <c r="K11" i="7" s="1"/>
  <c r="J16" i="1"/>
  <c r="J11" i="7" s="1"/>
  <c r="J11" i="12" s="1"/>
  <c r="I16" i="1"/>
  <c r="I11" i="7" s="1"/>
  <c r="I11" i="12" s="1"/>
  <c r="H16" i="1"/>
  <c r="H11" i="7" s="1"/>
  <c r="G16" i="1"/>
  <c r="G11" i="7" s="1"/>
  <c r="F16" i="1"/>
  <c r="F11" i="7" s="1"/>
  <c r="F11" i="12" s="1"/>
  <c r="Q31" i="1"/>
  <c r="R31" i="1" s="1"/>
  <c r="S31" i="1" s="1"/>
  <c r="T31" i="1" s="1"/>
  <c r="G31" i="1"/>
  <c r="H31" i="1" s="1"/>
  <c r="I31" i="1" s="1"/>
  <c r="J31" i="1" s="1"/>
  <c r="K31" i="1" s="1"/>
  <c r="L31" i="1" s="1"/>
  <c r="M31" i="1" s="1"/>
  <c r="N31" i="1" s="1"/>
  <c r="N12" i="12" l="1"/>
  <c r="J12" i="12"/>
  <c r="G11" i="12"/>
  <c r="G12" i="12" s="1"/>
  <c r="K11" i="12"/>
  <c r="K12" i="12" s="1"/>
  <c r="P17" i="1"/>
  <c r="P12" i="7" s="1"/>
  <c r="O11" i="7"/>
  <c r="P25" i="1"/>
  <c r="P12" i="11" s="1"/>
  <c r="O11" i="11"/>
  <c r="I14" i="12"/>
  <c r="I15" i="12" s="1"/>
  <c r="M14" i="12"/>
  <c r="M15" i="12" s="1"/>
  <c r="H11" i="12"/>
  <c r="L11" i="12"/>
  <c r="F14" i="12"/>
  <c r="F15" i="12" s="1"/>
  <c r="J14" i="12"/>
  <c r="J15" i="12" s="1"/>
  <c r="N14" i="12"/>
  <c r="N15" i="12" s="1"/>
  <c r="P21" i="1"/>
  <c r="P12" i="10" s="1"/>
  <c r="O11" i="10"/>
  <c r="F5" i="12"/>
  <c r="F5" i="11"/>
  <c r="F5" i="10"/>
  <c r="F5" i="7"/>
  <c r="Q17" i="12"/>
  <c r="Q20" i="10"/>
  <c r="Q20" i="12" s="1"/>
  <c r="R129" i="1"/>
  <c r="R18" i="7"/>
  <c r="R18" i="11"/>
  <c r="R18" i="12"/>
  <c r="R18" i="10"/>
  <c r="G119" i="1"/>
  <c r="K119" i="1"/>
  <c r="O119" i="1"/>
  <c r="L119" i="1"/>
  <c r="M119" i="1"/>
  <c r="H119" i="1"/>
  <c r="I119" i="1"/>
  <c r="J119" i="1"/>
  <c r="N119" i="1"/>
  <c r="G95" i="1"/>
  <c r="O95" i="1"/>
  <c r="O80" i="1" s="1"/>
  <c r="H95" i="1"/>
  <c r="L95" i="1"/>
  <c r="K95" i="1"/>
  <c r="I95" i="1"/>
  <c r="I80" i="1" s="1"/>
  <c r="I78" i="1" s="1"/>
  <c r="I81" i="1" s="1"/>
  <c r="M95" i="1"/>
  <c r="F95" i="1"/>
  <c r="F80" i="1" s="1"/>
  <c r="F78" i="1" s="1"/>
  <c r="F81" i="1" s="1"/>
  <c r="J95" i="1"/>
  <c r="N95" i="1"/>
  <c r="K69" i="1"/>
  <c r="K59" i="1" s="1"/>
  <c r="K57" i="1" s="1"/>
  <c r="H69" i="1"/>
  <c r="H59" i="1" s="1"/>
  <c r="H57" i="1" s="1"/>
  <c r="L69" i="1"/>
  <c r="L64" i="1" s="1"/>
  <c r="L62" i="1" s="1"/>
  <c r="O69" i="1"/>
  <c r="O64" i="1" s="1"/>
  <c r="I69" i="1"/>
  <c r="I54" i="1" s="1"/>
  <c r="I52" i="1" s="1"/>
  <c r="M69" i="1"/>
  <c r="M54" i="1" s="1"/>
  <c r="G69" i="1"/>
  <c r="G64" i="1" s="1"/>
  <c r="G62" i="1" s="1"/>
  <c r="F69" i="1"/>
  <c r="F59" i="1" s="1"/>
  <c r="F57" i="1" s="1"/>
  <c r="J69" i="1"/>
  <c r="J64" i="1" s="1"/>
  <c r="J62" i="1" s="1"/>
  <c r="N69" i="1"/>
  <c r="N54" i="1" s="1"/>
  <c r="G44" i="1"/>
  <c r="K44" i="1"/>
  <c r="O44" i="1"/>
  <c r="H44" i="1"/>
  <c r="L44" i="1"/>
  <c r="I44" i="1"/>
  <c r="M44" i="1"/>
  <c r="F44" i="1"/>
  <c r="J44" i="1"/>
  <c r="N44" i="1"/>
  <c r="H55" i="1"/>
  <c r="N60" i="1"/>
  <c r="I55" i="1"/>
  <c r="M55" i="1"/>
  <c r="G60" i="1"/>
  <c r="K60" i="1"/>
  <c r="O60" i="1"/>
  <c r="I65" i="1"/>
  <c r="M65" i="1"/>
  <c r="F60" i="1"/>
  <c r="L65" i="1"/>
  <c r="F55" i="1"/>
  <c r="J55" i="1"/>
  <c r="N55" i="1"/>
  <c r="H60" i="1"/>
  <c r="L60" i="1"/>
  <c r="F65" i="1"/>
  <c r="J65" i="1"/>
  <c r="N65" i="1"/>
  <c r="L55" i="1"/>
  <c r="J60" i="1"/>
  <c r="H65" i="1"/>
  <c r="G55" i="1"/>
  <c r="K55" i="1"/>
  <c r="O55" i="1"/>
  <c r="I60" i="1"/>
  <c r="M60" i="1"/>
  <c r="P60" i="1" s="1"/>
  <c r="G65" i="1"/>
  <c r="K65" i="1"/>
  <c r="O65" i="1"/>
  <c r="J25" i="1"/>
  <c r="J12" i="11" s="1"/>
  <c r="N25" i="1"/>
  <c r="N12" i="11" s="1"/>
  <c r="J17" i="1"/>
  <c r="J12" i="7" s="1"/>
  <c r="G17" i="1"/>
  <c r="G12" i="7" s="1"/>
  <c r="O17" i="1"/>
  <c r="O12" i="7" s="1"/>
  <c r="J21" i="1"/>
  <c r="J12" i="10" s="1"/>
  <c r="N21" i="1"/>
  <c r="N12" i="10" s="1"/>
  <c r="F28" i="1"/>
  <c r="K17" i="1"/>
  <c r="K12" i="7" s="1"/>
  <c r="H25" i="1"/>
  <c r="H12" i="11" s="1"/>
  <c r="L25" i="1"/>
  <c r="L12" i="11" s="1"/>
  <c r="G21" i="1"/>
  <c r="G12" i="10" s="1"/>
  <c r="K21" i="1"/>
  <c r="K12" i="10" s="1"/>
  <c r="O21" i="1"/>
  <c r="O12" i="10" s="1"/>
  <c r="I25" i="1"/>
  <c r="I12" i="11" s="1"/>
  <c r="H28" i="1"/>
  <c r="J28" i="1"/>
  <c r="N28" i="1"/>
  <c r="M25" i="1"/>
  <c r="M12" i="11" s="1"/>
  <c r="L17" i="1"/>
  <c r="L12" i="7" s="1"/>
  <c r="L21" i="1"/>
  <c r="L12" i="10" s="1"/>
  <c r="K25" i="1"/>
  <c r="K12" i="11" s="1"/>
  <c r="L28" i="1"/>
  <c r="I17" i="1"/>
  <c r="I12" i="7" s="1"/>
  <c r="M17" i="1"/>
  <c r="M12" i="7" s="1"/>
  <c r="N17" i="1"/>
  <c r="N12" i="7" s="1"/>
  <c r="I21" i="1"/>
  <c r="I12" i="10" s="1"/>
  <c r="M21" i="1"/>
  <c r="M12" i="10" s="1"/>
  <c r="M28" i="1"/>
  <c r="K28" i="1"/>
  <c r="O28" i="1"/>
  <c r="H17" i="1"/>
  <c r="H12" i="7" s="1"/>
  <c r="H21" i="1"/>
  <c r="H12" i="10" s="1"/>
  <c r="G25" i="1"/>
  <c r="G12" i="11" s="1"/>
  <c r="O25" i="1"/>
  <c r="O12" i="11" s="1"/>
  <c r="G28" i="1"/>
  <c r="I28" i="1"/>
  <c r="C3" i="2"/>
  <c r="D3" i="2" s="1"/>
  <c r="E3" i="2" s="1"/>
  <c r="F3" i="2" s="1"/>
  <c r="G3" i="2" s="1"/>
  <c r="H3" i="2" s="1"/>
  <c r="I3" i="2" s="1"/>
  <c r="J3" i="2" s="1"/>
  <c r="K3" i="2" s="1"/>
  <c r="G51" i="1"/>
  <c r="H51" i="1" s="1"/>
  <c r="I51" i="1" s="1"/>
  <c r="J51" i="1" s="1"/>
  <c r="K51" i="1" s="1"/>
  <c r="L51" i="1" s="1"/>
  <c r="M51" i="1" s="1"/>
  <c r="N51" i="1" s="1"/>
  <c r="Q51" i="1"/>
  <c r="R51" i="1" s="1"/>
  <c r="S51" i="1" s="1"/>
  <c r="T51" i="1" s="1"/>
  <c r="Q15" i="1"/>
  <c r="R15" i="1" s="1"/>
  <c r="S15" i="1" s="1"/>
  <c r="T15" i="1" s="1"/>
  <c r="G15" i="1"/>
  <c r="H15" i="1" s="1"/>
  <c r="I15" i="1" s="1"/>
  <c r="J15" i="1" s="1"/>
  <c r="K15" i="1" s="1"/>
  <c r="L15" i="1" s="1"/>
  <c r="M15" i="1" s="1"/>
  <c r="N15" i="1" s="1"/>
  <c r="L12" i="12" l="1"/>
  <c r="H12" i="12"/>
  <c r="G15" i="12"/>
  <c r="K15" i="12"/>
  <c r="P55" i="1"/>
  <c r="O78" i="1"/>
  <c r="O81" i="1" s="1"/>
  <c r="P23" i="10"/>
  <c r="O62" i="1"/>
  <c r="Q55" i="1"/>
  <c r="Q23" i="7" s="1"/>
  <c r="Q60" i="1"/>
  <c r="Q23" i="10" s="1"/>
  <c r="N52" i="1"/>
  <c r="M52" i="1"/>
  <c r="M12" i="12"/>
  <c r="L15" i="12"/>
  <c r="P23" i="7"/>
  <c r="R55" i="1"/>
  <c r="R23" i="7" s="1"/>
  <c r="P65" i="1"/>
  <c r="P63" i="1" s="1"/>
  <c r="I12" i="12"/>
  <c r="O11" i="12"/>
  <c r="H15" i="12"/>
  <c r="S18" i="12"/>
  <c r="S18" i="7"/>
  <c r="S18" i="10"/>
  <c r="S18" i="11"/>
  <c r="P58" i="1"/>
  <c r="P11" i="10"/>
  <c r="P11" i="11"/>
  <c r="S129" i="1"/>
  <c r="H118" i="1"/>
  <c r="H122" i="1"/>
  <c r="F37" i="1"/>
  <c r="F15" i="10" s="1"/>
  <c r="F122" i="1"/>
  <c r="J42" i="1"/>
  <c r="J125" i="1"/>
  <c r="O118" i="1"/>
  <c r="O122" i="1"/>
  <c r="L118" i="1"/>
  <c r="L122" i="1"/>
  <c r="K41" i="1"/>
  <c r="K15" i="11" s="1"/>
  <c r="K122" i="1"/>
  <c r="N41" i="1"/>
  <c r="N15" i="11" s="1"/>
  <c r="N122" i="1"/>
  <c r="M34" i="1"/>
  <c r="M125" i="1"/>
  <c r="L38" i="1"/>
  <c r="L125" i="1"/>
  <c r="G42" i="1"/>
  <c r="G125" i="1"/>
  <c r="G41" i="1"/>
  <c r="G15" i="11" s="1"/>
  <c r="G122" i="1"/>
  <c r="O34" i="1"/>
  <c r="O125" i="1"/>
  <c r="F34" i="1"/>
  <c r="F125" i="1"/>
  <c r="K42" i="1"/>
  <c r="K125" i="1"/>
  <c r="I41" i="1"/>
  <c r="I15" i="11" s="1"/>
  <c r="I122" i="1"/>
  <c r="M41" i="1"/>
  <c r="M15" i="11" s="1"/>
  <c r="M122" i="1"/>
  <c r="J41" i="1"/>
  <c r="J15" i="11" s="1"/>
  <c r="J122" i="1"/>
  <c r="N42" i="1"/>
  <c r="N125" i="1"/>
  <c r="I38" i="1"/>
  <c r="I125" i="1"/>
  <c r="H38" i="1"/>
  <c r="H125" i="1"/>
  <c r="N90" i="1"/>
  <c r="N85" i="1"/>
  <c r="L85" i="1"/>
  <c r="L83" i="1" s="1"/>
  <c r="L86" i="1" s="1"/>
  <c r="L90" i="1"/>
  <c r="L88" i="1" s="1"/>
  <c r="N80" i="1"/>
  <c r="L80" i="1"/>
  <c r="L78" i="1" s="1"/>
  <c r="L81" i="1" s="1"/>
  <c r="I90" i="1"/>
  <c r="I88" i="1" s="1"/>
  <c r="I85" i="1"/>
  <c r="I83" i="1" s="1"/>
  <c r="I86" i="1" s="1"/>
  <c r="J85" i="1"/>
  <c r="J83" i="1" s="1"/>
  <c r="J86" i="1" s="1"/>
  <c r="J90" i="1"/>
  <c r="J88" i="1" s="1"/>
  <c r="M85" i="1"/>
  <c r="M90" i="1"/>
  <c r="K85" i="1"/>
  <c r="K83" i="1" s="1"/>
  <c r="K86" i="1" s="1"/>
  <c r="K90" i="1"/>
  <c r="K88" i="1" s="1"/>
  <c r="H90" i="1"/>
  <c r="H88" i="1" s="1"/>
  <c r="H85" i="1"/>
  <c r="H83" i="1" s="1"/>
  <c r="H86" i="1" s="1"/>
  <c r="G90" i="1"/>
  <c r="G88" i="1" s="1"/>
  <c r="G85" i="1"/>
  <c r="G83" i="1" s="1"/>
  <c r="G86" i="1" s="1"/>
  <c r="F85" i="1"/>
  <c r="F83" i="1" s="1"/>
  <c r="F86" i="1" s="1"/>
  <c r="F90" i="1"/>
  <c r="F88" i="1" s="1"/>
  <c r="O85" i="1"/>
  <c r="O90" i="1"/>
  <c r="J80" i="1"/>
  <c r="J78" i="1" s="1"/>
  <c r="J81" i="1" s="1"/>
  <c r="M80" i="1"/>
  <c r="K80" i="1"/>
  <c r="K78" i="1" s="1"/>
  <c r="K81" i="1" s="1"/>
  <c r="H80" i="1"/>
  <c r="H78" i="1" s="1"/>
  <c r="H81" i="1" s="1"/>
  <c r="G80" i="1"/>
  <c r="G78" i="1" s="1"/>
  <c r="G81" i="1" s="1"/>
  <c r="J54" i="1"/>
  <c r="J52" i="1" s="1"/>
  <c r="N37" i="1"/>
  <c r="N15" i="10" s="1"/>
  <c r="N33" i="1"/>
  <c r="N15" i="7" s="1"/>
  <c r="H33" i="1"/>
  <c r="H15" i="7" s="1"/>
  <c r="O41" i="1"/>
  <c r="O15" i="11" s="1"/>
  <c r="I37" i="1"/>
  <c r="I15" i="10" s="1"/>
  <c r="G59" i="1"/>
  <c r="G57" i="1" s="1"/>
  <c r="J37" i="1"/>
  <c r="J15" i="10" s="1"/>
  <c r="F41" i="1"/>
  <c r="F15" i="11" s="1"/>
  <c r="O37" i="1"/>
  <c r="O15" i="10" s="1"/>
  <c r="O33" i="1"/>
  <c r="O15" i="7" s="1"/>
  <c r="K99" i="1"/>
  <c r="K118" i="1"/>
  <c r="N99" i="1"/>
  <c r="N118" i="1"/>
  <c r="L41" i="1"/>
  <c r="L15" i="11" s="1"/>
  <c r="H37" i="1"/>
  <c r="H15" i="10" s="1"/>
  <c r="G37" i="1"/>
  <c r="G15" i="10" s="1"/>
  <c r="K33" i="1"/>
  <c r="K15" i="7" s="1"/>
  <c r="K37" i="1"/>
  <c r="K15" i="10" s="1"/>
  <c r="L37" i="1"/>
  <c r="L15" i="10" s="1"/>
  <c r="G99" i="1"/>
  <c r="G118" i="1"/>
  <c r="F99" i="1"/>
  <c r="F118" i="1"/>
  <c r="I99" i="1"/>
  <c r="I118" i="1"/>
  <c r="M99" i="1"/>
  <c r="M118" i="1"/>
  <c r="J99" i="1"/>
  <c r="J118" i="1"/>
  <c r="F64" i="1"/>
  <c r="F62" i="1" s="1"/>
  <c r="H41" i="1"/>
  <c r="H15" i="11" s="1"/>
  <c r="L33" i="1"/>
  <c r="L15" i="7" s="1"/>
  <c r="J33" i="1"/>
  <c r="J15" i="7" s="1"/>
  <c r="I33" i="1"/>
  <c r="I15" i="7" s="1"/>
  <c r="M37" i="1"/>
  <c r="M15" i="10" s="1"/>
  <c r="G33" i="1"/>
  <c r="G15" i="7" s="1"/>
  <c r="M33" i="1"/>
  <c r="M15" i="7" s="1"/>
  <c r="F33" i="1"/>
  <c r="F15" i="7" s="1"/>
  <c r="M64" i="1"/>
  <c r="M59" i="1"/>
  <c r="H64" i="1"/>
  <c r="H62" i="1" s="1"/>
  <c r="L54" i="1"/>
  <c r="L52" i="1" s="1"/>
  <c r="L59" i="1"/>
  <c r="L57" i="1" s="1"/>
  <c r="F54" i="1"/>
  <c r="F52" i="1" s="1"/>
  <c r="I64" i="1"/>
  <c r="I62" i="1" s="1"/>
  <c r="I59" i="1"/>
  <c r="I57" i="1" s="1"/>
  <c r="N59" i="1"/>
  <c r="N57" i="1" s="1"/>
  <c r="H54" i="1"/>
  <c r="H52" i="1" s="1"/>
  <c r="N64" i="1"/>
  <c r="K64" i="1"/>
  <c r="K62" i="1" s="1"/>
  <c r="O59" i="1"/>
  <c r="K54" i="1"/>
  <c r="K52" i="1" s="1"/>
  <c r="J59" i="1"/>
  <c r="J57" i="1" s="1"/>
  <c r="O54" i="1"/>
  <c r="P54" i="1" s="1"/>
  <c r="G54" i="1"/>
  <c r="G52" i="1" s="1"/>
  <c r="H73" i="1"/>
  <c r="H99" i="1"/>
  <c r="O73" i="1"/>
  <c r="O99" i="1"/>
  <c r="L73" i="1"/>
  <c r="L99" i="1"/>
  <c r="F18" i="1"/>
  <c r="F104" i="1" s="1"/>
  <c r="F102" i="1" s="1"/>
  <c r="F103" i="1" s="1"/>
  <c r="F73" i="1"/>
  <c r="K22" i="1"/>
  <c r="K108" i="1" s="1"/>
  <c r="K106" i="1" s="1"/>
  <c r="K107" i="1" s="1"/>
  <c r="K73" i="1"/>
  <c r="G29" i="1"/>
  <c r="G123" i="1" s="1"/>
  <c r="G73" i="1"/>
  <c r="N22" i="1"/>
  <c r="N108" i="1" s="1"/>
  <c r="N106" i="1" s="1"/>
  <c r="N107" i="1" s="1"/>
  <c r="N73" i="1"/>
  <c r="I26" i="1"/>
  <c r="I112" i="1" s="1"/>
  <c r="I110" i="1" s="1"/>
  <c r="I73" i="1"/>
  <c r="M18" i="1"/>
  <c r="M104" i="1" s="1"/>
  <c r="M102" i="1" s="1"/>
  <c r="M103" i="1" s="1"/>
  <c r="M73" i="1"/>
  <c r="J22" i="1"/>
  <c r="J108" i="1" s="1"/>
  <c r="J106" i="1" s="1"/>
  <c r="J107" i="1" s="1"/>
  <c r="J73" i="1"/>
  <c r="J34" i="1"/>
  <c r="G34" i="1"/>
  <c r="N38" i="1"/>
  <c r="G38" i="1"/>
  <c r="J38" i="1"/>
  <c r="I34" i="1"/>
  <c r="N34" i="1"/>
  <c r="H34" i="1"/>
  <c r="I42" i="1"/>
  <c r="K34" i="1"/>
  <c r="L42" i="1"/>
  <c r="F38" i="1"/>
  <c r="M42" i="1"/>
  <c r="O42" i="1"/>
  <c r="F42" i="1"/>
  <c r="K38" i="1"/>
  <c r="M38" i="1"/>
  <c r="H42" i="1"/>
  <c r="L34" i="1"/>
  <c r="O38" i="1"/>
  <c r="H45" i="1"/>
  <c r="H126" i="1" s="1"/>
  <c r="I18" i="1"/>
  <c r="I104" i="1" s="1"/>
  <c r="I102" i="1" s="1"/>
  <c r="I103" i="1" s="1"/>
  <c r="N26" i="1"/>
  <c r="N112" i="1" s="1"/>
  <c r="N110" i="1" s="1"/>
  <c r="O45" i="1"/>
  <c r="O126" i="1" s="1"/>
  <c r="L45" i="1"/>
  <c r="L126" i="1" s="1"/>
  <c r="K26" i="1"/>
  <c r="K112" i="1" s="1"/>
  <c r="K110" i="1" s="1"/>
  <c r="O22" i="1"/>
  <c r="O108" i="1" s="1"/>
  <c r="O106" i="1" s="1"/>
  <c r="O107" i="1" s="1"/>
  <c r="H22" i="1"/>
  <c r="H108" i="1" s="1"/>
  <c r="H106" i="1" s="1"/>
  <c r="H107" i="1" s="1"/>
  <c r="J26" i="1"/>
  <c r="J112" i="1" s="1"/>
  <c r="J110" i="1" s="1"/>
  <c r="N18" i="1"/>
  <c r="N104" i="1" s="1"/>
  <c r="N102" i="1" s="1"/>
  <c r="N103" i="1" s="1"/>
  <c r="I22" i="1"/>
  <c r="I108" i="1" s="1"/>
  <c r="I106" i="1" s="1"/>
  <c r="I107" i="1" s="1"/>
  <c r="O26" i="1"/>
  <c r="O112" i="1" s="1"/>
  <c r="O110" i="1" s="1"/>
  <c r="L26" i="1"/>
  <c r="L112" i="1" s="1"/>
  <c r="L110" i="1" s="1"/>
  <c r="F22" i="1"/>
  <c r="F108" i="1" s="1"/>
  <c r="F106" i="1" s="1"/>
  <c r="F107" i="1" s="1"/>
  <c r="H18" i="1"/>
  <c r="H104" i="1" s="1"/>
  <c r="H102" i="1" s="1"/>
  <c r="H103" i="1" s="1"/>
  <c r="G18" i="1"/>
  <c r="G104" i="1" s="1"/>
  <c r="G102" i="1" s="1"/>
  <c r="G103" i="1" s="1"/>
  <c r="K45" i="1"/>
  <c r="K126" i="1" s="1"/>
  <c r="F26" i="1"/>
  <c r="F112" i="1" s="1"/>
  <c r="F110" i="1" s="1"/>
  <c r="J18" i="1"/>
  <c r="J104" i="1" s="1"/>
  <c r="J102" i="1" s="1"/>
  <c r="J103" i="1" s="1"/>
  <c r="K18" i="1"/>
  <c r="K104" i="1" s="1"/>
  <c r="K102" i="1" s="1"/>
  <c r="K103" i="1" s="1"/>
  <c r="M26" i="1"/>
  <c r="M112" i="1" s="1"/>
  <c r="M110" i="1" s="1"/>
  <c r="G22" i="1"/>
  <c r="G108" i="1" s="1"/>
  <c r="G106" i="1" s="1"/>
  <c r="G107" i="1" s="1"/>
  <c r="M22" i="1"/>
  <c r="M108" i="1" s="1"/>
  <c r="M106" i="1" s="1"/>
  <c r="M107" i="1" s="1"/>
  <c r="L22" i="1"/>
  <c r="L108" i="1" s="1"/>
  <c r="L106" i="1" s="1"/>
  <c r="L107" i="1" s="1"/>
  <c r="O18" i="1"/>
  <c r="O104" i="1" s="1"/>
  <c r="O102" i="1" s="1"/>
  <c r="O103" i="1" s="1"/>
  <c r="H26" i="1"/>
  <c r="H112" i="1" s="1"/>
  <c r="H110" i="1" s="1"/>
  <c r="L18" i="1"/>
  <c r="L104" i="1" s="1"/>
  <c r="L102" i="1" s="1"/>
  <c r="L103" i="1" s="1"/>
  <c r="G26" i="1"/>
  <c r="G112" i="1" s="1"/>
  <c r="G110" i="1" s="1"/>
  <c r="G45" i="1"/>
  <c r="G126" i="1" s="1"/>
  <c r="F45" i="1"/>
  <c r="F126" i="1" s="1"/>
  <c r="M29" i="1"/>
  <c r="M123" i="1" s="1"/>
  <c r="M45" i="1"/>
  <c r="M126" i="1" s="1"/>
  <c r="N45" i="1"/>
  <c r="N126" i="1" s="1"/>
  <c r="J45" i="1"/>
  <c r="J126" i="1" s="1"/>
  <c r="I45" i="1"/>
  <c r="I126" i="1" s="1"/>
  <c r="O29" i="1"/>
  <c r="L29" i="1"/>
  <c r="L123" i="1" s="1"/>
  <c r="K29" i="1"/>
  <c r="K123" i="1" s="1"/>
  <c r="H29" i="1"/>
  <c r="H123" i="1" s="1"/>
  <c r="N29" i="1"/>
  <c r="N123" i="1" s="1"/>
  <c r="I29" i="1"/>
  <c r="I123" i="1" s="1"/>
  <c r="J29" i="1"/>
  <c r="J123" i="1" s="1"/>
  <c r="N62" i="1" l="1"/>
  <c r="O88" i="1"/>
  <c r="O91" i="1" s="1"/>
  <c r="N83" i="1"/>
  <c r="N86" i="1" s="1"/>
  <c r="O12" i="12"/>
  <c r="O15" i="12"/>
  <c r="S55" i="1"/>
  <c r="O52" i="1"/>
  <c r="R54" i="1"/>
  <c r="M83" i="1"/>
  <c r="M86" i="1" s="1"/>
  <c r="P85" i="1"/>
  <c r="Q85" i="1" s="1"/>
  <c r="M57" i="1"/>
  <c r="P59" i="1"/>
  <c r="O83" i="1"/>
  <c r="O86" i="1" s="1"/>
  <c r="N78" i="1"/>
  <c r="N81" i="1" s="1"/>
  <c r="N88" i="1"/>
  <c r="R60" i="1"/>
  <c r="O123" i="1"/>
  <c r="O57" i="1"/>
  <c r="M62" i="1"/>
  <c r="P64" i="1"/>
  <c r="Q64" i="1" s="1"/>
  <c r="P118" i="1"/>
  <c r="Q118" i="1" s="1"/>
  <c r="R118" i="1" s="1"/>
  <c r="S118" i="1" s="1"/>
  <c r="M78" i="1"/>
  <c r="M81" i="1" s="1"/>
  <c r="P81" i="1" s="1"/>
  <c r="P80" i="1"/>
  <c r="M88" i="1"/>
  <c r="M91" i="1" s="1"/>
  <c r="P90" i="1"/>
  <c r="P23" i="11"/>
  <c r="Q54" i="1"/>
  <c r="Q65" i="1"/>
  <c r="Q23" i="11" s="1"/>
  <c r="T129" i="1"/>
  <c r="T18" i="10"/>
  <c r="T18" i="7"/>
  <c r="T18" i="12"/>
  <c r="T18" i="11"/>
  <c r="P79" i="1"/>
  <c r="P11" i="7"/>
  <c r="P11" i="12" s="1"/>
  <c r="Q58" i="1"/>
  <c r="Q11" i="10"/>
  <c r="Q11" i="11"/>
  <c r="Q63" i="1"/>
  <c r="I114" i="1"/>
  <c r="I115" i="1" s="1"/>
  <c r="I111" i="1"/>
  <c r="H114" i="1"/>
  <c r="H115" i="1" s="1"/>
  <c r="H111" i="1"/>
  <c r="F114" i="1"/>
  <c r="F115" i="1" s="1"/>
  <c r="F111" i="1"/>
  <c r="K111" i="1"/>
  <c r="K114" i="1"/>
  <c r="K115" i="1" s="1"/>
  <c r="M114" i="1"/>
  <c r="M115" i="1" s="1"/>
  <c r="M111" i="1"/>
  <c r="L114" i="1"/>
  <c r="L115" i="1" s="1"/>
  <c r="L111" i="1"/>
  <c r="J114" i="1"/>
  <c r="J115" i="1" s="1"/>
  <c r="J111" i="1"/>
  <c r="N111" i="1"/>
  <c r="N114" i="1"/>
  <c r="N115" i="1" s="1"/>
  <c r="G111" i="1"/>
  <c r="G114" i="1"/>
  <c r="G115" i="1" s="1"/>
  <c r="O111" i="1"/>
  <c r="O114" i="1"/>
  <c r="O115" i="1" s="1"/>
  <c r="P140" i="1"/>
  <c r="F91" i="1"/>
  <c r="F93" i="1"/>
  <c r="F94" i="1" s="1"/>
  <c r="M93" i="1"/>
  <c r="M94" i="1" s="1"/>
  <c r="O67" i="1"/>
  <c r="O68" i="1" s="1"/>
  <c r="H93" i="1"/>
  <c r="H94" i="1" s="1"/>
  <c r="H91" i="1"/>
  <c r="I93" i="1"/>
  <c r="I94" i="1" s="1"/>
  <c r="I91" i="1"/>
  <c r="J67" i="1"/>
  <c r="J68" i="1" s="1"/>
  <c r="N67" i="1"/>
  <c r="N68" i="1" s="1"/>
  <c r="H67" i="1"/>
  <c r="H68" i="1" s="1"/>
  <c r="O93" i="1"/>
  <c r="O94" i="1" s="1"/>
  <c r="K91" i="1"/>
  <c r="K93" i="1"/>
  <c r="K94" i="1" s="1"/>
  <c r="J91" i="1"/>
  <c r="J93" i="1"/>
  <c r="J94" i="1" s="1"/>
  <c r="L93" i="1"/>
  <c r="L94" i="1" s="1"/>
  <c r="L91" i="1"/>
  <c r="G91" i="1"/>
  <c r="G93" i="1"/>
  <c r="G94" i="1" s="1"/>
  <c r="N91" i="1"/>
  <c r="N93" i="1"/>
  <c r="N94" i="1" s="1"/>
  <c r="I67" i="1"/>
  <c r="I68" i="1" s="1"/>
  <c r="G67" i="1"/>
  <c r="G68" i="1" s="1"/>
  <c r="L67" i="1"/>
  <c r="L68" i="1" s="1"/>
  <c r="P99" i="1"/>
  <c r="M67" i="1"/>
  <c r="M68" i="1" s="1"/>
  <c r="K67" i="1"/>
  <c r="K68" i="1" s="1"/>
  <c r="F67" i="1"/>
  <c r="F68" i="1" s="1"/>
  <c r="R85" i="1" l="1"/>
  <c r="S85" i="1" s="1"/>
  <c r="Q59" i="1"/>
  <c r="P137" i="1"/>
  <c r="Q99" i="1"/>
  <c r="R99" i="1" s="1"/>
  <c r="S99" i="1" s="1"/>
  <c r="P26" i="7"/>
  <c r="R59" i="1"/>
  <c r="R23" i="10"/>
  <c r="S60" i="1"/>
  <c r="Q81" i="1"/>
  <c r="Q80" i="1"/>
  <c r="P91" i="1"/>
  <c r="Q91" i="1" s="1"/>
  <c r="R65" i="1"/>
  <c r="Q90" i="1"/>
  <c r="R90" i="1" s="1"/>
  <c r="T55" i="1"/>
  <c r="T23" i="7" s="1"/>
  <c r="S23" i="7"/>
  <c r="R64" i="1"/>
  <c r="P86" i="1"/>
  <c r="S54" i="1"/>
  <c r="T54" i="1" s="1"/>
  <c r="P12" i="12"/>
  <c r="Q11" i="7"/>
  <c r="Q11" i="12" s="1"/>
  <c r="Q15" i="12" s="1"/>
  <c r="Q53" i="1"/>
  <c r="Q79" i="1"/>
  <c r="Q122" i="1"/>
  <c r="Q37" i="1"/>
  <c r="Q15" i="10" s="1"/>
  <c r="Q41" i="1"/>
  <c r="Q15" i="11" s="1"/>
  <c r="Q33" i="1"/>
  <c r="Q15" i="7" s="1"/>
  <c r="P122" i="1"/>
  <c r="P37" i="1"/>
  <c r="P15" i="10" s="1"/>
  <c r="P134" i="1"/>
  <c r="P117" i="1"/>
  <c r="P98" i="1"/>
  <c r="P41" i="1"/>
  <c r="P15" i="11" s="1"/>
  <c r="Q48" i="1"/>
  <c r="P29" i="1"/>
  <c r="Q29" i="1"/>
  <c r="Q123" i="1" s="1"/>
  <c r="S90" i="1" l="1"/>
  <c r="R80" i="1"/>
  <c r="S80" i="1" s="1"/>
  <c r="T80" i="1" s="1"/>
  <c r="S59" i="1"/>
  <c r="T59" i="1" s="1"/>
  <c r="P123" i="1"/>
  <c r="R29" i="1"/>
  <c r="R28" i="1" s="1"/>
  <c r="P139" i="1"/>
  <c r="P102" i="1"/>
  <c r="P110" i="1" s="1"/>
  <c r="P106" i="1"/>
  <c r="P107" i="1" s="1"/>
  <c r="P29" i="10" s="1"/>
  <c r="T85" i="1"/>
  <c r="T90" i="1"/>
  <c r="S64" i="1"/>
  <c r="T64" i="1" s="1"/>
  <c r="Q26" i="11"/>
  <c r="Q89" i="1"/>
  <c r="P26" i="11"/>
  <c r="P89" i="1"/>
  <c r="R81" i="1"/>
  <c r="R26" i="7" s="1"/>
  <c r="Q26" i="7"/>
  <c r="S81" i="1"/>
  <c r="R91" i="1"/>
  <c r="R23" i="11"/>
  <c r="S65" i="1"/>
  <c r="P26" i="10"/>
  <c r="P84" i="1"/>
  <c r="Q86" i="1"/>
  <c r="T60" i="1"/>
  <c r="T23" i="10" s="1"/>
  <c r="S23" i="10"/>
  <c r="Q12" i="12"/>
  <c r="Q133" i="1"/>
  <c r="Q52" i="1"/>
  <c r="Q22" i="7" s="1"/>
  <c r="Q62" i="1"/>
  <c r="Q57" i="1"/>
  <c r="Q22" i="10" s="1"/>
  <c r="P136" i="1"/>
  <c r="P78" i="1"/>
  <c r="P25" i="7" s="1"/>
  <c r="P88" i="1"/>
  <c r="P83" i="1"/>
  <c r="P25" i="10" s="1"/>
  <c r="P133" i="1"/>
  <c r="P62" i="1"/>
  <c r="P22" i="11" s="1"/>
  <c r="P52" i="1"/>
  <c r="P22" i="7" s="1"/>
  <c r="P57" i="1"/>
  <c r="Q117" i="1"/>
  <c r="Q140" i="1"/>
  <c r="Q98" i="1"/>
  <c r="Q74" i="1" s="1"/>
  <c r="Q137" i="1"/>
  <c r="Q125" i="1"/>
  <c r="Q134" i="1"/>
  <c r="R140" i="1"/>
  <c r="Q45" i="1"/>
  <c r="R45" i="1" s="1"/>
  <c r="S45" i="1" s="1"/>
  <c r="R26" i="11" l="1"/>
  <c r="T81" i="1"/>
  <c r="T26" i="7" s="1"/>
  <c r="S26" i="7"/>
  <c r="S91" i="1"/>
  <c r="S29" i="1"/>
  <c r="T29" i="1" s="1"/>
  <c r="P111" i="1"/>
  <c r="P29" i="11" s="1"/>
  <c r="P28" i="11"/>
  <c r="T65" i="1"/>
  <c r="T23" i="11" s="1"/>
  <c r="S23" i="11"/>
  <c r="P103" i="1"/>
  <c r="P29" i="7" s="1"/>
  <c r="P28" i="7"/>
  <c r="Q126" i="1"/>
  <c r="Q139" i="1"/>
  <c r="Q102" i="1"/>
  <c r="Q106" i="1"/>
  <c r="Q26" i="10"/>
  <c r="Q84" i="1"/>
  <c r="R86" i="1"/>
  <c r="Q136" i="1"/>
  <c r="Q88" i="1"/>
  <c r="Q83" i="1"/>
  <c r="Q25" i="10" s="1"/>
  <c r="Q78" i="1"/>
  <c r="Q25" i="7" s="1"/>
  <c r="Q22" i="11"/>
  <c r="Q22" i="12" s="1"/>
  <c r="Q23" i="12" s="1"/>
  <c r="Q67" i="1"/>
  <c r="Q68" i="1" s="1"/>
  <c r="P25" i="11"/>
  <c r="P25" i="12" s="1"/>
  <c r="P26" i="12" s="1"/>
  <c r="P93" i="1"/>
  <c r="P94" i="1" s="1"/>
  <c r="P67" i="1"/>
  <c r="P68" i="1" s="1"/>
  <c r="P22" i="10"/>
  <c r="R122" i="1"/>
  <c r="R134" i="1"/>
  <c r="S137" i="1"/>
  <c r="R137" i="1"/>
  <c r="Q128" i="1"/>
  <c r="Q131" i="1" s="1"/>
  <c r="R117" i="1"/>
  <c r="S140" i="1"/>
  <c r="R98" i="1"/>
  <c r="R74" i="1" s="1"/>
  <c r="R123" i="1"/>
  <c r="S28" i="1" l="1"/>
  <c r="Q103" i="1"/>
  <c r="Q29" i="7" s="1"/>
  <c r="Q28" i="7"/>
  <c r="Q31" i="7" s="1"/>
  <c r="R21" i="1"/>
  <c r="R12" i="10" s="1"/>
  <c r="R58" i="1"/>
  <c r="R11" i="10"/>
  <c r="R139" i="1"/>
  <c r="R106" i="1"/>
  <c r="R110" i="1" s="1"/>
  <c r="R102" i="1"/>
  <c r="S86" i="1"/>
  <c r="R26" i="10"/>
  <c r="R84" i="1"/>
  <c r="Q110" i="1"/>
  <c r="S44" i="1"/>
  <c r="R44" i="1"/>
  <c r="T28" i="1"/>
  <c r="Q107" i="1"/>
  <c r="Q29" i="10" s="1"/>
  <c r="Q28" i="10"/>
  <c r="Q31" i="10" s="1"/>
  <c r="Q32" i="10" s="1"/>
  <c r="T91" i="1"/>
  <c r="S26" i="11"/>
  <c r="R17" i="1"/>
  <c r="R12" i="7" s="1"/>
  <c r="R79" i="1"/>
  <c r="R11" i="7"/>
  <c r="R53" i="1"/>
  <c r="P31" i="11"/>
  <c r="P32" i="11" s="1"/>
  <c r="Q142" i="1"/>
  <c r="Q143" i="1" s="1"/>
  <c r="R136" i="1"/>
  <c r="R83" i="1"/>
  <c r="R25" i="10" s="1"/>
  <c r="R78" i="1"/>
  <c r="R25" i="7" s="1"/>
  <c r="R88" i="1"/>
  <c r="R133" i="1"/>
  <c r="R62" i="1"/>
  <c r="R52" i="1"/>
  <c r="R22" i="7" s="1"/>
  <c r="R57" i="1"/>
  <c r="R22" i="10" s="1"/>
  <c r="Q25" i="11"/>
  <c r="Q25" i="12" s="1"/>
  <c r="Q26" i="12" s="1"/>
  <c r="Q93" i="1"/>
  <c r="Q94" i="1" s="1"/>
  <c r="P22" i="12"/>
  <c r="P23" i="12" s="1"/>
  <c r="S122" i="1"/>
  <c r="T134" i="1"/>
  <c r="S134" i="1"/>
  <c r="T137" i="1"/>
  <c r="S117" i="1"/>
  <c r="S98" i="1"/>
  <c r="S74" i="1" s="1"/>
  <c r="S123" i="1"/>
  <c r="R111" i="1" l="1"/>
  <c r="R29" i="11" s="1"/>
  <c r="R28" i="11"/>
  <c r="R114" i="1"/>
  <c r="R115" i="1" s="1"/>
  <c r="S17" i="1"/>
  <c r="S12" i="7" s="1"/>
  <c r="S53" i="1"/>
  <c r="S79" i="1"/>
  <c r="S11" i="7"/>
  <c r="R48" i="1"/>
  <c r="T26" i="11"/>
  <c r="R107" i="1"/>
  <c r="R29" i="10" s="1"/>
  <c r="R28" i="10"/>
  <c r="S139" i="1"/>
  <c r="S102" i="1"/>
  <c r="S106" i="1"/>
  <c r="S110" i="1" s="1"/>
  <c r="S48" i="1"/>
  <c r="S26" i="10"/>
  <c r="T86" i="1"/>
  <c r="R25" i="1"/>
  <c r="R12" i="11" s="1"/>
  <c r="R11" i="11"/>
  <c r="R11" i="12" s="1"/>
  <c r="R12" i="12" s="1"/>
  <c r="R63" i="1"/>
  <c r="R89" i="1"/>
  <c r="T44" i="1"/>
  <c r="Q111" i="1"/>
  <c r="Q29" i="11" s="1"/>
  <c r="Q28" i="11"/>
  <c r="Q31" i="11" s="1"/>
  <c r="Q32" i="11" s="1"/>
  <c r="Q114" i="1"/>
  <c r="Q115" i="1" s="1"/>
  <c r="R103" i="1"/>
  <c r="R29" i="7" s="1"/>
  <c r="R28" i="7"/>
  <c r="T133" i="1"/>
  <c r="T122" i="1"/>
  <c r="T123" i="1"/>
  <c r="S133" i="1"/>
  <c r="S62" i="1"/>
  <c r="S57" i="1"/>
  <c r="S22" i="10" s="1"/>
  <c r="S52" i="1"/>
  <c r="S22" i="7" s="1"/>
  <c r="S136" i="1"/>
  <c r="S83" i="1"/>
  <c r="S25" i="10" s="1"/>
  <c r="S78" i="1"/>
  <c r="S25" i="7" s="1"/>
  <c r="S88" i="1"/>
  <c r="R22" i="11"/>
  <c r="R67" i="1"/>
  <c r="R68" i="1" s="1"/>
  <c r="R25" i="11"/>
  <c r="R25" i="12" s="1"/>
  <c r="R93" i="1"/>
  <c r="R94" i="1" s="1"/>
  <c r="Q32" i="7"/>
  <c r="T98" i="1"/>
  <c r="T74" i="1" s="1"/>
  <c r="T117" i="1"/>
  <c r="T140" i="1"/>
  <c r="S14" i="11" l="1"/>
  <c r="S17" i="11" s="1"/>
  <c r="S20" i="11" s="1"/>
  <c r="R26" i="12"/>
  <c r="T21" i="1"/>
  <c r="T12" i="10" s="1"/>
  <c r="T58" i="1"/>
  <c r="T11" i="10"/>
  <c r="Q28" i="12"/>
  <c r="Q29" i="12" s="1"/>
  <c r="S21" i="1"/>
  <c r="S12" i="10" s="1"/>
  <c r="S58" i="1"/>
  <c r="S11" i="10"/>
  <c r="S111" i="1"/>
  <c r="S29" i="11" s="1"/>
  <c r="T26" i="10"/>
  <c r="T84" i="1"/>
  <c r="S107" i="1"/>
  <c r="S29" i="10" s="1"/>
  <c r="S28" i="10"/>
  <c r="S28" i="11"/>
  <c r="S114" i="1"/>
  <c r="S115" i="1" s="1"/>
  <c r="S84" i="1"/>
  <c r="S14" i="10"/>
  <c r="S17" i="10" s="1"/>
  <c r="S20" i="10" s="1"/>
  <c r="S31" i="10" s="1"/>
  <c r="S32" i="10" s="1"/>
  <c r="S37" i="1"/>
  <c r="S15" i="10" s="1"/>
  <c r="S103" i="1"/>
  <c r="S29" i="7" s="1"/>
  <c r="S28" i="7"/>
  <c r="R14" i="7"/>
  <c r="R33" i="1"/>
  <c r="R15" i="7" s="1"/>
  <c r="T17" i="1"/>
  <c r="T12" i="7" s="1"/>
  <c r="T53" i="1"/>
  <c r="T79" i="1"/>
  <c r="T11" i="7"/>
  <c r="R14" i="11"/>
  <c r="R17" i="11" s="1"/>
  <c r="R20" i="11" s="1"/>
  <c r="R31" i="11" s="1"/>
  <c r="R32" i="11" s="1"/>
  <c r="R41" i="1"/>
  <c r="R15" i="11" s="1"/>
  <c r="R28" i="12"/>
  <c r="R29" i="12" s="1"/>
  <c r="T139" i="1"/>
  <c r="T102" i="1"/>
  <c r="T106" i="1"/>
  <c r="T48" i="1"/>
  <c r="S14" i="7"/>
  <c r="S33" i="1"/>
  <c r="S15" i="7" s="1"/>
  <c r="R14" i="10"/>
  <c r="R17" i="10" s="1"/>
  <c r="R20" i="10" s="1"/>
  <c r="R31" i="10" s="1"/>
  <c r="R32" i="10" s="1"/>
  <c r="R37" i="1"/>
  <c r="R15" i="10" s="1"/>
  <c r="T57" i="1"/>
  <c r="T22" i="10" s="1"/>
  <c r="T52" i="1"/>
  <c r="T22" i="7" s="1"/>
  <c r="T62" i="1"/>
  <c r="T22" i="11" s="1"/>
  <c r="T136" i="1"/>
  <c r="T88" i="1"/>
  <c r="T83" i="1"/>
  <c r="T25" i="10" s="1"/>
  <c r="T78" i="1"/>
  <c r="T25" i="7" s="1"/>
  <c r="S93" i="1"/>
  <c r="S94" i="1" s="1"/>
  <c r="S25" i="11"/>
  <c r="S25" i="12" s="1"/>
  <c r="S22" i="11"/>
  <c r="S67" i="1"/>
  <c r="S68" i="1" s="1"/>
  <c r="R22" i="12"/>
  <c r="R23" i="12" s="1"/>
  <c r="Q31" i="12"/>
  <c r="Q32" i="12"/>
  <c r="S41" i="1" l="1"/>
  <c r="S15" i="11" s="1"/>
  <c r="S28" i="12"/>
  <c r="T107" i="1"/>
  <c r="T29" i="10" s="1"/>
  <c r="T28" i="10"/>
  <c r="T25" i="1"/>
  <c r="T12" i="11" s="1"/>
  <c r="T63" i="1"/>
  <c r="T11" i="11"/>
  <c r="T11" i="12" s="1"/>
  <c r="T89" i="1"/>
  <c r="T14" i="7"/>
  <c r="Q45" i="7" s="1"/>
  <c r="Q47" i="7" s="1"/>
  <c r="Q48" i="7" s="1"/>
  <c r="T33" i="1"/>
  <c r="T15" i="7" s="1"/>
  <c r="T103" i="1"/>
  <c r="T29" i="7" s="1"/>
  <c r="T28" i="7"/>
  <c r="T14" i="10"/>
  <c r="T17" i="10" s="1"/>
  <c r="T20" i="10" s="1"/>
  <c r="T37" i="1"/>
  <c r="T15" i="10" s="1"/>
  <c r="S25" i="1"/>
  <c r="S12" i="11" s="1"/>
  <c r="S11" i="11"/>
  <c r="S11" i="12" s="1"/>
  <c r="S12" i="12" s="1"/>
  <c r="S63" i="1"/>
  <c r="S89" i="1"/>
  <c r="S14" i="12"/>
  <c r="S17" i="7"/>
  <c r="S17" i="12" s="1"/>
  <c r="T110" i="1"/>
  <c r="R17" i="7"/>
  <c r="R17" i="12" s="1"/>
  <c r="R14" i="12"/>
  <c r="R15" i="12" s="1"/>
  <c r="T67" i="1"/>
  <c r="T68" i="1" s="1"/>
  <c r="S31" i="11"/>
  <c r="S32" i="11" s="1"/>
  <c r="T22" i="12"/>
  <c r="T93" i="1"/>
  <c r="T94" i="1" s="1"/>
  <c r="T25" i="11"/>
  <c r="S22" i="12"/>
  <c r="T125" i="1"/>
  <c r="R125" i="1"/>
  <c r="T126" i="1"/>
  <c r="S125" i="1"/>
  <c r="T31" i="10" l="1"/>
  <c r="T32" i="10" s="1"/>
  <c r="S29" i="12"/>
  <c r="S15" i="12"/>
  <c r="S23" i="12"/>
  <c r="Q45" i="10"/>
  <c r="Q47" i="10" s="1"/>
  <c r="Q48" i="10" s="1"/>
  <c r="T23" i="12"/>
  <c r="S20" i="7"/>
  <c r="S20" i="12" s="1"/>
  <c r="R20" i="7"/>
  <c r="T12" i="12"/>
  <c r="T14" i="11"/>
  <c r="T14" i="12" s="1"/>
  <c r="T15" i="12" s="1"/>
  <c r="T41" i="1"/>
  <c r="T15" i="11" s="1"/>
  <c r="S26" i="12"/>
  <c r="T111" i="1"/>
  <c r="T29" i="11" s="1"/>
  <c r="T28" i="11"/>
  <c r="T28" i="12" s="1"/>
  <c r="T29" i="12" s="1"/>
  <c r="T114" i="1"/>
  <c r="T115" i="1" s="1"/>
  <c r="T17" i="7"/>
  <c r="T20" i="7" s="1"/>
  <c r="T25" i="12"/>
  <c r="T26" i="12" s="1"/>
  <c r="K46" i="10"/>
  <c r="R128" i="1"/>
  <c r="R131" i="1" s="1"/>
  <c r="R142" i="1" s="1"/>
  <c r="R143" i="1" s="1"/>
  <c r="S128" i="1"/>
  <c r="S131" i="1" s="1"/>
  <c r="S142" i="1" s="1"/>
  <c r="S143" i="1" s="1"/>
  <c r="T128" i="1"/>
  <c r="T131" i="1" s="1"/>
  <c r="T142" i="1" s="1"/>
  <c r="R126" i="1"/>
  <c r="S126" i="1"/>
  <c r="Q52" i="10" l="1"/>
  <c r="S31" i="7"/>
  <c r="T31" i="7"/>
  <c r="T17" i="11"/>
  <c r="T20" i="11" s="1"/>
  <c r="T31" i="11" s="1"/>
  <c r="Q45" i="11"/>
  <c r="Q47" i="11" s="1"/>
  <c r="Q48" i="11" s="1"/>
  <c r="R20" i="12"/>
  <c r="R31" i="7"/>
  <c r="K47" i="10"/>
  <c r="E48" i="10"/>
  <c r="T37" i="10" s="1"/>
  <c r="T148" i="1"/>
  <c r="T149" i="1" s="1"/>
  <c r="T143" i="1"/>
  <c r="S32" i="7" l="1"/>
  <c r="S32" i="12" s="1"/>
  <c r="S31" i="12"/>
  <c r="R32" i="7"/>
  <c r="R31" i="12"/>
  <c r="T17" i="12"/>
  <c r="T32" i="11"/>
  <c r="Q49" i="11" s="1"/>
  <c r="Q51" i="11" s="1"/>
  <c r="Q52" i="11"/>
  <c r="K46" i="11"/>
  <c r="Q52" i="7"/>
  <c r="K46" i="7"/>
  <c r="T32" i="7"/>
  <c r="T31" i="12"/>
  <c r="T20" i="12"/>
  <c r="E49" i="10"/>
  <c r="T38" i="10" s="1"/>
  <c r="K47" i="7" l="1"/>
  <c r="E48" i="7"/>
  <c r="T37" i="7" s="1"/>
  <c r="E48" i="11"/>
  <c r="T37" i="11" s="1"/>
  <c r="K47" i="11"/>
  <c r="T32" i="12"/>
  <c r="R32" i="12"/>
  <c r="P28" i="10"/>
  <c r="P31" i="10" s="1"/>
  <c r="P114" i="1"/>
  <c r="P115" i="1" s="1"/>
  <c r="T37" i="12" l="1"/>
  <c r="K48" i="11"/>
  <c r="K52" i="11" s="1"/>
  <c r="E49" i="11"/>
  <c r="T38" i="11" s="1"/>
  <c r="T40" i="11" s="1"/>
  <c r="E49" i="7"/>
  <c r="T38" i="7" s="1"/>
  <c r="P32" i="10"/>
  <c r="P28" i="12"/>
  <c r="P29" i="12" s="1"/>
  <c r="T38" i="12" l="1"/>
  <c r="K51" i="11"/>
  <c r="T40" i="10"/>
  <c r="K48" i="10"/>
  <c r="Q49" i="10"/>
  <c r="Q51" i="10" s="1"/>
  <c r="K51" i="10" l="1"/>
  <c r="K52" i="10"/>
  <c r="P131" i="1" l="1"/>
  <c r="P142" i="1"/>
  <c r="P143" i="1" s="1"/>
  <c r="T150" i="1" s="1"/>
  <c r="T153" i="1" s="1"/>
  <c r="T156" i="1" s="1"/>
  <c r="P125" i="1"/>
  <c r="P128" i="1"/>
  <c r="P48" i="1"/>
  <c r="P126" i="1"/>
  <c r="P32" i="1"/>
  <c r="P33" i="1" s="1"/>
  <c r="P15" i="7" s="1"/>
  <c r="P45" i="1"/>
  <c r="P14" i="7" l="1"/>
  <c r="P17" i="7" l="1"/>
  <c r="P17" i="12" s="1"/>
  <c r="P14" i="12"/>
  <c r="P15" i="12" s="1"/>
  <c r="P20" i="7" l="1"/>
  <c r="P20" i="12" s="1"/>
  <c r="P31" i="7"/>
  <c r="P32" i="7" l="1"/>
  <c r="P31" i="12"/>
  <c r="T40" i="7" l="1"/>
  <c r="P32" i="12"/>
  <c r="T40" i="12" s="1"/>
  <c r="T43" i="12" s="1"/>
  <c r="T46" i="12" s="1"/>
  <c r="T48" i="12" s="1"/>
  <c r="Q49" i="7"/>
  <c r="Q51" i="7" s="1"/>
  <c r="K48" i="7"/>
  <c r="K51" i="7" l="1"/>
  <c r="K5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P49" authorId="0" shapeId="0" xr:uid="{1D370C81-062A-459E-8395-CD742E741709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LTM from TIKR.</t>
        </r>
      </text>
    </comment>
    <comment ref="P99" authorId="0" shapeId="0" xr:uid="{8EFBE183-3F51-45D4-BF8E-65E40B4E2FC1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Average of Lat 3 Years.</t>
        </r>
      </text>
    </comment>
    <comment ref="T151" authorId="0" shapeId="0" xr:uid="{33D2178B-7F57-4116-9C56-D158AD99479A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on Q1 2025 Balance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T41" authorId="0" shapeId="0" xr:uid="{E25AEC92-CD50-4B37-AEC9-1DB6FFE217E9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on Q1 2025 Balance 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J27" authorId="0" shapeId="0" xr:uid="{DF95F3F7-E7F5-42C2-BF61-57EF1089F85B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Diluted EPS is TTM from TIKR.</t>
        </r>
      </text>
    </comment>
    <comment ref="P27" authorId="0" shapeId="0" xr:uid="{9497F117-40DD-4024-90EB-537DC2D9FC7D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Cash + Marketable securities.</t>
        </r>
      </text>
    </comment>
    <comment ref="Q27" authorId="0" shapeId="0" xr:uid="{AB2D9758-156A-4C21-BDF0-56678F6F033C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Long term debt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E7" authorId="0" shapeId="0" xr:uid="{A73CF47C-3F06-4FBF-8AF7-1D45F7C68D78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  <comment ref="E12" authorId="0" shapeId="0" xr:uid="{91668669-21AE-4342-9CDB-DD36B55B98B0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2024 Q2 10Q
Page 17</t>
        </r>
      </text>
    </comment>
  </commentList>
</comments>
</file>

<file path=xl/sharedStrings.xml><?xml version="1.0" encoding="utf-8"?>
<sst xmlns="http://schemas.openxmlformats.org/spreadsheetml/2006/main" count="818" uniqueCount="301">
  <si>
    <t xml:space="preserve">    </t>
  </si>
  <si>
    <t>*</t>
  </si>
  <si>
    <t>NOTES</t>
  </si>
  <si>
    <t>Revenue</t>
  </si>
  <si>
    <t>EBIT</t>
  </si>
  <si>
    <t>WACC</t>
  </si>
  <si>
    <t>TGR</t>
  </si>
  <si>
    <t>2024A</t>
  </si>
  <si>
    <t>growth%</t>
  </si>
  <si>
    <t xml:space="preserve">% of Sale </t>
  </si>
  <si>
    <t>Taxes</t>
  </si>
  <si>
    <t>Tax rate</t>
  </si>
  <si>
    <t>D&amp;A</t>
  </si>
  <si>
    <t>D&amp;A (Depriciation &amp; Amortization)</t>
  </si>
  <si>
    <t>CapEx</t>
  </si>
  <si>
    <t>CapEx (Capital Expenditure)</t>
  </si>
  <si>
    <t>% of Sale</t>
  </si>
  <si>
    <t>Change In NWC</t>
  </si>
  <si>
    <t>Change in NWC (Net Working Capital)</t>
  </si>
  <si>
    <t>% of change in sales</t>
  </si>
  <si>
    <t>DCF ($ MM)</t>
  </si>
  <si>
    <t>Based on Q1 of 2025 Earnings</t>
  </si>
  <si>
    <t>EBIAT</t>
  </si>
  <si>
    <t>EBIAT (Earnings before Interest but after Tax) it is also known as NOPAT (Net Operating Profit after Tax)</t>
  </si>
  <si>
    <t>Estimate of 2025E to 2029Et is calculated by taking he average of the last 3 years from (2021A-2024A)</t>
  </si>
  <si>
    <t>Unlevered FCF</t>
  </si>
  <si>
    <t>Discounted Period</t>
  </si>
  <si>
    <t>Terminal Value</t>
  </si>
  <si>
    <t>Present Value of Terminal Value</t>
  </si>
  <si>
    <t>Enterprise Value</t>
  </si>
  <si>
    <t>EV is calculated by adding Present Value of FCF from2025E to 2029E.</t>
  </si>
  <si>
    <t>(+) Cash</t>
  </si>
  <si>
    <t>Based on Q1 of 2025 Balance sheet.</t>
  </si>
  <si>
    <t>(-) Debt</t>
  </si>
  <si>
    <t>Based on Q1 2025 Balance sheet.</t>
  </si>
  <si>
    <t>Equity Value</t>
  </si>
  <si>
    <t>Diluted Shares</t>
  </si>
  <si>
    <t>Based on Q1 result of 2025</t>
  </si>
  <si>
    <t>Geographic Segment</t>
  </si>
  <si>
    <t>Sales</t>
  </si>
  <si>
    <t>Amozon</t>
  </si>
  <si>
    <t>North America</t>
  </si>
  <si>
    <t>International</t>
  </si>
  <si>
    <t>AWS</t>
  </si>
  <si>
    <t>Ebit</t>
  </si>
  <si>
    <t>Capex</t>
  </si>
  <si>
    <t>--</t>
  </si>
  <si>
    <t>Total</t>
  </si>
  <si>
    <t>% growth</t>
  </si>
  <si>
    <t>% of revenue</t>
  </si>
  <si>
    <t>% of total sales</t>
  </si>
  <si>
    <t>% of total EBIT</t>
  </si>
  <si>
    <t>COGS</t>
  </si>
  <si>
    <t>Gross profit</t>
  </si>
  <si>
    <t>R&amp;D EXP</t>
  </si>
  <si>
    <t>SG&amp;A EXP</t>
  </si>
  <si>
    <t>Other opearting income or expense</t>
  </si>
  <si>
    <t>Operating expenses</t>
  </si>
  <si>
    <t>Operating Income</t>
  </si>
  <si>
    <t>Total non operating income/expense</t>
  </si>
  <si>
    <t>Net income</t>
  </si>
  <si>
    <t>EBITDA</t>
  </si>
  <si>
    <t xml:space="preserve">Basic share outstanding </t>
  </si>
  <si>
    <t>share outstanding</t>
  </si>
  <si>
    <t>Basic EPS</t>
  </si>
  <si>
    <t>EPS</t>
  </si>
  <si>
    <t>Pre tax income</t>
  </si>
  <si>
    <t>Income taxes</t>
  </si>
  <si>
    <t>Income from continuous operation</t>
  </si>
  <si>
    <t xml:space="preserve">INCOME STATEMENT </t>
  </si>
  <si>
    <t>AMAZON</t>
  </si>
  <si>
    <t>Source: Macrotrend</t>
  </si>
  <si>
    <t xml:space="preserve">% Tax rate </t>
  </si>
  <si>
    <t>Market Cap</t>
  </si>
  <si>
    <t>(MM $) From TIKR</t>
  </si>
  <si>
    <t xml:space="preserve">% of Equity </t>
  </si>
  <si>
    <r>
      <rPr>
        <b/>
        <sz val="11"/>
        <color theme="1"/>
        <rFont val="Calibri"/>
        <family val="2"/>
        <scheme val="minor"/>
      </rPr>
      <t>Percent of Equity</t>
    </r>
    <r>
      <rPr>
        <sz val="11"/>
        <color theme="1"/>
        <rFont val="Calibri"/>
        <family val="2"/>
        <scheme val="minor"/>
      </rPr>
      <t xml:space="preserve"> = Market Cap/Market Cap + Debt</t>
    </r>
  </si>
  <si>
    <t>Cost of equity</t>
  </si>
  <si>
    <r>
      <rPr>
        <b/>
        <sz val="11"/>
        <color theme="1"/>
        <rFont val="Calibri"/>
        <family val="2"/>
        <scheme val="minor"/>
      </rPr>
      <t>Cost of equity</t>
    </r>
    <r>
      <rPr>
        <sz val="11"/>
        <color theme="1"/>
        <rFont val="Calibri"/>
        <family val="2"/>
        <scheme val="minor"/>
      </rPr>
      <t xml:space="preserve"> = Risk free rate + ( Beta*Market Risk Premium)</t>
    </r>
  </si>
  <si>
    <t xml:space="preserve">Risk Free Rate </t>
  </si>
  <si>
    <t>CNBC U.S. 10 Year Treasury</t>
  </si>
  <si>
    <t>Beta</t>
  </si>
  <si>
    <t>TIKR</t>
  </si>
  <si>
    <t>Implied ERP ON July, 2025 From Damodaram</t>
  </si>
  <si>
    <t>Debt</t>
  </si>
  <si>
    <t>Based on Q1 2025 B/S (MM, $)</t>
  </si>
  <si>
    <t>% of debt</t>
  </si>
  <si>
    <r>
      <rPr>
        <b/>
        <sz val="11"/>
        <color theme="1"/>
        <rFont val="Calibri"/>
        <family val="2"/>
        <scheme val="minor"/>
      </rPr>
      <t xml:space="preserve">Percent of Debt </t>
    </r>
    <r>
      <rPr>
        <sz val="11"/>
        <color theme="1"/>
        <rFont val="Calibri"/>
        <family val="2"/>
        <scheme val="minor"/>
      </rPr>
      <t>= Debt/Market Cap</t>
    </r>
  </si>
  <si>
    <t xml:space="preserve">Cost of Debt </t>
  </si>
  <si>
    <t>Based on Q1 Tax Rate</t>
  </si>
  <si>
    <t xml:space="preserve">Total </t>
  </si>
  <si>
    <t>Total = Market Cap + Debt ( MM, $)</t>
  </si>
  <si>
    <r>
      <rPr>
        <b/>
        <sz val="11"/>
        <color theme="1"/>
        <rFont val="Calibri"/>
        <family val="2"/>
        <scheme val="minor"/>
      </rPr>
      <t>WACC</t>
    </r>
    <r>
      <rPr>
        <sz val="11"/>
        <color theme="1"/>
        <rFont val="Calibri"/>
        <family val="2"/>
        <scheme val="minor"/>
      </rPr>
      <t xml:space="preserve"> = % of equity*cost of equity + %of debt *(1-Tax rate)</t>
    </r>
  </si>
  <si>
    <t>Cost of debt = Interest expense*2/debt</t>
  </si>
  <si>
    <t>Full Diluted Shares</t>
  </si>
  <si>
    <t>Basic share Outstanding (latest fillings)</t>
  </si>
  <si>
    <t>In-the-money exercisable option</t>
  </si>
  <si>
    <t>Total proceeds ($ mm)</t>
  </si>
  <si>
    <t>Net dilutive option</t>
  </si>
  <si>
    <t>Dilutive impact of shares from other securities</t>
  </si>
  <si>
    <t>Net dilutive share outstanding</t>
  </si>
  <si>
    <t>Option outstanding</t>
  </si>
  <si>
    <t>Outstanding</t>
  </si>
  <si>
    <t>Exercise price</t>
  </si>
  <si>
    <t>Dilutive shares</t>
  </si>
  <si>
    <t>Tranche 1</t>
  </si>
  <si>
    <t>Tranche 2</t>
  </si>
  <si>
    <t>Tranche 3</t>
  </si>
  <si>
    <t>Tranche 4</t>
  </si>
  <si>
    <t>Tranche 5</t>
  </si>
  <si>
    <t>Tranche 6</t>
  </si>
  <si>
    <t>Tranche 7</t>
  </si>
  <si>
    <t>Tranche 8</t>
  </si>
  <si>
    <t>Tranche 9</t>
  </si>
  <si>
    <t>Tranche 10</t>
  </si>
  <si>
    <t>Current stock price</t>
  </si>
  <si>
    <t>Total shares repurchased (mm)</t>
  </si>
  <si>
    <t>CASHFLOW Statement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</si>
  <si>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</si>
  <si>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</si>
  <si>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</si>
  <si>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</si>
  <si>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</si>
  <si>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</si>
  <si>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</si>
  <si>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 And liabilities</t>
  </si>
  <si>
    <t>Change in Net working capital</t>
  </si>
  <si>
    <t>Cash Flow From Operating Activities</t>
  </si>
  <si>
    <t>Net Change In Intangible Assets</t>
  </si>
  <si>
    <t>Net Acquisitions/ 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</si>
  <si>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</si>
  <si>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</si>
  <si>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</si>
  <si>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</si>
  <si>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</si>
  <si>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</si>
  <si>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</si>
  <si>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</si>
  <si>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</si>
  <si>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</si>
  <si>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</si>
  <si>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</si>
  <si>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</si>
  <si>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</si>
  <si>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% of capex</t>
  </si>
  <si>
    <t>Total D&amp;A (Partial)</t>
  </si>
  <si>
    <t>Capital expenditure</t>
  </si>
  <si>
    <t>North America (Partial)</t>
  </si>
  <si>
    <t>International (Partial)</t>
  </si>
  <si>
    <t>AWS (Partial)</t>
  </si>
  <si>
    <t>% of total D&amp;A</t>
  </si>
  <si>
    <t>% of North America sales</t>
  </si>
  <si>
    <t>% of International sales</t>
  </si>
  <si>
    <t>% of AWS sales</t>
  </si>
  <si>
    <t>Total CapEx</t>
  </si>
  <si>
    <t>% of total CapEx</t>
  </si>
  <si>
    <t>Total CapEx (Partial)</t>
  </si>
  <si>
    <t>% of North America sales of total sales</t>
  </si>
  <si>
    <t>% of International sales of total sales</t>
  </si>
  <si>
    <t>% of AWS sales of total sales</t>
  </si>
  <si>
    <t xml:space="preserve">% of total sale </t>
  </si>
  <si>
    <t>Total Change in NWC</t>
  </si>
  <si>
    <t>D&amp;A (for reference)</t>
  </si>
  <si>
    <t>CapEx (for reference)</t>
  </si>
  <si>
    <t>% of total sale</t>
  </si>
  <si>
    <t>DCF</t>
  </si>
  <si>
    <t>Ticker</t>
  </si>
  <si>
    <t>Date</t>
  </si>
  <si>
    <t>End of Year</t>
  </si>
  <si>
    <t>AMZN</t>
  </si>
  <si>
    <t>Assumptions</t>
  </si>
  <si>
    <t>Stub</t>
  </si>
  <si>
    <t>PV of UFCF</t>
  </si>
  <si>
    <t>Equity  Risk Premium</t>
  </si>
  <si>
    <t>FDSO</t>
  </si>
  <si>
    <t>North America DCF</t>
  </si>
  <si>
    <t>12/31 FYE</t>
  </si>
  <si>
    <t>International DCF</t>
  </si>
  <si>
    <t>% of sales</t>
  </si>
  <si>
    <t>AWS DCF</t>
  </si>
  <si>
    <t>Consolidated DCF ($ MM)</t>
  </si>
  <si>
    <t>North America DCF ($ MM)</t>
  </si>
  <si>
    <t>International DCF ($ MM)</t>
  </si>
  <si>
    <t>AWS DCF ($ MM)</t>
  </si>
  <si>
    <t xml:space="preserve">  </t>
  </si>
  <si>
    <t>Implied Share Price</t>
  </si>
  <si>
    <t xml:space="preserve">Terminal Value </t>
  </si>
  <si>
    <t xml:space="preserve">Enterprise value </t>
  </si>
  <si>
    <t xml:space="preserve">Perpetuity Growth </t>
  </si>
  <si>
    <t>Exit Multiple</t>
  </si>
  <si>
    <t>% of Perpetuity</t>
  </si>
  <si>
    <t>% of Exit Multiple</t>
  </si>
  <si>
    <t>Total Terminal Value</t>
  </si>
  <si>
    <t>Terminal Growth Rate</t>
  </si>
  <si>
    <t xml:space="preserve">PV of Terminal Value </t>
  </si>
  <si>
    <t>Terminal Year EBITDA</t>
  </si>
  <si>
    <t xml:space="preserve">EBITDA multiple </t>
  </si>
  <si>
    <t xml:space="preserve">Terminal value </t>
  </si>
  <si>
    <t>PV of Terminal Vlaue</t>
  </si>
  <si>
    <t>Terminal Value as % of TEV</t>
  </si>
  <si>
    <t xml:space="preserve">Implied TV Exit EBITDA Multiple  </t>
  </si>
  <si>
    <t xml:space="preserve">Total Enterprise Value (TEV) </t>
  </si>
  <si>
    <t xml:space="preserve">Implied Terminal growth rate </t>
  </si>
  <si>
    <t>Amazon (AMZN) Levered Beta</t>
  </si>
  <si>
    <t>Leverad Beta</t>
  </si>
  <si>
    <t>Net Debt</t>
  </si>
  <si>
    <t xml:space="preserve"> Market Cap</t>
  </si>
  <si>
    <t>Shares</t>
  </si>
  <si>
    <t>Unlevered Beta</t>
  </si>
  <si>
    <t>AAPL</t>
  </si>
  <si>
    <t>NVDA</t>
  </si>
  <si>
    <t>MSFT</t>
  </si>
  <si>
    <t>GOOGL</t>
  </si>
  <si>
    <t xml:space="preserve"> Comps Table</t>
  </si>
  <si>
    <t>Currency</t>
  </si>
  <si>
    <t>USD</t>
  </si>
  <si>
    <t>Trading Multiples</t>
  </si>
  <si>
    <t>Current</t>
  </si>
  <si>
    <t>Share</t>
  </si>
  <si>
    <t>Enterprise</t>
  </si>
  <si>
    <t>Market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</si>
  <si>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</si>
  <si>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</si>
  <si>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</si>
  <si>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</si>
  <si>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</si>
  <si>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</si>
  <si>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</si>
  <si>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Company Name</t>
  </si>
  <si>
    <t>Price</t>
  </si>
  <si>
    <t>Count</t>
  </si>
  <si>
    <t>Value</t>
  </si>
  <si>
    <t>Cap</t>
  </si>
  <si>
    <t>24</t>
  </si>
  <si>
    <t>'25</t>
  </si>
  <si>
    <t>'26</t>
  </si>
  <si>
    <t>'24-'25</t>
  </si>
  <si>
    <t>'25-'26</t>
  </si>
  <si>
    <t>META</t>
  </si>
  <si>
    <t>WMT</t>
  </si>
  <si>
    <t>Mean</t>
  </si>
  <si>
    <t>Median</t>
  </si>
  <si>
    <t>2026 Trading Multiple</t>
  </si>
  <si>
    <t>2026 Financial Metric</t>
  </si>
  <si>
    <t>Calculating Implied Share Price</t>
  </si>
  <si>
    <t>P/E</t>
  </si>
  <si>
    <t>Cash</t>
  </si>
  <si>
    <t>Minimum</t>
  </si>
  <si>
    <t>Maximum</t>
  </si>
  <si>
    <t>Levered beta / (1+ (1 - tax rate) * (Debt / Equity)</t>
  </si>
  <si>
    <t>Industry Average Unlevered Beta</t>
  </si>
  <si>
    <t>Not in Use</t>
  </si>
  <si>
    <t>Unlevered Beta * (1 + (1 - tax rate) * (Debt/Equity))</t>
  </si>
  <si>
    <t>Convertible Bonds</t>
  </si>
  <si>
    <t>Principal Outstanding</t>
  </si>
  <si>
    <t>Conversion ratio</t>
  </si>
  <si>
    <t>Conversion Price</t>
  </si>
  <si>
    <t>Convertible Common Shares</t>
  </si>
  <si>
    <t>Dilutive Impact of convertible securities</t>
  </si>
  <si>
    <t>Elimination of  liability from net debt</t>
  </si>
  <si>
    <t>X</t>
  </si>
  <si>
    <r>
      <rPr>
        <b/>
        <sz val="11"/>
        <color theme="0"/>
        <rFont val="Calibri"/>
        <family val="2"/>
        <scheme val="minor"/>
      </rPr>
      <t>Unlevered FCF</t>
    </r>
    <r>
      <rPr>
        <sz val="11"/>
        <color theme="0"/>
        <rFont val="Calibri"/>
        <family val="2"/>
        <scheme val="minor"/>
      </rPr>
      <t xml:space="preserve"> (Free Cash Flow)= EBITDA + D&amp;A - CapEx - Change inNWC</t>
    </r>
  </si>
  <si>
    <r>
      <rPr>
        <b/>
        <sz val="11"/>
        <color theme="0"/>
        <rFont val="Calibri"/>
        <family val="2"/>
        <scheme val="minor"/>
      </rPr>
      <t>Present Value of FCF</t>
    </r>
    <r>
      <rPr>
        <sz val="11"/>
        <color theme="0"/>
        <rFont val="Calibri"/>
        <family val="2"/>
        <scheme val="minor"/>
      </rPr>
      <t xml:space="preserve"> = Unlevered FCF/(1+WACC)^Discounted Period</t>
    </r>
  </si>
  <si>
    <r>
      <rPr>
        <b/>
        <sz val="11"/>
        <color theme="0"/>
        <rFont val="Calibri"/>
        <family val="2"/>
        <scheme val="minor"/>
      </rPr>
      <t>Terminal Value</t>
    </r>
    <r>
      <rPr>
        <sz val="11"/>
        <color theme="0"/>
        <rFont val="Calibri"/>
        <family val="2"/>
        <scheme val="minor"/>
      </rPr>
      <t xml:space="preserve"> = 2029E UFCF*(1+TGR)/(WACC-TGR)</t>
    </r>
  </si>
  <si>
    <r>
      <rPr>
        <b/>
        <sz val="11"/>
        <color theme="0"/>
        <rFont val="Calibri"/>
        <family val="2"/>
        <scheme val="minor"/>
      </rPr>
      <t>Present Value of Terminal Value</t>
    </r>
    <r>
      <rPr>
        <sz val="11"/>
        <color theme="0"/>
        <rFont val="Calibri"/>
        <family val="2"/>
        <scheme val="minor"/>
      </rPr>
      <t xml:space="preserve"> = Terminal Value/(1+WACC)^2030E Dsicounted Period</t>
    </r>
  </si>
  <si>
    <r>
      <rPr>
        <b/>
        <sz val="11"/>
        <color theme="0"/>
        <rFont val="Calibri"/>
        <family val="2"/>
        <scheme val="minor"/>
      </rPr>
      <t>Equity Value</t>
    </r>
    <r>
      <rPr>
        <sz val="11"/>
        <color theme="0"/>
        <rFont val="Calibri"/>
        <family val="2"/>
        <scheme val="minor"/>
      </rPr>
      <t xml:space="preserve"> = EV+Cash-Debt</t>
    </r>
  </si>
  <si>
    <r>
      <rPr>
        <b/>
        <sz val="11"/>
        <color theme="0"/>
        <rFont val="Calibri"/>
        <family val="2"/>
        <scheme val="minor"/>
      </rPr>
      <t>Implied Share price</t>
    </r>
    <r>
      <rPr>
        <sz val="11"/>
        <color theme="0"/>
        <rFont val="Calibri"/>
        <family val="2"/>
        <scheme val="minor"/>
      </rPr>
      <t xml:space="preserve"> = Equity value/Diluted shares</t>
    </r>
  </si>
  <si>
    <t xml:space="preserve">[xx] - Copied from another sheet </t>
  </si>
  <si>
    <t>[xx] - Hardcoded</t>
  </si>
  <si>
    <t>[xx] - Copied from same sheet</t>
  </si>
  <si>
    <t>[xx] - Calculations</t>
  </si>
  <si>
    <t>[xx] - Estimates</t>
  </si>
  <si>
    <t>A negative Change in NWC means that the Company is collecting the cash from the customers before paying to the Suppliers.</t>
  </si>
  <si>
    <t xml:space="preserve">* </t>
  </si>
  <si>
    <t>A negative Change in NWC is added to the UFCF (Unlevered Free Cash Flow).</t>
  </si>
  <si>
    <t>This expenditure shows how much the company has spent on purchasing fixed assets ( like PP&amp;E) for long-term use.</t>
  </si>
  <si>
    <r>
      <rPr>
        <b/>
        <sz val="11"/>
        <color theme="1"/>
        <rFont val="Calibri"/>
        <family val="2"/>
        <scheme val="minor"/>
      </rPr>
      <t>Unlevered FCF</t>
    </r>
    <r>
      <rPr>
        <sz val="11"/>
        <color theme="1"/>
        <rFont val="Calibri"/>
        <family val="2"/>
        <scheme val="minor"/>
      </rPr>
      <t xml:space="preserve"> (Free Cash Flow) = EBITDA + D&amp;A - CapEx - Change inNWC</t>
    </r>
  </si>
  <si>
    <r>
      <rPr>
        <b/>
        <sz val="11"/>
        <color theme="1"/>
        <rFont val="Calibri"/>
        <family val="2"/>
        <scheme val="minor"/>
      </rPr>
      <t>Present Value of FCF</t>
    </r>
    <r>
      <rPr>
        <sz val="11"/>
        <color theme="1"/>
        <rFont val="Calibri"/>
        <family val="2"/>
        <scheme val="minor"/>
      </rPr>
      <t xml:space="preserve"> = Unlevered FCF/(1+WACC)^Discounted Period</t>
    </r>
  </si>
  <si>
    <r>
      <rPr>
        <b/>
        <sz val="11"/>
        <color theme="1"/>
        <rFont val="Calibri"/>
        <family val="2"/>
        <scheme val="minor"/>
      </rPr>
      <t>Terminal Value</t>
    </r>
    <r>
      <rPr>
        <sz val="11"/>
        <color theme="1"/>
        <rFont val="Calibri"/>
        <family val="2"/>
        <scheme val="minor"/>
      </rPr>
      <t xml:space="preserve"> = 2029E UFCF*(1+TGR)/(WACC-TGR)</t>
    </r>
  </si>
  <si>
    <r>
      <rPr>
        <b/>
        <sz val="11"/>
        <color theme="1"/>
        <rFont val="Calibri"/>
        <family val="2"/>
        <scheme val="minor"/>
      </rPr>
      <t>Present Value of Terminal Value</t>
    </r>
    <r>
      <rPr>
        <sz val="11"/>
        <color theme="1"/>
        <rFont val="Calibri"/>
        <family val="2"/>
        <scheme val="minor"/>
      </rPr>
      <t xml:space="preserve"> = Terminal Value/(1+WACC)^2030E Dsicounted Period</t>
    </r>
  </si>
  <si>
    <t>Based on Q2 of 2025 Balance sheet.</t>
  </si>
  <si>
    <r>
      <rPr>
        <b/>
        <sz val="11"/>
        <color theme="1"/>
        <rFont val="Calibri"/>
        <family val="2"/>
        <scheme val="minor"/>
      </rPr>
      <t>Equity Value</t>
    </r>
    <r>
      <rPr>
        <sz val="11"/>
        <color theme="1"/>
        <rFont val="Calibri"/>
        <family val="2"/>
        <scheme val="minor"/>
      </rPr>
      <t xml:space="preserve"> = EV+Cash-Debt</t>
    </r>
  </si>
  <si>
    <r>
      <rPr>
        <b/>
        <sz val="11"/>
        <color theme="1"/>
        <rFont val="Calibri"/>
        <family val="2"/>
        <scheme val="minor"/>
      </rPr>
      <t>Implied Share price</t>
    </r>
    <r>
      <rPr>
        <sz val="11"/>
        <color theme="1"/>
        <rFont val="Calibri"/>
        <family val="2"/>
        <scheme val="minor"/>
      </rPr>
      <t xml:space="preserve"> = Equity value/Diluted shares</t>
    </r>
  </si>
  <si>
    <t>Estimates for 2025E and 2026E are from Tikr, and the averages for 2027E to 2029E are based on the last 3 Years.</t>
  </si>
  <si>
    <t xml:space="preserve">Estimates for 2025E and 2026E are from Tikr, 2029E is 16% as it is given in the street case report of Analyst Consensus </t>
  </si>
  <si>
    <t>The 2025E CapEx is the average of the last three years and is considered a correct representation for the current year, as confirmed by the MD&amp;A, which cites investments in AI and Infrastructure.</t>
  </si>
  <si>
    <t>Revenue (MM $)</t>
  </si>
  <si>
    <t>EBIT (MM $)</t>
  </si>
  <si>
    <t>Taxe Rate (MM $)</t>
  </si>
  <si>
    <t>D&amp;A (MM $)</t>
  </si>
  <si>
    <t>CapEx (MM $)</t>
  </si>
  <si>
    <t>Net Working Capital (MM $)</t>
  </si>
  <si>
    <t>Financials</t>
  </si>
  <si>
    <r>
      <rPr>
        <b/>
        <sz val="11"/>
        <color theme="1"/>
        <rFont val="Calibri"/>
        <family val="2"/>
        <scheme val="minor"/>
      </rPr>
      <t xml:space="preserve">FDSO </t>
    </r>
    <r>
      <rPr>
        <sz val="11"/>
        <color theme="1"/>
        <rFont val="Calibri"/>
        <family val="2"/>
        <scheme val="minor"/>
      </rPr>
      <t>= Fully Diluted Shares Outstanding.</t>
    </r>
  </si>
  <si>
    <t>CMP</t>
  </si>
  <si>
    <t>Upside/Downside %</t>
  </si>
  <si>
    <t xml:space="preserve">Total Revenue </t>
  </si>
  <si>
    <t>Total EBIT</t>
  </si>
  <si>
    <t xml:space="preserve">Total D&amp;A </t>
  </si>
  <si>
    <t xml:space="preserve">as % of sale </t>
  </si>
  <si>
    <t>Change in 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</si>
</sst>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%;\(0%\)"/>
    <numFmt numFmtId="165" formatCode="0.0%"/>
    <numFmt numFmtId="166" formatCode="0\A"/>
    <numFmt numFmtId="167" formatCode="0\E"/>
    <numFmt numFmtId="168" formatCode="_ * #,##0_ ;_ * \-#,##0_ ;_ * &quot;-&quot;??_ ;_ @_ "/>
    <numFmt numFmtId="169" formatCode="_(* #,##0_);_(* \(#,##0\);_(* &quot;-&quot;??_);_(@_)"/>
    <numFmt numFmtId="170" formatCode="&quot;Dec&quot;\ \'0"/>
    <numFmt numFmtId="171" formatCode="_(* #,##0.0_);_(* \(#,##0.0\);_(* &quot;-&quot;??_);_(@_)"/>
    <numFmt numFmtId="172" formatCode="&quot;Tranche&quot;\ \'0"/>
    <numFmt numFmtId="173" formatCode="0.0\x_)"/>
    <numFmt numFmtId="174" formatCode="0.0\x"/>
    <numFmt numFmtId="175" formatCode="_([$$-409]* #,##0.00_);_([$$-409]* \(#,##0.00\);_([$$-409]* &quot;-&quot;??_);_(@_)"/>
    <numFmt numFmtId="176" formatCode="0.000"/>
    <numFmt numFmtId="177" formatCode="_(* #,##0_);_(* \(#,##0\);_(* &quot;-&quot;?_);_(@_)"/>
    <numFmt numFmtId="178" formatCode="_ * #,##0.0_ ;_ * \-#,##0.0_ ;_ * &quot;-&quot;??_ ;_ @_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rgb="FF000000"/>
      <name val="Arial"/>
      <family val="2"/>
    </font>
    <font>
      <sz val="12"/>
      <color rgb="FF2F303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8B0000"/>
      <name val="Calibri"/>
      <family val="2"/>
      <scheme val="minor"/>
    </font>
    <font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78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0" xfId="0" applyFont="1" applyFill="1"/>
    <xf numFmtId="0" fontId="5" fillId="2" borderId="1" xfId="0" applyFont="1" applyFill="1" applyBorder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8" fontId="7" fillId="2" borderId="0" xfId="1" applyNumberFormat="1" applyFont="1" applyFill="1" applyAlignment="1">
      <alignment horizontal="right"/>
    </xf>
    <xf numFmtId="0" fontId="8" fillId="2" borderId="0" xfId="0" applyFont="1" applyFill="1"/>
    <xf numFmtId="9" fontId="0" fillId="2" borderId="0" xfId="2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9" fillId="2" borderId="0" xfId="0" applyFont="1" applyFill="1"/>
    <xf numFmtId="9" fontId="7" fillId="2" borderId="0" xfId="2" applyFont="1" applyFill="1" applyAlignment="1">
      <alignment horizontal="right"/>
    </xf>
    <xf numFmtId="164" fontId="7" fillId="2" borderId="0" xfId="2" applyNumberFormat="1" applyFont="1" applyFill="1" applyBorder="1" applyAlignment="1">
      <alignment horizontal="right"/>
    </xf>
    <xf numFmtId="9" fontId="0" fillId="2" borderId="0" xfId="2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169" fontId="0" fillId="2" borderId="0" xfId="0" applyNumberFormat="1" applyFill="1" applyAlignment="1">
      <alignment horizontal="right"/>
    </xf>
    <xf numFmtId="9" fontId="9" fillId="2" borderId="0" xfId="2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3" fillId="2" borderId="6" xfId="0" applyFont="1" applyFill="1" applyBorder="1"/>
    <xf numFmtId="0" fontId="0" fillId="2" borderId="0" xfId="0" applyFill="1" applyAlignment="1">
      <alignment vertical="top"/>
    </xf>
    <xf numFmtId="170" fontId="0" fillId="2" borderId="0" xfId="0" applyNumberFormat="1" applyFill="1"/>
    <xf numFmtId="3" fontId="0" fillId="2" borderId="0" xfId="0" applyNumberFormat="1" applyFill="1"/>
    <xf numFmtId="9" fontId="0" fillId="2" borderId="0" xfId="2" quotePrefix="1" applyFont="1" applyFill="1" applyAlignment="1">
      <alignment horizontal="right"/>
    </xf>
    <xf numFmtId="10" fontId="1" fillId="2" borderId="0" xfId="2" quotePrefix="1" applyNumberFormat="1" applyFont="1" applyFill="1" applyAlignment="1">
      <alignment horizontal="right"/>
    </xf>
    <xf numFmtId="9" fontId="1" fillId="2" borderId="0" xfId="2" applyFont="1" applyFill="1" applyAlignment="1">
      <alignment horizontal="right"/>
    </xf>
    <xf numFmtId="9" fontId="1" fillId="2" borderId="0" xfId="2" quotePrefix="1" applyFont="1" applyFill="1" applyAlignment="1">
      <alignment horizontal="right"/>
    </xf>
    <xf numFmtId="169" fontId="7" fillId="2" borderId="0" xfId="1" applyNumberFormat="1" applyFont="1" applyFill="1" applyAlignment="1">
      <alignment horizontal="right"/>
    </xf>
    <xf numFmtId="169" fontId="0" fillId="2" borderId="0" xfId="1" applyNumberFormat="1" applyFont="1" applyFill="1" applyAlignment="1">
      <alignment horizontal="right"/>
    </xf>
    <xf numFmtId="10" fontId="0" fillId="2" borderId="0" xfId="0" applyNumberFormat="1" applyFill="1"/>
    <xf numFmtId="10" fontId="0" fillId="2" borderId="0" xfId="2" applyNumberFormat="1" applyFont="1" applyFill="1" applyAlignment="1">
      <alignment horizontal="center"/>
    </xf>
    <xf numFmtId="10" fontId="0" fillId="2" borderId="0" xfId="2" applyNumberFormat="1" applyFont="1" applyFill="1"/>
    <xf numFmtId="0" fontId="3" fillId="5" borderId="0" xfId="0" applyFont="1" applyFill="1"/>
    <xf numFmtId="0" fontId="0" fillId="5" borderId="0" xfId="0" applyFill="1" applyAlignment="1">
      <alignment horizontal="right"/>
    </xf>
    <xf numFmtId="168" fontId="3" fillId="5" borderId="0" xfId="2" applyNumberFormat="1" applyFont="1" applyFill="1" applyAlignment="1">
      <alignment horizontal="right"/>
    </xf>
    <xf numFmtId="9" fontId="3" fillId="5" borderId="0" xfId="2" applyFont="1" applyFill="1" applyAlignment="1">
      <alignment horizontal="right"/>
    </xf>
    <xf numFmtId="9" fontId="3" fillId="5" borderId="0" xfId="2" quotePrefix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4" fontId="1" fillId="2" borderId="0" xfId="2" applyNumberFormat="1" applyFont="1" applyFill="1" applyAlignment="1">
      <alignment horizontal="right"/>
    </xf>
    <xf numFmtId="169" fontId="0" fillId="2" borderId="0" xfId="1" applyNumberFormat="1" applyFont="1" applyFill="1"/>
    <xf numFmtId="0" fontId="15" fillId="2" borderId="1" xfId="0" applyFont="1" applyFill="1" applyBorder="1"/>
    <xf numFmtId="0" fontId="2" fillId="6" borderId="0" xfId="0" applyFont="1" applyFill="1"/>
    <xf numFmtId="0" fontId="4" fillId="6" borderId="0" xfId="0" applyFont="1" applyFill="1"/>
    <xf numFmtId="0" fontId="6" fillId="2" borderId="0" xfId="0" applyFont="1" applyFill="1"/>
    <xf numFmtId="169" fontId="0" fillId="2" borderId="0" xfId="1" applyNumberFormat="1" applyFont="1" applyFill="1" applyAlignment="1">
      <alignment horizontal="center"/>
    </xf>
    <xf numFmtId="169" fontId="0" fillId="2" borderId="0" xfId="0" applyNumberFormat="1" applyFill="1"/>
    <xf numFmtId="9" fontId="13" fillId="2" borderId="0" xfId="0" applyNumberFormat="1" applyFont="1" applyFill="1" applyAlignment="1">
      <alignment horizontal="right"/>
    </xf>
    <xf numFmtId="0" fontId="16" fillId="2" borderId="1" xfId="0" applyFont="1" applyFill="1" applyBorder="1"/>
    <xf numFmtId="0" fontId="4" fillId="8" borderId="0" xfId="0" applyFont="1" applyFill="1"/>
    <xf numFmtId="0" fontId="2" fillId="8" borderId="0" xfId="0" applyFont="1" applyFill="1"/>
    <xf numFmtId="172" fontId="0" fillId="2" borderId="0" xfId="0" applyNumberFormat="1" applyFill="1"/>
    <xf numFmtId="0" fontId="0" fillId="4" borderId="2" xfId="0" applyFill="1" applyBorder="1"/>
    <xf numFmtId="171" fontId="0" fillId="4" borderId="2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43" fontId="3" fillId="2" borderId="0" xfId="0" applyNumberFormat="1" applyFont="1" applyFill="1" applyAlignment="1">
      <alignment horizontal="center"/>
    </xf>
    <xf numFmtId="0" fontId="3" fillId="9" borderId="0" xfId="0" applyFont="1" applyFill="1"/>
    <xf numFmtId="0" fontId="0" fillId="9" borderId="0" xfId="0" applyFill="1"/>
    <xf numFmtId="0" fontId="3" fillId="2" borderId="1" xfId="0" applyFont="1" applyFill="1" applyBorder="1"/>
    <xf numFmtId="0" fontId="0" fillId="2" borderId="4" xfId="0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169" fontId="3" fillId="2" borderId="1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169" fontId="3" fillId="2" borderId="0" xfId="2" applyNumberFormat="1" applyFont="1" applyFill="1" applyAlignment="1">
      <alignment horizontal="right"/>
    </xf>
    <xf numFmtId="9" fontId="3" fillId="2" borderId="0" xfId="2" applyFont="1" applyFill="1" applyAlignment="1">
      <alignment horizontal="right"/>
    </xf>
    <xf numFmtId="0" fontId="3" fillId="5" borderId="0" xfId="0" applyFont="1" applyFill="1" applyAlignment="1">
      <alignment horizontal="right"/>
    </xf>
    <xf numFmtId="169" fontId="3" fillId="5" borderId="0" xfId="2" applyNumberFormat="1" applyFont="1" applyFill="1" applyAlignment="1">
      <alignment horizontal="right"/>
    </xf>
    <xf numFmtId="169" fontId="18" fillId="5" borderId="0" xfId="1" applyNumberFormat="1" applyFont="1" applyFill="1" applyAlignment="1">
      <alignment horizontal="right"/>
    </xf>
    <xf numFmtId="0" fontId="19" fillId="2" borderId="0" xfId="0" applyFont="1" applyFill="1"/>
    <xf numFmtId="0" fontId="19" fillId="5" borderId="0" xfId="0" applyFont="1" applyFill="1"/>
    <xf numFmtId="169" fontId="3" fillId="5" borderId="0" xfId="1" applyNumberFormat="1" applyFont="1" applyFill="1" applyAlignment="1">
      <alignment horizontal="right"/>
    </xf>
    <xf numFmtId="164" fontId="3" fillId="5" borderId="0" xfId="2" applyNumberFormat="1" applyFont="1" applyFill="1" applyAlignment="1">
      <alignment horizontal="right"/>
    </xf>
    <xf numFmtId="164" fontId="3" fillId="5" borderId="0" xfId="2" quotePrefix="1" applyNumberFormat="1" applyFont="1" applyFill="1" applyAlignment="1">
      <alignment horizontal="right"/>
    </xf>
    <xf numFmtId="169" fontId="9" fillId="2" borderId="0" xfId="0" applyNumberFormat="1" applyFont="1" applyFill="1" applyAlignment="1">
      <alignment horizontal="right"/>
    </xf>
    <xf numFmtId="169" fontId="3" fillId="2" borderId="4" xfId="0" applyNumberFormat="1" applyFont="1" applyFill="1" applyBorder="1" applyAlignment="1">
      <alignment horizontal="right"/>
    </xf>
    <xf numFmtId="0" fontId="3" fillId="2" borderId="3" xfId="0" applyFont="1" applyFill="1" applyBorder="1"/>
    <xf numFmtId="9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0" fontId="7" fillId="4" borderId="2" xfId="0" applyNumberFormat="1" applyFont="1" applyFill="1" applyBorder="1" applyAlignment="1">
      <alignment horizontal="center"/>
    </xf>
    <xf numFmtId="10" fontId="14" fillId="4" borderId="2" xfId="0" applyNumberFormat="1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right"/>
    </xf>
    <xf numFmtId="169" fontId="3" fillId="2" borderId="7" xfId="1" applyNumberFormat="1" applyFont="1" applyFill="1" applyBorder="1" applyAlignment="1">
      <alignment horizontal="right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9" xfId="0" applyFont="1" applyFill="1" applyBorder="1" applyAlignment="1">
      <alignment horizontal="right"/>
    </xf>
    <xf numFmtId="169" fontId="3" fillId="2" borderId="9" xfId="0" applyNumberFormat="1" applyFont="1" applyFill="1" applyBorder="1" applyAlignment="1">
      <alignment horizontal="right"/>
    </xf>
    <xf numFmtId="0" fontId="2" fillId="10" borderId="0" xfId="0" applyFont="1" applyFill="1"/>
    <xf numFmtId="0" fontId="2" fillId="10" borderId="0" xfId="0" applyFont="1" applyFill="1" applyAlignment="1">
      <alignment horizontal="right"/>
    </xf>
    <xf numFmtId="166" fontId="2" fillId="10" borderId="0" xfId="0" applyNumberFormat="1" applyFont="1" applyFill="1" applyAlignment="1">
      <alignment horizontal="right"/>
    </xf>
    <xf numFmtId="167" fontId="2" fillId="10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169" fontId="1" fillId="2" borderId="0" xfId="1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right"/>
    </xf>
    <xf numFmtId="168" fontId="7" fillId="2" borderId="0" xfId="2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4" fontId="7" fillId="2" borderId="0" xfId="2" applyNumberFormat="1" applyFont="1" applyFill="1" applyAlignment="1">
      <alignment horizontal="right"/>
    </xf>
    <xf numFmtId="0" fontId="0" fillId="3" borderId="0" xfId="0" applyFill="1"/>
    <xf numFmtId="165" fontId="0" fillId="7" borderId="2" xfId="2" applyNumberFormat="1" applyFont="1" applyFill="1" applyBorder="1"/>
    <xf numFmtId="169" fontId="3" fillId="2" borderId="0" xfId="0" applyNumberFormat="1" applyFont="1" applyFill="1"/>
    <xf numFmtId="168" fontId="3" fillId="2" borderId="4" xfId="0" applyNumberFormat="1" applyFont="1" applyFill="1" applyBorder="1" applyAlignment="1">
      <alignment horizontal="right"/>
    </xf>
    <xf numFmtId="168" fontId="3" fillId="2" borderId="13" xfId="0" applyNumberFormat="1" applyFont="1" applyFill="1" applyBorder="1" applyAlignment="1">
      <alignment horizontal="right"/>
    </xf>
    <xf numFmtId="169" fontId="3" fillId="2" borderId="0" xfId="0" applyNumberFormat="1" applyFont="1" applyFill="1" applyAlignment="1">
      <alignment horizontal="right"/>
    </xf>
    <xf numFmtId="169" fontId="3" fillId="2" borderId="7" xfId="0" applyNumberFormat="1" applyFont="1" applyFill="1" applyBorder="1" applyAlignment="1">
      <alignment horizontal="right"/>
    </xf>
    <xf numFmtId="169" fontId="3" fillId="2" borderId="14" xfId="0" applyNumberFormat="1" applyFont="1" applyFill="1" applyBorder="1" applyAlignment="1">
      <alignment horizontal="right"/>
    </xf>
    <xf numFmtId="0" fontId="0" fillId="10" borderId="0" xfId="0" applyFill="1"/>
    <xf numFmtId="9" fontId="0" fillId="4" borderId="2" xfId="2" applyFont="1" applyFill="1" applyBorder="1"/>
    <xf numFmtId="165" fontId="0" fillId="4" borderId="2" xfId="2" applyNumberFormat="1" applyFont="1" applyFill="1" applyBorder="1"/>
    <xf numFmtId="165" fontId="0" fillId="4" borderId="2" xfId="2" applyNumberFormat="1" applyFont="1" applyFill="1" applyBorder="1" applyAlignment="1">
      <alignment horizontal="right"/>
    </xf>
    <xf numFmtId="10" fontId="9" fillId="2" borderId="0" xfId="2" applyNumberFormat="1" applyFont="1" applyFill="1" applyAlignment="1">
      <alignment horizontal="right"/>
    </xf>
    <xf numFmtId="169" fontId="0" fillId="2" borderId="1" xfId="0" applyNumberFormat="1" applyFill="1" applyBorder="1" applyAlignment="1">
      <alignment horizontal="right"/>
    </xf>
    <xf numFmtId="173" fontId="0" fillId="2" borderId="0" xfId="0" applyNumberFormat="1" applyFill="1" applyAlignment="1">
      <alignment horizontal="right"/>
    </xf>
    <xf numFmtId="169" fontId="0" fillId="2" borderId="7" xfId="0" applyNumberFormat="1" applyFill="1" applyBorder="1" applyAlignment="1">
      <alignment horizontal="right"/>
    </xf>
    <xf numFmtId="14" fontId="0" fillId="4" borderId="15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1" fillId="11" borderId="0" xfId="0" applyFont="1" applyFill="1" applyAlignment="1">
      <alignment vertical="center"/>
    </xf>
    <xf numFmtId="0" fontId="0" fillId="11" borderId="0" xfId="0" applyFill="1" applyAlignment="1">
      <alignment horizontal="right" vertical="center"/>
    </xf>
    <xf numFmtId="0" fontId="21" fillId="11" borderId="0" xfId="0" applyFont="1" applyFill="1" applyAlignment="1">
      <alignment horizontal="center" vertical="center"/>
    </xf>
    <xf numFmtId="0" fontId="23" fillId="11" borderId="0" xfId="0" applyFont="1" applyFill="1" applyAlignment="1">
      <alignment horizontal="centerContinuous" vertical="center"/>
    </xf>
    <xf numFmtId="0" fontId="21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1" xfId="0" quotePrefix="1" applyFont="1" applyFill="1" applyBorder="1" applyAlignment="1">
      <alignment horizontal="center" vertical="center"/>
    </xf>
    <xf numFmtId="164" fontId="0" fillId="2" borderId="4" xfId="2" applyNumberFormat="1" applyFont="1" applyFill="1" applyBorder="1" applyAlignment="1">
      <alignment horizontal="center"/>
    </xf>
    <xf numFmtId="174" fontId="0" fillId="2" borderId="4" xfId="0" applyNumberFormat="1" applyFill="1" applyBorder="1" applyAlignment="1">
      <alignment horizontal="center"/>
    </xf>
    <xf numFmtId="0" fontId="21" fillId="12" borderId="6" xfId="0" applyFont="1" applyFill="1" applyBorder="1"/>
    <xf numFmtId="0" fontId="0" fillId="12" borderId="7" xfId="0" applyFill="1" applyBorder="1"/>
    <xf numFmtId="164" fontId="21" fillId="12" borderId="7" xfId="0" applyNumberFormat="1" applyFont="1" applyFill="1" applyBorder="1" applyAlignment="1">
      <alignment horizontal="center"/>
    </xf>
    <xf numFmtId="174" fontId="21" fillId="12" borderId="7" xfId="0" applyNumberFormat="1" applyFont="1" applyFill="1" applyBorder="1" applyAlignment="1">
      <alignment horizontal="center"/>
    </xf>
    <xf numFmtId="174" fontId="21" fillId="12" borderId="10" xfId="0" applyNumberFormat="1" applyFont="1" applyFill="1" applyBorder="1" applyAlignment="1">
      <alignment horizontal="center"/>
    </xf>
    <xf numFmtId="0" fontId="21" fillId="12" borderId="11" xfId="0" applyFont="1" applyFill="1" applyBorder="1"/>
    <xf numFmtId="0" fontId="0" fillId="12" borderId="1" xfId="0" applyFill="1" applyBorder="1"/>
    <xf numFmtId="164" fontId="21" fillId="12" borderId="1" xfId="0" applyNumberFormat="1" applyFont="1" applyFill="1" applyBorder="1" applyAlignment="1">
      <alignment horizontal="center"/>
    </xf>
    <xf numFmtId="174" fontId="21" fillId="12" borderId="1" xfId="0" applyNumberFormat="1" applyFont="1" applyFill="1" applyBorder="1" applyAlignment="1">
      <alignment horizontal="center"/>
    </xf>
    <xf numFmtId="174" fontId="21" fillId="12" borderId="12" xfId="0" applyNumberFormat="1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vertical="center"/>
    </xf>
    <xf numFmtId="174" fontId="26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6" fillId="2" borderId="0" xfId="0" applyFont="1" applyFill="1"/>
    <xf numFmtId="1" fontId="26" fillId="2" borderId="0" xfId="0" quotePrefix="1" applyNumberFormat="1" applyFont="1" applyFill="1" applyAlignment="1">
      <alignment horizontal="center" vertical="center"/>
    </xf>
    <xf numFmtId="0" fontId="27" fillId="2" borderId="0" xfId="0" quotePrefix="1" applyFont="1" applyFill="1" applyAlignment="1">
      <alignment horizontal="center" vertical="center"/>
    </xf>
    <xf numFmtId="0" fontId="28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quotePrefix="1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23" fillId="2" borderId="0" xfId="0" applyFont="1" applyFill="1" applyAlignment="1">
      <alignment horizontal="centerContinuous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/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25" fillId="2" borderId="0" xfId="0" applyNumberFormat="1" applyFont="1" applyFill="1" applyAlignment="1">
      <alignment vertical="center"/>
    </xf>
    <xf numFmtId="4" fontId="25" fillId="2" borderId="0" xfId="0" applyNumberFormat="1" applyFont="1" applyFill="1" applyAlignment="1">
      <alignment horizontal="right" vertical="center"/>
    </xf>
    <xf numFmtId="0" fontId="29" fillId="2" borderId="0" xfId="3" applyFill="1" applyAlignment="1">
      <alignment horizontal="right" vertical="center"/>
    </xf>
    <xf numFmtId="0" fontId="21" fillId="2" borderId="0" xfId="0" quotePrefix="1" applyFont="1" applyFill="1" applyAlignment="1">
      <alignment vertical="center"/>
    </xf>
    <xf numFmtId="4" fontId="25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right" vertical="center"/>
    </xf>
    <xf numFmtId="2" fontId="25" fillId="2" borderId="0" xfId="0" applyNumberFormat="1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43" fontId="20" fillId="2" borderId="0" xfId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4" fontId="31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left"/>
    </xf>
    <xf numFmtId="174" fontId="0" fillId="2" borderId="0" xfId="0" applyNumberFormat="1" applyFill="1" applyAlignment="1">
      <alignment horizontal="center"/>
    </xf>
    <xf numFmtId="0" fontId="21" fillId="2" borderId="0" xfId="0" applyFont="1" applyFill="1"/>
    <xf numFmtId="0" fontId="22" fillId="2" borderId="0" xfId="0" applyFont="1" applyFill="1"/>
    <xf numFmtId="0" fontId="0" fillId="2" borderId="1" xfId="0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3" xfId="0" applyFont="1" applyFill="1" applyBorder="1"/>
    <xf numFmtId="2" fontId="0" fillId="2" borderId="4" xfId="0" applyNumberFormat="1" applyFill="1" applyBorder="1"/>
    <xf numFmtId="1" fontId="0" fillId="2" borderId="4" xfId="0" applyNumberFormat="1" applyFill="1" applyBorder="1"/>
    <xf numFmtId="164" fontId="0" fillId="2" borderId="4" xfId="2" applyNumberFormat="1" applyFont="1" applyFill="1" applyBorder="1" applyAlignment="1"/>
    <xf numFmtId="1" fontId="0" fillId="2" borderId="0" xfId="0" applyNumberFormat="1" applyFill="1" applyAlignment="1">
      <alignment horizontal="center" vertical="center"/>
    </xf>
    <xf numFmtId="164" fontId="0" fillId="2" borderId="0" xfId="2" applyNumberFormat="1" applyFont="1" applyFill="1" applyBorder="1" applyAlignment="1">
      <alignment horizontal="center"/>
    </xf>
    <xf numFmtId="174" fontId="0" fillId="2" borderId="0" xfId="0" applyNumberFormat="1" applyFill="1" applyAlignment="1">
      <alignment horizontal="center" vertical="center"/>
    </xf>
    <xf numFmtId="4" fontId="24" fillId="2" borderId="0" xfId="0" applyNumberFormat="1" applyFont="1" applyFill="1" applyAlignment="1">
      <alignment horizontal="center" vertical="center"/>
    </xf>
    <xf numFmtId="3" fontId="24" fillId="2" borderId="0" xfId="0" applyNumberFormat="1" applyFont="1" applyFill="1" applyAlignment="1">
      <alignment horizontal="center" vertical="center"/>
    </xf>
    <xf numFmtId="3" fontId="0" fillId="2" borderId="0" xfId="0" quotePrefix="1" applyNumberFormat="1" applyFill="1" applyAlignment="1">
      <alignment horizontal="center" vertical="center"/>
    </xf>
    <xf numFmtId="175" fontId="0" fillId="2" borderId="0" xfId="0" quotePrefix="1" applyNumberFormat="1" applyFill="1" applyAlignment="1">
      <alignment vertical="center"/>
    </xf>
    <xf numFmtId="1" fontId="0" fillId="2" borderId="0" xfId="0" quotePrefix="1" applyNumberFormat="1" applyFill="1" applyAlignment="1">
      <alignment horizontal="center" vertical="center"/>
    </xf>
    <xf numFmtId="176" fontId="0" fillId="2" borderId="0" xfId="0" applyNumberFormat="1" applyFill="1"/>
    <xf numFmtId="10" fontId="0" fillId="4" borderId="2" xfId="2" applyNumberFormat="1" applyFont="1" applyFill="1" applyBorder="1"/>
    <xf numFmtId="2" fontId="7" fillId="2" borderId="0" xfId="0" applyNumberFormat="1" applyFont="1" applyFill="1"/>
    <xf numFmtId="0" fontId="14" fillId="4" borderId="2" xfId="0" applyFont="1" applyFill="1" applyBorder="1"/>
    <xf numFmtId="176" fontId="0" fillId="2" borderId="0" xfId="0" applyNumberFormat="1" applyFill="1" applyAlignment="1">
      <alignment wrapText="1"/>
    </xf>
    <xf numFmtId="176" fontId="3" fillId="2" borderId="0" xfId="0" applyNumberFormat="1" applyFont="1" applyFill="1" applyAlignment="1">
      <alignment wrapText="1"/>
    </xf>
    <xf numFmtId="169" fontId="0" fillId="2" borderId="0" xfId="1" applyNumberFormat="1" applyFont="1" applyFill="1" applyBorder="1" applyAlignment="1">
      <alignment horizontal="right"/>
    </xf>
    <xf numFmtId="176" fontId="0" fillId="4" borderId="2" xfId="0" applyNumberFormat="1" applyFill="1" applyBorder="1"/>
    <xf numFmtId="169" fontId="0" fillId="4" borderId="2" xfId="1" applyNumberFormat="1" applyFont="1" applyFill="1" applyBorder="1"/>
    <xf numFmtId="2" fontId="3" fillId="2" borderId="0" xfId="0" applyNumberFormat="1" applyFont="1" applyFill="1"/>
    <xf numFmtId="2" fontId="0" fillId="4" borderId="2" xfId="0" applyNumberFormat="1" applyFill="1" applyBorder="1" applyAlignment="1">
      <alignment horizontal="right"/>
    </xf>
    <xf numFmtId="177" fontId="0" fillId="2" borderId="0" xfId="0" applyNumberFormat="1" applyFill="1" applyAlignment="1">
      <alignment horizontal="right"/>
    </xf>
    <xf numFmtId="9" fontId="14" fillId="4" borderId="2" xfId="2" applyFont="1" applyFill="1" applyBorder="1" applyAlignment="1">
      <alignment horizontal="right"/>
    </xf>
    <xf numFmtId="173" fontId="7" fillId="2" borderId="0" xfId="0" applyNumberFormat="1" applyFont="1" applyFill="1" applyAlignment="1">
      <alignment horizontal="right"/>
    </xf>
    <xf numFmtId="2" fontId="0" fillId="2" borderId="0" xfId="0" applyNumberFormat="1" applyFill="1"/>
    <xf numFmtId="1" fontId="0" fillId="2" borderId="0" xfId="0" applyNumberFormat="1" applyFill="1"/>
    <xf numFmtId="0" fontId="2" fillId="2" borderId="0" xfId="0" applyFont="1" applyFill="1"/>
    <xf numFmtId="0" fontId="0" fillId="2" borderId="0" xfId="0" applyFill="1" applyAlignment="1">
      <alignment horizontal="centerContinuous"/>
    </xf>
    <xf numFmtId="1" fontId="32" fillId="2" borderId="0" xfId="0" applyNumberFormat="1" applyFont="1" applyFill="1"/>
    <xf numFmtId="10" fontId="0" fillId="2" borderId="0" xfId="2" applyNumberFormat="1" applyFont="1" applyFill="1" applyBorder="1"/>
    <xf numFmtId="2" fontId="32" fillId="2" borderId="0" xfId="0" applyNumberFormat="1" applyFont="1" applyFill="1"/>
    <xf numFmtId="9" fontId="0" fillId="2" borderId="0" xfId="2" applyFont="1" applyFill="1" applyBorder="1"/>
    <xf numFmtId="169" fontId="0" fillId="2" borderId="0" xfId="1" applyNumberFormat="1" applyFont="1" applyFill="1" applyBorder="1"/>
    <xf numFmtId="168" fontId="33" fillId="5" borderId="0" xfId="0" applyNumberFormat="1" applyFont="1" applyFill="1" applyAlignment="1">
      <alignment horizontal="right"/>
    </xf>
    <xf numFmtId="178" fontId="0" fillId="2" borderId="0" xfId="0" applyNumberFormat="1" applyFill="1" applyAlignment="1">
      <alignment horizontal="right"/>
    </xf>
    <xf numFmtId="169" fontId="33" fillId="5" borderId="0" xfId="0" applyNumberFormat="1" applyFont="1" applyFill="1" applyAlignment="1">
      <alignment horizontal="right"/>
    </xf>
    <xf numFmtId="168" fontId="1" fillId="2" borderId="0" xfId="1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9" fontId="33" fillId="5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9" fontId="2" fillId="2" borderId="0" xfId="1" applyNumberFormat="1" applyFont="1" applyFill="1" applyBorder="1" applyAlignment="1">
      <alignment horizontal="right"/>
    </xf>
    <xf numFmtId="169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169" fontId="4" fillId="2" borderId="0" xfId="0" applyNumberFormat="1" applyFont="1" applyFill="1" applyAlignment="1">
      <alignment horizontal="right"/>
    </xf>
    <xf numFmtId="169" fontId="4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/>
    </xf>
    <xf numFmtId="166" fontId="2" fillId="2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right"/>
    </xf>
    <xf numFmtId="168" fontId="4" fillId="2" borderId="0" xfId="0" applyNumberFormat="1" applyFont="1" applyFill="1" applyAlignment="1">
      <alignment horizontal="right"/>
    </xf>
    <xf numFmtId="165" fontId="4" fillId="2" borderId="0" xfId="2" applyNumberFormat="1" applyFont="1" applyFill="1" applyBorder="1"/>
    <xf numFmtId="9" fontId="4" fillId="2" borderId="0" xfId="2" applyFont="1" applyFill="1" applyBorder="1" applyAlignment="1">
      <alignment horizontal="right"/>
    </xf>
    <xf numFmtId="168" fontId="4" fillId="2" borderId="0" xfId="2" applyNumberFormat="1" applyFont="1" applyFill="1" applyBorder="1" applyAlignment="1">
      <alignment horizontal="right"/>
    </xf>
    <xf numFmtId="0" fontId="34" fillId="2" borderId="0" xfId="0" applyFont="1" applyFill="1"/>
    <xf numFmtId="164" fontId="4" fillId="2" borderId="0" xfId="2" applyNumberFormat="1" applyFont="1" applyFill="1" applyBorder="1" applyAlignment="1">
      <alignment horizontal="right"/>
    </xf>
    <xf numFmtId="0" fontId="35" fillId="2" borderId="0" xfId="0" applyFont="1" applyFill="1"/>
    <xf numFmtId="0" fontId="10" fillId="2" borderId="0" xfId="0" applyFont="1" applyFill="1"/>
    <xf numFmtId="43" fontId="24" fillId="2" borderId="0" xfId="1" quotePrefix="1" applyFont="1" applyFill="1" applyAlignment="1">
      <alignment horizontal="center" vertical="center"/>
    </xf>
    <xf numFmtId="9" fontId="3" fillId="2" borderId="0" xfId="2" applyFont="1" applyFill="1"/>
    <xf numFmtId="9" fontId="33" fillId="5" borderId="0" xfId="2" applyFont="1" applyFill="1" applyAlignment="1">
      <alignment horizontal="right"/>
    </xf>
    <xf numFmtId="0" fontId="36" fillId="2" borderId="0" xfId="0" applyFont="1" applyFill="1"/>
    <xf numFmtId="0" fontId="37" fillId="2" borderId="0" xfId="0" applyFont="1" applyFill="1"/>
    <xf numFmtId="0" fontId="14" fillId="2" borderId="0" xfId="0" applyFont="1" applyFill="1"/>
    <xf numFmtId="0" fontId="2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10" fontId="14" fillId="2" borderId="0" xfId="0" applyNumberFormat="1" applyFont="1" applyFill="1" applyAlignment="1">
      <alignment horizontal="center"/>
    </xf>
    <xf numFmtId="165" fontId="0" fillId="2" borderId="0" xfId="2" applyNumberFormat="1" applyFont="1" applyFill="1"/>
    <xf numFmtId="44" fontId="0" fillId="2" borderId="0" xfId="4" applyFont="1" applyFill="1"/>
    <xf numFmtId="44" fontId="3" fillId="2" borderId="0" xfId="4" applyFont="1" applyFill="1" applyAlignment="1">
      <alignment horizontal="right"/>
    </xf>
    <xf numFmtId="169" fontId="3" fillId="2" borderId="0" xfId="1" applyNumberFormat="1" applyFont="1" applyFill="1"/>
    <xf numFmtId="9" fontId="0" fillId="2" borderId="0" xfId="0" applyNumberFormat="1" applyFill="1"/>
    <xf numFmtId="0" fontId="38" fillId="0" borderId="0" xfId="0" applyFont="1"/>
    <xf numFmtId="0" fontId="0" fillId="0" borderId="0" xfId="0" applyAlignment="1">
      <alignment horizontal="right"/>
    </xf>
    <xf numFmtId="1" fontId="38" fillId="0" borderId="0" xfId="0" applyNumberFormat="1" applyFont="1" applyAlignment="1">
      <alignment horizontal="right"/>
    </xf>
    <xf numFmtId="9" fontId="0" fillId="0" borderId="0" xfId="2" applyFont="1" applyAlignment="1">
      <alignment horizontal="right"/>
    </xf>
    <xf numFmtId="9" fontId="38" fillId="0" borderId="0" xfId="2" applyFont="1" applyAlignment="1">
      <alignment horizontal="right"/>
    </xf>
    <xf numFmtId="0" fontId="38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9" fontId="3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9" fontId="38" fillId="2" borderId="0" xfId="0" applyNumberFormat="1" applyFont="1" applyFill="1" applyAlignment="1">
      <alignment horizontal="right"/>
    </xf>
    <xf numFmtId="164" fontId="33" fillId="5" borderId="0" xfId="2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9" fontId="3" fillId="5" borderId="0" xfId="0" applyNumberFormat="1" applyFont="1" applyFill="1" applyAlignment="1">
      <alignment horizontal="right"/>
    </xf>
    <xf numFmtId="1" fontId="38" fillId="0" borderId="0" xfId="0" applyNumberFormat="1" applyFont="1"/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114300</xdr:rowOff>
    </xdr:from>
    <xdr:to>
      <xdr:col>10</xdr:col>
      <xdr:colOff>213360</xdr:colOff>
      <xdr:row>44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6892889-B734-42EF-9B8B-8D52A7AA8FFC}"/>
            </a:ext>
          </a:extLst>
        </xdr:cNvPr>
        <xdr:cNvSpPr/>
      </xdr:nvSpPr>
      <xdr:spPr>
        <a:xfrm>
          <a:off x="91440" y="2491740"/>
          <a:ext cx="6217920" cy="557022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u="sng"/>
            <a:t>Company</a:t>
          </a:r>
          <a:r>
            <a:rPr lang="en-IN" sz="1100" b="1" u="sng" baseline="0"/>
            <a:t> Overview: </a:t>
          </a:r>
          <a:endParaRPr lang="en-IN" sz="1100" b="1" u="sng"/>
        </a:p>
        <a:p>
          <a:pPr algn="l"/>
          <a:r>
            <a:rPr lang="en-IN" sz="1100" b="0"/>
            <a:t>Company Name: </a:t>
          </a:r>
          <a:r>
            <a:rPr lang="en-IN" sz="1100" b="0" baseline="0"/>
            <a:t> Amazon.com Inc.</a:t>
          </a:r>
        </a:p>
        <a:p>
          <a:pPr algn="l"/>
          <a:r>
            <a:rPr lang="en-IN" sz="1100" baseline="0"/>
            <a:t>Ticker: AMZN</a:t>
          </a:r>
        </a:p>
        <a:p>
          <a:pPr algn="l"/>
          <a:r>
            <a:rPr lang="en-IN" sz="1100" baseline="0"/>
            <a:t>Exchange: NASDAQ</a:t>
          </a:r>
        </a:p>
        <a:p>
          <a:pPr algn="l"/>
          <a:r>
            <a:rPr lang="en-IN" sz="1100" baseline="0"/>
            <a:t>Founder: Jeff Bezos</a:t>
          </a:r>
        </a:p>
        <a:p>
          <a:pPr algn="l"/>
          <a:r>
            <a:rPr lang="en-IN" sz="1100" baseline="0"/>
            <a:t>Ceo: Andy Jassy</a:t>
          </a:r>
        </a:p>
        <a:p>
          <a:pPr algn="l"/>
          <a:r>
            <a:rPr lang="en-IN" sz="1100" baseline="0"/>
            <a:t>Sector: Consumer Discretionary</a:t>
          </a:r>
        </a:p>
        <a:p>
          <a:pPr algn="l"/>
          <a:r>
            <a:rPr lang="en-IN" sz="1100" baseline="0"/>
            <a:t>Segment: North America, International, AWS (e-commerce, third-part sellers, etc.)</a:t>
          </a:r>
        </a:p>
        <a:p>
          <a:pPr algn="l"/>
          <a:endParaRPr lang="en-IN" sz="1100"/>
        </a:p>
        <a:p>
          <a:pPr algn="l"/>
          <a:r>
            <a:rPr lang="en-IN" sz="1100" b="1" u="sng"/>
            <a:t>Valuation Summary:</a:t>
          </a:r>
          <a:r>
            <a:rPr lang="en-IN" sz="1100" u="sng"/>
            <a:t> </a:t>
          </a:r>
        </a:p>
        <a:p>
          <a:pPr algn="l"/>
          <a:r>
            <a:rPr lang="en-IN" sz="1100"/>
            <a:t>DCF Implied Share Price: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$219.04</a:t>
          </a:r>
          <a:endParaRPr lang="en-IN" sz="1100"/>
        </a:p>
        <a:p>
          <a:pPr algn="l"/>
          <a:r>
            <a:rPr lang="en-IN" sz="1100"/>
            <a:t>Current</a:t>
          </a:r>
          <a:r>
            <a:rPr lang="en-IN" sz="1100" baseline="0"/>
            <a:t> Market Price (CMP): $221.95</a:t>
          </a:r>
        </a:p>
        <a:p>
          <a:pPr algn="l"/>
          <a:r>
            <a:rPr lang="en-IN" sz="1100" baseline="0"/>
            <a:t>Upside / Downside (%):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(1.3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%)</a:t>
          </a:r>
          <a:r>
            <a:rPr lang="en-IN"/>
            <a:t> </a:t>
          </a:r>
          <a:endParaRPr lang="en-IN" sz="1100" baseline="0"/>
        </a:p>
        <a:p>
          <a:pPr algn="l"/>
          <a:r>
            <a:rPr lang="en-IN" sz="1100"/>
            <a:t>Recommendation:</a:t>
          </a:r>
          <a:r>
            <a:rPr lang="en-IN" sz="1100" baseline="0"/>
            <a:t> Buy/Hold (for long-term investors) and Sell (for short-term investors).</a:t>
          </a:r>
        </a:p>
        <a:p>
          <a:pPr algn="l"/>
          <a:endParaRPr lang="en-IN" sz="1100"/>
        </a:p>
        <a:p>
          <a:pPr algn="l"/>
          <a:r>
            <a:rPr lang="en-IN" sz="1100" b="1" u="sng"/>
            <a:t>Financial Highlights:</a:t>
          </a:r>
          <a:r>
            <a:rPr lang="en-IN" sz="1100" b="1" u="sng" baseline="0"/>
            <a:t> </a:t>
          </a:r>
        </a:p>
        <a:p>
          <a:pPr algn="l"/>
          <a:r>
            <a:rPr lang="en-IN" sz="1100" b="0" baseline="0"/>
            <a:t>Revenue (2024A):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637,959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EBIT (2024A):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68,593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0"/>
        </a:p>
        <a:p>
          <a:pPr algn="l"/>
          <a:r>
            <a:rPr lang="en-IN" sz="1100" b="0"/>
            <a:t>UFCF</a:t>
          </a:r>
          <a:r>
            <a:rPr lang="en-IN" sz="1100" b="0" baseline="0"/>
            <a:t> (2024A): $32,878</a:t>
          </a: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 (2025E):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707,900 </a:t>
          </a:r>
          <a:endParaRPr lang="en-IN" b="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EBIT (2025E):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80,495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UFCF (2025E):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$92,867</a:t>
          </a:r>
        </a:p>
        <a:p>
          <a:endParaRPr lang="en-IN" sz="1100" b="0"/>
        </a:p>
        <a:p>
          <a:pPr algn="l"/>
          <a:r>
            <a:rPr lang="en-IN" sz="1100" b="1" u="sng"/>
            <a:t>Key Assumtions:</a:t>
          </a:r>
        </a:p>
        <a:p>
          <a:pPr algn="l"/>
          <a:r>
            <a:rPr lang="en-IN" sz="1100" b="0"/>
            <a:t>Revenue</a:t>
          </a:r>
          <a:r>
            <a:rPr lang="en-IN" sz="1100" b="0" baseline="0"/>
            <a:t> Growth CAGR: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10.43%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(2025E - 2029E)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Terminal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Growth Rtae: 2.5%</a:t>
          </a:r>
        </a:p>
        <a:p>
          <a:pPr algn="l"/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WACC: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10.0%</a:t>
          </a:r>
          <a:r>
            <a:rPr lang="en-IN"/>
            <a:t> 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cast Horizon: (2025E - 2029E)</a:t>
          </a:r>
        </a:p>
        <a:p>
          <a:pPr algn="l"/>
          <a:endParaRPr lang="en-IN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Analyst Name: Siddhant Bhardwaj</a:t>
          </a:r>
        </a:p>
        <a:p>
          <a:pPr algn="l"/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of Valuation: 08/21/2025</a:t>
          </a:r>
        </a:p>
        <a:p>
          <a:pPr algn="l"/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Source: 10-K, 10-Q,  Tikr.com, Macrotrends, Chatgpt, etc.</a:t>
          </a:r>
        </a:p>
        <a:p>
          <a:pPr algn="l"/>
          <a:r>
            <a:rPr lang="en-IN"/>
            <a:t> </a:t>
          </a:r>
          <a:endParaRPr lang="en-IN" sz="1100" b="0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5</xdr:col>
      <xdr:colOff>421820</xdr:colOff>
      <xdr:row>12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31B209-F057-A211-2CAF-52E7205B8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3469820" cy="194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%20HUB\Trading%20Comps%20AMZN%20GIT.xlsx" TargetMode="External"/><Relationship Id="rId1" Type="http://schemas.openxmlformats.org/officeDocument/2006/relationships/externalLinkPath" Target="Trading%20Comps%20AMZN%20G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Trading Comps"/>
      <sheetName val="Database"/>
      <sheetName val="XLinkMeta"/>
    </sheetNames>
    <sheetDataSet>
      <sheetData sheetId="0"/>
      <sheetData sheetId="1"/>
      <sheetData sheetId="2">
        <row r="4"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</row>
        <row r="8">
          <cell r="B8" t="str">
            <v>NVDA</v>
          </cell>
          <cell r="C8" t="str">
            <v>NVIDIA Corporation</v>
          </cell>
          <cell r="D8">
            <v>173.5</v>
          </cell>
          <cell r="E8">
            <v>24611</v>
          </cell>
          <cell r="F8">
            <v>4189994</v>
          </cell>
          <cell r="G8">
            <v>4233400</v>
          </cell>
          <cell r="I8">
            <v>130497</v>
          </cell>
          <cell r="J8">
            <v>199809.65</v>
          </cell>
          <cell r="K8">
            <v>250795.05</v>
          </cell>
          <cell r="L8">
            <v>118236.88</v>
          </cell>
          <cell r="M8">
            <v>149501.66</v>
          </cell>
          <cell r="N8">
            <v>105175.35</v>
          </cell>
          <cell r="O8">
            <v>138863.49</v>
          </cell>
        </row>
        <row r="9">
          <cell r="B9" t="str">
            <v>QCOM</v>
          </cell>
          <cell r="C9" t="str">
            <v>Qualcomm Incorporated</v>
          </cell>
          <cell r="D9">
            <v>160.38</v>
          </cell>
          <cell r="E9">
            <v>1115</v>
          </cell>
          <cell r="F9">
            <v>172121.85</v>
          </cell>
          <cell r="G9">
            <v>171344.85</v>
          </cell>
          <cell r="I9">
            <v>38944</v>
          </cell>
          <cell r="J9">
            <v>43508.68</v>
          </cell>
          <cell r="K9">
            <v>44169.48</v>
          </cell>
          <cell r="L9">
            <v>16790.82</v>
          </cell>
          <cell r="M9">
            <v>16593.650000000001</v>
          </cell>
          <cell r="N9">
            <v>13091.58</v>
          </cell>
          <cell r="O9">
            <v>12995.31</v>
          </cell>
        </row>
        <row r="10">
          <cell r="B10" t="str">
            <v>AVGO</v>
          </cell>
          <cell r="C10" t="str">
            <v>Broadcom Inc.</v>
          </cell>
          <cell r="D10">
            <v>291.67</v>
          </cell>
          <cell r="E10">
            <v>4826</v>
          </cell>
          <cell r="F10">
            <v>1422663.21</v>
          </cell>
          <cell r="G10">
            <v>1364853.21</v>
          </cell>
          <cell r="I10">
            <v>51574</v>
          </cell>
          <cell r="J10">
            <v>62752.82</v>
          </cell>
          <cell r="K10">
            <v>75433.98</v>
          </cell>
          <cell r="L10">
            <v>41755.24</v>
          </cell>
          <cell r="M10">
            <v>50455.37</v>
          </cell>
          <cell r="N10">
            <v>32629.27</v>
          </cell>
          <cell r="O10">
            <v>40174.43</v>
          </cell>
        </row>
        <row r="11">
          <cell r="B11" t="str">
            <v>INTC</v>
          </cell>
          <cell r="C11" t="str">
            <v>Intel Corporation</v>
          </cell>
          <cell r="D11">
            <v>20.7</v>
          </cell>
          <cell r="E11">
            <v>4369</v>
          </cell>
          <cell r="F11">
            <v>127555.9</v>
          </cell>
          <cell r="G11">
            <v>90603.9</v>
          </cell>
          <cell r="I11">
            <v>53101</v>
          </cell>
          <cell r="J11">
            <v>50399.11</v>
          </cell>
          <cell r="K11">
            <v>53053.120000000003</v>
          </cell>
          <cell r="L11">
            <v>13092.22</v>
          </cell>
          <cell r="M11">
            <v>17249.32</v>
          </cell>
          <cell r="N11">
            <v>1361.24</v>
          </cell>
          <cell r="O11">
            <v>3601.38</v>
          </cell>
        </row>
        <row r="12">
          <cell r="B12" t="str">
            <v>AMD</v>
          </cell>
          <cell r="C12" t="str">
            <v>Advanced Micro Devices, Inc.</v>
          </cell>
          <cell r="D12">
            <v>166.47</v>
          </cell>
          <cell r="E12">
            <v>1626</v>
          </cell>
          <cell r="F12">
            <v>267336.15999999997</v>
          </cell>
          <cell r="G12">
            <v>269915.15999999997</v>
          </cell>
          <cell r="I12">
            <v>25785</v>
          </cell>
          <cell r="J12">
            <v>31747.81</v>
          </cell>
          <cell r="K12">
            <v>37438.129999999997</v>
          </cell>
          <cell r="L12">
            <v>6675.37</v>
          </cell>
          <cell r="M12">
            <v>9772.98</v>
          </cell>
          <cell r="N12">
            <v>6338.78</v>
          </cell>
          <cell r="O12">
            <v>9265.7999999999993</v>
          </cell>
        </row>
        <row r="13">
          <cell r="B13" t="str">
            <v>MRVL</v>
          </cell>
          <cell r="C13" t="str">
            <v>Marvell Technology</v>
          </cell>
          <cell r="D13">
            <v>74.209999999999994</v>
          </cell>
          <cell r="E13">
            <v>875</v>
          </cell>
          <cell r="F13">
            <v>67609.960000000006</v>
          </cell>
          <cell r="G13">
            <v>63983.86</v>
          </cell>
          <cell r="I13">
            <v>5767.3</v>
          </cell>
          <cell r="J13">
            <v>8248.64</v>
          </cell>
          <cell r="K13">
            <v>9782.81</v>
          </cell>
          <cell r="L13">
            <v>3247.4</v>
          </cell>
          <cell r="M13">
            <v>3949.05</v>
          </cell>
          <cell r="N13">
            <v>2442.37</v>
          </cell>
          <cell r="O13">
            <v>3097.35</v>
          </cell>
        </row>
        <row r="14">
          <cell r="B14" t="str">
            <v>ARM</v>
          </cell>
          <cell r="C14" t="str">
            <v>Arm Holdings</v>
          </cell>
          <cell r="D14">
            <v>163.16999999999999</v>
          </cell>
          <cell r="E14">
            <v>1065</v>
          </cell>
          <cell r="F14">
            <v>169922.35</v>
          </cell>
          <cell r="G14">
            <v>172391.35</v>
          </cell>
          <cell r="I14">
            <v>4007</v>
          </cell>
          <cell r="J14">
            <v>4777.62</v>
          </cell>
          <cell r="K14">
            <v>5814.68</v>
          </cell>
          <cell r="L14">
            <v>2319.52</v>
          </cell>
          <cell r="M14">
            <v>3113.42</v>
          </cell>
          <cell r="N14">
            <v>1909.28</v>
          </cell>
          <cell r="O14">
            <v>2549.67</v>
          </cell>
        </row>
        <row r="15">
          <cell r="B15" t="str">
            <v>TXN</v>
          </cell>
          <cell r="C15" t="str">
            <v>Texas Instruments Incorporated</v>
          </cell>
          <cell r="D15">
            <v>184.99</v>
          </cell>
          <cell r="E15">
            <v>912</v>
          </cell>
          <cell r="F15">
            <v>176042.25</v>
          </cell>
          <cell r="G15">
            <v>168058.25</v>
          </cell>
          <cell r="I15">
            <v>15641</v>
          </cell>
          <cell r="J15">
            <v>17255.27</v>
          </cell>
          <cell r="K15">
            <v>18960.689999999999</v>
          </cell>
          <cell r="L15">
            <v>7942.24</v>
          </cell>
          <cell r="M15">
            <v>9267.01</v>
          </cell>
          <cell r="N15">
            <v>5097</v>
          </cell>
          <cell r="O15">
            <v>5865.74</v>
          </cell>
        </row>
        <row r="16">
          <cell r="B16" t="str">
            <v>AAPL</v>
          </cell>
          <cell r="C16" t="str">
            <v>Apple Inc.</v>
          </cell>
          <cell r="D16">
            <v>213.88</v>
          </cell>
          <cell r="E16">
            <v>15056.13</v>
          </cell>
          <cell r="F16">
            <v>3159738.46</v>
          </cell>
          <cell r="G16">
            <v>3194474.46</v>
          </cell>
          <cell r="I16">
            <v>391035</v>
          </cell>
          <cell r="J16">
            <v>407341.31</v>
          </cell>
          <cell r="K16">
            <v>431340.79</v>
          </cell>
          <cell r="L16">
            <v>139515.15</v>
          </cell>
          <cell r="M16">
            <v>147838.18</v>
          </cell>
          <cell r="N16">
            <v>107818.29</v>
          </cell>
          <cell r="O16">
            <v>114634.61</v>
          </cell>
        </row>
        <row r="17">
          <cell r="B17" t="str">
            <v>MSFT</v>
          </cell>
          <cell r="C17" t="str">
            <v>Microsoft Corporation</v>
          </cell>
          <cell r="D17">
            <v>513.71</v>
          </cell>
          <cell r="E17">
            <v>7461</v>
          </cell>
          <cell r="F17">
            <v>3843573.11</v>
          </cell>
          <cell r="G17">
            <v>3818172.11</v>
          </cell>
          <cell r="I17">
            <v>245122</v>
          </cell>
          <cell r="J17">
            <v>279029.28000000003</v>
          </cell>
          <cell r="K17">
            <v>316492.86</v>
          </cell>
          <cell r="L17">
            <v>188797.7</v>
          </cell>
          <cell r="M17">
            <v>219439.72</v>
          </cell>
          <cell r="N17">
            <v>99973.45</v>
          </cell>
          <cell r="O17">
            <v>113022.48</v>
          </cell>
        </row>
        <row r="18">
          <cell r="B18" t="str">
            <v>GOOGL</v>
          </cell>
          <cell r="C18" t="str">
            <v>Alphabet Inc. Class A</v>
          </cell>
          <cell r="D18">
            <v>193.18</v>
          </cell>
          <cell r="E18">
            <v>12198</v>
          </cell>
          <cell r="F18">
            <v>2287725.92</v>
          </cell>
          <cell r="G18">
            <v>2341205.92</v>
          </cell>
          <cell r="I18">
            <v>350018</v>
          </cell>
          <cell r="J18">
            <v>387817.32</v>
          </cell>
          <cell r="K18">
            <v>428897.93</v>
          </cell>
          <cell r="L18">
            <v>172681.77</v>
          </cell>
          <cell r="M18">
            <v>195965.74</v>
          </cell>
          <cell r="N18">
            <v>116876.3</v>
          </cell>
          <cell r="O18">
            <v>122718.11</v>
          </cell>
        </row>
        <row r="19">
          <cell r="B19" t="str">
            <v>AMZN</v>
          </cell>
          <cell r="C19" t="str">
            <v>Amazon.com, Inc.</v>
          </cell>
          <cell r="D19">
            <v>231.44</v>
          </cell>
          <cell r="E19">
            <v>10793</v>
          </cell>
          <cell r="F19">
            <v>24520436.600000001</v>
          </cell>
          <cell r="G19">
            <v>2457048.6</v>
          </cell>
          <cell r="I19">
            <v>637959</v>
          </cell>
          <cell r="J19">
            <v>695217.39</v>
          </cell>
          <cell r="K19">
            <v>762821.81</v>
          </cell>
          <cell r="L19">
            <v>161644.92000000001</v>
          </cell>
          <cell r="M19">
            <v>191295.24</v>
          </cell>
          <cell r="N19">
            <v>67124.19</v>
          </cell>
          <cell r="O19">
            <v>79700.67</v>
          </cell>
        </row>
        <row r="20">
          <cell r="B20" t="str">
            <v>A005930</v>
          </cell>
          <cell r="C20" t="str">
            <v>Samsung Electronics CO., Ltd.</v>
          </cell>
          <cell r="D20">
            <v>37.89</v>
          </cell>
          <cell r="E20">
            <v>6778.6</v>
          </cell>
          <cell r="F20">
            <v>252514.89</v>
          </cell>
          <cell r="G20">
            <v>3012900.73</v>
          </cell>
          <cell r="I20">
            <v>206589</v>
          </cell>
          <cell r="J20">
            <v>237162</v>
          </cell>
          <cell r="K20">
            <v>250458</v>
          </cell>
          <cell r="L20">
            <v>57380</v>
          </cell>
          <cell r="M20">
            <v>65833</v>
          </cell>
          <cell r="N20">
            <v>22806</v>
          </cell>
          <cell r="O20">
            <v>28444</v>
          </cell>
        </row>
        <row r="21">
          <cell r="B21" t="str">
            <v>TSMC</v>
          </cell>
          <cell r="C21" t="str">
            <v>Taiwan Semiconductor Manufacturing</v>
          </cell>
          <cell r="D21">
            <v>245.6</v>
          </cell>
          <cell r="E21">
            <v>25929.4</v>
          </cell>
          <cell r="F21">
            <v>950397.38</v>
          </cell>
          <cell r="G21">
            <v>1006537.11</v>
          </cell>
          <cell r="I21">
            <v>87885</v>
          </cell>
          <cell r="J21">
            <v>126263</v>
          </cell>
          <cell r="K21">
            <v>146894</v>
          </cell>
          <cell r="L21">
            <v>85302</v>
          </cell>
          <cell r="M21">
            <v>98724</v>
          </cell>
          <cell r="N21">
            <v>52765</v>
          </cell>
          <cell r="O21">
            <v>60785</v>
          </cell>
        </row>
        <row r="22">
          <cell r="B22" t="str">
            <v>MU</v>
          </cell>
          <cell r="C22" t="str">
            <v>Micron Technology</v>
          </cell>
          <cell r="D22">
            <v>111.26</v>
          </cell>
          <cell r="E22">
            <v>1125</v>
          </cell>
          <cell r="F22">
            <v>128513.86</v>
          </cell>
          <cell r="G22">
            <v>124513.86</v>
          </cell>
          <cell r="I22">
            <v>25111</v>
          </cell>
          <cell r="J22">
            <v>36797.78</v>
          </cell>
          <cell r="K22">
            <v>47135.58</v>
          </cell>
          <cell r="L22">
            <v>17877.099999999999</v>
          </cell>
          <cell r="M22">
            <v>24833.21</v>
          </cell>
          <cell r="N22">
            <v>8862.82</v>
          </cell>
          <cell r="O22">
            <v>13632.91</v>
          </cell>
        </row>
        <row r="23">
          <cell r="B23" t="str">
            <v>A000660</v>
          </cell>
          <cell r="C23" t="str">
            <v>SK hynix Inc.</v>
          </cell>
          <cell r="D23">
            <v>191.62</v>
          </cell>
          <cell r="E23">
            <v>715.3</v>
          </cell>
          <cell r="F23">
            <v>136759.49</v>
          </cell>
          <cell r="G23">
            <v>133219.9</v>
          </cell>
          <cell r="I23">
            <v>46089</v>
          </cell>
          <cell r="J23">
            <v>63143</v>
          </cell>
          <cell r="K23">
            <v>73495</v>
          </cell>
          <cell r="L23">
            <v>38139</v>
          </cell>
          <cell r="M23">
            <v>43705</v>
          </cell>
          <cell r="N23">
            <v>22467</v>
          </cell>
          <cell r="O23">
            <v>24705</v>
          </cell>
        </row>
        <row r="24">
          <cell r="B24" t="str">
            <v>META</v>
          </cell>
          <cell r="C24" t="str">
            <v xml:space="preserve">META Platforms, Inc. </v>
          </cell>
          <cell r="D24">
            <v>754.79</v>
          </cell>
          <cell r="E24">
            <v>2570</v>
          </cell>
          <cell r="F24">
            <v>1898628.26</v>
          </cell>
          <cell r="G24">
            <v>1896139.26</v>
          </cell>
          <cell r="I24">
            <v>164501</v>
          </cell>
          <cell r="J24">
            <v>196001.85</v>
          </cell>
          <cell r="K24">
            <v>227655.15</v>
          </cell>
          <cell r="L24">
            <v>119791.72</v>
          </cell>
          <cell r="M24">
            <v>137842.76</v>
          </cell>
          <cell r="N24">
            <v>71334.179999999993</v>
          </cell>
          <cell r="O24">
            <v>76079.899999999994</v>
          </cell>
        </row>
        <row r="25">
          <cell r="B25" t="str">
            <v>WMT</v>
          </cell>
          <cell r="C25" t="str">
            <v>Walmart Inc.</v>
          </cell>
          <cell r="D25">
            <v>96.83</v>
          </cell>
          <cell r="E25">
            <v>8016</v>
          </cell>
          <cell r="F25">
            <v>835073.89</v>
          </cell>
          <cell r="G25">
            <v>772743.89</v>
          </cell>
          <cell r="I25">
            <v>674538</v>
          </cell>
          <cell r="J25">
            <v>704388.23</v>
          </cell>
          <cell r="K25">
            <v>739556.37</v>
          </cell>
          <cell r="L25">
            <v>44488.45</v>
          </cell>
          <cell r="M25">
            <v>48676.84</v>
          </cell>
          <cell r="N25">
            <v>21026.63</v>
          </cell>
          <cell r="O25">
            <v>23459.88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03FC23-8D74-4A22-89A1-39B480BAC0A6}">
  <we:reference id="wa200001365" version="2.5.0.0" store="en-US" storeType="OMEX"/>
  <we:alternateReferences>
    <we:reference id="wa200001365" version="2.5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_xldudf_ALPHAVANTAGE_INTRADAYEQUITYSERIESUPDATING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25DA-5B87-4FEB-860D-4EC18D3599C9}">
  <sheetPr codeName="Sheet2"/>
  <dimension ref="A1"/>
  <sheetViews>
    <sheetView tabSelected="1" workbookViewId="0">
      <selection activeCell="B23" sqref="B23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3593-FF00-4416-B474-3C4FBD088620}">
  <sheetPr codeName="Sheet10"/>
  <dimension ref="A2:Q42"/>
  <sheetViews>
    <sheetView workbookViewId="0">
      <selection activeCell="A2" sqref="A2"/>
    </sheetView>
  </sheetViews>
  <sheetFormatPr defaultRowHeight="14.4" x14ac:dyDescent="0.3"/>
  <cols>
    <col min="1" max="1" width="3.77734375" style="3" customWidth="1"/>
    <col min="2" max="2" width="39.21875" style="2" bestFit="1" customWidth="1"/>
    <col min="3" max="3" width="14.21875" style="2" customWidth="1"/>
    <col min="4" max="4" width="15.21875" style="2" customWidth="1"/>
    <col min="5" max="5" width="16.88671875" style="2" customWidth="1"/>
    <col min="6" max="16384" width="8.88671875" style="2"/>
  </cols>
  <sheetData>
    <row r="2" spans="1:17" ht="21" x14ac:dyDescent="0.4">
      <c r="A2" s="70"/>
      <c r="B2" s="60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1:17" x14ac:dyDescent="0.3">
      <c r="A4" s="3" t="s">
        <v>260</v>
      </c>
      <c r="B4" s="62" t="s">
        <v>94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7" ht="5.4" customHeight="1" x14ac:dyDescent="0.3"/>
    <row r="6" spans="1:17" x14ac:dyDescent="0.3">
      <c r="B6" s="2" t="s">
        <v>115</v>
      </c>
      <c r="E6" s="66">
        <v>229.5</v>
      </c>
    </row>
    <row r="7" spans="1:17" x14ac:dyDescent="0.3">
      <c r="B7" s="2" t="s">
        <v>95</v>
      </c>
      <c r="E7" s="65">
        <v>10664.912097</v>
      </c>
    </row>
    <row r="8" spans="1:17" x14ac:dyDescent="0.3">
      <c r="B8" s="2" t="s">
        <v>96</v>
      </c>
      <c r="E8" s="12">
        <f>E31</f>
        <v>0</v>
      </c>
    </row>
    <row r="9" spans="1:17" x14ac:dyDescent="0.3">
      <c r="B9" s="2" t="s">
        <v>97</v>
      </c>
      <c r="E9" s="12">
        <f>SUMPRODUCT(D20:D29,E20:E29)</f>
        <v>0</v>
      </c>
    </row>
    <row r="10" spans="1:17" x14ac:dyDescent="0.3">
      <c r="B10" s="2" t="s">
        <v>116</v>
      </c>
      <c r="E10" s="12">
        <f>E9/E6</f>
        <v>0</v>
      </c>
    </row>
    <row r="11" spans="1:17" x14ac:dyDescent="0.3">
      <c r="B11" s="2" t="s">
        <v>98</v>
      </c>
      <c r="E11" s="12">
        <f>E8-E10</f>
        <v>0</v>
      </c>
    </row>
    <row r="12" spans="1:17" x14ac:dyDescent="0.3">
      <c r="B12" s="2" t="s">
        <v>99</v>
      </c>
      <c r="E12" s="211">
        <f>291.7+E41</f>
        <v>291.7</v>
      </c>
    </row>
    <row r="13" spans="1:17" x14ac:dyDescent="0.3">
      <c r="E13" s="9"/>
    </row>
    <row r="14" spans="1:17" x14ac:dyDescent="0.3">
      <c r="E14" s="9"/>
    </row>
    <row r="15" spans="1:17" x14ac:dyDescent="0.3">
      <c r="B15" s="3" t="s">
        <v>100</v>
      </c>
      <c r="E15" s="67">
        <f>E7+E12+E11</f>
        <v>10956.612097000001</v>
      </c>
    </row>
    <row r="17" spans="1:5" x14ac:dyDescent="0.3">
      <c r="A17" s="3" t="s">
        <v>260</v>
      </c>
      <c r="B17" s="62" t="s">
        <v>101</v>
      </c>
      <c r="C17" s="61"/>
      <c r="D17" s="61"/>
      <c r="E17" s="61"/>
    </row>
    <row r="18" spans="1:5" ht="6" customHeight="1" x14ac:dyDescent="0.3"/>
    <row r="19" spans="1:5" x14ac:dyDescent="0.3">
      <c r="C19" s="56" t="s">
        <v>102</v>
      </c>
      <c r="D19" s="56" t="s">
        <v>103</v>
      </c>
      <c r="E19" s="56" t="s">
        <v>104</v>
      </c>
    </row>
    <row r="20" spans="1:5" x14ac:dyDescent="0.3">
      <c r="B20" s="63" t="s">
        <v>105</v>
      </c>
      <c r="C20" s="64"/>
      <c r="D20" s="64"/>
      <c r="E20" s="9">
        <f>IF(D20&lt;$E$6,C20)</f>
        <v>0</v>
      </c>
    </row>
    <row r="21" spans="1:5" x14ac:dyDescent="0.3">
      <c r="B21" s="63" t="s">
        <v>106</v>
      </c>
      <c r="C21" s="64"/>
      <c r="D21" s="64"/>
      <c r="E21" s="9">
        <f t="shared" ref="E21:E29" si="0">IF(D21&lt;$E$6,C21)</f>
        <v>0</v>
      </c>
    </row>
    <row r="22" spans="1:5" x14ac:dyDescent="0.3">
      <c r="B22" s="63" t="s">
        <v>107</v>
      </c>
      <c r="C22" s="64"/>
      <c r="D22" s="64"/>
      <c r="E22" s="9">
        <f t="shared" si="0"/>
        <v>0</v>
      </c>
    </row>
    <row r="23" spans="1:5" x14ac:dyDescent="0.3">
      <c r="B23" s="63" t="s">
        <v>108</v>
      </c>
      <c r="C23" s="64"/>
      <c r="D23" s="64"/>
      <c r="E23" s="9">
        <f t="shared" si="0"/>
        <v>0</v>
      </c>
    </row>
    <row r="24" spans="1:5" x14ac:dyDescent="0.3">
      <c r="B24" s="63" t="s">
        <v>109</v>
      </c>
      <c r="C24" s="64"/>
      <c r="D24" s="64"/>
      <c r="E24" s="9">
        <f t="shared" si="0"/>
        <v>0</v>
      </c>
    </row>
    <row r="25" spans="1:5" x14ac:dyDescent="0.3">
      <c r="B25" s="63" t="s">
        <v>110</v>
      </c>
      <c r="C25" s="64"/>
      <c r="D25" s="64"/>
      <c r="E25" s="9">
        <f t="shared" si="0"/>
        <v>0</v>
      </c>
    </row>
    <row r="26" spans="1:5" x14ac:dyDescent="0.3">
      <c r="B26" s="63" t="s">
        <v>111</v>
      </c>
      <c r="C26" s="64"/>
      <c r="D26" s="64"/>
      <c r="E26" s="9">
        <f t="shared" si="0"/>
        <v>0</v>
      </c>
    </row>
    <row r="27" spans="1:5" x14ac:dyDescent="0.3">
      <c r="B27" s="63" t="s">
        <v>112</v>
      </c>
      <c r="C27" s="64"/>
      <c r="D27" s="64"/>
      <c r="E27" s="9">
        <f t="shared" si="0"/>
        <v>0</v>
      </c>
    </row>
    <row r="28" spans="1:5" x14ac:dyDescent="0.3">
      <c r="B28" s="63" t="s">
        <v>113</v>
      </c>
      <c r="C28" s="64"/>
      <c r="D28" s="64"/>
      <c r="E28" s="9">
        <f t="shared" si="0"/>
        <v>0</v>
      </c>
    </row>
    <row r="29" spans="1:5" x14ac:dyDescent="0.3">
      <c r="B29" s="63" t="s">
        <v>114</v>
      </c>
      <c r="C29" s="64"/>
      <c r="D29" s="64"/>
      <c r="E29" s="9">
        <f t="shared" si="0"/>
        <v>0</v>
      </c>
    </row>
    <row r="30" spans="1:5" ht="6" customHeight="1" x14ac:dyDescent="0.3"/>
    <row r="31" spans="1:5" x14ac:dyDescent="0.3">
      <c r="A31" s="3" t="s">
        <v>260</v>
      </c>
      <c r="B31" s="68" t="s">
        <v>90</v>
      </c>
      <c r="C31" s="69"/>
      <c r="D31" s="69"/>
      <c r="E31" s="68">
        <f>SUM(E20:E29)</f>
        <v>0</v>
      </c>
    </row>
    <row r="34" spans="1:5" x14ac:dyDescent="0.3">
      <c r="A34" s="3" t="s">
        <v>260</v>
      </c>
      <c r="B34" s="62" t="s">
        <v>253</v>
      </c>
      <c r="C34" s="62"/>
      <c r="D34" s="62"/>
      <c r="E34" s="62"/>
    </row>
    <row r="35" spans="1:5" ht="4.8" customHeight="1" x14ac:dyDescent="0.3"/>
    <row r="36" spans="1:5" x14ac:dyDescent="0.3">
      <c r="B36" s="2" t="s">
        <v>254</v>
      </c>
      <c r="E36" s="209">
        <v>0</v>
      </c>
    </row>
    <row r="37" spans="1:5" x14ac:dyDescent="0.3">
      <c r="B37" s="2" t="s">
        <v>255</v>
      </c>
      <c r="E37" s="64">
        <v>0</v>
      </c>
    </row>
    <row r="38" spans="1:5" x14ac:dyDescent="0.3">
      <c r="B38" s="2" t="s">
        <v>256</v>
      </c>
      <c r="E38" s="2">
        <f>IFERROR(E36/E39,0)</f>
        <v>0</v>
      </c>
    </row>
    <row r="39" spans="1:5" x14ac:dyDescent="0.3">
      <c r="B39" s="2" t="s">
        <v>257</v>
      </c>
      <c r="E39" s="2">
        <f>E36*E37/1000</f>
        <v>0</v>
      </c>
    </row>
    <row r="41" spans="1:5" x14ac:dyDescent="0.3">
      <c r="B41" s="2" t="s">
        <v>258</v>
      </c>
      <c r="E41" s="210">
        <f>IF(E6&gt;E38,E39,0)</f>
        <v>0</v>
      </c>
    </row>
    <row r="42" spans="1:5" x14ac:dyDescent="0.3">
      <c r="B42" s="2" t="s">
        <v>259</v>
      </c>
      <c r="E42" s="58">
        <f>-E36</f>
        <v>0</v>
      </c>
    </row>
  </sheetData>
  <phoneticPr fontId="1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40E7-0073-4435-961D-B7133B812E13}">
  <sheetPr codeName="Sheet11">
    <tabColor rgb="FF002060"/>
  </sheetPr>
  <dimension ref="A1"/>
  <sheetViews>
    <sheetView showGridLines="0" topLeftCell="XFD1" workbookViewId="0">
      <selection activeCell="A19" sqref="A1:XFD1048576"/>
    </sheetView>
  </sheetViews>
  <sheetFormatPr defaultColWidth="0" defaultRowHeight="14.4" x14ac:dyDescent="0.3"/>
  <cols>
    <col min="1" max="16384" width="8.88671875" style="2" hidden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9826-DB2F-4421-9187-CBDE2D6D2F9D}">
  <sheetPr codeName="Sheet12"/>
  <dimension ref="A1:P37"/>
  <sheetViews>
    <sheetView workbookViewId="0">
      <selection activeCell="A11" sqref="A11"/>
    </sheetView>
  </sheetViews>
  <sheetFormatPr defaultRowHeight="14.4" x14ac:dyDescent="0.3"/>
  <cols>
    <col min="1" max="1" width="21" style="2" bestFit="1" customWidth="1"/>
    <col min="2" max="2" width="8.88671875" style="2"/>
    <col min="3" max="3" width="10" style="2" bestFit="1" customWidth="1"/>
    <col min="4" max="16384" width="8.88671875" style="2"/>
  </cols>
  <sheetData>
    <row r="1" spans="1:16" x14ac:dyDescent="0.3">
      <c r="A1" s="3" t="s">
        <v>40</v>
      </c>
    </row>
    <row r="2" spans="1:16" x14ac:dyDescent="0.3">
      <c r="A2" s="2" t="s">
        <v>38</v>
      </c>
    </row>
    <row r="3" spans="1:16" x14ac:dyDescent="0.3">
      <c r="B3" s="34">
        <v>15</v>
      </c>
      <c r="C3" s="34">
        <f>B3+1</f>
        <v>16</v>
      </c>
      <c r="D3" s="34">
        <f t="shared" ref="D3:K3" si="0">C3+1</f>
        <v>17</v>
      </c>
      <c r="E3" s="34">
        <f t="shared" si="0"/>
        <v>18</v>
      </c>
      <c r="F3" s="34">
        <f t="shared" si="0"/>
        <v>19</v>
      </c>
      <c r="G3" s="34">
        <f t="shared" si="0"/>
        <v>20</v>
      </c>
      <c r="H3" s="34">
        <f t="shared" si="0"/>
        <v>21</v>
      </c>
      <c r="I3" s="34">
        <f t="shared" si="0"/>
        <v>22</v>
      </c>
      <c r="J3" s="34">
        <f t="shared" si="0"/>
        <v>23</v>
      </c>
      <c r="K3" s="34">
        <f t="shared" si="0"/>
        <v>24</v>
      </c>
      <c r="L3" s="34"/>
      <c r="M3" s="34"/>
      <c r="N3" s="34"/>
      <c r="O3" s="34"/>
      <c r="P3" s="34"/>
    </row>
    <row r="5" spans="1:16" x14ac:dyDescent="0.3">
      <c r="A5" s="3" t="s">
        <v>39</v>
      </c>
    </row>
    <row r="6" spans="1:16" x14ac:dyDescent="0.3">
      <c r="A6" t="s">
        <v>41</v>
      </c>
      <c r="B6" s="2">
        <v>63708</v>
      </c>
      <c r="C6" s="35">
        <v>79785</v>
      </c>
      <c r="D6" s="35">
        <v>106110</v>
      </c>
      <c r="E6" s="35">
        <v>141366</v>
      </c>
      <c r="F6" s="35">
        <v>170773</v>
      </c>
      <c r="G6" s="35">
        <v>236282</v>
      </c>
      <c r="H6" s="35">
        <v>279833</v>
      </c>
      <c r="I6" s="35">
        <v>315880</v>
      </c>
      <c r="J6" s="35">
        <v>352828</v>
      </c>
      <c r="K6" s="35">
        <v>387497</v>
      </c>
    </row>
    <row r="7" spans="1:16" x14ac:dyDescent="0.3">
      <c r="A7" s="2" t="s">
        <v>42</v>
      </c>
      <c r="B7" s="2">
        <v>35418</v>
      </c>
      <c r="C7" s="35">
        <v>43983</v>
      </c>
      <c r="D7" s="35">
        <v>54297</v>
      </c>
      <c r="E7" s="35">
        <v>65866</v>
      </c>
      <c r="F7" s="35">
        <v>74723</v>
      </c>
      <c r="G7" s="35">
        <v>104412</v>
      </c>
      <c r="H7" s="35">
        <v>127787</v>
      </c>
      <c r="I7" s="35">
        <v>118007</v>
      </c>
      <c r="J7" s="35">
        <v>131200</v>
      </c>
      <c r="K7" s="35">
        <v>142906</v>
      </c>
    </row>
    <row r="8" spans="1:16" x14ac:dyDescent="0.3">
      <c r="A8" s="2" t="s">
        <v>43</v>
      </c>
      <c r="B8" s="2">
        <v>7880</v>
      </c>
      <c r="C8" s="35">
        <v>12219</v>
      </c>
      <c r="D8" s="35">
        <v>17459</v>
      </c>
      <c r="E8" s="35">
        <v>25655</v>
      </c>
      <c r="F8" s="35">
        <v>35026</v>
      </c>
      <c r="G8" s="35">
        <v>45370</v>
      </c>
      <c r="H8" s="35">
        <v>62202</v>
      </c>
      <c r="I8" s="35">
        <v>80096</v>
      </c>
      <c r="J8" s="35">
        <v>90757</v>
      </c>
      <c r="K8" s="35">
        <v>107556</v>
      </c>
    </row>
    <row r="10" spans="1:16" x14ac:dyDescent="0.3">
      <c r="A10" s="3" t="s">
        <v>44</v>
      </c>
    </row>
    <row r="11" spans="1:16" x14ac:dyDescent="0.3">
      <c r="A11" t="s">
        <v>41</v>
      </c>
      <c r="B11" s="2">
        <v>1425</v>
      </c>
      <c r="C11" s="35">
        <v>2361</v>
      </c>
      <c r="D11" s="35">
        <v>2837</v>
      </c>
      <c r="E11" s="35">
        <v>7267</v>
      </c>
      <c r="F11" s="35">
        <v>7033</v>
      </c>
      <c r="G11" s="35">
        <v>8651</v>
      </c>
      <c r="H11" s="35">
        <v>7271</v>
      </c>
      <c r="I11" s="2">
        <v>-2847</v>
      </c>
      <c r="J11" s="2">
        <v>14877</v>
      </c>
      <c r="K11" s="2">
        <v>24967</v>
      </c>
    </row>
    <row r="12" spans="1:16" x14ac:dyDescent="0.3">
      <c r="A12" s="2" t="s">
        <v>42</v>
      </c>
      <c r="B12" s="2">
        <v>-699</v>
      </c>
      <c r="C12" s="35">
        <v>-1283</v>
      </c>
      <c r="D12" s="35">
        <v>-3062</v>
      </c>
      <c r="E12" s="35">
        <v>-2142</v>
      </c>
      <c r="F12" s="35">
        <v>-1693</v>
      </c>
      <c r="G12" s="2">
        <v>717</v>
      </c>
      <c r="H12" s="2">
        <v>-924</v>
      </c>
      <c r="I12" s="2">
        <v>-7746</v>
      </c>
      <c r="J12" s="2">
        <v>-2656</v>
      </c>
      <c r="K12" s="2">
        <v>3792</v>
      </c>
    </row>
    <row r="13" spans="1:16" x14ac:dyDescent="0.3">
      <c r="A13" s="2" t="s">
        <v>43</v>
      </c>
      <c r="B13" s="2">
        <v>1507</v>
      </c>
      <c r="C13" s="35">
        <v>3108</v>
      </c>
      <c r="D13" s="35">
        <v>4331</v>
      </c>
      <c r="E13" s="35">
        <v>7296</v>
      </c>
      <c r="F13" s="35">
        <v>9201</v>
      </c>
      <c r="G13" s="35">
        <v>13531</v>
      </c>
      <c r="H13" s="35">
        <v>18532</v>
      </c>
      <c r="I13" s="2">
        <v>22841</v>
      </c>
      <c r="J13" s="2">
        <v>24631</v>
      </c>
      <c r="K13" s="2">
        <v>39834</v>
      </c>
    </row>
    <row r="15" spans="1:16" x14ac:dyDescent="0.3">
      <c r="A15" s="3" t="s">
        <v>45</v>
      </c>
    </row>
    <row r="16" spans="1:16" x14ac:dyDescent="0.3">
      <c r="A16" t="s">
        <v>41</v>
      </c>
      <c r="B16" s="2">
        <v>2485</v>
      </c>
      <c r="C16" s="35">
        <v>5132</v>
      </c>
      <c r="D16" s="35">
        <v>13200</v>
      </c>
      <c r="E16" s="35">
        <v>10749</v>
      </c>
      <c r="F16" s="35">
        <v>11752</v>
      </c>
      <c r="G16" s="35">
        <v>29889</v>
      </c>
      <c r="H16" s="35">
        <v>37397</v>
      </c>
      <c r="I16" s="35">
        <v>23682</v>
      </c>
      <c r="J16" s="35">
        <v>17529</v>
      </c>
      <c r="K16" s="35">
        <v>24348</v>
      </c>
    </row>
    <row r="17" spans="1:13" x14ac:dyDescent="0.3">
      <c r="A17" s="2" t="s">
        <v>42</v>
      </c>
      <c r="B17" s="2">
        <v>658</v>
      </c>
      <c r="C17" s="35">
        <v>1680</v>
      </c>
      <c r="D17" s="35">
        <v>5196</v>
      </c>
      <c r="E17" s="35">
        <v>2476</v>
      </c>
      <c r="F17" s="35">
        <v>3298</v>
      </c>
      <c r="G17" s="35">
        <v>8072</v>
      </c>
      <c r="H17" s="35">
        <v>10259</v>
      </c>
      <c r="I17" s="35">
        <v>6711</v>
      </c>
      <c r="J17" s="35">
        <v>4144</v>
      </c>
      <c r="K17" s="35">
        <v>6643</v>
      </c>
    </row>
    <row r="18" spans="1:13" x14ac:dyDescent="0.3">
      <c r="A18" s="2" t="s">
        <v>43</v>
      </c>
      <c r="B18" s="2">
        <v>4681</v>
      </c>
      <c r="C18" s="35">
        <v>5193</v>
      </c>
      <c r="D18" s="35">
        <v>9190</v>
      </c>
      <c r="E18" s="35">
        <v>9783</v>
      </c>
      <c r="F18" s="35">
        <v>13058</v>
      </c>
      <c r="G18" s="35">
        <v>16530</v>
      </c>
      <c r="H18" s="35">
        <v>22047</v>
      </c>
      <c r="I18" s="35">
        <v>27755</v>
      </c>
      <c r="J18" s="35">
        <v>24843</v>
      </c>
      <c r="K18" s="35">
        <v>53267</v>
      </c>
    </row>
    <row r="20" spans="1:13" x14ac:dyDescent="0.3">
      <c r="A20" s="3" t="s">
        <v>12</v>
      </c>
    </row>
    <row r="21" spans="1:13" x14ac:dyDescent="0.3">
      <c r="A21" t="s">
        <v>41</v>
      </c>
      <c r="B21" s="2">
        <v>1551</v>
      </c>
      <c r="C21" s="35">
        <v>1971</v>
      </c>
      <c r="D21" s="35">
        <v>3029</v>
      </c>
      <c r="E21" s="35">
        <v>4415</v>
      </c>
      <c r="F21" s="35">
        <v>5106</v>
      </c>
      <c r="G21" s="35">
        <v>6421</v>
      </c>
      <c r="H21" s="35">
        <v>9234</v>
      </c>
      <c r="I21" s="35">
        <v>11565</v>
      </c>
      <c r="J21" s="35">
        <v>13678</v>
      </c>
      <c r="K21" s="35">
        <v>14285</v>
      </c>
    </row>
    <row r="22" spans="1:13" x14ac:dyDescent="0.3">
      <c r="A22" s="2" t="s">
        <v>42</v>
      </c>
      <c r="B22" s="2">
        <v>822</v>
      </c>
      <c r="C22" s="2">
        <v>930</v>
      </c>
      <c r="D22" s="35">
        <v>1278</v>
      </c>
      <c r="E22" s="35">
        <v>1628</v>
      </c>
      <c r="F22" s="35">
        <v>1886</v>
      </c>
      <c r="G22" s="35">
        <v>6421</v>
      </c>
      <c r="H22" s="35">
        <v>3022</v>
      </c>
      <c r="I22" s="35">
        <v>3483</v>
      </c>
      <c r="J22" s="35">
        <v>4016</v>
      </c>
      <c r="K22" s="35">
        <v>4462</v>
      </c>
    </row>
    <row r="23" spans="1:13" x14ac:dyDescent="0.3">
      <c r="A23" s="2" t="s">
        <v>43</v>
      </c>
      <c r="B23" s="2">
        <v>2576</v>
      </c>
      <c r="C23" s="35">
        <v>3461</v>
      </c>
      <c r="D23" s="35">
        <v>4524</v>
      </c>
      <c r="E23" s="35">
        <v>6095</v>
      </c>
      <c r="F23" s="35">
        <v>8158</v>
      </c>
      <c r="G23" s="35">
        <v>7603</v>
      </c>
      <c r="H23" s="35">
        <v>10653</v>
      </c>
      <c r="I23" s="35">
        <v>9876</v>
      </c>
      <c r="J23" s="35">
        <v>12531</v>
      </c>
      <c r="K23" s="35">
        <v>13320</v>
      </c>
    </row>
    <row r="26" spans="1:13" x14ac:dyDescent="0.3">
      <c r="E26" s="35"/>
    </row>
    <row r="27" spans="1:13" x14ac:dyDescent="0.3">
      <c r="K27" s="35"/>
      <c r="M27" s="35"/>
    </row>
    <row r="28" spans="1:13" x14ac:dyDescent="0.3">
      <c r="K28" s="35"/>
      <c r="L28" s="35"/>
      <c r="M28" s="35"/>
    </row>
    <row r="29" spans="1:13" x14ac:dyDescent="0.3">
      <c r="H29" s="35"/>
      <c r="I29" s="35"/>
      <c r="J29" s="35"/>
      <c r="K29" s="35"/>
      <c r="L29" s="35"/>
      <c r="M29" s="35"/>
    </row>
    <row r="30" spans="1:13" x14ac:dyDescent="0.3">
      <c r="E30" s="35"/>
    </row>
    <row r="33" spans="8:12" x14ac:dyDescent="0.3">
      <c r="H33" s="35"/>
      <c r="I33" s="35"/>
      <c r="J33" s="35"/>
    </row>
    <row r="35" spans="8:12" x14ac:dyDescent="0.3">
      <c r="K35" s="35"/>
      <c r="L35" s="35"/>
    </row>
    <row r="36" spans="8:12" x14ac:dyDescent="0.3">
      <c r="K36" s="35"/>
      <c r="L36" s="35"/>
    </row>
    <row r="37" spans="8:12" x14ac:dyDescent="0.3">
      <c r="H37" s="35"/>
      <c r="I37" s="35"/>
      <c r="J37" s="35"/>
      <c r="L37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1485-A0B0-4FEF-96A6-9AEADB446B0B}">
  <sheetPr codeName="Sheet13"/>
  <dimension ref="A1:M30"/>
  <sheetViews>
    <sheetView workbookViewId="0">
      <selection activeCell="C4" sqref="C4"/>
    </sheetView>
  </sheetViews>
  <sheetFormatPr defaultRowHeight="14.4" x14ac:dyDescent="0.3"/>
  <cols>
    <col min="1" max="1" width="42.6640625" style="2" bestFit="1" customWidth="1"/>
    <col min="2" max="16384" width="8.88671875" style="2"/>
  </cols>
  <sheetData>
    <row r="1" spans="1:13" x14ac:dyDescent="0.3">
      <c r="A1" s="3" t="s">
        <v>70</v>
      </c>
    </row>
    <row r="2" spans="1:13" x14ac:dyDescent="0.3">
      <c r="A2" s="70" t="s">
        <v>117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29"/>
      <c r="B3" s="29"/>
      <c r="C3" s="29">
        <f t="shared" ref="C3:K3" si="0">D3-1</f>
        <v>2015</v>
      </c>
      <c r="D3" s="29">
        <f t="shared" si="0"/>
        <v>2016</v>
      </c>
      <c r="E3" s="29">
        <f t="shared" si="0"/>
        <v>2017</v>
      </c>
      <c r="F3" s="29">
        <f t="shared" si="0"/>
        <v>2018</v>
      </c>
      <c r="G3" s="29">
        <f t="shared" si="0"/>
        <v>2019</v>
      </c>
      <c r="H3" s="29">
        <f t="shared" si="0"/>
        <v>2020</v>
      </c>
      <c r="I3" s="29">
        <f t="shared" si="0"/>
        <v>2021</v>
      </c>
      <c r="J3" s="29">
        <f t="shared" si="0"/>
        <v>2022</v>
      </c>
      <c r="K3" s="29">
        <f t="shared" si="0"/>
        <v>2023</v>
      </c>
      <c r="L3" s="29">
        <v>2024</v>
      </c>
      <c r="M3" s="29"/>
    </row>
    <row r="4" spans="1:13" x14ac:dyDescent="0.3">
      <c r="A4" s="2" t="s">
        <v>118</v>
      </c>
      <c r="C4" s="2">
        <v>596</v>
      </c>
      <c r="D4" s="2">
        <v>2371</v>
      </c>
      <c r="E4" s="2">
        <v>3033</v>
      </c>
      <c r="F4" s="2">
        <v>10073</v>
      </c>
      <c r="G4" s="2">
        <v>11588</v>
      </c>
      <c r="H4" s="2">
        <v>21331</v>
      </c>
      <c r="I4" s="2">
        <v>33364</v>
      </c>
      <c r="J4" s="2">
        <v>-2722</v>
      </c>
      <c r="K4" s="2">
        <v>30425</v>
      </c>
      <c r="L4" s="2">
        <v>59248</v>
      </c>
    </row>
    <row r="5" spans="1:13" x14ac:dyDescent="0.3">
      <c r="A5" s="2" t="s">
        <v>119</v>
      </c>
      <c r="C5" s="2">
        <v>6281</v>
      </c>
      <c r="D5" s="2">
        <v>8116</v>
      </c>
      <c r="E5" s="2">
        <v>11478</v>
      </c>
      <c r="F5" s="2">
        <v>15341</v>
      </c>
      <c r="G5" s="2">
        <v>21789</v>
      </c>
      <c r="H5" s="2">
        <v>25180</v>
      </c>
      <c r="I5" s="2">
        <v>34433</v>
      </c>
      <c r="J5" s="2">
        <v>41921</v>
      </c>
      <c r="K5" s="2">
        <v>48663</v>
      </c>
      <c r="L5" s="2">
        <v>52795</v>
      </c>
    </row>
    <row r="6" spans="1:13" x14ac:dyDescent="0.3">
      <c r="A6" s="2" t="s">
        <v>120</v>
      </c>
      <c r="C6" s="2">
        <v>2450</v>
      </c>
      <c r="D6" s="2">
        <v>2709</v>
      </c>
      <c r="E6" s="2">
        <v>3894</v>
      </c>
      <c r="F6" s="2">
        <v>6078</v>
      </c>
      <c r="G6" s="2">
        <v>7575</v>
      </c>
      <c r="H6" s="2">
        <v>6072</v>
      </c>
      <c r="I6" s="2">
        <v>-1859</v>
      </c>
      <c r="J6" s="2">
        <v>28439</v>
      </c>
      <c r="K6" s="2">
        <v>17399</v>
      </c>
      <c r="L6" s="2">
        <v>19375</v>
      </c>
    </row>
    <row r="7" spans="1:13" x14ac:dyDescent="0.3">
      <c r="A7" s="2" t="s">
        <v>121</v>
      </c>
      <c r="C7" s="2">
        <v>8731</v>
      </c>
      <c r="D7" s="2">
        <v>10825</v>
      </c>
      <c r="E7" s="2">
        <v>15372</v>
      </c>
      <c r="F7" s="2">
        <v>21419</v>
      </c>
      <c r="G7" s="2">
        <v>29364</v>
      </c>
      <c r="H7" s="2">
        <v>31252</v>
      </c>
      <c r="I7" s="2">
        <v>32574</v>
      </c>
      <c r="J7" s="2">
        <v>70360</v>
      </c>
      <c r="K7" s="2">
        <v>66062</v>
      </c>
      <c r="L7" s="2">
        <v>72170</v>
      </c>
    </row>
    <row r="8" spans="1:13" x14ac:dyDescent="0.3">
      <c r="A8" s="2" t="s">
        <v>122</v>
      </c>
      <c r="C8" s="2">
        <v>-1755</v>
      </c>
      <c r="D8" s="2">
        <v>-3436</v>
      </c>
      <c r="E8" s="2">
        <v>-4780</v>
      </c>
      <c r="F8" s="2">
        <v>-4615</v>
      </c>
      <c r="G8" s="2">
        <v>-7681</v>
      </c>
      <c r="H8" s="2">
        <v>-8169</v>
      </c>
      <c r="I8" s="2">
        <v>-9145</v>
      </c>
      <c r="J8" s="2">
        <v>-8622</v>
      </c>
      <c r="K8" s="2">
        <v>-8348</v>
      </c>
      <c r="L8" s="2">
        <v>-3249</v>
      </c>
    </row>
    <row r="9" spans="1:13" x14ac:dyDescent="0.3">
      <c r="A9" s="2" t="s">
        <v>123</v>
      </c>
      <c r="C9" s="2">
        <v>-2187</v>
      </c>
      <c r="D9" s="2">
        <v>-1426</v>
      </c>
      <c r="E9" s="2">
        <v>-3583</v>
      </c>
      <c r="F9" s="2">
        <v>-1314</v>
      </c>
      <c r="G9" s="2">
        <v>-3278</v>
      </c>
      <c r="H9" s="2">
        <v>-2849</v>
      </c>
      <c r="I9" s="2">
        <v>-9487</v>
      </c>
      <c r="J9" s="2">
        <v>-2592</v>
      </c>
      <c r="K9" s="2">
        <v>1449</v>
      </c>
      <c r="L9" s="2">
        <v>-1884</v>
      </c>
    </row>
    <row r="10" spans="1:13" x14ac:dyDescent="0.3">
      <c r="A10" s="2" t="s">
        <v>124</v>
      </c>
      <c r="C10" s="2">
        <v>4294</v>
      </c>
      <c r="D10" s="2">
        <v>5030</v>
      </c>
      <c r="E10" s="2">
        <v>7100</v>
      </c>
      <c r="F10" s="2">
        <v>3263</v>
      </c>
      <c r="G10" s="2">
        <v>8193</v>
      </c>
      <c r="H10" s="2">
        <v>17480</v>
      </c>
      <c r="I10" s="2">
        <v>3602</v>
      </c>
      <c r="J10" s="2">
        <v>2945</v>
      </c>
      <c r="K10" s="2">
        <v>5473</v>
      </c>
      <c r="L10" s="2">
        <v>2972</v>
      </c>
    </row>
    <row r="11" spans="1:13" x14ac:dyDescent="0.3">
      <c r="A11" s="2" t="s">
        <v>125</v>
      </c>
      <c r="C11" s="2">
        <v>1292</v>
      </c>
      <c r="D11" s="2">
        <v>1955</v>
      </c>
      <c r="E11" s="2">
        <v>738</v>
      </c>
      <c r="F11" s="2">
        <v>1151</v>
      </c>
      <c r="G11" s="2">
        <v>1711</v>
      </c>
      <c r="H11" s="2">
        <v>1265</v>
      </c>
      <c r="I11" s="2">
        <v>-6704</v>
      </c>
      <c r="J11" s="2">
        <v>-11059</v>
      </c>
      <c r="K11" s="2">
        <v>-7687</v>
      </c>
      <c r="L11" s="2">
        <v>-10476</v>
      </c>
    </row>
    <row r="12" spans="1:13" x14ac:dyDescent="0.3">
      <c r="A12" s="2" t="s">
        <v>126</v>
      </c>
      <c r="C12" s="2">
        <v>2557</v>
      </c>
      <c r="D12" s="2">
        <v>3847</v>
      </c>
      <c r="E12" s="2">
        <v>-242</v>
      </c>
      <c r="F12" s="2">
        <v>-1043</v>
      </c>
      <c r="G12" s="2">
        <v>-2438</v>
      </c>
      <c r="H12" s="2">
        <v>13481</v>
      </c>
      <c r="I12" s="2">
        <v>-19611</v>
      </c>
      <c r="J12" s="2">
        <v>-20886</v>
      </c>
      <c r="K12" s="2">
        <v>-11541</v>
      </c>
      <c r="L12" s="2">
        <v>-15541</v>
      </c>
    </row>
    <row r="13" spans="1:13" x14ac:dyDescent="0.3">
      <c r="A13" s="3" t="s">
        <v>127</v>
      </c>
      <c r="C13" s="2">
        <v>12039</v>
      </c>
      <c r="D13" s="2">
        <v>17203</v>
      </c>
      <c r="E13" s="2">
        <v>18365</v>
      </c>
      <c r="F13" s="2">
        <v>30723</v>
      </c>
      <c r="G13" s="2">
        <v>38514</v>
      </c>
      <c r="H13" s="2">
        <v>66064</v>
      </c>
      <c r="I13" s="2">
        <v>46327</v>
      </c>
      <c r="J13" s="2">
        <v>46752</v>
      </c>
      <c r="K13" s="2">
        <v>84946</v>
      </c>
      <c r="L13" s="2">
        <v>115877</v>
      </c>
    </row>
    <row r="14" spans="1:13" x14ac:dyDescent="0.3">
      <c r="A14" s="2" t="s">
        <v>146</v>
      </c>
      <c r="C14" s="2">
        <v>-4589</v>
      </c>
      <c r="D14" s="2">
        <v>-6737</v>
      </c>
      <c r="E14" s="2">
        <v>-11955</v>
      </c>
      <c r="F14" s="2">
        <v>-13427</v>
      </c>
      <c r="G14" s="2">
        <v>-16861</v>
      </c>
      <c r="H14" s="2">
        <v>-40140</v>
      </c>
      <c r="I14" s="2">
        <v>-61053</v>
      </c>
      <c r="J14" s="2">
        <v>-63645</v>
      </c>
      <c r="K14" s="2">
        <v>-52729</v>
      </c>
      <c r="L14" s="2">
        <v>-82999</v>
      </c>
    </row>
    <row r="15" spans="1:13" x14ac:dyDescent="0.3">
      <c r="A15" s="2" t="s">
        <v>128</v>
      </c>
    </row>
    <row r="16" spans="1:13" x14ac:dyDescent="0.3">
      <c r="A16" s="2" t="s">
        <v>129</v>
      </c>
      <c r="C16" s="2">
        <v>-795</v>
      </c>
      <c r="D16" s="2">
        <v>-116</v>
      </c>
      <c r="E16" s="2">
        <v>-13972</v>
      </c>
      <c r="F16" s="2">
        <v>-2186</v>
      </c>
      <c r="G16" s="2">
        <v>-2461</v>
      </c>
      <c r="H16" s="2">
        <v>-2325</v>
      </c>
      <c r="I16" s="2">
        <v>-1985</v>
      </c>
      <c r="J16" s="2">
        <v>-8316</v>
      </c>
      <c r="K16" s="2">
        <v>-5839</v>
      </c>
      <c r="L16" s="2">
        <v>-7082</v>
      </c>
    </row>
    <row r="17" spans="1:12" x14ac:dyDescent="0.3">
      <c r="A17" s="2" t="s">
        <v>130</v>
      </c>
    </row>
    <row r="18" spans="1:12" x14ac:dyDescent="0.3">
      <c r="A18" s="2" t="s">
        <v>131</v>
      </c>
      <c r="C18" s="2">
        <v>-1066</v>
      </c>
      <c r="D18" s="2">
        <v>-2663</v>
      </c>
      <c r="E18" s="2">
        <v>-3054</v>
      </c>
      <c r="F18" s="2">
        <v>1140</v>
      </c>
      <c r="G18" s="2">
        <v>-9131</v>
      </c>
      <c r="H18" s="2">
        <v>-22242</v>
      </c>
      <c r="I18" s="2">
        <v>-773</v>
      </c>
      <c r="J18" s="2">
        <v>29036</v>
      </c>
      <c r="K18" s="2">
        <v>4139</v>
      </c>
      <c r="L18" s="2">
        <v>-9602</v>
      </c>
    </row>
    <row r="19" spans="1:12" x14ac:dyDescent="0.3">
      <c r="A19" s="2" t="s">
        <v>132</v>
      </c>
      <c r="C19" s="2">
        <v>-1066</v>
      </c>
      <c r="D19" s="2">
        <v>-2663</v>
      </c>
      <c r="E19" s="2">
        <v>-3054</v>
      </c>
      <c r="F19" s="2">
        <v>1140</v>
      </c>
      <c r="G19" s="2">
        <v>-9131</v>
      </c>
      <c r="H19" s="2">
        <v>-22242</v>
      </c>
      <c r="I19" s="2">
        <v>-773</v>
      </c>
      <c r="J19" s="2">
        <v>29036</v>
      </c>
      <c r="K19" s="2">
        <v>4139</v>
      </c>
      <c r="L19" s="2">
        <v>-9602</v>
      </c>
    </row>
    <row r="20" spans="1:12" x14ac:dyDescent="0.3">
      <c r="A20" s="2" t="s">
        <v>133</v>
      </c>
    </row>
    <row r="21" spans="1:12" x14ac:dyDescent="0.3">
      <c r="A21" s="3" t="s">
        <v>134</v>
      </c>
      <c r="C21" s="2">
        <v>-6450</v>
      </c>
      <c r="D21" s="2">
        <v>-9516</v>
      </c>
      <c r="E21" s="2">
        <v>-27084</v>
      </c>
      <c r="F21" s="2">
        <v>-12369</v>
      </c>
      <c r="G21" s="2">
        <v>-24281</v>
      </c>
      <c r="H21" s="2">
        <v>-59611</v>
      </c>
      <c r="I21" s="2">
        <v>-58154</v>
      </c>
      <c r="J21" s="2">
        <v>-37601</v>
      </c>
      <c r="K21" s="2">
        <v>-49833</v>
      </c>
      <c r="L21" s="2">
        <v>-94342</v>
      </c>
    </row>
    <row r="22" spans="1:12" x14ac:dyDescent="0.3">
      <c r="A22" s="2" t="s">
        <v>135</v>
      </c>
      <c r="C22" s="2">
        <v>-3882</v>
      </c>
      <c r="D22" s="2">
        <v>-3716</v>
      </c>
      <c r="E22" s="2">
        <v>9928</v>
      </c>
      <c r="F22" s="2">
        <v>-7759</v>
      </c>
      <c r="G22" s="2">
        <v>-9950</v>
      </c>
      <c r="H22" s="2">
        <v>-1723</v>
      </c>
      <c r="I22" s="2">
        <v>6088</v>
      </c>
      <c r="J22" s="2">
        <v>11719</v>
      </c>
      <c r="K22" s="2">
        <v>-8331</v>
      </c>
      <c r="L22" s="2">
        <v>-11894</v>
      </c>
    </row>
    <row r="23" spans="1:12" x14ac:dyDescent="0.3">
      <c r="A23" s="2" t="s">
        <v>136</v>
      </c>
      <c r="F23" s="2">
        <v>73</v>
      </c>
      <c r="G23" s="2">
        <v>-116</v>
      </c>
      <c r="H23" s="2">
        <v>619</v>
      </c>
      <c r="I23" s="2">
        <v>203</v>
      </c>
      <c r="J23" s="2">
        <v>3999</v>
      </c>
      <c r="K23" s="2">
        <v>-7548</v>
      </c>
      <c r="L23" s="2">
        <v>82</v>
      </c>
    </row>
    <row r="24" spans="1:12" x14ac:dyDescent="0.3">
      <c r="A24" s="2" t="s">
        <v>137</v>
      </c>
      <c r="C24" s="2">
        <v>-3882</v>
      </c>
      <c r="D24" s="2">
        <v>-3716</v>
      </c>
      <c r="E24" s="2">
        <v>9928</v>
      </c>
      <c r="F24" s="2">
        <v>-7686</v>
      </c>
      <c r="G24" s="2">
        <v>-10066</v>
      </c>
      <c r="H24" s="2">
        <v>-1104</v>
      </c>
      <c r="I24" s="2">
        <v>6291</v>
      </c>
      <c r="J24" s="2">
        <v>15718</v>
      </c>
      <c r="K24" s="2">
        <v>-15879</v>
      </c>
      <c r="L24" s="2">
        <v>-11812</v>
      </c>
    </row>
    <row r="25" spans="1:12" x14ac:dyDescent="0.3">
      <c r="A25" s="2" t="s">
        <v>138</v>
      </c>
      <c r="J25" s="2">
        <v>-6000</v>
      </c>
    </row>
    <row r="26" spans="1:12" x14ac:dyDescent="0.3">
      <c r="A26" s="2" t="s">
        <v>139</v>
      </c>
    </row>
    <row r="27" spans="1:12" x14ac:dyDescent="0.3">
      <c r="A27" s="2" t="s">
        <v>140</v>
      </c>
    </row>
    <row r="28" spans="1:12" x14ac:dyDescent="0.3">
      <c r="A28" s="2" t="s">
        <v>141</v>
      </c>
      <c r="C28" s="2">
        <v>-3882</v>
      </c>
      <c r="D28" s="2">
        <v>-3716</v>
      </c>
      <c r="E28" s="2">
        <v>9928</v>
      </c>
      <c r="F28" s="2">
        <v>-7686</v>
      </c>
      <c r="G28" s="2">
        <v>-10066</v>
      </c>
      <c r="H28" s="2">
        <v>-1104</v>
      </c>
      <c r="I28" s="2">
        <v>6291</v>
      </c>
      <c r="J28" s="2">
        <v>9718</v>
      </c>
      <c r="K28" s="2">
        <v>-15879</v>
      </c>
      <c r="L28" s="2">
        <v>-11812</v>
      </c>
    </row>
    <row r="29" spans="1:12" x14ac:dyDescent="0.3">
      <c r="A29" s="3" t="s">
        <v>142</v>
      </c>
      <c r="C29" s="2">
        <v>1333</v>
      </c>
      <c r="D29" s="2">
        <v>3759</v>
      </c>
      <c r="E29" s="2">
        <v>1922</v>
      </c>
      <c r="F29" s="2">
        <v>10317</v>
      </c>
      <c r="G29" s="2">
        <v>4237</v>
      </c>
      <c r="H29" s="2">
        <v>5967</v>
      </c>
      <c r="I29" s="2">
        <v>-5900</v>
      </c>
      <c r="J29" s="2">
        <v>17776</v>
      </c>
      <c r="K29" s="2">
        <v>19637</v>
      </c>
      <c r="L29" s="2">
        <v>8422</v>
      </c>
    </row>
    <row r="30" spans="1:12" x14ac:dyDescent="0.3">
      <c r="A30" s="3" t="s">
        <v>143</v>
      </c>
      <c r="C30" s="2">
        <v>2119</v>
      </c>
      <c r="D30" s="2">
        <v>2975</v>
      </c>
      <c r="E30" s="2">
        <v>4215</v>
      </c>
      <c r="F30" s="2">
        <v>5418</v>
      </c>
      <c r="G30" s="2">
        <v>6864</v>
      </c>
      <c r="H30" s="2">
        <v>9208</v>
      </c>
      <c r="I30" s="2">
        <v>12757</v>
      </c>
      <c r="J30" s="2">
        <v>19621</v>
      </c>
      <c r="K30" s="2">
        <v>24023</v>
      </c>
      <c r="L30" s="2">
        <v>22011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F62B-5540-4814-87AD-3A94A2AF31FD}">
  <sheetPr codeName="Sheet14"/>
  <dimension ref="A1:R26"/>
  <sheetViews>
    <sheetView topLeftCell="B1" workbookViewId="0">
      <selection activeCell="L18" sqref="L18"/>
    </sheetView>
  </sheetViews>
  <sheetFormatPr defaultRowHeight="14.4" x14ac:dyDescent="0.3"/>
  <cols>
    <col min="1" max="1" width="30.21875" style="2" bestFit="1" customWidth="1"/>
    <col min="2" max="2" width="8.88671875" style="2"/>
    <col min="3" max="11" width="8.77734375" style="2" customWidth="1"/>
    <col min="12" max="12" width="8.88671875" style="2"/>
    <col min="14" max="18" width="8.77734375" style="2" customWidth="1"/>
    <col min="19" max="16384" width="8.88671875" style="2"/>
  </cols>
  <sheetData>
    <row r="1" spans="1:18" x14ac:dyDescent="0.3">
      <c r="A1" s="3" t="s">
        <v>70</v>
      </c>
      <c r="M1" s="2"/>
    </row>
    <row r="2" spans="1:18" x14ac:dyDescent="0.3">
      <c r="A2" s="3" t="s">
        <v>71</v>
      </c>
      <c r="M2" s="2"/>
    </row>
    <row r="3" spans="1:18" x14ac:dyDescent="0.3">
      <c r="A3" s="3" t="s">
        <v>69</v>
      </c>
      <c r="M3" s="2"/>
    </row>
    <row r="4" spans="1:18" x14ac:dyDescent="0.3">
      <c r="A4" s="1"/>
      <c r="B4" s="1"/>
      <c r="C4" s="1">
        <f t="shared" ref="C4:K4" si="0">D4-1</f>
        <v>2015</v>
      </c>
      <c r="D4" s="1">
        <f t="shared" si="0"/>
        <v>2016</v>
      </c>
      <c r="E4" s="1">
        <f t="shared" si="0"/>
        <v>2017</v>
      </c>
      <c r="F4" s="1">
        <f t="shared" si="0"/>
        <v>2018</v>
      </c>
      <c r="G4" s="1">
        <f t="shared" si="0"/>
        <v>2019</v>
      </c>
      <c r="H4" s="1">
        <f t="shared" si="0"/>
        <v>2020</v>
      </c>
      <c r="I4" s="1">
        <f t="shared" si="0"/>
        <v>2021</v>
      </c>
      <c r="J4" s="1">
        <f t="shared" si="0"/>
        <v>2022</v>
      </c>
      <c r="K4" s="1">
        <f t="shared" si="0"/>
        <v>2023</v>
      </c>
      <c r="L4" s="1">
        <v>2024</v>
      </c>
      <c r="M4" s="2"/>
    </row>
    <row r="5" spans="1:18" x14ac:dyDescent="0.3">
      <c r="A5" s="2" t="s">
        <v>3</v>
      </c>
      <c r="C5" s="52">
        <v>107006</v>
      </c>
      <c r="D5" s="52">
        <v>135987</v>
      </c>
      <c r="E5" s="52">
        <v>177866</v>
      </c>
      <c r="F5" s="52">
        <v>232887</v>
      </c>
      <c r="G5" s="52">
        <v>280522</v>
      </c>
      <c r="H5" s="52">
        <v>386064</v>
      </c>
      <c r="I5" s="52">
        <v>469822</v>
      </c>
      <c r="J5" s="52">
        <v>513983</v>
      </c>
      <c r="K5" s="52">
        <v>574785</v>
      </c>
      <c r="L5" s="52">
        <v>637959</v>
      </c>
      <c r="M5" s="2"/>
      <c r="N5" s="52"/>
      <c r="O5" s="52"/>
      <c r="P5" s="52"/>
      <c r="Q5" s="52"/>
      <c r="R5" s="52"/>
    </row>
    <row r="6" spans="1:18" x14ac:dyDescent="0.3">
      <c r="A6" s="2" t="s">
        <v>52</v>
      </c>
      <c r="C6" s="52">
        <v>71651</v>
      </c>
      <c r="D6" s="52">
        <v>88265</v>
      </c>
      <c r="E6" s="52">
        <v>111934</v>
      </c>
      <c r="F6" s="52">
        <v>139156</v>
      </c>
      <c r="G6" s="52">
        <v>165536</v>
      </c>
      <c r="H6" s="52">
        <v>233307</v>
      </c>
      <c r="I6" s="52">
        <v>272344</v>
      </c>
      <c r="J6" s="52">
        <v>288831</v>
      </c>
      <c r="K6" s="52">
        <v>304739</v>
      </c>
      <c r="L6" s="52">
        <v>326288</v>
      </c>
      <c r="M6" s="2"/>
      <c r="N6" s="52"/>
      <c r="O6" s="52"/>
      <c r="P6" s="52"/>
      <c r="Q6" s="52"/>
      <c r="R6" s="52"/>
    </row>
    <row r="7" spans="1:18" x14ac:dyDescent="0.3">
      <c r="A7" s="2" t="s">
        <v>53</v>
      </c>
      <c r="C7" s="52">
        <v>35355</v>
      </c>
      <c r="D7" s="52">
        <v>47722</v>
      </c>
      <c r="E7" s="52">
        <v>65932</v>
      </c>
      <c r="F7" s="52">
        <v>93731</v>
      </c>
      <c r="G7" s="52">
        <v>114986</v>
      </c>
      <c r="H7" s="52">
        <v>152757</v>
      </c>
      <c r="I7" s="52">
        <v>197478</v>
      </c>
      <c r="J7" s="52">
        <v>225152</v>
      </c>
      <c r="K7" s="52">
        <v>270046</v>
      </c>
      <c r="L7" s="52">
        <v>311671</v>
      </c>
      <c r="M7" s="2"/>
      <c r="N7" s="52"/>
      <c r="O7" s="52"/>
      <c r="P7" s="52"/>
      <c r="Q7" s="52"/>
      <c r="R7" s="52"/>
    </row>
    <row r="8" spans="1:18" x14ac:dyDescent="0.3">
      <c r="A8" s="2" t="s">
        <v>54</v>
      </c>
      <c r="C8" s="52">
        <v>12540</v>
      </c>
      <c r="D8" s="52">
        <v>16085</v>
      </c>
      <c r="E8" s="52">
        <v>22620</v>
      </c>
      <c r="F8" s="52">
        <v>28837</v>
      </c>
      <c r="G8" s="52">
        <v>35931</v>
      </c>
      <c r="H8" s="52">
        <v>42740</v>
      </c>
      <c r="I8" s="52">
        <v>56052</v>
      </c>
      <c r="J8" s="52">
        <v>73213</v>
      </c>
      <c r="K8" s="52">
        <v>85622</v>
      </c>
      <c r="L8" s="52">
        <v>88544</v>
      </c>
      <c r="M8" s="2"/>
      <c r="N8" s="52"/>
      <c r="O8" s="52"/>
      <c r="P8" s="52"/>
      <c r="Q8" s="52"/>
      <c r="R8" s="52"/>
    </row>
    <row r="9" spans="1:18" x14ac:dyDescent="0.3">
      <c r="A9" s="2" t="s">
        <v>55</v>
      </c>
      <c r="C9" s="52">
        <v>20411</v>
      </c>
      <c r="D9" s="52">
        <v>27284</v>
      </c>
      <c r="E9" s="52">
        <v>38992</v>
      </c>
      <c r="F9" s="52">
        <v>52177</v>
      </c>
      <c r="G9" s="52">
        <v>64313</v>
      </c>
      <c r="H9" s="52">
        <v>87193</v>
      </c>
      <c r="I9" s="52">
        <v>116485</v>
      </c>
      <c r="J9" s="52">
        <v>138428</v>
      </c>
      <c r="K9" s="52">
        <v>146805</v>
      </c>
      <c r="L9" s="52">
        <v>153771</v>
      </c>
      <c r="M9" s="2"/>
      <c r="N9" s="52"/>
      <c r="O9" s="52"/>
      <c r="P9" s="52"/>
      <c r="Q9" s="52"/>
      <c r="R9" s="52"/>
    </row>
    <row r="10" spans="1:18" x14ac:dyDescent="0.3">
      <c r="A10" s="2" t="s">
        <v>56</v>
      </c>
      <c r="C10" s="52">
        <v>-171</v>
      </c>
      <c r="D10" s="52">
        <v>-167</v>
      </c>
      <c r="E10" s="52">
        <v>-214</v>
      </c>
      <c r="F10" s="52">
        <v>-296</v>
      </c>
      <c r="G10" s="52">
        <v>-201</v>
      </c>
      <c r="H10" s="52">
        <v>75</v>
      </c>
      <c r="I10" s="52">
        <v>-62</v>
      </c>
      <c r="J10" s="52">
        <v>-1263</v>
      </c>
      <c r="K10" s="52">
        <v>-767</v>
      </c>
      <c r="L10" s="52">
        <v>-763</v>
      </c>
      <c r="M10" s="2"/>
      <c r="N10" s="52"/>
      <c r="O10" s="52"/>
      <c r="P10" s="52"/>
      <c r="Q10" s="52"/>
      <c r="R10" s="52"/>
    </row>
    <row r="11" spans="1:18" x14ac:dyDescent="0.3">
      <c r="A11" s="2" t="s">
        <v>57</v>
      </c>
      <c r="C11" s="52">
        <v>33122</v>
      </c>
      <c r="D11" s="52">
        <v>43536</v>
      </c>
      <c r="E11" s="52">
        <v>61826</v>
      </c>
      <c r="F11" s="52">
        <v>81310</v>
      </c>
      <c r="G11" s="52">
        <v>100445</v>
      </c>
      <c r="H11" s="52">
        <v>129858</v>
      </c>
      <c r="I11" s="52">
        <v>172599</v>
      </c>
      <c r="J11" s="52">
        <v>212904</v>
      </c>
      <c r="K11" s="52">
        <v>233194</v>
      </c>
      <c r="L11" s="52">
        <v>243078</v>
      </c>
      <c r="M11" s="2"/>
      <c r="N11" s="52"/>
      <c r="O11" s="52"/>
      <c r="P11" s="52"/>
      <c r="Q11" s="52"/>
      <c r="R11" s="52"/>
    </row>
    <row r="12" spans="1:18" x14ac:dyDescent="0.3">
      <c r="A12" s="2" t="s">
        <v>58</v>
      </c>
      <c r="C12" s="52">
        <v>2233</v>
      </c>
      <c r="D12" s="52">
        <v>4186</v>
      </c>
      <c r="E12" s="52">
        <v>4106</v>
      </c>
      <c r="F12" s="52">
        <v>12421</v>
      </c>
      <c r="G12" s="52">
        <v>14541</v>
      </c>
      <c r="H12" s="52">
        <v>22899</v>
      </c>
      <c r="I12" s="52">
        <v>24879</v>
      </c>
      <c r="J12" s="52">
        <v>12248</v>
      </c>
      <c r="K12" s="52">
        <v>36852</v>
      </c>
      <c r="L12" s="52">
        <v>68593</v>
      </c>
      <c r="M12" s="2"/>
      <c r="N12" s="52"/>
      <c r="O12" s="52"/>
      <c r="P12" s="52"/>
      <c r="Q12" s="52"/>
      <c r="R12" s="52"/>
    </row>
    <row r="13" spans="1:18" x14ac:dyDescent="0.3">
      <c r="A13" s="2" t="s">
        <v>59</v>
      </c>
      <c r="C13" s="52">
        <v>-665</v>
      </c>
      <c r="D13" s="52">
        <v>-294</v>
      </c>
      <c r="E13" s="52">
        <v>-300</v>
      </c>
      <c r="F13" s="52">
        <v>-1160</v>
      </c>
      <c r="G13" s="52">
        <v>-565</v>
      </c>
      <c r="H13" s="52">
        <v>1279</v>
      </c>
      <c r="I13" s="52">
        <v>13272</v>
      </c>
      <c r="J13" s="52">
        <v>-18184</v>
      </c>
      <c r="K13" s="52">
        <v>705</v>
      </c>
      <c r="L13" s="52">
        <v>21</v>
      </c>
      <c r="M13" s="2"/>
      <c r="N13" s="52"/>
      <c r="O13" s="52"/>
      <c r="P13" s="52"/>
      <c r="Q13" s="52"/>
      <c r="R13" s="52"/>
    </row>
    <row r="14" spans="1:18" x14ac:dyDescent="0.3">
      <c r="A14" s="2" t="s">
        <v>66</v>
      </c>
      <c r="C14" s="52">
        <v>1568</v>
      </c>
      <c r="D14" s="52">
        <v>3892</v>
      </c>
      <c r="E14" s="52">
        <v>3806</v>
      </c>
      <c r="F14" s="52">
        <v>11261</v>
      </c>
      <c r="G14" s="52">
        <v>13976</v>
      </c>
      <c r="H14" s="52">
        <v>24178</v>
      </c>
      <c r="I14" s="52">
        <v>38151</v>
      </c>
      <c r="J14" s="52">
        <v>-5936</v>
      </c>
      <c r="K14" s="52">
        <v>37557</v>
      </c>
      <c r="L14" s="52">
        <v>68614</v>
      </c>
      <c r="M14" s="2"/>
      <c r="N14" s="52"/>
      <c r="O14" s="52"/>
      <c r="P14" s="52"/>
      <c r="Q14" s="52"/>
      <c r="R14" s="52"/>
    </row>
    <row r="15" spans="1:18" x14ac:dyDescent="0.3">
      <c r="A15" s="2" t="s">
        <v>67</v>
      </c>
      <c r="C15" s="52">
        <v>950</v>
      </c>
      <c r="D15" s="52">
        <v>1425</v>
      </c>
      <c r="E15" s="52">
        <v>769</v>
      </c>
      <c r="F15" s="52">
        <v>1197</v>
      </c>
      <c r="G15" s="52">
        <v>2374</v>
      </c>
      <c r="H15" s="52">
        <v>2863</v>
      </c>
      <c r="I15" s="52">
        <v>4791</v>
      </c>
      <c r="J15" s="52">
        <v>-3217</v>
      </c>
      <c r="K15" s="52">
        <v>7120</v>
      </c>
      <c r="L15" s="52">
        <v>9265</v>
      </c>
      <c r="M15" s="2"/>
      <c r="N15" s="52"/>
      <c r="O15" s="52"/>
      <c r="P15" s="52"/>
      <c r="Q15" s="52"/>
      <c r="R15" s="52"/>
    </row>
    <row r="16" spans="1:18" x14ac:dyDescent="0.3">
      <c r="A16" s="2" t="s">
        <v>68</v>
      </c>
      <c r="C16" s="52">
        <v>618</v>
      </c>
      <c r="D16" s="52">
        <v>2467</v>
      </c>
      <c r="E16" s="52">
        <v>3037</v>
      </c>
      <c r="F16" s="52">
        <v>10064</v>
      </c>
      <c r="G16" s="52">
        <v>11602</v>
      </c>
      <c r="H16" s="52">
        <v>21315</v>
      </c>
      <c r="I16" s="52">
        <v>33360</v>
      </c>
      <c r="J16" s="52">
        <v>-2719</v>
      </c>
      <c r="K16" s="52">
        <v>30437</v>
      </c>
      <c r="L16" s="52">
        <v>59349</v>
      </c>
      <c r="M16" s="2"/>
      <c r="N16" s="52"/>
      <c r="O16" s="52"/>
      <c r="P16" s="52"/>
      <c r="Q16" s="52"/>
      <c r="R16" s="52"/>
    </row>
    <row r="17" spans="1:18" x14ac:dyDescent="0.3">
      <c r="A17" s="2" t="s">
        <v>60</v>
      </c>
      <c r="C17" s="52">
        <v>596</v>
      </c>
      <c r="D17" s="52">
        <v>2371</v>
      </c>
      <c r="E17" s="52">
        <v>3033</v>
      </c>
      <c r="F17" s="52">
        <v>10073</v>
      </c>
      <c r="G17" s="52">
        <v>11588</v>
      </c>
      <c r="H17" s="52">
        <v>21331</v>
      </c>
      <c r="I17" s="52">
        <v>33364</v>
      </c>
      <c r="J17" s="52">
        <v>-2722</v>
      </c>
      <c r="K17" s="52">
        <v>30425</v>
      </c>
      <c r="L17" s="52">
        <v>59248</v>
      </c>
      <c r="M17" s="2"/>
      <c r="N17" s="52"/>
      <c r="O17" s="52"/>
      <c r="P17" s="52"/>
      <c r="Q17" s="52"/>
      <c r="R17" s="52"/>
    </row>
    <row r="18" spans="1:18" x14ac:dyDescent="0.3">
      <c r="A18" s="2" t="s">
        <v>61</v>
      </c>
      <c r="C18" s="52">
        <v>8514</v>
      </c>
      <c r="D18" s="52">
        <v>12302</v>
      </c>
      <c r="E18" s="52">
        <v>15584</v>
      </c>
      <c r="F18" s="52">
        <v>27762</v>
      </c>
      <c r="G18" s="52">
        <v>36330</v>
      </c>
      <c r="H18" s="52">
        <v>48079</v>
      </c>
      <c r="I18" s="52">
        <v>59312</v>
      </c>
      <c r="J18" s="52">
        <v>54169</v>
      </c>
      <c r="K18" s="52">
        <v>85515</v>
      </c>
      <c r="L18" s="52">
        <v>121388</v>
      </c>
      <c r="M18" s="2"/>
      <c r="N18" s="52"/>
      <c r="O18" s="52"/>
      <c r="P18" s="52"/>
      <c r="Q18" s="52"/>
      <c r="R18" s="52"/>
    </row>
    <row r="19" spans="1:18" x14ac:dyDescent="0.3">
      <c r="A19" s="2" t="s">
        <v>4</v>
      </c>
      <c r="C19" s="52">
        <v>2233</v>
      </c>
      <c r="D19" s="52">
        <v>4186</v>
      </c>
      <c r="E19" s="52">
        <v>4106</v>
      </c>
      <c r="F19" s="52">
        <v>12421</v>
      </c>
      <c r="G19" s="52">
        <v>14541</v>
      </c>
      <c r="H19" s="52">
        <v>22899</v>
      </c>
      <c r="I19" s="52">
        <v>24879</v>
      </c>
      <c r="J19" s="52">
        <v>12248</v>
      </c>
      <c r="K19" s="52">
        <v>36852</v>
      </c>
      <c r="L19" s="52">
        <v>68593</v>
      </c>
      <c r="M19" s="2"/>
      <c r="N19" s="52"/>
      <c r="O19" s="52"/>
      <c r="P19" s="52"/>
      <c r="Q19" s="52"/>
      <c r="R19" s="52"/>
    </row>
    <row r="20" spans="1:18" x14ac:dyDescent="0.3">
      <c r="A20" s="2" t="s">
        <v>62</v>
      </c>
      <c r="C20" s="52">
        <v>9340</v>
      </c>
      <c r="D20" s="52">
        <v>9480</v>
      </c>
      <c r="E20" s="52">
        <v>9600</v>
      </c>
      <c r="F20" s="52">
        <v>9740</v>
      </c>
      <c r="G20" s="52">
        <v>9880</v>
      </c>
      <c r="H20" s="52">
        <v>10005</v>
      </c>
      <c r="I20" s="52">
        <v>10117</v>
      </c>
      <c r="J20" s="52">
        <v>10189</v>
      </c>
      <c r="K20" s="52">
        <v>10304</v>
      </c>
      <c r="L20" s="52">
        <v>10473</v>
      </c>
      <c r="M20" s="2"/>
      <c r="N20" s="52"/>
      <c r="O20" s="52"/>
      <c r="P20" s="52"/>
      <c r="Q20" s="52"/>
      <c r="R20" s="52"/>
    </row>
    <row r="21" spans="1:18" x14ac:dyDescent="0.3">
      <c r="A21" s="2" t="s">
        <v>63</v>
      </c>
      <c r="C21" s="52">
        <v>9540</v>
      </c>
      <c r="D21" s="52">
        <v>9680</v>
      </c>
      <c r="E21" s="52">
        <v>9860</v>
      </c>
      <c r="F21" s="52">
        <v>10000</v>
      </c>
      <c r="G21" s="52">
        <v>10080</v>
      </c>
      <c r="H21" s="52">
        <v>10198</v>
      </c>
      <c r="I21" s="52">
        <v>10296</v>
      </c>
      <c r="J21" s="52">
        <v>10189</v>
      </c>
      <c r="K21" s="52">
        <v>10492</v>
      </c>
      <c r="L21" s="52">
        <v>10721</v>
      </c>
      <c r="M21" s="2"/>
      <c r="N21" s="52"/>
      <c r="O21" s="52"/>
      <c r="P21" s="52"/>
      <c r="Q21" s="52"/>
      <c r="R21" s="52"/>
    </row>
    <row r="22" spans="1:18" x14ac:dyDescent="0.3">
      <c r="A22" s="2" t="s">
        <v>64</v>
      </c>
      <c r="C22" s="52">
        <v>6.4000000000000001E-2</v>
      </c>
      <c r="D22" s="52">
        <v>0.2505</v>
      </c>
      <c r="E22" s="52">
        <v>0.316</v>
      </c>
      <c r="F22" s="52">
        <v>1.034</v>
      </c>
      <c r="G22" s="52">
        <v>1.173</v>
      </c>
      <c r="H22" s="52">
        <v>2.13</v>
      </c>
      <c r="I22" s="52">
        <v>3.3</v>
      </c>
      <c r="J22" s="52">
        <v>-0.27</v>
      </c>
      <c r="K22" s="52">
        <v>2.95</v>
      </c>
      <c r="L22" s="52">
        <v>5.66</v>
      </c>
      <c r="M22" s="2"/>
      <c r="N22" s="52"/>
      <c r="O22" s="52"/>
      <c r="P22" s="52"/>
      <c r="Q22" s="52"/>
      <c r="R22" s="52"/>
    </row>
    <row r="23" spans="1:18" x14ac:dyDescent="0.3">
      <c r="A23" s="2" t="s">
        <v>65</v>
      </c>
      <c r="C23" s="52">
        <v>6.25E-2</v>
      </c>
      <c r="D23" s="52">
        <v>0.245</v>
      </c>
      <c r="E23" s="52">
        <v>0.3075</v>
      </c>
      <c r="F23" s="52">
        <v>1.0069999999999999</v>
      </c>
      <c r="G23" s="52">
        <v>1.1505000000000001</v>
      </c>
      <c r="H23" s="52">
        <v>2.09</v>
      </c>
      <c r="I23" s="52">
        <v>3.24</v>
      </c>
      <c r="J23" s="52">
        <v>-0.27</v>
      </c>
      <c r="K23" s="52">
        <v>2.9</v>
      </c>
      <c r="L23" s="52">
        <v>5.53</v>
      </c>
      <c r="M23" s="2"/>
      <c r="N23" s="52"/>
      <c r="O23" s="52"/>
      <c r="P23" s="52"/>
      <c r="Q23" s="52"/>
      <c r="R23" s="52"/>
    </row>
    <row r="24" spans="1:18" x14ac:dyDescent="0.3">
      <c r="M24" s="2"/>
    </row>
    <row r="25" spans="1:18" x14ac:dyDescent="0.3">
      <c r="M25" s="2"/>
    </row>
    <row r="26" spans="1:18" x14ac:dyDescent="0.3">
      <c r="M2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75E-BE8D-47C9-B8AF-9AC82E71EDDB}">
  <dimension ref="A1:L108"/>
  <sheetViews>
    <sheetView showGridLines="0" topLeftCell="A35" workbookViewId="0">
      <selection activeCell="F39" sqref="F39"/>
    </sheetView>
  </sheetViews>
  <sheetFormatPr defaultRowHeight="14.4" x14ac:dyDescent="0.3"/>
  <cols>
    <col min="1" max="1" width="3.77734375" customWidth="1"/>
    <col min="2" max="2" width="33" bestFit="1" customWidth="1"/>
    <col min="3" max="5" width="10.77734375" style="265" customWidth="1"/>
    <col min="6" max="10" width="10.77734375" style="269" customWidth="1"/>
    <col min="11" max="16384" width="8.88671875" style="264"/>
  </cols>
  <sheetData>
    <row r="1" spans="1:10" customFormat="1" x14ac:dyDescent="0.3">
      <c r="B1" s="5" t="s">
        <v>170</v>
      </c>
      <c r="C1" s="24">
        <v>2022</v>
      </c>
      <c r="D1" s="24">
        <v>2023</v>
      </c>
      <c r="E1" s="24">
        <f>D1+1</f>
        <v>2024</v>
      </c>
      <c r="F1" s="24">
        <f t="shared" ref="F1:J1" si="0">E1+1</f>
        <v>2025</v>
      </c>
      <c r="G1" s="24">
        <f t="shared" si="0"/>
        <v>2026</v>
      </c>
      <c r="H1" s="24">
        <f t="shared" si="0"/>
        <v>2027</v>
      </c>
      <c r="I1" s="24">
        <f t="shared" si="0"/>
        <v>2028</v>
      </c>
      <c r="J1" s="24">
        <f t="shared" si="0"/>
        <v>2029</v>
      </c>
    </row>
    <row r="2" spans="1:10" customFormat="1" x14ac:dyDescent="0.3">
      <c r="A2" t="s">
        <v>260</v>
      </c>
      <c r="B2" s="45" t="s">
        <v>3</v>
      </c>
      <c r="C2" s="265"/>
      <c r="D2" s="265"/>
      <c r="E2" s="265"/>
      <c r="F2" s="269"/>
      <c r="G2" s="269"/>
      <c r="H2" s="269"/>
      <c r="I2" s="269"/>
      <c r="J2" s="269"/>
    </row>
    <row r="3" spans="1:10" customFormat="1" x14ac:dyDescent="0.3">
      <c r="B3" t="s">
        <v>296</v>
      </c>
      <c r="C3" s="265">
        <v>513983</v>
      </c>
      <c r="D3" s="265">
        <v>574785</v>
      </c>
      <c r="E3" s="265">
        <v>637959</v>
      </c>
      <c r="F3" s="266">
        <v>707899.93</v>
      </c>
      <c r="G3" s="266">
        <v>779079.86</v>
      </c>
      <c r="H3" s="266">
        <f>G3*(1+H4)</f>
        <v>862205.62591860525</v>
      </c>
      <c r="I3" s="266">
        <f t="shared" ref="I3:J3" si="1">H3*(1+I4)</f>
        <v>953277.68330712477</v>
      </c>
      <c r="J3" s="266">
        <f t="shared" si="1"/>
        <v>1052696.614527341</v>
      </c>
    </row>
    <row r="4" spans="1:10" customFormat="1" x14ac:dyDescent="0.3">
      <c r="B4" t="s">
        <v>48</v>
      </c>
      <c r="C4" s="265"/>
      <c r="D4" s="267">
        <f>D3/C3-1</f>
        <v>0.1182957412988368</v>
      </c>
      <c r="E4" s="267">
        <f>E3/D3-1</f>
        <v>0.1099089224666614</v>
      </c>
      <c r="F4" s="268">
        <f>F3/E3-1</f>
        <v>0.10963232746932028</v>
      </c>
      <c r="G4" s="268">
        <f t="shared" ref="G4" si="2">G3/F3-1</f>
        <v>0.10055083633077899</v>
      </c>
      <c r="H4" s="268">
        <f>AVERAGE(E4:G4)</f>
        <v>0.10669736208892022</v>
      </c>
      <c r="I4" s="268">
        <f t="shared" ref="I4:J4" si="3">AVERAGE(F4:H4)</f>
        <v>0.10562684196300649</v>
      </c>
      <c r="J4" s="268">
        <f t="shared" si="3"/>
        <v>0.10429168012756856</v>
      </c>
    </row>
    <row r="5" spans="1:10" customFormat="1" x14ac:dyDescent="0.3">
      <c r="C5" s="265"/>
      <c r="D5" s="265"/>
      <c r="E5" s="265"/>
      <c r="F5" s="269"/>
      <c r="G5" s="269"/>
      <c r="H5" s="269"/>
      <c r="I5" s="269"/>
      <c r="J5" s="269"/>
    </row>
    <row r="6" spans="1:10" customFormat="1" x14ac:dyDescent="0.3">
      <c r="B6" s="2" t="s">
        <v>41</v>
      </c>
      <c r="C6" s="265">
        <v>315880</v>
      </c>
      <c r="D6" s="265">
        <v>352828</v>
      </c>
      <c r="E6" s="265">
        <v>387497</v>
      </c>
      <c r="F6" s="266">
        <f>F7*F$3</f>
        <v>433191.66852121789</v>
      </c>
      <c r="G6" s="266">
        <f t="shared" ref="G6:J6" si="4">G7*G$3</f>
        <v>476065.49269665679</v>
      </c>
      <c r="H6" s="266">
        <f t="shared" si="4"/>
        <v>526060.81162842014</v>
      </c>
      <c r="I6" s="266">
        <f t="shared" si="4"/>
        <v>582495.29982016515</v>
      </c>
      <c r="J6" s="266">
        <f t="shared" si="4"/>
        <v>642930.86698081635</v>
      </c>
    </row>
    <row r="7" spans="1:10" customFormat="1" x14ac:dyDescent="0.3">
      <c r="B7" s="2" t="s">
        <v>50</v>
      </c>
      <c r="C7" s="267">
        <f>C6/C$3</f>
        <v>0.61457285552245888</v>
      </c>
      <c r="D7" s="267">
        <f t="shared" ref="D7:E7" si="5">D6/D$3</f>
        <v>0.61384343711126765</v>
      </c>
      <c r="E7" s="267">
        <f t="shared" si="5"/>
        <v>0.6074011025786924</v>
      </c>
      <c r="F7" s="268">
        <f>AVERAGE(C7:E7)</f>
        <v>0.61193913173747294</v>
      </c>
      <c r="G7" s="268">
        <f t="shared" ref="G7:J7" si="6">AVERAGE(D7:F7)</f>
        <v>0.61106122380914429</v>
      </c>
      <c r="H7" s="268">
        <f t="shared" si="6"/>
        <v>0.61013381937510325</v>
      </c>
      <c r="I7" s="268">
        <f t="shared" si="6"/>
        <v>0.61104472497390683</v>
      </c>
      <c r="J7" s="268">
        <f t="shared" si="6"/>
        <v>0.61074658938605142</v>
      </c>
    </row>
    <row r="8" spans="1:10" customFormat="1" x14ac:dyDescent="0.3">
      <c r="B8" s="2"/>
      <c r="C8" s="265"/>
      <c r="D8" s="265"/>
      <c r="E8" s="265"/>
      <c r="F8" s="269"/>
      <c r="G8" s="269"/>
      <c r="H8" s="269"/>
      <c r="I8" s="269"/>
      <c r="J8" s="269"/>
    </row>
    <row r="9" spans="1:10" customFormat="1" x14ac:dyDescent="0.3">
      <c r="C9" s="265"/>
      <c r="D9" s="265"/>
      <c r="E9" s="265"/>
      <c r="F9" s="269"/>
      <c r="G9" s="269"/>
      <c r="H9" s="269"/>
      <c r="I9" s="269"/>
      <c r="J9" s="269"/>
    </row>
    <row r="10" spans="1:10" customFormat="1" x14ac:dyDescent="0.3">
      <c r="B10" s="2" t="s">
        <v>42</v>
      </c>
      <c r="C10" s="265">
        <v>118007</v>
      </c>
      <c r="D10" s="265">
        <v>131200</v>
      </c>
      <c r="E10" s="265">
        <v>142906</v>
      </c>
      <c r="F10" s="266">
        <f>F11*F$3</f>
        <v>160895.61364635776</v>
      </c>
      <c r="G10" s="266">
        <f t="shared" ref="G10" si="7">G11*G$3</f>
        <v>176474.59104310474</v>
      </c>
      <c r="H10" s="266">
        <f t="shared" ref="H10" si="8">H11*H$3</f>
        <v>194803.14584369052</v>
      </c>
      <c r="I10" s="266">
        <f t="shared" ref="I10" si="9">I11*I$3</f>
        <v>215993.12966150267</v>
      </c>
      <c r="J10" s="266">
        <f t="shared" ref="J10" si="10">J11*J$3</f>
        <v>238271.55151890652</v>
      </c>
    </row>
    <row r="11" spans="1:10" customFormat="1" x14ac:dyDescent="0.3">
      <c r="B11" s="2" t="s">
        <v>50</v>
      </c>
      <c r="C11" s="267">
        <f>C10/C$3</f>
        <v>0.22959319666214642</v>
      </c>
      <c r="D11" s="267">
        <f t="shared" ref="D11" si="11">D10/D$3</f>
        <v>0.22825926215889419</v>
      </c>
      <c r="E11" s="267">
        <f t="shared" ref="E11" si="12">E10/E$3</f>
        <v>0.22400499091634415</v>
      </c>
      <c r="F11" s="268">
        <f>AVERAGE(C11:E11)</f>
        <v>0.22728581657912827</v>
      </c>
      <c r="G11" s="268">
        <f t="shared" ref="G11" si="13">AVERAGE(D11:F11)</f>
        <v>0.22651668988478887</v>
      </c>
      <c r="H11" s="268">
        <f t="shared" ref="H11" si="14">AVERAGE(E11:G11)</f>
        <v>0.22593583246008711</v>
      </c>
      <c r="I11" s="268">
        <f t="shared" ref="I11" si="15">AVERAGE(F11:H11)</f>
        <v>0.22657944630800142</v>
      </c>
      <c r="J11" s="268">
        <f t="shared" ref="J11" si="16">AVERAGE(G11:I11)</f>
        <v>0.22634398955095913</v>
      </c>
    </row>
    <row r="12" spans="1:10" customFormat="1" x14ac:dyDescent="0.3">
      <c r="B12" s="2"/>
      <c r="C12" s="265"/>
      <c r="D12" s="265"/>
      <c r="E12" s="265"/>
      <c r="F12" s="269"/>
      <c r="G12" s="269"/>
      <c r="H12" s="269"/>
      <c r="I12" s="269"/>
      <c r="J12" s="269"/>
    </row>
    <row r="13" spans="1:10" customFormat="1" x14ac:dyDescent="0.3">
      <c r="C13" s="265"/>
      <c r="D13" s="265"/>
      <c r="E13" s="265"/>
      <c r="F13" s="269"/>
      <c r="G13" s="269"/>
      <c r="H13" s="269"/>
      <c r="I13" s="269"/>
      <c r="J13" s="269"/>
    </row>
    <row r="14" spans="1:10" customFormat="1" x14ac:dyDescent="0.3">
      <c r="B14" s="2" t="s">
        <v>43</v>
      </c>
      <c r="C14" s="265">
        <v>80096</v>
      </c>
      <c r="D14" s="265">
        <v>90757</v>
      </c>
      <c r="E14" s="265">
        <v>107556</v>
      </c>
      <c r="F14" s="266">
        <f>F15*F$3</f>
        <v>113812.64783242437</v>
      </c>
      <c r="G14" s="266">
        <f t="shared" ref="G14" si="17">G15*G$3</f>
        <v>126539.77626023845</v>
      </c>
      <c r="H14" s="266">
        <f t="shared" ref="H14" si="18">H15*H$3</f>
        <v>141341.66844649462</v>
      </c>
      <c r="I14" s="266">
        <f t="shared" ref="I14" si="19">I15*I$3</f>
        <v>154789.25382545701</v>
      </c>
      <c r="J14" s="266">
        <f t="shared" ref="J14" si="20">J15*J$3</f>
        <v>171494.19602761805</v>
      </c>
    </row>
    <row r="15" spans="1:10" customFormat="1" x14ac:dyDescent="0.3">
      <c r="B15" s="2" t="s">
        <v>50</v>
      </c>
      <c r="C15" s="267">
        <f>C14/C$3</f>
        <v>0.15583394781539467</v>
      </c>
      <c r="D15" s="267">
        <f t="shared" ref="D15" si="21">D14/D$3</f>
        <v>0.15789730072983812</v>
      </c>
      <c r="E15" s="267">
        <f t="shared" ref="E15" si="22">E14/E$3</f>
        <v>0.16859390650496348</v>
      </c>
      <c r="F15" s="268">
        <f>AVERAGE(C15:E15)</f>
        <v>0.16077505168339876</v>
      </c>
      <c r="G15" s="268">
        <f t="shared" ref="G15" si="23">AVERAGE(D15:F15)</f>
        <v>0.1624220863060668</v>
      </c>
      <c r="H15" s="268">
        <f t="shared" ref="H15" si="24">AVERAGE(E15:G15)</f>
        <v>0.16393034816480967</v>
      </c>
      <c r="I15" s="268">
        <f t="shared" ref="I15" si="25">AVERAGE(F15:H15)</f>
        <v>0.16237582871809175</v>
      </c>
      <c r="J15" s="268">
        <f t="shared" ref="J15" si="26">AVERAGE(G15:I15)</f>
        <v>0.16290942106298942</v>
      </c>
    </row>
    <row r="16" spans="1:10" customFormat="1" x14ac:dyDescent="0.3">
      <c r="C16" s="265"/>
      <c r="D16" s="265"/>
      <c r="E16" s="265"/>
      <c r="F16" s="266"/>
      <c r="G16" s="269"/>
      <c r="H16" s="269"/>
      <c r="I16" s="269"/>
      <c r="J16" s="269"/>
    </row>
    <row r="17" spans="1:10" customFormat="1" x14ac:dyDescent="0.3">
      <c r="C17" s="265"/>
      <c r="D17" s="265"/>
      <c r="E17" s="265"/>
      <c r="F17" s="266"/>
      <c r="G17" s="269"/>
      <c r="H17" s="269"/>
      <c r="I17" s="269"/>
      <c r="J17" s="269"/>
    </row>
    <row r="18" spans="1:10" customFormat="1" x14ac:dyDescent="0.3">
      <c r="A18" t="s">
        <v>260</v>
      </c>
      <c r="B18" s="45" t="s">
        <v>4</v>
      </c>
      <c r="C18" s="265"/>
      <c r="D18" s="265"/>
      <c r="E18" s="265"/>
      <c r="F18" s="269"/>
      <c r="G18" s="269"/>
      <c r="H18" s="269"/>
      <c r="I18" s="269"/>
      <c r="J18" s="269"/>
    </row>
    <row r="19" spans="1:10" customFormat="1" x14ac:dyDescent="0.3">
      <c r="C19" s="265"/>
      <c r="D19" s="265"/>
      <c r="E19" s="265"/>
      <c r="F19" s="269"/>
      <c r="G19" s="269"/>
      <c r="H19" s="269"/>
      <c r="I19" s="269"/>
      <c r="J19" s="269"/>
    </row>
    <row r="20" spans="1:10" customFormat="1" x14ac:dyDescent="0.3">
      <c r="B20" t="s">
        <v>297</v>
      </c>
      <c r="C20" s="265">
        <v>12248</v>
      </c>
      <c r="D20" s="270">
        <v>36852</v>
      </c>
      <c r="E20" s="270">
        <v>68593</v>
      </c>
      <c r="F20" s="266">
        <v>80495.25059013287</v>
      </c>
      <c r="G20" s="266">
        <v>97300.220960787512</v>
      </c>
      <c r="H20" s="266">
        <f>H21*H3</f>
        <v>117772.23196097402</v>
      </c>
      <c r="I20" s="266">
        <f>I21*I3</f>
        <v>141368.28511154317</v>
      </c>
      <c r="J20" s="266">
        <f>J21*J3</f>
        <v>168431.45832437457</v>
      </c>
    </row>
    <row r="21" spans="1:10" customFormat="1" x14ac:dyDescent="0.3">
      <c r="B21" s="2" t="s">
        <v>50</v>
      </c>
      <c r="C21" s="267">
        <f>C20/C3</f>
        <v>2.3829581912242232E-2</v>
      </c>
      <c r="D21" s="267">
        <f>D20/D3</f>
        <v>6.4114407996033296E-2</v>
      </c>
      <c r="E21" s="267">
        <f>E20/E3</f>
        <v>0.1075194487420038</v>
      </c>
      <c r="F21" s="268">
        <f>F20/F3</f>
        <v>0.11370992873262872</v>
      </c>
      <c r="G21" s="268">
        <f>G20/G3</f>
        <v>0.12489120301580831</v>
      </c>
      <c r="H21" s="268">
        <f>G21+($J$21-$G$21)/($J$1-$G$1)</f>
        <v>0.13659413534387221</v>
      </c>
      <c r="I21" s="268">
        <f>H21+($J$21-$G$21)/($J$1-$G$1)</f>
        <v>0.14829706767193612</v>
      </c>
      <c r="J21" s="268">
        <v>0.16</v>
      </c>
    </row>
    <row r="22" spans="1:10" customFormat="1" x14ac:dyDescent="0.3">
      <c r="C22" s="265"/>
      <c r="D22" s="265"/>
      <c r="E22" s="265"/>
      <c r="F22" s="269"/>
      <c r="G22" s="269"/>
      <c r="H22" s="269"/>
      <c r="I22" s="269"/>
      <c r="J22" s="269"/>
    </row>
    <row r="23" spans="1:10" customFormat="1" x14ac:dyDescent="0.3">
      <c r="B23" s="2" t="s">
        <v>41</v>
      </c>
      <c r="C23" s="265">
        <v>-2847</v>
      </c>
      <c r="D23" s="265">
        <v>14877</v>
      </c>
      <c r="E23" s="265">
        <v>24967</v>
      </c>
      <c r="F23" s="266">
        <f>F24*F$20</f>
        <v>14361.354329027412</v>
      </c>
      <c r="G23" s="266">
        <f t="shared" ref="G23:J23" si="27">G24*G$20</f>
        <v>30685.112942385807</v>
      </c>
      <c r="H23" s="266">
        <f t="shared" si="27"/>
        <v>33673.645323112563</v>
      </c>
      <c r="I23" s="266">
        <f t="shared" si="27"/>
        <v>36741.594277103984</v>
      </c>
      <c r="J23" s="266">
        <f t="shared" si="27"/>
        <v>48350.32211598751</v>
      </c>
    </row>
    <row r="24" spans="1:10" customFormat="1" x14ac:dyDescent="0.3">
      <c r="B24" s="2" t="s">
        <v>51</v>
      </c>
      <c r="C24" s="267">
        <f>C23/C$20</f>
        <v>-0.23244611365120835</v>
      </c>
      <c r="D24" s="267">
        <f t="shared" ref="D24:E24" si="28">D23/D$20</f>
        <v>0.40369586453923806</v>
      </c>
      <c r="E24" s="267">
        <f t="shared" si="28"/>
        <v>0.36398757890746869</v>
      </c>
      <c r="F24" s="268">
        <f>AVERAGE(C24:E24)</f>
        <v>0.17841244326516614</v>
      </c>
      <c r="G24" s="268">
        <f t="shared" ref="G24:J24" si="29">AVERAGE(D24:F24)</f>
        <v>0.31536529557062432</v>
      </c>
      <c r="H24" s="268">
        <f t="shared" si="29"/>
        <v>0.28592177258108636</v>
      </c>
      <c r="I24" s="268">
        <f t="shared" si="29"/>
        <v>0.25989983713895892</v>
      </c>
      <c r="J24" s="268">
        <f t="shared" si="29"/>
        <v>0.28706230176355652</v>
      </c>
    </row>
    <row r="25" spans="1:10" customFormat="1" x14ac:dyDescent="0.3">
      <c r="B25" s="2"/>
      <c r="C25" s="265"/>
      <c r="D25" s="265"/>
      <c r="E25" s="265"/>
      <c r="F25" s="269"/>
      <c r="G25" s="269"/>
      <c r="H25" s="269"/>
      <c r="I25" s="269"/>
      <c r="J25" s="269"/>
    </row>
    <row r="26" spans="1:10" customFormat="1" x14ac:dyDescent="0.3">
      <c r="C26" s="265"/>
      <c r="D26" s="265"/>
      <c r="E26" s="265"/>
      <c r="F26" s="269"/>
      <c r="G26" s="269"/>
      <c r="H26" s="269"/>
      <c r="I26" s="269"/>
      <c r="J26" s="269"/>
    </row>
    <row r="27" spans="1:10" customFormat="1" x14ac:dyDescent="0.3">
      <c r="B27" s="2" t="s">
        <v>42</v>
      </c>
      <c r="C27" s="265">
        <v>-7746</v>
      </c>
      <c r="D27" s="265">
        <v>-2656</v>
      </c>
      <c r="E27" s="265">
        <v>3792</v>
      </c>
      <c r="F27" s="266">
        <f>F28*F$20</f>
        <v>-17419.688672194872</v>
      </c>
      <c r="G27" s="266">
        <f t="shared" ref="G27" si="30">G28*G$20</f>
        <v>-7563.336847957994</v>
      </c>
      <c r="H27" s="266">
        <f t="shared" ref="H27" si="31">H28*H$20</f>
        <v>-9376.8589108342876</v>
      </c>
      <c r="I27" s="266">
        <f t="shared" ref="I27" si="32">I28*I$20</f>
        <v>-17612.460363384533</v>
      </c>
      <c r="J27" s="266">
        <f t="shared" ref="J27" si="33">J28*J$20</f>
        <v>-15828.97528731957</v>
      </c>
    </row>
    <row r="28" spans="1:10" customFormat="1" x14ac:dyDescent="0.3">
      <c r="B28" s="2" t="s">
        <v>51</v>
      </c>
      <c r="C28" s="267">
        <f>C27/C$20</f>
        <v>-0.63242978445460485</v>
      </c>
      <c r="D28" s="267">
        <f t="shared" ref="D28" si="34">D27/D$20</f>
        <v>-7.2072072072072071E-2</v>
      </c>
      <c r="E28" s="267">
        <f t="shared" ref="E28" si="35">E27/E$20</f>
        <v>5.528260901258146E-2</v>
      </c>
      <c r="F28" s="268">
        <f>AVERAGE(C28:E28)</f>
        <v>-0.21640641583803186</v>
      </c>
      <c r="G28" s="268">
        <f t="shared" ref="G28" si="36">AVERAGE(D28:F28)</f>
        <v>-7.7731959632507494E-2</v>
      </c>
      <c r="H28" s="268">
        <f t="shared" ref="H28" si="37">AVERAGE(E28:G28)</f>
        <v>-7.9618588819319311E-2</v>
      </c>
      <c r="I28" s="268">
        <f t="shared" ref="I28" si="38">AVERAGE(F28:H28)</f>
        <v>-0.12458565476328622</v>
      </c>
      <c r="J28" s="268">
        <f t="shared" ref="J28" si="39">AVERAGE(G28:I28)</f>
        <v>-9.3978734405037678E-2</v>
      </c>
    </row>
    <row r="29" spans="1:10" customFormat="1" x14ac:dyDescent="0.3">
      <c r="B29" s="2"/>
      <c r="C29" s="265"/>
      <c r="D29" s="265"/>
      <c r="E29" s="265"/>
      <c r="F29" s="269"/>
      <c r="G29" s="269"/>
      <c r="H29" s="269"/>
      <c r="I29" s="269"/>
      <c r="J29" s="269"/>
    </row>
    <row r="30" spans="1:10" customFormat="1" x14ac:dyDescent="0.3">
      <c r="C30" s="265"/>
      <c r="D30" s="265"/>
      <c r="E30" s="265"/>
      <c r="F30" s="269"/>
      <c r="G30" s="269"/>
      <c r="H30" s="269"/>
      <c r="I30" s="269"/>
      <c r="J30" s="269"/>
    </row>
    <row r="31" spans="1:10" customFormat="1" x14ac:dyDescent="0.3">
      <c r="B31" s="2" t="s">
        <v>43</v>
      </c>
      <c r="C31" s="265">
        <v>22841</v>
      </c>
      <c r="D31" s="265">
        <v>24631</v>
      </c>
      <c r="E31" s="265">
        <v>39834</v>
      </c>
      <c r="F31" s="266">
        <f>F32*F$20</f>
        <v>83553.584933300328</v>
      </c>
      <c r="G31" s="266">
        <f t="shared" ref="G31" si="40">G32*G$20</f>
        <v>74178.4448663597</v>
      </c>
      <c r="H31" s="266">
        <f t="shared" ref="H31" si="41">H32*H$20</f>
        <v>93475.445548695759</v>
      </c>
      <c r="I31" s="266">
        <f t="shared" ref="I31" si="42">I32*I$20</f>
        <v>122239.15119782374</v>
      </c>
      <c r="J31" s="266">
        <f t="shared" ref="J31" si="43">J32*J$20</f>
        <v>135910.11149570663</v>
      </c>
    </row>
    <row r="32" spans="1:10" customFormat="1" x14ac:dyDescent="0.3">
      <c r="B32" s="2" t="s">
        <v>51</v>
      </c>
      <c r="C32" s="267">
        <f>C31/C$20</f>
        <v>1.8648758981058131</v>
      </c>
      <c r="D32" s="267">
        <f t="shared" ref="D32" si="44">D31/D$20</f>
        <v>0.668376207532834</v>
      </c>
      <c r="E32" s="267">
        <f t="shared" ref="E32" si="45">E31/E$20</f>
        <v>0.58072981207994989</v>
      </c>
      <c r="F32" s="268">
        <f>AVERAGE(C32:E32)</f>
        <v>1.0379939725728657</v>
      </c>
      <c r="G32" s="268">
        <f t="shared" ref="G32" si="46">AVERAGE(D32:F32)</f>
        <v>0.76236666406188325</v>
      </c>
      <c r="H32" s="268">
        <f t="shared" ref="H32" si="47">AVERAGE(E32:G32)</f>
        <v>0.79369681623823307</v>
      </c>
      <c r="I32" s="268">
        <f t="shared" ref="I32" si="48">AVERAGE(F32:H32)</f>
        <v>0.86468581762432739</v>
      </c>
      <c r="J32" s="268">
        <f t="shared" ref="J32" si="49">AVERAGE(G32:I32)</f>
        <v>0.80691643264148116</v>
      </c>
    </row>
    <row r="33" spans="1:12" customFormat="1" x14ac:dyDescent="0.3">
      <c r="C33" s="265"/>
      <c r="D33" s="265"/>
      <c r="E33" s="265"/>
      <c r="F33" s="266"/>
      <c r="G33" s="269"/>
      <c r="H33" s="269"/>
      <c r="I33" s="269"/>
      <c r="J33" s="269"/>
    </row>
    <row r="34" spans="1:12" customFormat="1" x14ac:dyDescent="0.3">
      <c r="C34" s="265"/>
      <c r="D34" s="265"/>
      <c r="E34" s="265"/>
      <c r="F34" s="269"/>
      <c r="G34" s="269"/>
      <c r="H34" s="269"/>
      <c r="I34" s="269"/>
      <c r="J34" s="269"/>
    </row>
    <row r="35" spans="1:12" customFormat="1" x14ac:dyDescent="0.3">
      <c r="C35" s="265"/>
      <c r="D35" s="265"/>
      <c r="E35" s="265"/>
      <c r="F35" s="269"/>
      <c r="G35" s="269"/>
      <c r="H35" s="269"/>
      <c r="I35" s="269"/>
      <c r="J35" s="269"/>
    </row>
    <row r="36" spans="1:12" customFormat="1" x14ac:dyDescent="0.3">
      <c r="C36" s="265"/>
      <c r="D36" s="265"/>
      <c r="E36" s="265"/>
      <c r="F36" s="269"/>
      <c r="G36" s="269"/>
      <c r="H36" s="269"/>
      <c r="I36" s="269"/>
      <c r="J36" s="269"/>
    </row>
    <row r="37" spans="1:12" customFormat="1" x14ac:dyDescent="0.3">
      <c r="A37" t="s">
        <v>260</v>
      </c>
      <c r="B37" s="45" t="s">
        <v>12</v>
      </c>
      <c r="C37" s="265"/>
      <c r="D37" s="265"/>
      <c r="E37" s="265"/>
      <c r="F37" s="269"/>
      <c r="G37" s="269"/>
      <c r="H37" s="269"/>
      <c r="I37" s="269"/>
      <c r="J37" s="269"/>
    </row>
    <row r="39" spans="1:12" x14ac:dyDescent="0.3">
      <c r="B39" s="2" t="s">
        <v>298</v>
      </c>
      <c r="C39" s="265">
        <v>41921</v>
      </c>
      <c r="D39" s="265">
        <v>48663</v>
      </c>
      <c r="E39" s="265">
        <v>52795</v>
      </c>
      <c r="F39" s="277">
        <f>F107-F20</f>
        <v>85775.179409867123</v>
      </c>
      <c r="G39" s="277">
        <f>G107-G20</f>
        <v>101460.84903921249</v>
      </c>
      <c r="H39" s="277">
        <f>H107-H20</f>
        <v>77740.605688493146</v>
      </c>
      <c r="I39" s="277">
        <f>I107-I20</f>
        <v>86388.891197254386</v>
      </c>
      <c r="J39" s="277">
        <f>J107-J20</f>
        <v>84497.102599275386</v>
      </c>
      <c r="L39" s="277"/>
    </row>
    <row r="40" spans="1:12" x14ac:dyDescent="0.3">
      <c r="B40" s="2" t="s">
        <v>164</v>
      </c>
      <c r="C40" s="267">
        <f>C39/C3</f>
        <v>8.1561063303650122E-2</v>
      </c>
      <c r="D40" s="267">
        <f>D39/D3</f>
        <v>8.4662960933218512E-2</v>
      </c>
      <c r="E40" s="267">
        <f>E39/E3</f>
        <v>8.2756101881155369E-2</v>
      </c>
      <c r="F40" s="267">
        <f t="shared" ref="F40:J40" si="50">F39/F3</f>
        <v>0.12116850952346769</v>
      </c>
      <c r="G40" s="267">
        <f t="shared" si="50"/>
        <v>0.13023164151517472</v>
      </c>
      <c r="H40" s="267">
        <f t="shared" si="50"/>
        <v>9.0164809126207307E-2</v>
      </c>
      <c r="I40" s="267">
        <f t="shared" si="50"/>
        <v>9.0623008080450165E-2</v>
      </c>
      <c r="J40" s="267">
        <f t="shared" si="50"/>
        <v>8.0267288251149593E-2</v>
      </c>
    </row>
    <row r="41" spans="1:12" x14ac:dyDescent="0.3">
      <c r="B41" s="2" t="s">
        <v>145</v>
      </c>
      <c r="C41" s="265">
        <v>24924</v>
      </c>
      <c r="D41" s="265">
        <v>30225</v>
      </c>
      <c r="E41" s="265">
        <v>32067</v>
      </c>
    </row>
    <row r="43" spans="1:12" x14ac:dyDescent="0.3">
      <c r="B43" s="2" t="s">
        <v>41</v>
      </c>
      <c r="C43" s="26">
        <f>C45*C$39</f>
        <v>19451.788035628309</v>
      </c>
      <c r="D43" s="26">
        <f t="shared" ref="D43:E43" si="51">D45*D$39</f>
        <v>22021.919404466502</v>
      </c>
      <c r="E43" s="26">
        <f t="shared" si="51"/>
        <v>23518.775532478874</v>
      </c>
      <c r="F43" s="273" t="e">
        <f>F45*#REF!</f>
        <v>#REF!</v>
      </c>
      <c r="G43" s="273" t="e">
        <f>G45*#REF!</f>
        <v>#REF!</v>
      </c>
      <c r="H43" s="273" t="e">
        <f>H45*#REF!</f>
        <v>#REF!</v>
      </c>
      <c r="I43" s="273" t="e">
        <f>I45*#REF!</f>
        <v>#REF!</v>
      </c>
      <c r="J43" s="273" t="e">
        <f>J45*#REF!</f>
        <v>#REF!</v>
      </c>
    </row>
    <row r="44" spans="1:12" x14ac:dyDescent="0.3">
      <c r="B44" s="2" t="s">
        <v>147</v>
      </c>
      <c r="C44" s="265">
        <v>11565</v>
      </c>
      <c r="D44" s="265">
        <v>13678</v>
      </c>
      <c r="E44" s="265">
        <v>14285</v>
      </c>
      <c r="F44" s="266">
        <f>F46*F$6</f>
        <v>16207.659881404745</v>
      </c>
      <c r="G44" s="266">
        <f t="shared" ref="G44:J44" si="52">G46*G$6</f>
        <v>17939.114117694971</v>
      </c>
      <c r="H44" s="266">
        <f t="shared" si="52"/>
        <v>19632.827085833233</v>
      </c>
      <c r="I44" s="266">
        <f t="shared" si="52"/>
        <v>21827.459024342617</v>
      </c>
      <c r="J44" s="266">
        <f t="shared" si="52"/>
        <v>24104.51043891388</v>
      </c>
    </row>
    <row r="45" spans="1:12" x14ac:dyDescent="0.3">
      <c r="B45" s="2" t="s">
        <v>150</v>
      </c>
      <c r="C45" s="267">
        <f>C44/C$41</f>
        <v>0.4640105922002889</v>
      </c>
      <c r="D45" s="267">
        <f t="shared" ref="D45:E45" si="53">D44/D$41</f>
        <v>0.45253928866832094</v>
      </c>
      <c r="E45" s="267">
        <f t="shared" si="53"/>
        <v>0.44547353977609383</v>
      </c>
      <c r="F45" s="268">
        <f>AVERAGE(C45:E45)</f>
        <v>0.45400780688156789</v>
      </c>
      <c r="G45" s="268">
        <f t="shared" ref="G45:J45" si="54">AVERAGE(D45:F45)</f>
        <v>0.45067354510866092</v>
      </c>
      <c r="H45" s="268">
        <f t="shared" si="54"/>
        <v>0.45005163058877423</v>
      </c>
      <c r="I45" s="268">
        <f t="shared" si="54"/>
        <v>0.45157766085966772</v>
      </c>
      <c r="J45" s="268">
        <f t="shared" si="54"/>
        <v>0.45076761218570094</v>
      </c>
    </row>
    <row r="46" spans="1:12" x14ac:dyDescent="0.3">
      <c r="B46" s="2" t="s">
        <v>151</v>
      </c>
      <c r="C46" s="267">
        <f>C44/C6</f>
        <v>3.6612004558693172E-2</v>
      </c>
      <c r="D46" s="267">
        <f>D44/D6</f>
        <v>3.8766764542496626E-2</v>
      </c>
      <c r="E46" s="267">
        <f>E44/E6</f>
        <v>3.6864801533947361E-2</v>
      </c>
      <c r="F46" s="268">
        <f>AVERAGE(C46:E46)</f>
        <v>3.7414523545045715E-2</v>
      </c>
      <c r="G46" s="268">
        <f t="shared" ref="G46" si="55">AVERAGE(D46:F46)</f>
        <v>3.7682029873829903E-2</v>
      </c>
      <c r="H46" s="268">
        <f t="shared" ref="H46" si="56">AVERAGE(E46:G46)</f>
        <v>3.7320451650940993E-2</v>
      </c>
      <c r="I46" s="268">
        <f t="shared" ref="I46" si="57">AVERAGE(F46:H46)</f>
        <v>3.7472335023272206E-2</v>
      </c>
      <c r="J46" s="268">
        <f t="shared" ref="J46" si="58">AVERAGE(G46:I46)</f>
        <v>3.7491605516014374E-2</v>
      </c>
    </row>
    <row r="47" spans="1:12" x14ac:dyDescent="0.3">
      <c r="B47" s="2"/>
    </row>
    <row r="48" spans="1:12" x14ac:dyDescent="0.3">
      <c r="B48" s="2" t="s">
        <v>42</v>
      </c>
      <c r="C48" s="26">
        <f>C50*C$39</f>
        <v>5858.2427780452572</v>
      </c>
      <c r="D48" s="26">
        <f t="shared" ref="D48:E48" si="59">D50*D$39</f>
        <v>6465.8596526054598</v>
      </c>
      <c r="E48" s="26">
        <f t="shared" si="59"/>
        <v>7346.221660897495</v>
      </c>
      <c r="F48" s="273" t="e">
        <f>F50*#REF!</f>
        <v>#REF!</v>
      </c>
      <c r="G48" s="273" t="e">
        <f>G50*#REF!</f>
        <v>#REF!</v>
      </c>
      <c r="H48" s="273" t="e">
        <f>H50*#REF!</f>
        <v>#REF!</v>
      </c>
      <c r="I48" s="273" t="e">
        <f>I50*#REF!</f>
        <v>#REF!</v>
      </c>
      <c r="J48" s="273" t="e">
        <f>J50*#REF!</f>
        <v>#REF!</v>
      </c>
    </row>
    <row r="49" spans="1:10" x14ac:dyDescent="0.3">
      <c r="B49" s="2" t="s">
        <v>148</v>
      </c>
      <c r="C49" s="265">
        <v>3483</v>
      </c>
      <c r="D49" s="265">
        <v>4016</v>
      </c>
      <c r="E49" s="265">
        <v>4462</v>
      </c>
      <c r="F49" s="266">
        <f>F51*F10</f>
        <v>4899.1789727116411</v>
      </c>
      <c r="G49" s="266">
        <f t="shared" ref="G49:J49" si="60">G51*G10</f>
        <v>5428.5056618102162</v>
      </c>
      <c r="H49" s="266">
        <f t="shared" si="60"/>
        <v>6002.1174727355356</v>
      </c>
      <c r="I49" s="266">
        <f t="shared" si="60"/>
        <v>6625.3339080488768</v>
      </c>
      <c r="J49" s="266">
        <f t="shared" si="60"/>
        <v>7326.5202767289529</v>
      </c>
    </row>
    <row r="50" spans="1:10" x14ac:dyDescent="0.3">
      <c r="B50" s="2" t="s">
        <v>150</v>
      </c>
      <c r="C50" s="267">
        <f>C49/C$41</f>
        <v>0.13974482426576793</v>
      </c>
      <c r="D50" s="267">
        <f t="shared" ref="D50" si="61">D49/D$41</f>
        <v>0.13287014061207611</v>
      </c>
      <c r="E50" s="267">
        <f t="shared" ref="E50" si="62">E49/E$41</f>
        <v>0.13914616272180122</v>
      </c>
      <c r="F50" s="268">
        <f>AVERAGE(C50:E50)</f>
        <v>0.13725370919988175</v>
      </c>
      <c r="G50" s="268">
        <f t="shared" ref="G50:G51" si="63">AVERAGE(D50:F50)</f>
        <v>0.13642333751125302</v>
      </c>
      <c r="H50" s="268">
        <f t="shared" ref="H50:H51" si="64">AVERAGE(E50:G50)</f>
        <v>0.13760773647764532</v>
      </c>
      <c r="I50" s="268">
        <f t="shared" ref="I50:I51" si="65">AVERAGE(F50:H50)</f>
        <v>0.13709492772959339</v>
      </c>
      <c r="J50" s="268">
        <f t="shared" ref="J50:J51" si="66">AVERAGE(G50:I50)</f>
        <v>0.13704200057283059</v>
      </c>
    </row>
    <row r="51" spans="1:10" x14ac:dyDescent="0.3">
      <c r="B51" s="2" t="s">
        <v>152</v>
      </c>
      <c r="C51" s="267">
        <f>C49/C10</f>
        <v>2.9515198250951214E-2</v>
      </c>
      <c r="D51" s="267">
        <f>D49/D10</f>
        <v>3.0609756097560975E-2</v>
      </c>
      <c r="E51" s="267">
        <f>E49/E10</f>
        <v>3.1223321624004589E-2</v>
      </c>
      <c r="F51" s="268">
        <f>AVERAGE(C51:E51)</f>
        <v>3.0449425324172257E-2</v>
      </c>
      <c r="G51" s="268">
        <f t="shared" si="63"/>
        <v>3.0760834348579274E-2</v>
      </c>
      <c r="H51" s="268">
        <f t="shared" si="64"/>
        <v>3.0811193765585373E-2</v>
      </c>
      <c r="I51" s="268">
        <f t="shared" si="65"/>
        <v>3.0673817812778965E-2</v>
      </c>
      <c r="J51" s="268">
        <f t="shared" si="66"/>
        <v>3.0748615308981205E-2</v>
      </c>
    </row>
    <row r="52" spans="1:10" x14ac:dyDescent="0.3">
      <c r="B52" s="2"/>
    </row>
    <row r="53" spans="1:10" x14ac:dyDescent="0.3">
      <c r="B53" s="2" t="s">
        <v>43</v>
      </c>
      <c r="C53" s="26">
        <f>C55*C$39</f>
        <v>16610.969186326434</v>
      </c>
      <c r="D53" s="26">
        <f t="shared" ref="D53:E53" si="67">D55*D$39</f>
        <v>20175.220942928041</v>
      </c>
      <c r="E53" s="26">
        <f t="shared" si="67"/>
        <v>21930.002806623634</v>
      </c>
      <c r="F53" s="273" t="e">
        <f>F55*#REF!</f>
        <v>#REF!</v>
      </c>
      <c r="G53" s="273" t="e">
        <f>G55*#REF!</f>
        <v>#REF!</v>
      </c>
      <c r="H53" s="273" t="e">
        <f>H55*#REF!</f>
        <v>#REF!</v>
      </c>
      <c r="I53" s="273" t="e">
        <f>I55*#REF!</f>
        <v>#REF!</v>
      </c>
      <c r="J53" s="273" t="e">
        <f>J55*#REF!</f>
        <v>#REF!</v>
      </c>
    </row>
    <row r="54" spans="1:10" x14ac:dyDescent="0.3">
      <c r="B54" s="2" t="s">
        <v>149</v>
      </c>
      <c r="C54" s="106">
        <v>9876</v>
      </c>
      <c r="D54" s="106">
        <v>12531</v>
      </c>
      <c r="E54" s="106">
        <v>13320</v>
      </c>
      <c r="F54" s="266">
        <f>F56*F14</f>
        <v>14614.169779106185</v>
      </c>
      <c r="G54" s="266">
        <f t="shared" ref="G54:J54" si="68">G56*G14</f>
        <v>16463.666650714702</v>
      </c>
      <c r="H54" s="266">
        <f t="shared" si="68"/>
        <v>18014.213030766252</v>
      </c>
      <c r="I54" s="266">
        <f t="shared" si="68"/>
        <v>19914.343789741131</v>
      </c>
      <c r="J54" s="266">
        <f t="shared" si="68"/>
        <v>22077.748526091233</v>
      </c>
    </row>
    <row r="55" spans="1:10" x14ac:dyDescent="0.3">
      <c r="B55" s="2" t="s">
        <v>150</v>
      </c>
      <c r="C55" s="267">
        <f>C54/C$41</f>
        <v>0.39624458353394321</v>
      </c>
      <c r="D55" s="267">
        <f t="shared" ref="D55" si="69">D54/D$41</f>
        <v>0.41459057071960298</v>
      </c>
      <c r="E55" s="267">
        <f t="shared" ref="E55" si="70">E54/E$41</f>
        <v>0.41538029750210498</v>
      </c>
      <c r="F55" s="268">
        <f>AVERAGE(C55:E55)</f>
        <v>0.40873848391855039</v>
      </c>
      <c r="G55" s="268">
        <f t="shared" ref="G55:G56" si="71">AVERAGE(D55:F55)</f>
        <v>0.41290311738008612</v>
      </c>
      <c r="H55" s="268">
        <f t="shared" ref="H55:H56" si="72">AVERAGE(E55:G55)</f>
        <v>0.41234063293358053</v>
      </c>
      <c r="I55" s="268">
        <f t="shared" ref="I55:I56" si="73">AVERAGE(F55:H55)</f>
        <v>0.41132741141073903</v>
      </c>
      <c r="J55" s="268">
        <f t="shared" ref="J55:J56" si="74">AVERAGE(G55:I55)</f>
        <v>0.41219038724146856</v>
      </c>
    </row>
    <row r="56" spans="1:10" x14ac:dyDescent="0.3">
      <c r="B56" s="2" t="s">
        <v>153</v>
      </c>
      <c r="C56" s="267">
        <f>C54/C14</f>
        <v>0.12330203755493407</v>
      </c>
      <c r="D56" s="267">
        <f>D54/D14</f>
        <v>0.13807199444670934</v>
      </c>
      <c r="E56" s="267">
        <f>E54/E14</f>
        <v>0.12384246346089479</v>
      </c>
      <c r="F56" s="268">
        <f>AVERAGE(C56:E56)</f>
        <v>0.12840549848751273</v>
      </c>
      <c r="G56" s="268">
        <f t="shared" si="71"/>
        <v>0.13010665213170561</v>
      </c>
      <c r="H56" s="268">
        <f t="shared" si="72"/>
        <v>0.12745153802670439</v>
      </c>
      <c r="I56" s="268">
        <f t="shared" si="73"/>
        <v>0.12865456288197424</v>
      </c>
      <c r="J56" s="268">
        <f t="shared" si="74"/>
        <v>0.12873758434679475</v>
      </c>
    </row>
    <row r="61" spans="1:10" x14ac:dyDescent="0.3">
      <c r="A61" t="s">
        <v>260</v>
      </c>
      <c r="B61" s="45" t="s">
        <v>14</v>
      </c>
    </row>
    <row r="63" spans="1:10" x14ac:dyDescent="0.3">
      <c r="B63" t="s">
        <v>154</v>
      </c>
      <c r="C63" s="265">
        <v>63645</v>
      </c>
      <c r="D63" s="265">
        <v>52729</v>
      </c>
      <c r="E63" s="265">
        <v>82999</v>
      </c>
      <c r="F63" s="266">
        <f>F64*F3</f>
        <v>81565.362614563899</v>
      </c>
      <c r="G63" s="266">
        <f t="shared" ref="G63:J63" si="75">G64*G3</f>
        <v>83880.568055811164</v>
      </c>
      <c r="H63" s="266">
        <f t="shared" si="75"/>
        <v>86316.094999618057</v>
      </c>
      <c r="I63" s="266">
        <f t="shared" si="75"/>
        <v>88230.997303056094</v>
      </c>
      <c r="J63" s="266">
        <f t="shared" si="75"/>
        <v>89479.212234823994</v>
      </c>
    </row>
    <row r="64" spans="1:10" x14ac:dyDescent="0.3">
      <c r="B64" t="s">
        <v>164</v>
      </c>
      <c r="C64" s="267">
        <f>C63/C3</f>
        <v>0.12382705264571008</v>
      </c>
      <c r="D64" s="267">
        <f t="shared" ref="D64:E64" si="76">D63/D3</f>
        <v>9.1736910322990334E-2</v>
      </c>
      <c r="E64" s="267">
        <f t="shared" si="76"/>
        <v>0.13010083720113674</v>
      </c>
      <c r="F64" s="268">
        <f>AVERAGE(C64:E64)</f>
        <v>0.11522160005661237</v>
      </c>
      <c r="G64" s="271">
        <f>F64+($J$64-$F$64)/($J$1-$F$1)</f>
        <v>0.10766620004245928</v>
      </c>
      <c r="H64" s="271">
        <f>G64+($J$64-$F$64)/($J$1-$F$1)</f>
        <v>0.10011080002830619</v>
      </c>
      <c r="I64" s="271">
        <f>H64+($J$64-$F$64)/($J$1-$F$1)</f>
        <v>9.2555400014153105E-2</v>
      </c>
      <c r="J64" s="268">
        <v>8.5000000000000006E-2</v>
      </c>
    </row>
    <row r="65" spans="2:10" x14ac:dyDescent="0.3">
      <c r="B65" t="s">
        <v>156</v>
      </c>
      <c r="C65" s="265">
        <v>58148</v>
      </c>
      <c r="D65" s="265">
        <v>46516</v>
      </c>
      <c r="E65" s="265">
        <v>84258</v>
      </c>
    </row>
    <row r="67" spans="2:10" x14ac:dyDescent="0.3">
      <c r="B67" s="2" t="s">
        <v>41</v>
      </c>
      <c r="C67" s="270">
        <f>C69*C$63</f>
        <v>25920.769243998075</v>
      </c>
      <c r="D67" s="270">
        <f t="shared" ref="D67:E67" si="77">D69*D$63</f>
        <v>19870.294973772467</v>
      </c>
      <c r="E67" s="270">
        <f t="shared" si="77"/>
        <v>23984.187281919818</v>
      </c>
      <c r="F67" s="266">
        <f>F69*F$63</f>
        <v>29175.353049095418</v>
      </c>
      <c r="G67" s="266">
        <f t="shared" ref="G67:J67" si="78">G69*G$63</f>
        <v>28617.270426626586</v>
      </c>
      <c r="H67" s="266">
        <f t="shared" si="78"/>
        <v>28421.858266830219</v>
      </c>
      <c r="I67" s="266">
        <f t="shared" si="78"/>
        <v>30237.828888235606</v>
      </c>
      <c r="J67" s="266">
        <f t="shared" si="78"/>
        <v>30218.782617136832</v>
      </c>
    </row>
    <row r="68" spans="2:10" x14ac:dyDescent="0.3">
      <c r="B68" s="2" t="s">
        <v>147</v>
      </c>
      <c r="C68" s="265">
        <v>23682</v>
      </c>
      <c r="D68" s="265">
        <v>17529</v>
      </c>
      <c r="E68" s="265">
        <v>24348</v>
      </c>
      <c r="F68" s="266">
        <f>F70*F6</f>
        <v>28918.619040726804</v>
      </c>
      <c r="G68" s="266">
        <f t="shared" ref="G68:J68" si="79">G70*G6</f>
        <v>29352.529361456887</v>
      </c>
      <c r="H68" s="266">
        <f t="shared" si="79"/>
        <v>33371.325031258813</v>
      </c>
      <c r="I68" s="266">
        <f t="shared" si="79"/>
        <v>37250.543932506</v>
      </c>
      <c r="J68" s="266">
        <f t="shared" si="79"/>
        <v>40513.79390284275</v>
      </c>
    </row>
    <row r="69" spans="2:10" x14ac:dyDescent="0.3">
      <c r="B69" s="2" t="s">
        <v>155</v>
      </c>
      <c r="C69" s="267">
        <f>C68/C$65</f>
        <v>0.40727110132764671</v>
      </c>
      <c r="D69" s="267">
        <f t="shared" ref="D69:E69" si="80">D68/D$65</f>
        <v>0.37683807722074125</v>
      </c>
      <c r="E69" s="267">
        <f t="shared" si="80"/>
        <v>0.2889695933917254</v>
      </c>
      <c r="F69" s="268">
        <f>AVERAGE(C69:E69)</f>
        <v>0.35769292398003777</v>
      </c>
      <c r="G69" s="268">
        <f t="shared" ref="G69:G70" si="81">AVERAGE(D69:F69)</f>
        <v>0.34116686486416814</v>
      </c>
      <c r="H69" s="268">
        <f t="shared" ref="H69:H70" si="82">AVERAGE(E69:G69)</f>
        <v>0.32927646074531042</v>
      </c>
      <c r="I69" s="268">
        <f t="shared" ref="I69:I70" si="83">AVERAGE(F69:H69)</f>
        <v>0.34271208319650542</v>
      </c>
      <c r="J69" s="268">
        <f t="shared" ref="J69:J70" si="84">AVERAGE(G69:I69)</f>
        <v>0.33771846960199464</v>
      </c>
    </row>
    <row r="70" spans="2:10" x14ac:dyDescent="0.3">
      <c r="B70" s="2" t="s">
        <v>151</v>
      </c>
      <c r="C70" s="267">
        <f>C67/C6</f>
        <v>8.2058912384443697E-2</v>
      </c>
      <c r="D70" s="267">
        <f t="shared" ref="D70:E70" si="85">D67/D6</f>
        <v>5.6317228150182148E-2</v>
      </c>
      <c r="E70" s="267">
        <f t="shared" si="85"/>
        <v>6.1895156044872134E-2</v>
      </c>
      <c r="F70" s="268">
        <f>AVERAGE(C70:E70)</f>
        <v>6.6757098859832664E-2</v>
      </c>
      <c r="G70" s="268">
        <f t="shared" si="81"/>
        <v>6.1656494351628982E-2</v>
      </c>
      <c r="H70" s="268">
        <f t="shared" si="82"/>
        <v>6.3436249752111262E-2</v>
      </c>
      <c r="I70" s="268">
        <f t="shared" si="83"/>
        <v>6.3949947654524303E-2</v>
      </c>
      <c r="J70" s="268">
        <f t="shared" si="84"/>
        <v>6.3014230586088182E-2</v>
      </c>
    </row>
    <row r="71" spans="2:10" x14ac:dyDescent="0.3">
      <c r="B71" s="2"/>
    </row>
    <row r="72" spans="2:10" x14ac:dyDescent="0.3">
      <c r="B72" s="2" t="s">
        <v>42</v>
      </c>
      <c r="C72" s="270">
        <f>C74*C$63</f>
        <v>7345.421940565454</v>
      </c>
      <c r="D72" s="270">
        <f t="shared" ref="D72:E72" si="86">D74*D$63</f>
        <v>4697.5014188666264</v>
      </c>
      <c r="E72" s="270">
        <f t="shared" si="86"/>
        <v>6543.7389565382518</v>
      </c>
      <c r="F72" s="266">
        <f>F74*F$63</f>
        <v>7703.609240659177</v>
      </c>
      <c r="G72" s="266">
        <f t="shared" ref="G72:J72" si="87">G74*G$63</f>
        <v>7336.0790266250715</v>
      </c>
      <c r="H72" s="266">
        <f t="shared" si="87"/>
        <v>7502.2171581833027</v>
      </c>
      <c r="I72" s="266">
        <f t="shared" si="87"/>
        <v>7906.1241831913294</v>
      </c>
      <c r="J72" s="266">
        <f t="shared" si="87"/>
        <v>7873.6144373477346</v>
      </c>
    </row>
    <row r="73" spans="2:10" x14ac:dyDescent="0.3">
      <c r="B73" s="2" t="s">
        <v>148</v>
      </c>
      <c r="C73" s="265">
        <v>6711</v>
      </c>
      <c r="D73" s="265">
        <v>4144</v>
      </c>
      <c r="E73" s="265">
        <v>6643</v>
      </c>
      <c r="F73" s="266">
        <f>F75*F10</f>
        <v>7714.4236380210195</v>
      </c>
      <c r="G73" s="266">
        <f t="shared" ref="G73:J73" si="88">G75*G10</f>
        <v>7620.2552347964311</v>
      </c>
      <c r="H73" s="266">
        <f t="shared" si="88"/>
        <v>8890.6688815307389</v>
      </c>
      <c r="I73" s="266">
        <f t="shared" si="88"/>
        <v>9846.8730249831169</v>
      </c>
      <c r="J73" s="266">
        <f t="shared" si="88"/>
        <v>10675.243709111781</v>
      </c>
    </row>
    <row r="74" spans="2:10" x14ac:dyDescent="0.3">
      <c r="B74" s="2" t="s">
        <v>155</v>
      </c>
      <c r="C74" s="267">
        <f>C73/C$65</f>
        <v>0.11541239595514893</v>
      </c>
      <c r="D74" s="267">
        <f t="shared" ref="D74" si="89">D73/D$65</f>
        <v>8.908762576317826E-2</v>
      </c>
      <c r="E74" s="267">
        <f t="shared" ref="E74" si="90">E73/E$65</f>
        <v>7.8841178285741415E-2</v>
      </c>
      <c r="F74" s="268">
        <f>AVERAGE(C74:E74)</f>
        <v>9.4447066668022869E-2</v>
      </c>
      <c r="G74" s="268">
        <f t="shared" ref="G74:G75" si="91">AVERAGE(D74:F74)</f>
        <v>8.7458623572314195E-2</v>
      </c>
      <c r="H74" s="268">
        <f t="shared" ref="H74:H75" si="92">AVERAGE(E74:G74)</f>
        <v>8.6915622842026155E-2</v>
      </c>
      <c r="I74" s="268">
        <f t="shared" ref="I74:I75" si="93">AVERAGE(F74:H74)</f>
        <v>8.960710436078774E-2</v>
      </c>
      <c r="J74" s="268">
        <f t="shared" ref="J74:J75" si="94">AVERAGE(G74:I74)</f>
        <v>8.7993783591709354E-2</v>
      </c>
    </row>
    <row r="75" spans="2:10" x14ac:dyDescent="0.3">
      <c r="B75" s="2" t="s">
        <v>152</v>
      </c>
      <c r="C75" s="267">
        <f>C72/C10</f>
        <v>6.224564594104972E-2</v>
      </c>
      <c r="D75" s="267">
        <f t="shared" ref="D75:E75" si="95">D72/D10</f>
        <v>3.5804126668190751E-2</v>
      </c>
      <c r="E75" s="267">
        <f t="shared" si="95"/>
        <v>4.5790512340547297E-2</v>
      </c>
      <c r="F75" s="268">
        <f>AVERAGE(C75:E75)</f>
        <v>4.7946761649929254E-2</v>
      </c>
      <c r="G75" s="268">
        <f t="shared" si="91"/>
        <v>4.3180466886222436E-2</v>
      </c>
      <c r="H75" s="268">
        <f t="shared" si="92"/>
        <v>4.5639246958899655E-2</v>
      </c>
      <c r="I75" s="268">
        <f t="shared" si="93"/>
        <v>4.5588825165017111E-2</v>
      </c>
      <c r="J75" s="268">
        <f t="shared" si="94"/>
        <v>4.4802846336713074E-2</v>
      </c>
    </row>
    <row r="76" spans="2:10" x14ac:dyDescent="0.3">
      <c r="B76" s="2"/>
    </row>
    <row r="77" spans="2:10" x14ac:dyDescent="0.3">
      <c r="B77" s="2" t="s">
        <v>43</v>
      </c>
      <c r="C77" s="270">
        <f>C79*C$63</f>
        <v>30378.808815436474</v>
      </c>
      <c r="D77" s="270">
        <f t="shared" ref="D77:E77" si="96">D79*D$63</f>
        <v>28161.203607360905</v>
      </c>
      <c r="E77" s="270">
        <f t="shared" si="96"/>
        <v>52471.073761541935</v>
      </c>
      <c r="F77" s="266">
        <f>F79*F$63</f>
        <v>44686.400324809299</v>
      </c>
      <c r="G77" s="266">
        <f t="shared" ref="G77:J77" si="97">G79*G$63</f>
        <v>47927.218602559507</v>
      </c>
      <c r="H77" s="266">
        <f t="shared" si="97"/>
        <v>50392.019574604528</v>
      </c>
      <c r="I77" s="266">
        <f t="shared" si="97"/>
        <v>50087.044231629152</v>
      </c>
      <c r="J77" s="266">
        <f t="shared" si="97"/>
        <v>51386.815180339414</v>
      </c>
    </row>
    <row r="78" spans="2:10" x14ac:dyDescent="0.3">
      <c r="B78" s="2" t="s">
        <v>149</v>
      </c>
      <c r="C78" s="265">
        <v>27755</v>
      </c>
      <c r="D78" s="265">
        <v>24843</v>
      </c>
      <c r="E78" s="265">
        <v>53267</v>
      </c>
      <c r="F78" s="266">
        <f>F80*F14</f>
        <v>44668.475156801353</v>
      </c>
      <c r="G78" s="266">
        <f t="shared" ref="G78:J78" si="98">G80*G14</f>
        <v>50220.050715104713</v>
      </c>
      <c r="H78" s="266">
        <f t="shared" si="98"/>
        <v>60173.58969754821</v>
      </c>
      <c r="I78" s="266">
        <f t="shared" si="98"/>
        <v>62693.611292141075</v>
      </c>
      <c r="J78" s="266">
        <f t="shared" si="98"/>
        <v>70177.064866948334</v>
      </c>
    </row>
    <row r="79" spans="2:10" x14ac:dyDescent="0.3">
      <c r="B79" s="2" t="s">
        <v>155</v>
      </c>
      <c r="C79" s="267">
        <f>C78/C$65</f>
        <v>0.47731650271720438</v>
      </c>
      <c r="D79" s="267">
        <f t="shared" ref="D79" si="99">D78/D$65</f>
        <v>0.53407429701608045</v>
      </c>
      <c r="E79" s="267">
        <f t="shared" ref="E79" si="100">E78/E$65</f>
        <v>0.63218922832253321</v>
      </c>
      <c r="F79" s="268">
        <f>AVERAGE(C79:E79)</f>
        <v>0.54786000935193935</v>
      </c>
      <c r="G79" s="268">
        <f t="shared" ref="G79" si="101">AVERAGE(D79:F79)</f>
        <v>0.57137451156351771</v>
      </c>
      <c r="H79" s="268">
        <f t="shared" ref="H79" si="102">AVERAGE(E79:G79)</f>
        <v>0.58380791641266339</v>
      </c>
      <c r="I79" s="268">
        <f t="shared" ref="I79" si="103">AVERAGE(F79:H79)</f>
        <v>0.56768081244270674</v>
      </c>
      <c r="J79" s="268">
        <f t="shared" ref="J79" si="104">AVERAGE(G79:I79)</f>
        <v>0.57428774680629591</v>
      </c>
    </row>
    <row r="80" spans="2:10" x14ac:dyDescent="0.3">
      <c r="B80" s="2" t="s">
        <v>153</v>
      </c>
      <c r="C80" s="267">
        <f>C77/C14</f>
        <v>0.37927997422388726</v>
      </c>
      <c r="D80" s="267">
        <f t="shared" ref="D80:E80" si="105">D77/D14</f>
        <v>0.31029235879723771</v>
      </c>
      <c r="E80" s="267">
        <f t="shared" si="105"/>
        <v>0.48784887650658199</v>
      </c>
      <c r="F80" s="268">
        <f>AVERAGE(C80:E80)</f>
        <v>0.39247373650923567</v>
      </c>
      <c r="G80" s="268">
        <f t="shared" ref="G80" si="106">AVERAGE(D80:F80)</f>
        <v>0.39687165727101847</v>
      </c>
      <c r="H80" s="268">
        <f t="shared" ref="H80" si="107">AVERAGE(E80:G80)</f>
        <v>0.42573142342894538</v>
      </c>
      <c r="I80" s="268">
        <f t="shared" ref="I80" si="108">AVERAGE(F80:H80)</f>
        <v>0.40502560573639984</v>
      </c>
      <c r="J80" s="268">
        <f t="shared" ref="J80" si="109">AVERAGE(G80:I80)</f>
        <v>0.40920956214545456</v>
      </c>
    </row>
    <row r="84" spans="1:10" x14ac:dyDescent="0.3">
      <c r="A84" t="s">
        <v>260</v>
      </c>
      <c r="B84" s="45" t="s">
        <v>300</v>
      </c>
    </row>
    <row r="86" spans="1:10" x14ac:dyDescent="0.3">
      <c r="B86" t="s">
        <v>161</v>
      </c>
      <c r="C86" s="265">
        <v>-20886</v>
      </c>
      <c r="D86" s="265">
        <v>-11541</v>
      </c>
      <c r="E86" s="265">
        <v>-15541</v>
      </c>
      <c r="F86" s="266">
        <f>F87*F3</f>
        <v>-20074.837866903006</v>
      </c>
      <c r="G86" s="266">
        <f>G87*G3</f>
        <v>-23367.506481218668</v>
      </c>
      <c r="H86" s="266">
        <f>H87*H3</f>
        <v>-27270.830635760074</v>
      </c>
      <c r="I86" s="266">
        <f>I87*I3</f>
        <v>-31710.376750471038</v>
      </c>
      <c r="J86" s="266">
        <f>J87*J3</f>
        <v>-36739.111847004198</v>
      </c>
    </row>
    <row r="87" spans="1:10" x14ac:dyDescent="0.3">
      <c r="B87" t="s">
        <v>160</v>
      </c>
      <c r="C87" s="267">
        <f>C86/C3</f>
        <v>-4.0635585223635799E-2</v>
      </c>
      <c r="D87" s="267">
        <f>D86/D3</f>
        <v>-2.0078812077559436E-2</v>
      </c>
      <c r="E87" s="267">
        <f>E86/E3</f>
        <v>-2.4360499655934002E-2</v>
      </c>
      <c r="F87" s="268">
        <f>AVERAGE(C87:E87)</f>
        <v>-2.835829898570975E-2</v>
      </c>
      <c r="G87" s="268">
        <f>F87+($J$87-$F$87)/($J$1-$F$1)</f>
        <v>-2.9993724239282312E-2</v>
      </c>
      <c r="H87" s="268">
        <f>G87+($J$87-$F$87)/($J$1-$F$1)</f>
        <v>-3.1629149492854877E-2</v>
      </c>
      <c r="I87" s="268">
        <f>H87+($J$87-$F$87)/($J$1-$F$1)</f>
        <v>-3.3264574746427439E-2</v>
      </c>
      <c r="J87" s="271">
        <v>-3.49E-2</v>
      </c>
    </row>
    <row r="91" spans="1:10" x14ac:dyDescent="0.3">
      <c r="B91" t="s">
        <v>41</v>
      </c>
      <c r="C91" s="270">
        <f>C93*C$86</f>
        <v>-12835.968660442077</v>
      </c>
      <c r="D91" s="270">
        <f t="shared" ref="D91:J91" si="110">D93*D$86</f>
        <v>-7084.3671077011404</v>
      </c>
      <c r="E91" s="270">
        <f t="shared" si="110"/>
        <v>-9439.6205351754579</v>
      </c>
      <c r="F91" s="266">
        <f t="shared" si="110"/>
        <v>-12284.578854043169</v>
      </c>
      <c r="G91" s="266">
        <f t="shared" si="110"/>
        <v>-14278.977107781591</v>
      </c>
      <c r="H91" s="266">
        <f t="shared" si="110"/>
        <v>-16638.856053327869</v>
      </c>
      <c r="I91" s="266">
        <f t="shared" si="110"/>
        <v>-19376.458440310544</v>
      </c>
      <c r="J91" s="266">
        <f t="shared" si="110"/>
        <v>-22438.287257630491</v>
      </c>
    </row>
    <row r="92" spans="1:10" x14ac:dyDescent="0.3">
      <c r="B92" t="s">
        <v>151</v>
      </c>
      <c r="C92" s="267">
        <f t="shared" ref="C92:J92" si="111">C91/C6</f>
        <v>-4.0635585223635799E-2</v>
      </c>
      <c r="D92" s="267">
        <f t="shared" si="111"/>
        <v>-2.0078812077559436E-2</v>
      </c>
      <c r="E92" s="267">
        <f t="shared" si="111"/>
        <v>-2.4360499655934002E-2</v>
      </c>
      <c r="F92" s="268">
        <f t="shared" si="111"/>
        <v>-2.8358298985709754E-2</v>
      </c>
      <c r="G92" s="268">
        <f t="shared" si="111"/>
        <v>-2.9993724239282312E-2</v>
      </c>
      <c r="H92" s="268">
        <f t="shared" si="111"/>
        <v>-3.1629149492854877E-2</v>
      </c>
      <c r="I92" s="268">
        <f t="shared" si="111"/>
        <v>-3.3264574746427439E-2</v>
      </c>
      <c r="J92" s="268">
        <f t="shared" si="111"/>
        <v>-3.49E-2</v>
      </c>
    </row>
    <row r="93" spans="1:10" x14ac:dyDescent="0.3">
      <c r="B93" t="s">
        <v>157</v>
      </c>
      <c r="C93" s="272">
        <f t="shared" ref="C93:J93" si="112">C7</f>
        <v>0.61457285552245888</v>
      </c>
      <c r="D93" s="272">
        <f t="shared" si="112"/>
        <v>0.61384343711126765</v>
      </c>
      <c r="E93" s="272">
        <f t="shared" si="112"/>
        <v>0.6074011025786924</v>
      </c>
      <c r="F93" s="271">
        <f t="shared" si="112"/>
        <v>0.61193913173747294</v>
      </c>
      <c r="G93" s="271">
        <f t="shared" si="112"/>
        <v>0.61106122380914429</v>
      </c>
      <c r="H93" s="271">
        <f t="shared" si="112"/>
        <v>0.61013381937510325</v>
      </c>
      <c r="I93" s="271">
        <f t="shared" si="112"/>
        <v>0.61104472497390683</v>
      </c>
      <c r="J93" s="271">
        <f t="shared" si="112"/>
        <v>0.61074658938605142</v>
      </c>
    </row>
    <row r="95" spans="1:10" x14ac:dyDescent="0.3">
      <c r="B95" t="s">
        <v>42</v>
      </c>
      <c r="C95" s="270">
        <f>C97*C$86</f>
        <v>-4795.2835054855905</v>
      </c>
      <c r="D95" s="270">
        <f t="shared" ref="D95:J95" si="113">D97*D$86</f>
        <v>-2634.3401445757977</v>
      </c>
      <c r="E95" s="270">
        <f t="shared" si="113"/>
        <v>-3481.2615638309044</v>
      </c>
      <c r="F95" s="266">
        <f t="shared" si="113"/>
        <v>-4562.7259172726554</v>
      </c>
      <c r="G95" s="266">
        <f t="shared" si="113"/>
        <v>-5293.130218987003</v>
      </c>
      <c r="H95" s="266">
        <f t="shared" si="113"/>
        <v>-6161.4578215684987</v>
      </c>
      <c r="I95" s="266">
        <f t="shared" si="113"/>
        <v>-7184.9196063398495</v>
      </c>
      <c r="J95" s="266">
        <f t="shared" si="113"/>
        <v>-8315.6771480098378</v>
      </c>
    </row>
    <row r="96" spans="1:10" x14ac:dyDescent="0.3">
      <c r="B96" t="s">
        <v>152</v>
      </c>
      <c r="C96" s="267">
        <f t="shared" ref="C96:J96" si="114">C95/C10</f>
        <v>-4.0635585223635806E-2</v>
      </c>
      <c r="D96" s="267">
        <f t="shared" si="114"/>
        <v>-2.0078812077559433E-2</v>
      </c>
      <c r="E96" s="267">
        <f t="shared" si="114"/>
        <v>-2.4360499655934002E-2</v>
      </c>
      <c r="F96" s="268">
        <f t="shared" si="114"/>
        <v>-2.8358298985709754E-2</v>
      </c>
      <c r="G96" s="268">
        <f t="shared" si="114"/>
        <v>-2.9993724239282309E-2</v>
      </c>
      <c r="H96" s="268">
        <f t="shared" si="114"/>
        <v>-3.1629149492854877E-2</v>
      </c>
      <c r="I96" s="268">
        <f t="shared" si="114"/>
        <v>-3.3264574746427439E-2</v>
      </c>
      <c r="J96" s="268">
        <f t="shared" si="114"/>
        <v>-3.49E-2</v>
      </c>
    </row>
    <row r="97" spans="1:10" x14ac:dyDescent="0.3">
      <c r="B97" t="s">
        <v>158</v>
      </c>
      <c r="C97" s="272">
        <f t="shared" ref="C97:J97" si="115">C11</f>
        <v>0.22959319666214642</v>
      </c>
      <c r="D97" s="272">
        <f t="shared" si="115"/>
        <v>0.22825926215889419</v>
      </c>
      <c r="E97" s="272">
        <f t="shared" si="115"/>
        <v>0.22400499091634415</v>
      </c>
      <c r="F97" s="271">
        <f t="shared" si="115"/>
        <v>0.22728581657912827</v>
      </c>
      <c r="G97" s="271">
        <f t="shared" si="115"/>
        <v>0.22651668988478887</v>
      </c>
      <c r="H97" s="271">
        <f t="shared" si="115"/>
        <v>0.22593583246008711</v>
      </c>
      <c r="I97" s="271">
        <f t="shared" si="115"/>
        <v>0.22657944630800142</v>
      </c>
      <c r="J97" s="271">
        <f t="shared" si="115"/>
        <v>0.22634398955095913</v>
      </c>
    </row>
    <row r="99" spans="1:10" x14ac:dyDescent="0.3">
      <c r="B99" t="s">
        <v>43</v>
      </c>
      <c r="C99" s="270">
        <f>C101*C$86</f>
        <v>-3254.7478340723333</v>
      </c>
      <c r="D99" s="270">
        <f t="shared" ref="D99:J99" si="116">D101*D$86</f>
        <v>-1822.2927477230619</v>
      </c>
      <c r="E99" s="270">
        <f t="shared" si="116"/>
        <v>-2620.1179009936372</v>
      </c>
      <c r="F99" s="266">
        <f t="shared" si="116"/>
        <v>-3227.5330955871814</v>
      </c>
      <c r="G99" s="266">
        <f t="shared" si="116"/>
        <v>-3795.3991544500741</v>
      </c>
      <c r="H99" s="266">
        <f t="shared" si="116"/>
        <v>-4470.5167608637066</v>
      </c>
      <c r="I99" s="266">
        <f t="shared" si="116"/>
        <v>-5148.9987038206446</v>
      </c>
      <c r="J99" s="266">
        <f t="shared" si="116"/>
        <v>-5985.1474413638698</v>
      </c>
    </row>
    <row r="100" spans="1:10" x14ac:dyDescent="0.3">
      <c r="B100" t="s">
        <v>153</v>
      </c>
      <c r="C100" s="267">
        <f t="shared" ref="C100:J100" si="117">C99/C14</f>
        <v>-4.0635585223635806E-2</v>
      </c>
      <c r="D100" s="267">
        <f t="shared" si="117"/>
        <v>-2.0078812077559439E-2</v>
      </c>
      <c r="E100" s="267">
        <f t="shared" si="117"/>
        <v>-2.4360499655933999E-2</v>
      </c>
      <c r="F100" s="268">
        <f t="shared" si="117"/>
        <v>-2.8358298985709754E-2</v>
      </c>
      <c r="G100" s="268">
        <f t="shared" si="117"/>
        <v>-2.9993724239282309E-2</v>
      </c>
      <c r="H100" s="268">
        <f t="shared" si="117"/>
        <v>-3.162914949285487E-2</v>
      </c>
      <c r="I100" s="268">
        <f t="shared" si="117"/>
        <v>-3.3264574746427439E-2</v>
      </c>
      <c r="J100" s="268">
        <f t="shared" si="117"/>
        <v>-3.49E-2</v>
      </c>
    </row>
    <row r="101" spans="1:10" x14ac:dyDescent="0.3">
      <c r="B101" t="s">
        <v>159</v>
      </c>
      <c r="C101" s="272">
        <f t="shared" ref="C101:J101" si="118">C15</f>
        <v>0.15583394781539467</v>
      </c>
      <c r="D101" s="272">
        <f t="shared" si="118"/>
        <v>0.15789730072983812</v>
      </c>
      <c r="E101" s="272">
        <f t="shared" si="118"/>
        <v>0.16859390650496348</v>
      </c>
      <c r="F101" s="271">
        <f t="shared" si="118"/>
        <v>0.16077505168339876</v>
      </c>
      <c r="G101" s="271">
        <f t="shared" si="118"/>
        <v>0.1624220863060668</v>
      </c>
      <c r="H101" s="271">
        <f t="shared" si="118"/>
        <v>0.16393034816480967</v>
      </c>
      <c r="I101" s="271">
        <f t="shared" si="118"/>
        <v>0.16237582871809175</v>
      </c>
      <c r="J101" s="271">
        <f t="shared" si="118"/>
        <v>0.16290942106298942</v>
      </c>
    </row>
    <row r="104" spans="1:10" x14ac:dyDescent="0.3">
      <c r="H104" s="266"/>
    </row>
    <row r="105" spans="1:10" x14ac:dyDescent="0.3">
      <c r="A105" t="s">
        <v>260</v>
      </c>
      <c r="B105" s="45" t="s">
        <v>61</v>
      </c>
      <c r="C105" s="270"/>
    </row>
    <row r="106" spans="1:10" x14ac:dyDescent="0.3">
      <c r="B106" s="3"/>
      <c r="C106" s="270"/>
    </row>
    <row r="107" spans="1:10" x14ac:dyDescent="0.3">
      <c r="B107" t="s">
        <v>61</v>
      </c>
      <c r="C107">
        <f>IS!J18</f>
        <v>54169</v>
      </c>
      <c r="D107">
        <f>IS!K18</f>
        <v>85515</v>
      </c>
      <c r="E107">
        <f>IS!L18</f>
        <v>121388</v>
      </c>
      <c r="F107" s="266">
        <v>166270.43</v>
      </c>
      <c r="G107" s="266">
        <v>198761.07</v>
      </c>
      <c r="H107" s="266">
        <f>H108*H3</f>
        <v>195512.83764946717</v>
      </c>
      <c r="I107" s="266">
        <f>I108*I3</f>
        <v>227757.17630879756</v>
      </c>
      <c r="J107" s="266">
        <f>J108*J3</f>
        <v>252928.56092364996</v>
      </c>
    </row>
    <row r="108" spans="1:10" x14ac:dyDescent="0.3">
      <c r="B108" t="s">
        <v>299</v>
      </c>
      <c r="C108" s="267">
        <f>C107/C3</f>
        <v>0.10539064521589235</v>
      </c>
      <c r="D108" s="267">
        <f>D107/D3</f>
        <v>0.14877736892925181</v>
      </c>
      <c r="E108" s="267">
        <f>E107/E3</f>
        <v>0.19027555062315918</v>
      </c>
      <c r="F108" s="268">
        <f>F107/F3</f>
        <v>0.23487843825609642</v>
      </c>
      <c r="G108" s="268">
        <f t="shared" ref="G108" si="119">G107/G3</f>
        <v>0.255122844530983</v>
      </c>
      <c r="H108" s="268">
        <f t="shared" ref="H108:J108" si="120">AVERAGE(E108:G108)</f>
        <v>0.22675894447007952</v>
      </c>
      <c r="I108" s="268">
        <f t="shared" si="120"/>
        <v>0.2389200757523863</v>
      </c>
      <c r="J108" s="268">
        <f t="shared" si="120"/>
        <v>0.2402672882511496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BF97-422A-46DC-9E2B-7D4F4AF0EAFC}">
  <sheetPr codeName="Sheet3"/>
  <dimension ref="A1:AA160"/>
  <sheetViews>
    <sheetView topLeftCell="A61" zoomScaleNormal="100" workbookViewId="0">
      <selection activeCell="O73" sqref="O73"/>
    </sheetView>
  </sheetViews>
  <sheetFormatPr defaultColWidth="9.77734375" defaultRowHeight="14.4" x14ac:dyDescent="0.3"/>
  <cols>
    <col min="1" max="1" width="3.77734375" style="8" customWidth="1"/>
    <col min="2" max="3" width="10.5546875" style="8" bestFit="1" customWidth="1"/>
    <col min="4" max="4" width="9.77734375" style="8"/>
    <col min="5" max="5" width="2.77734375" style="8" bestFit="1" customWidth="1"/>
    <col min="6" max="11" width="8.44140625" style="235" bestFit="1" customWidth="1"/>
    <col min="12" max="12" width="8.5546875" style="235" bestFit="1" customWidth="1"/>
    <col min="13" max="20" width="10.21875" style="235" customWidth="1"/>
    <col min="21" max="21" width="3.77734375" style="8" customWidth="1"/>
    <col min="22" max="22" width="9.77734375" style="8"/>
    <col min="23" max="16384" width="9.77734375" style="2"/>
  </cols>
  <sheetData>
    <row r="1" spans="1:24" x14ac:dyDescent="0.3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23.4" x14ac:dyDescent="0.45">
      <c r="A2" s="70"/>
      <c r="B2" s="4" t="s">
        <v>165</v>
      </c>
      <c r="C2" s="1"/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</row>
    <row r="3" spans="1:24" x14ac:dyDescent="0.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x14ac:dyDescent="0.3">
      <c r="A4" s="3"/>
      <c r="B4" s="3" t="s">
        <v>166</v>
      </c>
      <c r="C4" s="10" t="s">
        <v>169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4" x14ac:dyDescent="0.3">
      <c r="A5" s="3"/>
      <c r="B5" s="3" t="s">
        <v>167</v>
      </c>
      <c r="C5" s="90">
        <f>DATE(2025,8,21)</f>
        <v>45890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4" x14ac:dyDescent="0.3">
      <c r="A6" s="3"/>
      <c r="B6" s="3" t="s">
        <v>168</v>
      </c>
      <c r="C6" s="90">
        <f>DATE(2025,12,31)</f>
        <v>46022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4" x14ac:dyDescent="0.3">
      <c r="A7" s="3"/>
      <c r="B7" s="2"/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4" x14ac:dyDescent="0.3">
      <c r="A8" s="3" t="s">
        <v>260</v>
      </c>
      <c r="B8" s="5" t="s">
        <v>170</v>
      </c>
      <c r="C8" s="91"/>
      <c r="D8" s="6"/>
      <c r="E8" s="12"/>
      <c r="F8" s="12"/>
      <c r="G8" s="12"/>
      <c r="H8" s="13"/>
      <c r="I8" s="12"/>
      <c r="J8" s="12"/>
      <c r="K8" s="13"/>
      <c r="L8" s="13"/>
      <c r="M8" s="12"/>
      <c r="N8" s="13"/>
      <c r="O8" s="12"/>
      <c r="P8" s="12"/>
      <c r="Q8" s="13"/>
      <c r="R8" s="13"/>
      <c r="S8" s="12"/>
      <c r="T8" s="13"/>
    </row>
    <row r="9" spans="1:24" ht="4.2" customHeight="1" x14ac:dyDescent="0.3">
      <c r="A9" s="3"/>
      <c r="B9" s="9"/>
      <c r="C9" s="9"/>
      <c r="D9" s="11"/>
      <c r="E9" s="11"/>
      <c r="F9" s="9"/>
      <c r="G9" s="9"/>
      <c r="H9" s="9"/>
      <c r="I9" s="88"/>
      <c r="J9" s="2"/>
      <c r="K9" s="9"/>
      <c r="L9" s="9"/>
      <c r="M9" s="9"/>
      <c r="N9" s="89"/>
      <c r="O9" s="2"/>
      <c r="P9" s="9"/>
      <c r="Q9" s="9"/>
      <c r="R9" s="9"/>
      <c r="S9" s="88"/>
      <c r="T9" s="2"/>
      <c r="U9" s="2"/>
      <c r="V9" s="2"/>
    </row>
    <row r="10" spans="1:24" x14ac:dyDescent="0.3">
      <c r="A10" s="3"/>
      <c r="B10" s="2" t="s">
        <v>5</v>
      </c>
      <c r="C10" s="92">
        <f>WACC!E18</f>
        <v>0.10017391626818278</v>
      </c>
      <c r="D10" s="12"/>
      <c r="E10" s="12"/>
      <c r="F10" s="12"/>
      <c r="G10" s="12"/>
      <c r="H10" s="13"/>
      <c r="I10" s="12"/>
      <c r="J10" s="12"/>
      <c r="K10" s="13"/>
      <c r="L10" s="13"/>
      <c r="M10" s="12"/>
      <c r="N10" s="13"/>
      <c r="O10" s="12"/>
      <c r="P10" s="12"/>
      <c r="Q10" s="13"/>
      <c r="R10" s="13"/>
      <c r="S10" s="12"/>
      <c r="T10" s="13"/>
      <c r="U10" s="2"/>
      <c r="V10" s="2"/>
    </row>
    <row r="11" spans="1:24" x14ac:dyDescent="0.3">
      <c r="A11" s="3"/>
      <c r="B11" s="2" t="s">
        <v>6</v>
      </c>
      <c r="C11" s="93">
        <v>2.5000000000000001E-2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4" x14ac:dyDescent="0.3">
      <c r="A12" s="3"/>
      <c r="B12" s="2"/>
      <c r="C12" s="25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4" x14ac:dyDescent="0.3">
      <c r="A13" s="3" t="s">
        <v>260</v>
      </c>
      <c r="B13" s="5" t="s">
        <v>292</v>
      </c>
      <c r="C13" s="91"/>
      <c r="D13" s="6"/>
      <c r="E13" s="6"/>
      <c r="F13" s="6"/>
      <c r="G13" s="6"/>
      <c r="H13" s="7"/>
      <c r="I13" s="6"/>
      <c r="J13" s="6"/>
      <c r="K13" s="7"/>
      <c r="L13" s="7"/>
      <c r="M13" s="6"/>
      <c r="N13" s="7"/>
      <c r="O13" s="6"/>
      <c r="P13" s="6"/>
      <c r="Q13" s="7"/>
      <c r="R13" s="7"/>
      <c r="S13" s="6"/>
      <c r="T13" s="7"/>
      <c r="U13" s="2" t="s">
        <v>1</v>
      </c>
      <c r="V13" s="3" t="s">
        <v>2</v>
      </c>
    </row>
    <row r="14" spans="1:24" ht="3" customHeight="1" x14ac:dyDescent="0.3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3">
      <c r="A15" s="3" t="s">
        <v>260</v>
      </c>
      <c r="B15" s="256" t="s">
        <v>286</v>
      </c>
      <c r="C15" s="257"/>
      <c r="D15" s="257"/>
      <c r="E15" s="257"/>
      <c r="F15" s="103">
        <v>2015</v>
      </c>
      <c r="G15" s="103">
        <f>F15+1</f>
        <v>2016</v>
      </c>
      <c r="H15" s="103">
        <f t="shared" ref="H15:N15" si="0">G15+1</f>
        <v>2017</v>
      </c>
      <c r="I15" s="103">
        <f t="shared" si="0"/>
        <v>2018</v>
      </c>
      <c r="J15" s="103">
        <f t="shared" si="0"/>
        <v>2019</v>
      </c>
      <c r="K15" s="103">
        <f t="shared" si="0"/>
        <v>2020</v>
      </c>
      <c r="L15" s="103">
        <f t="shared" si="0"/>
        <v>2021</v>
      </c>
      <c r="M15" s="103">
        <f t="shared" si="0"/>
        <v>2022</v>
      </c>
      <c r="N15" s="103">
        <f t="shared" si="0"/>
        <v>2023</v>
      </c>
      <c r="O15" s="104" t="s">
        <v>7</v>
      </c>
      <c r="P15" s="104">
        <v>2025</v>
      </c>
      <c r="Q15" s="104">
        <f>P15+1</f>
        <v>2026</v>
      </c>
      <c r="R15" s="104">
        <f t="shared" ref="R15:T15" si="1">Q15+1</f>
        <v>2027</v>
      </c>
      <c r="S15" s="104">
        <f t="shared" si="1"/>
        <v>2028</v>
      </c>
      <c r="T15" s="104">
        <f t="shared" si="1"/>
        <v>2029</v>
      </c>
      <c r="U15" s="2"/>
      <c r="V15" s="2"/>
    </row>
    <row r="16" spans="1:24" x14ac:dyDescent="0.3">
      <c r="A16" s="3"/>
      <c r="B16" s="2" t="s">
        <v>41</v>
      </c>
      <c r="C16" s="12"/>
      <c r="D16" s="12"/>
      <c r="E16" s="12"/>
      <c r="F16" s="14">
        <f>'Segment data'!B6</f>
        <v>63708</v>
      </c>
      <c r="G16" s="14">
        <f>'Segment data'!C6</f>
        <v>79785</v>
      </c>
      <c r="H16" s="14">
        <f>'Segment data'!D6</f>
        <v>106110</v>
      </c>
      <c r="I16" s="14">
        <f>'Segment data'!E6</f>
        <v>141366</v>
      </c>
      <c r="J16" s="14">
        <f>'Segment data'!F6</f>
        <v>170773</v>
      </c>
      <c r="K16" s="14">
        <f>'Segment data'!G6</f>
        <v>236282</v>
      </c>
      <c r="L16" s="14">
        <f>'Segment data'!H6</f>
        <v>279833</v>
      </c>
      <c r="M16" s="14">
        <f>'Segment data'!I6</f>
        <v>315880</v>
      </c>
      <c r="N16" s="14">
        <f>'Segment data'!J6</f>
        <v>352828</v>
      </c>
      <c r="O16" s="14">
        <f>'Segment data'!K6</f>
        <v>387497</v>
      </c>
      <c r="P16" s="227">
        <f>P18*P$28</f>
        <v>433191.66852121789</v>
      </c>
      <c r="Q16" s="227">
        <f t="shared" ref="Q16:T16" si="2">Q18*Q$28</f>
        <v>476065.49269665679</v>
      </c>
      <c r="R16" s="227">
        <f t="shared" si="2"/>
        <v>526060.81162842014</v>
      </c>
      <c r="S16" s="227">
        <f t="shared" si="2"/>
        <v>582495.29982016515</v>
      </c>
      <c r="T16" s="227">
        <f t="shared" si="2"/>
        <v>642930.86698081635</v>
      </c>
      <c r="U16" s="2" t="s">
        <v>1</v>
      </c>
      <c r="V16" s="253" t="s">
        <v>267</v>
      </c>
    </row>
    <row r="17" spans="1:22" x14ac:dyDescent="0.3">
      <c r="A17" s="3"/>
      <c r="B17" s="2" t="s">
        <v>48</v>
      </c>
      <c r="C17" s="12"/>
      <c r="D17" s="12"/>
      <c r="E17" s="12"/>
      <c r="F17" s="37" t="s">
        <v>46</v>
      </c>
      <c r="G17" s="16">
        <f>G16/F16-1</f>
        <v>0.25235449237144469</v>
      </c>
      <c r="H17" s="16">
        <f t="shared" ref="H17:O17" si="3">H16/G16-1</f>
        <v>0.32994923857868019</v>
      </c>
      <c r="I17" s="16">
        <f t="shared" si="3"/>
        <v>0.33225897653378578</v>
      </c>
      <c r="J17" s="16">
        <f t="shared" si="3"/>
        <v>0.20802031605902416</v>
      </c>
      <c r="K17" s="16">
        <f t="shared" si="3"/>
        <v>0.38360279435273736</v>
      </c>
      <c r="L17" s="16">
        <f t="shared" si="3"/>
        <v>0.1843178913332375</v>
      </c>
      <c r="M17" s="16">
        <f t="shared" si="3"/>
        <v>0.12881611532592663</v>
      </c>
      <c r="N17" s="16">
        <f t="shared" si="3"/>
        <v>0.11696846903887548</v>
      </c>
      <c r="O17" s="16">
        <f t="shared" si="3"/>
        <v>9.8260342149715907E-2</v>
      </c>
      <c r="P17" s="38">
        <f t="shared" ref="P17" si="4">P16/O16-1</f>
        <v>0.11792263816550297</v>
      </c>
      <c r="Q17" s="38">
        <f t="shared" ref="Q17" si="5">Q16/P16-1</f>
        <v>9.8971950041875978E-2</v>
      </c>
      <c r="R17" s="38">
        <f t="shared" ref="R17" si="6">R16/Q16-1</f>
        <v>0.10501773327145925</v>
      </c>
      <c r="S17" s="38">
        <f t="shared" ref="S17" si="7">S16/R16-1</f>
        <v>0.10727749899684058</v>
      </c>
      <c r="T17" s="38">
        <f t="shared" ref="T17" si="8">T16/S16-1</f>
        <v>0.10375288380749104</v>
      </c>
      <c r="U17" s="2" t="s">
        <v>1</v>
      </c>
      <c r="V17" s="255" t="s">
        <v>268</v>
      </c>
    </row>
    <row r="18" spans="1:22" x14ac:dyDescent="0.3">
      <c r="A18" s="3"/>
      <c r="B18" s="2" t="s">
        <v>50</v>
      </c>
      <c r="C18" s="12"/>
      <c r="D18" s="12"/>
      <c r="E18" s="12"/>
      <c r="F18" s="16">
        <f>F16/F28</f>
        <v>0.59536848401024245</v>
      </c>
      <c r="G18" s="16">
        <f t="shared" ref="G18:O18" si="9">G16/G28</f>
        <v>0.58671049438549272</v>
      </c>
      <c r="H18" s="16">
        <f t="shared" si="9"/>
        <v>0.59657270079722935</v>
      </c>
      <c r="I18" s="16">
        <f t="shared" si="9"/>
        <v>0.6070154194952917</v>
      </c>
      <c r="J18" s="16">
        <f t="shared" si="9"/>
        <v>0.60876865272598946</v>
      </c>
      <c r="K18" s="16">
        <f t="shared" si="9"/>
        <v>0.61202805752414102</v>
      </c>
      <c r="L18" s="16">
        <f t="shared" si="9"/>
        <v>0.59561493501794294</v>
      </c>
      <c r="M18" s="16">
        <f t="shared" si="9"/>
        <v>0.61457285552245888</v>
      </c>
      <c r="N18" s="16">
        <f t="shared" si="9"/>
        <v>0.61384343711126765</v>
      </c>
      <c r="O18" s="16">
        <f t="shared" si="9"/>
        <v>0.6074011025786924</v>
      </c>
      <c r="P18" s="38">
        <f>AVERAGE(M18:O18)</f>
        <v>0.61193913173747294</v>
      </c>
      <c r="Q18" s="38">
        <f t="shared" ref="Q18:T18" si="10">AVERAGE(N18:P18)</f>
        <v>0.61106122380914429</v>
      </c>
      <c r="R18" s="38">
        <f t="shared" si="10"/>
        <v>0.61013381937510325</v>
      </c>
      <c r="S18" s="38">
        <f t="shared" si="10"/>
        <v>0.61104472497390683</v>
      </c>
      <c r="T18" s="38">
        <f t="shared" si="10"/>
        <v>0.61074658938605142</v>
      </c>
      <c r="U18" s="2" t="s">
        <v>1</v>
      </c>
      <c r="V18" s="19" t="s">
        <v>269</v>
      </c>
    </row>
    <row r="19" spans="1:22" x14ac:dyDescent="0.3">
      <c r="A19" s="3"/>
      <c r="B19" s="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28"/>
      <c r="Q19" s="228"/>
      <c r="R19" s="228"/>
      <c r="S19" s="228"/>
      <c r="T19" s="228"/>
      <c r="U19" s="2" t="s">
        <v>1</v>
      </c>
      <c r="V19" s="2" t="s">
        <v>270</v>
      </c>
    </row>
    <row r="20" spans="1:22" x14ac:dyDescent="0.3">
      <c r="A20" s="3"/>
      <c r="B20" s="2" t="s">
        <v>42</v>
      </c>
      <c r="C20" s="12"/>
      <c r="D20" s="12"/>
      <c r="E20" s="12"/>
      <c r="F20" s="14">
        <f>'Segment data'!B7</f>
        <v>35418</v>
      </c>
      <c r="G20" s="14">
        <f>'Segment data'!C7</f>
        <v>43983</v>
      </c>
      <c r="H20" s="14">
        <f>'Segment data'!D7</f>
        <v>54297</v>
      </c>
      <c r="I20" s="14">
        <f>'Segment data'!E7</f>
        <v>65866</v>
      </c>
      <c r="J20" s="14">
        <f>'Segment data'!F7</f>
        <v>74723</v>
      </c>
      <c r="K20" s="14">
        <f>'Segment data'!G7</f>
        <v>104412</v>
      </c>
      <c r="L20" s="14">
        <f>'Segment data'!H7</f>
        <v>127787</v>
      </c>
      <c r="M20" s="14">
        <f>'Segment data'!I7</f>
        <v>118007</v>
      </c>
      <c r="N20" s="14">
        <f>'Segment data'!J7</f>
        <v>131200</v>
      </c>
      <c r="O20" s="14">
        <f>'Segment data'!K7</f>
        <v>142906</v>
      </c>
      <c r="P20" s="227">
        <f>P22*P$28</f>
        <v>160895.61364635776</v>
      </c>
      <c r="Q20" s="227">
        <f t="shared" ref="Q20:T20" si="11">Q22*Q$28</f>
        <v>176474.59104310474</v>
      </c>
      <c r="R20" s="227">
        <f t="shared" si="11"/>
        <v>194803.14584369052</v>
      </c>
      <c r="S20" s="227">
        <f t="shared" si="11"/>
        <v>215993.12966150267</v>
      </c>
      <c r="T20" s="227">
        <f t="shared" si="11"/>
        <v>238271.55151890652</v>
      </c>
      <c r="U20" s="2" t="s">
        <v>1</v>
      </c>
    </row>
    <row r="21" spans="1:22" x14ac:dyDescent="0.3">
      <c r="A21" s="3"/>
      <c r="B21" s="2" t="s">
        <v>48</v>
      </c>
      <c r="C21" s="12"/>
      <c r="D21" s="12"/>
      <c r="E21" s="12"/>
      <c r="F21" s="36" t="s">
        <v>46</v>
      </c>
      <c r="G21" s="16">
        <f>G20/F20-1</f>
        <v>0.24182619007284423</v>
      </c>
      <c r="H21" s="16">
        <f t="shared" ref="H21:O21" si="12">H20/G20-1</f>
        <v>0.23449969306322904</v>
      </c>
      <c r="I21" s="16">
        <f t="shared" si="12"/>
        <v>0.21306886199974207</v>
      </c>
      <c r="J21" s="16">
        <f t="shared" si="12"/>
        <v>0.13446998451401337</v>
      </c>
      <c r="K21" s="16">
        <f t="shared" si="12"/>
        <v>0.39732077138230526</v>
      </c>
      <c r="L21" s="16">
        <f t="shared" si="12"/>
        <v>0.22387273493468185</v>
      </c>
      <c r="M21" s="51">
        <f t="shared" si="12"/>
        <v>-7.6533606704907386E-2</v>
      </c>
      <c r="N21" s="16">
        <f t="shared" si="12"/>
        <v>0.11179845263416577</v>
      </c>
      <c r="O21" s="16">
        <f t="shared" si="12"/>
        <v>8.9222560975609655E-2</v>
      </c>
      <c r="P21" s="38">
        <f t="shared" ref="P21" si="13">P20/O20-1</f>
        <v>0.12588424311335955</v>
      </c>
      <c r="Q21" s="38">
        <f t="shared" ref="Q21" si="14">Q20/P20-1</f>
        <v>9.6826613502273284E-2</v>
      </c>
      <c r="R21" s="38">
        <f t="shared" ref="R21" si="15">R20/Q20-1</f>
        <v>0.10385945473651192</v>
      </c>
      <c r="S21" s="38">
        <f t="shared" ref="S21" si="16">S20/R20-1</f>
        <v>0.10877639437514497</v>
      </c>
      <c r="T21" s="38">
        <f t="shared" ref="T21" si="17">T20/S20-1</f>
        <v>0.10314412265018746</v>
      </c>
      <c r="U21" s="2"/>
      <c r="V21" s="17"/>
    </row>
    <row r="22" spans="1:22" x14ac:dyDescent="0.3">
      <c r="A22" s="3"/>
      <c r="B22" s="2" t="s">
        <v>50</v>
      </c>
      <c r="C22" s="12"/>
      <c r="D22" s="12"/>
      <c r="E22" s="12"/>
      <c r="F22" s="16">
        <f>F20/F28</f>
        <v>0.33099078556342637</v>
      </c>
      <c r="G22" s="16">
        <f t="shared" ref="G22:O22" si="18">G20/G28</f>
        <v>0.32343532837697719</v>
      </c>
      <c r="H22" s="16">
        <f t="shared" si="18"/>
        <v>0.30526913519166116</v>
      </c>
      <c r="I22" s="16">
        <f t="shared" si="18"/>
        <v>0.28282385878129734</v>
      </c>
      <c r="J22" s="16">
        <f t="shared" si="18"/>
        <v>0.26637126499882363</v>
      </c>
      <c r="K22" s="16">
        <f t="shared" si="18"/>
        <v>0.27045256744995649</v>
      </c>
      <c r="L22" s="16">
        <f t="shared" si="18"/>
        <v>0.27199024311334929</v>
      </c>
      <c r="M22" s="16">
        <f t="shared" si="18"/>
        <v>0.22959319666214642</v>
      </c>
      <c r="N22" s="16">
        <f t="shared" si="18"/>
        <v>0.22825926215889419</v>
      </c>
      <c r="O22" s="16">
        <f t="shared" si="18"/>
        <v>0.22400499091634415</v>
      </c>
      <c r="P22" s="38">
        <f>AVERAGE(M22:O22)</f>
        <v>0.22728581657912827</v>
      </c>
      <c r="Q22" s="38">
        <f t="shared" ref="Q22" si="19">AVERAGE(N22:P22)</f>
        <v>0.22651668988478887</v>
      </c>
      <c r="R22" s="38">
        <f t="shared" ref="R22" si="20">AVERAGE(O22:Q22)</f>
        <v>0.22593583246008711</v>
      </c>
      <c r="S22" s="38">
        <f t="shared" ref="S22" si="21">AVERAGE(P22:R22)</f>
        <v>0.22657944630800142</v>
      </c>
      <c r="T22" s="38">
        <f t="shared" ref="T22" si="22">AVERAGE(Q22:S22)</f>
        <v>0.22634398955095913</v>
      </c>
      <c r="U22" s="2"/>
      <c r="V22" s="2"/>
    </row>
    <row r="23" spans="1:22" x14ac:dyDescent="0.3">
      <c r="A23" s="3"/>
      <c r="B23" s="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8"/>
      <c r="Q23" s="228"/>
      <c r="R23" s="228"/>
      <c r="S23" s="228"/>
      <c r="T23" s="228"/>
      <c r="U23" s="2"/>
      <c r="V23" s="2"/>
    </row>
    <row r="24" spans="1:22" x14ac:dyDescent="0.3">
      <c r="A24" s="3"/>
      <c r="B24" s="2" t="s">
        <v>43</v>
      </c>
      <c r="C24" s="12"/>
      <c r="D24" s="12"/>
      <c r="E24" s="12"/>
      <c r="F24" s="40">
        <f>'Segment data'!B8</f>
        <v>7880</v>
      </c>
      <c r="G24" s="40">
        <f>'Segment data'!C8</f>
        <v>12219</v>
      </c>
      <c r="H24" s="40">
        <f>'Segment data'!D8</f>
        <v>17459</v>
      </c>
      <c r="I24" s="40">
        <f>'Segment data'!E8</f>
        <v>25655</v>
      </c>
      <c r="J24" s="40">
        <f>'Segment data'!F8</f>
        <v>35026</v>
      </c>
      <c r="K24" s="40">
        <f>'Segment data'!G8</f>
        <v>45370</v>
      </c>
      <c r="L24" s="40">
        <f>'Segment data'!H8</f>
        <v>62202</v>
      </c>
      <c r="M24" s="40">
        <f>'Segment data'!I8</f>
        <v>80096</v>
      </c>
      <c r="N24" s="40">
        <f>'Segment data'!J8</f>
        <v>90757</v>
      </c>
      <c r="O24" s="40">
        <f>'Segment data'!K8</f>
        <v>107556</v>
      </c>
      <c r="P24" s="227">
        <f>P26*P$28</f>
        <v>113812.64783242437</v>
      </c>
      <c r="Q24" s="227">
        <f t="shared" ref="Q24:T24" si="23">Q26*Q$28</f>
        <v>126539.77626023845</v>
      </c>
      <c r="R24" s="227">
        <f t="shared" si="23"/>
        <v>141341.66844649462</v>
      </c>
      <c r="S24" s="227">
        <f t="shared" si="23"/>
        <v>154789.25382545701</v>
      </c>
      <c r="T24" s="227">
        <f t="shared" si="23"/>
        <v>171494.19602761805</v>
      </c>
      <c r="U24" s="2"/>
      <c r="V24" s="19"/>
    </row>
    <row r="25" spans="1:22" x14ac:dyDescent="0.3">
      <c r="A25" s="3"/>
      <c r="B25" s="2" t="s">
        <v>48</v>
      </c>
      <c r="C25" s="12"/>
      <c r="D25" s="12"/>
      <c r="E25" s="12"/>
      <c r="F25" s="39" t="s">
        <v>46</v>
      </c>
      <c r="G25" s="38">
        <f t="shared" ref="G25:O25" si="24">G24/F24-1</f>
        <v>0.55063451776649752</v>
      </c>
      <c r="H25" s="38">
        <f t="shared" si="24"/>
        <v>0.42884033063262139</v>
      </c>
      <c r="I25" s="38">
        <f t="shared" si="24"/>
        <v>0.46944269431238905</v>
      </c>
      <c r="J25" s="38">
        <f t="shared" si="24"/>
        <v>0.36526992788930035</v>
      </c>
      <c r="K25" s="38">
        <f t="shared" si="24"/>
        <v>0.29532347399074976</v>
      </c>
      <c r="L25" s="38">
        <f t="shared" si="24"/>
        <v>0.37099404893101173</v>
      </c>
      <c r="M25" s="38">
        <f t="shared" si="24"/>
        <v>0.28767563743931057</v>
      </c>
      <c r="N25" s="38">
        <f t="shared" si="24"/>
        <v>0.13310277666799841</v>
      </c>
      <c r="O25" s="38">
        <f t="shared" si="24"/>
        <v>0.18509867007503544</v>
      </c>
      <c r="P25" s="38">
        <f t="shared" ref="P25" si="25">P24/O24-1</f>
        <v>5.817107211521777E-2</v>
      </c>
      <c r="Q25" s="38">
        <f t="shared" ref="Q25" si="26">Q24/P24-1</f>
        <v>0.11182525554236533</v>
      </c>
      <c r="R25" s="38">
        <f t="shared" ref="R25" si="27">R24/Q24-1</f>
        <v>0.11697422441948202</v>
      </c>
      <c r="S25" s="38">
        <f t="shared" ref="S25" si="28">S24/R24-1</f>
        <v>9.5142398747422696E-2</v>
      </c>
      <c r="T25" s="38">
        <f t="shared" ref="T25" si="29">T24/S24-1</f>
        <v>0.1079205551374891</v>
      </c>
      <c r="U25" s="2"/>
      <c r="V25" s="19"/>
    </row>
    <row r="26" spans="1:22" x14ac:dyDescent="0.3">
      <c r="A26" s="3"/>
      <c r="B26" s="2" t="s">
        <v>50</v>
      </c>
      <c r="C26" s="2"/>
      <c r="D26" s="2"/>
      <c r="E26" s="2"/>
      <c r="F26" s="16">
        <f>F24/F28</f>
        <v>7.3640730426331236E-2</v>
      </c>
      <c r="G26" s="16">
        <f t="shared" ref="G26:O26" si="30">G24/G28</f>
        <v>8.9854177237530058E-2</v>
      </c>
      <c r="H26" s="16">
        <f t="shared" si="30"/>
        <v>9.8158164011109481E-2</v>
      </c>
      <c r="I26" s="16">
        <f t="shared" si="30"/>
        <v>0.11016072172341093</v>
      </c>
      <c r="J26" s="16">
        <f t="shared" si="30"/>
        <v>0.12486008227518697</v>
      </c>
      <c r="K26" s="16">
        <f t="shared" si="30"/>
        <v>0.11751937502590244</v>
      </c>
      <c r="L26" s="16">
        <f t="shared" si="30"/>
        <v>0.13239482186870771</v>
      </c>
      <c r="M26" s="16">
        <f t="shared" si="30"/>
        <v>0.15583394781539467</v>
      </c>
      <c r="N26" s="16">
        <f t="shared" si="30"/>
        <v>0.15789730072983812</v>
      </c>
      <c r="O26" s="16">
        <f t="shared" si="30"/>
        <v>0.16859390650496348</v>
      </c>
      <c r="P26" s="38">
        <f>AVERAGE(M26:O26)</f>
        <v>0.16077505168339876</v>
      </c>
      <c r="Q26" s="38">
        <f t="shared" ref="Q26" si="31">AVERAGE(N26:P26)</f>
        <v>0.1624220863060668</v>
      </c>
      <c r="R26" s="38">
        <f t="shared" ref="R26" si="32">AVERAGE(O26:Q26)</f>
        <v>0.16393034816480967</v>
      </c>
      <c r="S26" s="38">
        <f t="shared" ref="S26" si="33">AVERAGE(P26:R26)</f>
        <v>0.16237582871809175</v>
      </c>
      <c r="T26" s="38">
        <f t="shared" ref="T26" si="34">AVERAGE(Q26:S26)</f>
        <v>0.16290942106298942</v>
      </c>
      <c r="U26" s="2"/>
      <c r="V26" s="2"/>
    </row>
    <row r="27" spans="1:22" x14ac:dyDescent="0.3">
      <c r="A27" s="3"/>
      <c r="B27" s="2"/>
      <c r="C27" s="12"/>
      <c r="D27" s="12"/>
      <c r="E27" s="12"/>
      <c r="F27" s="39"/>
      <c r="G27" s="38"/>
      <c r="H27" s="38"/>
      <c r="I27" s="38"/>
      <c r="J27" s="38"/>
      <c r="K27" s="38"/>
      <c r="L27" s="38"/>
      <c r="M27" s="38"/>
      <c r="N27" s="38"/>
      <c r="O27" s="38"/>
      <c r="P27" s="225"/>
      <c r="Q27" s="12"/>
      <c r="R27" s="12"/>
      <c r="S27" s="12"/>
      <c r="T27" s="12"/>
      <c r="U27" s="2"/>
      <c r="V27" s="2"/>
    </row>
    <row r="28" spans="1:22" x14ac:dyDescent="0.3">
      <c r="A28" s="3"/>
      <c r="B28" s="45" t="s">
        <v>47</v>
      </c>
      <c r="C28" s="46"/>
      <c r="D28" s="46"/>
      <c r="E28" s="46"/>
      <c r="F28" s="47">
        <f>F16+F20+F24</f>
        <v>107006</v>
      </c>
      <c r="G28" s="47">
        <f t="shared" ref="G28:O28" si="35">G16+G20+G24</f>
        <v>135987</v>
      </c>
      <c r="H28" s="47">
        <f t="shared" si="35"/>
        <v>177866</v>
      </c>
      <c r="I28" s="47">
        <f t="shared" si="35"/>
        <v>232887</v>
      </c>
      <c r="J28" s="47">
        <f>J16+J20+J24</f>
        <v>280522</v>
      </c>
      <c r="K28" s="47">
        <f t="shared" si="35"/>
        <v>386064</v>
      </c>
      <c r="L28" s="47">
        <f t="shared" si="35"/>
        <v>469822</v>
      </c>
      <c r="M28" s="47">
        <f t="shared" si="35"/>
        <v>513983</v>
      </c>
      <c r="N28" s="47">
        <f t="shared" si="35"/>
        <v>574785</v>
      </c>
      <c r="O28" s="47">
        <f t="shared" si="35"/>
        <v>637959</v>
      </c>
      <c r="P28" s="224">
        <v>707899.93</v>
      </c>
      <c r="Q28" s="224">
        <v>779079.86</v>
      </c>
      <c r="R28" s="275">
        <f>Q28*(1+R29)</f>
        <v>862205.62591860525</v>
      </c>
      <c r="S28" s="275">
        <f t="shared" ref="S28:T28" si="36">R28*(1+S29)</f>
        <v>953277.68330712477</v>
      </c>
      <c r="T28" s="275">
        <f t="shared" si="36"/>
        <v>1052696.614527341</v>
      </c>
      <c r="U28" s="2" t="s">
        <v>1</v>
      </c>
      <c r="V28" s="2" t="s">
        <v>283</v>
      </c>
    </row>
    <row r="29" spans="1:22" x14ac:dyDescent="0.3">
      <c r="A29" s="3"/>
      <c r="B29" s="45" t="s">
        <v>48</v>
      </c>
      <c r="C29" s="46"/>
      <c r="D29" s="46"/>
      <c r="E29" s="46"/>
      <c r="F29" s="49" t="s">
        <v>46</v>
      </c>
      <c r="G29" s="48">
        <f>G28/F28-1</f>
        <v>0.27083528026465808</v>
      </c>
      <c r="H29" s="48">
        <f t="shared" ref="H29:Q29" si="37">H28/G28-1</f>
        <v>0.30796326119408479</v>
      </c>
      <c r="I29" s="48">
        <f t="shared" si="37"/>
        <v>0.3093396152159491</v>
      </c>
      <c r="J29" s="48">
        <f t="shared" si="37"/>
        <v>0.20454125820676983</v>
      </c>
      <c r="K29" s="48">
        <f t="shared" si="37"/>
        <v>0.37623430604373276</v>
      </c>
      <c r="L29" s="48">
        <f t="shared" si="37"/>
        <v>0.21695366571345676</v>
      </c>
      <c r="M29" s="48">
        <f t="shared" si="37"/>
        <v>9.399517263985091E-2</v>
      </c>
      <c r="N29" s="48">
        <f t="shared" si="37"/>
        <v>0.1182957412988368</v>
      </c>
      <c r="O29" s="48">
        <f t="shared" si="37"/>
        <v>0.1099089224666614</v>
      </c>
      <c r="P29" s="48">
        <f t="shared" si="37"/>
        <v>0.10963232746932028</v>
      </c>
      <c r="Q29" s="48">
        <f t="shared" si="37"/>
        <v>0.10055083633077899</v>
      </c>
      <c r="R29" s="48">
        <f>AVERAGE(O29:Q29)</f>
        <v>0.10669736208892022</v>
      </c>
      <c r="S29" s="48">
        <f t="shared" ref="S29:T29" si="38">AVERAGE(P29:R29)</f>
        <v>0.10562684196300649</v>
      </c>
      <c r="T29" s="48">
        <f t="shared" si="38"/>
        <v>0.10429168012756856</v>
      </c>
      <c r="U29" s="2"/>
      <c r="V29" s="44">
        <f>(T28/P28)^(1/4)-1</f>
        <v>0.10428923673912549</v>
      </c>
    </row>
    <row r="30" spans="1:22" s="12" customFormat="1" x14ac:dyDescent="0.3">
      <c r="A30" s="3"/>
    </row>
    <row r="31" spans="1:22" x14ac:dyDescent="0.3">
      <c r="A31" s="3" t="s">
        <v>260</v>
      </c>
      <c r="B31" s="256" t="s">
        <v>287</v>
      </c>
      <c r="C31" s="257"/>
      <c r="D31" s="257"/>
      <c r="E31" s="257"/>
      <c r="F31" s="103">
        <v>2015</v>
      </c>
      <c r="G31" s="103">
        <f>F31+1</f>
        <v>2016</v>
      </c>
      <c r="H31" s="103">
        <f t="shared" ref="H31" si="39">G31+1</f>
        <v>2017</v>
      </c>
      <c r="I31" s="103">
        <f t="shared" ref="I31" si="40">H31+1</f>
        <v>2018</v>
      </c>
      <c r="J31" s="103">
        <f t="shared" ref="J31" si="41">I31+1</f>
        <v>2019</v>
      </c>
      <c r="K31" s="103">
        <f t="shared" ref="K31" si="42">J31+1</f>
        <v>2020</v>
      </c>
      <c r="L31" s="103">
        <f t="shared" ref="L31" si="43">K31+1</f>
        <v>2021</v>
      </c>
      <c r="M31" s="103">
        <f t="shared" ref="M31" si="44">L31+1</f>
        <v>2022</v>
      </c>
      <c r="N31" s="103">
        <f t="shared" ref="N31" si="45">M31+1</f>
        <v>2023</v>
      </c>
      <c r="O31" s="104" t="s">
        <v>7</v>
      </c>
      <c r="P31" s="104">
        <v>2025</v>
      </c>
      <c r="Q31" s="104">
        <f>P31+1</f>
        <v>2026</v>
      </c>
      <c r="R31" s="104">
        <f t="shared" ref="R31" si="46">Q31+1</f>
        <v>2027</v>
      </c>
      <c r="S31" s="104">
        <f t="shared" ref="S31" si="47">R31+1</f>
        <v>2028</v>
      </c>
      <c r="T31" s="104">
        <f t="shared" ref="T31" si="48">S31+1</f>
        <v>2029</v>
      </c>
      <c r="U31" s="2"/>
      <c r="V31" s="2"/>
    </row>
    <row r="32" spans="1:22" x14ac:dyDescent="0.3">
      <c r="A32" s="3"/>
      <c r="B32" s="2" t="s">
        <v>41</v>
      </c>
      <c r="C32" s="12"/>
      <c r="D32" s="12"/>
      <c r="E32" s="12"/>
      <c r="F32" s="40">
        <f>'Segment data'!B11</f>
        <v>1425</v>
      </c>
      <c r="G32" s="40">
        <f>'Segment data'!C11</f>
        <v>2361</v>
      </c>
      <c r="H32" s="40">
        <f>'Segment data'!D11</f>
        <v>2837</v>
      </c>
      <c r="I32" s="40">
        <f>'Segment data'!E11</f>
        <v>7267</v>
      </c>
      <c r="J32" s="40">
        <f>'Segment data'!F11</f>
        <v>7033</v>
      </c>
      <c r="K32" s="40">
        <f>'Segment data'!G11</f>
        <v>8651</v>
      </c>
      <c r="L32" s="40">
        <f>'Segment data'!H11</f>
        <v>7271</v>
      </c>
      <c r="M32" s="40">
        <f>'Segment data'!I11</f>
        <v>-2847</v>
      </c>
      <c r="N32" s="40">
        <f>'Segment data'!J11</f>
        <v>14877</v>
      </c>
      <c r="O32" s="40">
        <f>'Segment data'!K11</f>
        <v>24967</v>
      </c>
      <c r="P32" s="227">
        <f>P34*P$44</f>
        <v>14361.354329027412</v>
      </c>
      <c r="Q32" s="227">
        <f t="shared" ref="Q32:T32" si="49">Q34*Q$44</f>
        <v>30685.112942385807</v>
      </c>
      <c r="R32" s="227">
        <f t="shared" si="49"/>
        <v>33254.555609596107</v>
      </c>
      <c r="S32" s="227">
        <f t="shared" si="49"/>
        <v>35899.221447328906</v>
      </c>
      <c r="T32" s="227">
        <f t="shared" si="49"/>
        <v>46809.155598540405</v>
      </c>
      <c r="U32" s="2"/>
      <c r="V32" s="2"/>
    </row>
    <row r="33" spans="1:23" x14ac:dyDescent="0.3">
      <c r="A33" s="3"/>
      <c r="B33" s="2" t="s">
        <v>50</v>
      </c>
      <c r="C33" s="12"/>
      <c r="D33" s="12"/>
      <c r="E33" s="12"/>
      <c r="F33" s="38">
        <f>F32/F28</f>
        <v>1.3317010261106854E-2</v>
      </c>
      <c r="G33" s="38">
        <f t="shared" ref="G33:O33" si="50">G32/G28</f>
        <v>1.7361953716164044E-2</v>
      </c>
      <c r="H33" s="38">
        <f t="shared" si="50"/>
        <v>1.5950209708432191E-2</v>
      </c>
      <c r="I33" s="38">
        <f t="shared" si="50"/>
        <v>3.1203974459716514E-2</v>
      </c>
      <c r="J33" s="38">
        <f t="shared" si="50"/>
        <v>2.5071117416815794E-2</v>
      </c>
      <c r="K33" s="38">
        <f t="shared" si="50"/>
        <v>2.2408201748932821E-2</v>
      </c>
      <c r="L33" s="38">
        <f t="shared" si="50"/>
        <v>1.5476073917355934E-2</v>
      </c>
      <c r="M33" s="51">
        <f t="shared" si="50"/>
        <v>-5.5390937054338374E-3</v>
      </c>
      <c r="N33" s="38">
        <f t="shared" si="50"/>
        <v>2.5882721365380099E-2</v>
      </c>
      <c r="O33" s="38">
        <f t="shared" si="50"/>
        <v>3.9135743833067643E-2</v>
      </c>
      <c r="P33" s="38">
        <f>P32/P28</f>
        <v>2.0287266208696208E-2</v>
      </c>
      <c r="Q33" s="38">
        <f>Q32/Q28</f>
        <v>3.9386351153251231E-2</v>
      </c>
      <c r="R33" s="38">
        <f>R32/R28</f>
        <v>3.8569170288312915E-2</v>
      </c>
      <c r="S33" s="38">
        <f>S32/S28</f>
        <v>3.7658724289848899E-2</v>
      </c>
      <c r="T33" s="38">
        <f>T32/T28</f>
        <v>4.4465950543174905E-2</v>
      </c>
      <c r="U33" s="2"/>
      <c r="V33" s="2"/>
    </row>
    <row r="34" spans="1:23" x14ac:dyDescent="0.3">
      <c r="A34" s="3"/>
      <c r="B34" s="2" t="s">
        <v>51</v>
      </c>
      <c r="C34" s="12"/>
      <c r="D34" s="12"/>
      <c r="E34" s="12"/>
      <c r="F34" s="38">
        <f>F32/F44</f>
        <v>0.63815494849977605</v>
      </c>
      <c r="G34" s="38">
        <f t="shared" ref="G34:O34" si="51">G32/G44</f>
        <v>0.56402293358815103</v>
      </c>
      <c r="H34" s="38">
        <f t="shared" si="51"/>
        <v>0.69094008767657089</v>
      </c>
      <c r="I34" s="38">
        <f t="shared" si="51"/>
        <v>0.58505756380323648</v>
      </c>
      <c r="J34" s="38">
        <f t="shared" si="51"/>
        <v>0.48366687297985006</v>
      </c>
      <c r="K34" s="38">
        <f t="shared" si="51"/>
        <v>0.3777894231189135</v>
      </c>
      <c r="L34" s="38">
        <f t="shared" si="51"/>
        <v>0.29225451183729251</v>
      </c>
      <c r="M34" s="51">
        <f t="shared" si="51"/>
        <v>-0.23244611365120835</v>
      </c>
      <c r="N34" s="38">
        <f t="shared" si="51"/>
        <v>0.40369586453923806</v>
      </c>
      <c r="O34" s="38">
        <f t="shared" si="51"/>
        <v>0.36398757890746869</v>
      </c>
      <c r="P34" s="38">
        <f>AVERAGE(M34:O34)</f>
        <v>0.17841244326516614</v>
      </c>
      <c r="Q34" s="38">
        <f t="shared" ref="Q34" si="52">AVERAGE(N34:P34)</f>
        <v>0.31536529557062432</v>
      </c>
      <c r="R34" s="38">
        <f t="shared" ref="R34" si="53">AVERAGE(O34:Q34)</f>
        <v>0.28592177258108636</v>
      </c>
      <c r="S34" s="38">
        <f t="shared" ref="S34" si="54">AVERAGE(P34:R34)</f>
        <v>0.25989983713895892</v>
      </c>
      <c r="T34" s="38">
        <f t="shared" ref="T34" si="55">AVERAGE(Q34:S34)</f>
        <v>0.28706230176355652</v>
      </c>
      <c r="U34" s="2"/>
      <c r="V34" s="2"/>
    </row>
    <row r="35" spans="1:23" x14ac:dyDescent="0.3">
      <c r="A35" s="3"/>
      <c r="B35" s="2"/>
      <c r="C35" s="12"/>
      <c r="D35" s="12"/>
      <c r="E35" s="12"/>
      <c r="F35" s="20"/>
      <c r="G35" s="20"/>
      <c r="H35" s="20"/>
      <c r="I35" s="21"/>
      <c r="J35" s="20"/>
      <c r="K35" s="20"/>
      <c r="L35" s="20"/>
      <c r="M35" s="21"/>
      <c r="N35" s="20"/>
      <c r="O35" s="20"/>
      <c r="P35" s="228"/>
      <c r="Q35" s="228"/>
      <c r="R35" s="228"/>
      <c r="S35" s="228"/>
      <c r="T35" s="228"/>
      <c r="U35" s="2"/>
      <c r="V35" s="2"/>
    </row>
    <row r="36" spans="1:23" x14ac:dyDescent="0.3">
      <c r="A36" s="3"/>
      <c r="B36" s="2" t="s">
        <v>42</v>
      </c>
      <c r="C36" s="12"/>
      <c r="D36" s="12"/>
      <c r="E36" s="12"/>
      <c r="F36" s="40">
        <f>'Segment data'!B12</f>
        <v>-699</v>
      </c>
      <c r="G36" s="40">
        <f>'Segment data'!C12</f>
        <v>-1283</v>
      </c>
      <c r="H36" s="40">
        <f>'Segment data'!D12</f>
        <v>-3062</v>
      </c>
      <c r="I36" s="40">
        <f>'Segment data'!E12</f>
        <v>-2142</v>
      </c>
      <c r="J36" s="40">
        <f>'Segment data'!F12</f>
        <v>-1693</v>
      </c>
      <c r="K36" s="40">
        <f>'Segment data'!G12</f>
        <v>717</v>
      </c>
      <c r="L36" s="40">
        <f>'Segment data'!H12</f>
        <v>-924</v>
      </c>
      <c r="M36" s="40">
        <f>'Segment data'!I12</f>
        <v>-7746</v>
      </c>
      <c r="N36" s="40">
        <f>'Segment data'!J12</f>
        <v>-2656</v>
      </c>
      <c r="O36" s="40">
        <f>'Segment data'!K12</f>
        <v>3792</v>
      </c>
      <c r="P36" s="106">
        <f>P38*P$44</f>
        <v>-17419.688672194872</v>
      </c>
      <c r="Q36" s="106">
        <f t="shared" ref="Q36:T36" si="56">Q38*Q$44</f>
        <v>-7563.336847957994</v>
      </c>
      <c r="R36" s="106">
        <f t="shared" si="56"/>
        <v>-9260.1579989811671</v>
      </c>
      <c r="S36" s="106">
        <f t="shared" si="56"/>
        <v>-17208.660300607971</v>
      </c>
      <c r="T36" s="106">
        <f t="shared" si="56"/>
        <v>-15324.426700036258</v>
      </c>
      <c r="U36" s="2"/>
      <c r="V36" s="2"/>
    </row>
    <row r="37" spans="1:23" x14ac:dyDescent="0.3">
      <c r="A37" s="3"/>
      <c r="B37" s="2" t="s">
        <v>50</v>
      </c>
      <c r="C37" s="12"/>
      <c r="D37" s="12"/>
      <c r="E37" s="12"/>
      <c r="F37" s="51">
        <f>F36/F28</f>
        <v>-6.5323439807113623E-3</v>
      </c>
      <c r="G37" s="51">
        <f t="shared" ref="G37:O37" si="57">G36/G28</f>
        <v>-9.4347253781611479E-3</v>
      </c>
      <c r="H37" s="51">
        <f t="shared" si="57"/>
        <v>-1.7215206953549302E-2</v>
      </c>
      <c r="I37" s="51">
        <f t="shared" si="57"/>
        <v>-9.1975936827731909E-3</v>
      </c>
      <c r="J37" s="51">
        <f t="shared" si="57"/>
        <v>-6.035177276648534E-3</v>
      </c>
      <c r="K37" s="51">
        <f t="shared" si="57"/>
        <v>1.8572050230013677E-3</v>
      </c>
      <c r="L37" s="51">
        <f t="shared" si="57"/>
        <v>-1.9667022829922822E-3</v>
      </c>
      <c r="M37" s="51">
        <f t="shared" si="57"/>
        <v>-1.5070537352402706E-2</v>
      </c>
      <c r="N37" s="51">
        <f t="shared" si="57"/>
        <v>-4.6208582339483462E-3</v>
      </c>
      <c r="O37" s="51">
        <f t="shared" si="57"/>
        <v>5.9439556460524892E-3</v>
      </c>
      <c r="P37" s="51">
        <f>P36/P28</f>
        <v>-2.4607558122226217E-2</v>
      </c>
      <c r="Q37" s="51">
        <f>Q36/Q28</f>
        <v>-9.7080379512801095E-3</v>
      </c>
      <c r="R37" s="51">
        <f>R36/R28</f>
        <v>-1.074008069608137E-2</v>
      </c>
      <c r="S37" s="51">
        <f>S36/S28</f>
        <v>-1.8052096049188351E-2</v>
      </c>
      <c r="T37" s="51">
        <f>T36/T28</f>
        <v>-1.4557305959340336E-2</v>
      </c>
      <c r="U37" s="2"/>
      <c r="V37" s="2"/>
    </row>
    <row r="38" spans="1:23" x14ac:dyDescent="0.3">
      <c r="A38" s="3"/>
      <c r="B38" s="2" t="s">
        <v>51</v>
      </c>
      <c r="C38" s="12"/>
      <c r="D38" s="12"/>
      <c r="E38" s="12"/>
      <c r="F38" s="51">
        <f>F36/F44</f>
        <v>-0.31303179579041646</v>
      </c>
      <c r="G38" s="51">
        <f t="shared" ref="G38:O38" si="58">G36/G44</f>
        <v>-0.30649784997611085</v>
      </c>
      <c r="H38" s="51">
        <f t="shared" si="58"/>
        <v>-0.7457379444715051</v>
      </c>
      <c r="I38" s="51">
        <f t="shared" si="58"/>
        <v>-0.17244988326221722</v>
      </c>
      <c r="J38" s="51">
        <f t="shared" si="58"/>
        <v>-0.11642940650574238</v>
      </c>
      <c r="K38" s="51">
        <f t="shared" si="58"/>
        <v>3.1311410978645357E-2</v>
      </c>
      <c r="L38" s="51">
        <f t="shared" si="58"/>
        <v>-3.7139756421078016E-2</v>
      </c>
      <c r="M38" s="51">
        <f t="shared" si="58"/>
        <v>-0.63242978445460485</v>
      </c>
      <c r="N38" s="51">
        <f t="shared" si="58"/>
        <v>-7.2072072072072071E-2</v>
      </c>
      <c r="O38" s="51">
        <f t="shared" si="58"/>
        <v>5.528260901258146E-2</v>
      </c>
      <c r="P38" s="51">
        <f>AVERAGE(M38:O38)</f>
        <v>-0.21640641583803186</v>
      </c>
      <c r="Q38" s="51">
        <f t="shared" ref="Q38" si="59">AVERAGE(N38:P38)</f>
        <v>-7.7731959632507494E-2</v>
      </c>
      <c r="R38" s="51">
        <f t="shared" ref="R38" si="60">AVERAGE(O38:Q38)</f>
        <v>-7.9618588819319311E-2</v>
      </c>
      <c r="S38" s="51">
        <f t="shared" ref="S38" si="61">AVERAGE(P38:R38)</f>
        <v>-0.12458565476328622</v>
      </c>
      <c r="T38" s="51">
        <f t="shared" ref="T38" si="62">AVERAGE(Q38:S38)</f>
        <v>-9.3978734405037678E-2</v>
      </c>
      <c r="U38" s="2"/>
      <c r="V38" s="2"/>
    </row>
    <row r="39" spans="1:23" x14ac:dyDescent="0.3">
      <c r="A39" s="3"/>
      <c r="B39" s="2"/>
      <c r="C39" s="12"/>
      <c r="D39" s="12"/>
      <c r="E39" s="12"/>
      <c r="F39" s="20"/>
      <c r="G39" s="20"/>
      <c r="H39" s="20"/>
      <c r="I39" s="21"/>
      <c r="J39" s="20"/>
      <c r="K39" s="20"/>
      <c r="L39" s="20"/>
      <c r="M39" s="21"/>
      <c r="N39" s="20"/>
      <c r="O39" s="20"/>
      <c r="P39" s="228"/>
      <c r="Q39" s="228"/>
      <c r="R39" s="228"/>
      <c r="S39" s="228"/>
      <c r="T39" s="228"/>
      <c r="U39" s="2"/>
      <c r="V39" s="2"/>
    </row>
    <row r="40" spans="1:23" x14ac:dyDescent="0.3">
      <c r="A40" s="3"/>
      <c r="B40" s="2" t="s">
        <v>43</v>
      </c>
      <c r="C40" s="12"/>
      <c r="D40" s="12"/>
      <c r="E40" s="12"/>
      <c r="F40" s="40">
        <f>'Segment data'!B13</f>
        <v>1507</v>
      </c>
      <c r="G40" s="40">
        <f>'Segment data'!C13</f>
        <v>3108</v>
      </c>
      <c r="H40" s="40">
        <f>'Segment data'!D13</f>
        <v>4331</v>
      </c>
      <c r="I40" s="40">
        <f>'Segment data'!E13</f>
        <v>7296</v>
      </c>
      <c r="J40" s="40">
        <f>'Segment data'!F13</f>
        <v>9201</v>
      </c>
      <c r="K40" s="40">
        <f>'Segment data'!G13</f>
        <v>13531</v>
      </c>
      <c r="L40" s="40">
        <f>'Segment data'!H13</f>
        <v>18532</v>
      </c>
      <c r="M40" s="40">
        <f>'Segment data'!I13</f>
        <v>22841</v>
      </c>
      <c r="N40" s="40">
        <f>'Segment data'!J13</f>
        <v>24631</v>
      </c>
      <c r="O40" s="40">
        <f>'Segment data'!K13</f>
        <v>39834</v>
      </c>
      <c r="P40" s="227">
        <f>P42*P$44</f>
        <v>83553.584933300328</v>
      </c>
      <c r="Q40" s="227">
        <f t="shared" ref="Q40:T40" si="63">Q42*Q$44</f>
        <v>74178.4448663597</v>
      </c>
      <c r="R40" s="227">
        <f t="shared" si="63"/>
        <v>92312.084786297462</v>
      </c>
      <c r="S40" s="227">
        <f t="shared" si="63"/>
        <v>119436.579841578</v>
      </c>
      <c r="T40" s="227">
        <f t="shared" si="63"/>
        <v>131577.97669178099</v>
      </c>
      <c r="U40" s="2"/>
      <c r="V40" s="2"/>
    </row>
    <row r="41" spans="1:23" x14ac:dyDescent="0.3">
      <c r="A41" s="3"/>
      <c r="B41" s="2" t="s">
        <v>50</v>
      </c>
      <c r="C41" s="12"/>
      <c r="D41" s="12"/>
      <c r="E41" s="12"/>
      <c r="F41" s="38">
        <f>F40/F28</f>
        <v>1.4083322430517915E-2</v>
      </c>
      <c r="G41" s="38">
        <f t="shared" ref="G41:O41" si="64">G40/G28</f>
        <v>2.2855125857618744E-2</v>
      </c>
      <c r="H41" s="38">
        <f t="shared" si="64"/>
        <v>2.4349791416009806E-2</v>
      </c>
      <c r="I41" s="38">
        <f t="shared" si="64"/>
        <v>3.1328498370454337E-2</v>
      </c>
      <c r="J41" s="38">
        <f t="shared" si="64"/>
        <v>3.279956652241179E-2</v>
      </c>
      <c r="K41" s="38">
        <f t="shared" si="64"/>
        <v>3.5048592979402382E-2</v>
      </c>
      <c r="L41" s="38">
        <f t="shared" si="64"/>
        <v>3.9444725874905814E-2</v>
      </c>
      <c r="M41" s="38">
        <f t="shared" si="64"/>
        <v>4.443921297007878E-2</v>
      </c>
      <c r="N41" s="38">
        <f t="shared" si="64"/>
        <v>4.2852544864601549E-2</v>
      </c>
      <c r="O41" s="38">
        <f t="shared" si="64"/>
        <v>6.2439749262883662E-2</v>
      </c>
      <c r="P41" s="38">
        <f>P40/P28</f>
        <v>0.11803022064615873</v>
      </c>
      <c r="Q41" s="38">
        <f>Q40/Q28</f>
        <v>9.5212889813837187E-2</v>
      </c>
      <c r="R41" s="38">
        <f>R40/R28</f>
        <v>0.10706504575164068</v>
      </c>
      <c r="S41" s="38">
        <f t="shared" ref="S41:T41" si="65">S40/S28</f>
        <v>0.12529043943127555</v>
      </c>
      <c r="T41" s="38">
        <f t="shared" si="65"/>
        <v>0.12499135541616545</v>
      </c>
      <c r="U41" s="2"/>
      <c r="V41" s="2"/>
    </row>
    <row r="42" spans="1:23" x14ac:dyDescent="0.3">
      <c r="A42" s="3"/>
      <c r="B42" s="2" t="s">
        <v>51</v>
      </c>
      <c r="C42" s="12"/>
      <c r="D42" s="12"/>
      <c r="E42" s="12"/>
      <c r="F42" s="38">
        <f>F40/F44</f>
        <v>0.67487684729064035</v>
      </c>
      <c r="G42" s="38">
        <f t="shared" ref="G42:O42" si="66">G40/G44</f>
        <v>0.74247491638795982</v>
      </c>
      <c r="H42" s="38">
        <f t="shared" si="66"/>
        <v>1.0547978567949343</v>
      </c>
      <c r="I42" s="38">
        <f t="shared" si="66"/>
        <v>0.58739231945898074</v>
      </c>
      <c r="J42" s="38">
        <f t="shared" si="66"/>
        <v>0.63276253352589229</v>
      </c>
      <c r="K42" s="38">
        <f t="shared" si="66"/>
        <v>0.59089916590244118</v>
      </c>
      <c r="L42" s="38">
        <f t="shared" si="66"/>
        <v>0.74488524458378558</v>
      </c>
      <c r="M42" s="38">
        <f t="shared" si="66"/>
        <v>1.8648758981058131</v>
      </c>
      <c r="N42" s="38">
        <f t="shared" si="66"/>
        <v>0.668376207532834</v>
      </c>
      <c r="O42" s="38">
        <f t="shared" si="66"/>
        <v>0.58072981207994989</v>
      </c>
      <c r="P42" s="38">
        <f>AVERAGE(M42:O42)</f>
        <v>1.0379939725728657</v>
      </c>
      <c r="Q42" s="38">
        <f t="shared" ref="Q42" si="67">AVERAGE(N42:P42)</f>
        <v>0.76236666406188325</v>
      </c>
      <c r="R42" s="38">
        <f t="shared" ref="R42" si="68">AVERAGE(O42:Q42)</f>
        <v>0.79369681623823307</v>
      </c>
      <c r="S42" s="38">
        <f t="shared" ref="S42" si="69">AVERAGE(P42:R42)</f>
        <v>0.86468581762432739</v>
      </c>
      <c r="T42" s="38">
        <f t="shared" ref="T42" si="70">AVERAGE(Q42:S42)</f>
        <v>0.80691643264148116</v>
      </c>
      <c r="U42" s="2"/>
      <c r="V42" s="2"/>
    </row>
    <row r="43" spans="1:23" x14ac:dyDescent="0.3">
      <c r="A43" s="3"/>
      <c r="B43" s="2"/>
      <c r="C43" s="12"/>
      <c r="D43" s="12"/>
      <c r="E43" s="12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12"/>
      <c r="Q43" s="12"/>
      <c r="R43" s="12"/>
      <c r="S43" s="12"/>
      <c r="T43" s="12"/>
      <c r="U43" s="2"/>
      <c r="V43" s="2"/>
    </row>
    <row r="44" spans="1:23" x14ac:dyDescent="0.3">
      <c r="A44" s="3"/>
      <c r="B44" s="45" t="s">
        <v>47</v>
      </c>
      <c r="C44" s="46"/>
      <c r="D44" s="46"/>
      <c r="E44" s="46"/>
      <c r="F44" s="50">
        <f>F32+F36+F40</f>
        <v>2233</v>
      </c>
      <c r="G44" s="50">
        <f t="shared" ref="G44:O44" si="71">G32+G36+G40</f>
        <v>4186</v>
      </c>
      <c r="H44" s="50">
        <f t="shared" si="71"/>
        <v>4106</v>
      </c>
      <c r="I44" s="50">
        <f t="shared" si="71"/>
        <v>12421</v>
      </c>
      <c r="J44" s="50">
        <f t="shared" si="71"/>
        <v>14541</v>
      </c>
      <c r="K44" s="50">
        <f t="shared" si="71"/>
        <v>22899</v>
      </c>
      <c r="L44" s="50">
        <f t="shared" si="71"/>
        <v>24879</v>
      </c>
      <c r="M44" s="50">
        <f t="shared" si="71"/>
        <v>12248</v>
      </c>
      <c r="N44" s="50">
        <f t="shared" si="71"/>
        <v>36852</v>
      </c>
      <c r="O44" s="50">
        <f t="shared" si="71"/>
        <v>68593</v>
      </c>
      <c r="P44" s="226">
        <v>80495.25059013287</v>
      </c>
      <c r="Q44" s="226">
        <v>97300.220960787512</v>
      </c>
      <c r="R44" s="50">
        <f>R45*R28</f>
        <v>116306.48239691238</v>
      </c>
      <c r="S44" s="50">
        <f t="shared" ref="S44:T44" si="72">S45*S28</f>
        <v>138127.14098829892</v>
      </c>
      <c r="T44" s="226">
        <f t="shared" si="72"/>
        <v>163062.70559028513</v>
      </c>
      <c r="U44" s="2" t="s">
        <v>1</v>
      </c>
      <c r="V44" s="2" t="s">
        <v>284</v>
      </c>
    </row>
    <row r="45" spans="1:23" x14ac:dyDescent="0.3">
      <c r="A45" s="3"/>
      <c r="B45" s="45" t="s">
        <v>49</v>
      </c>
      <c r="C45" s="46"/>
      <c r="D45" s="46"/>
      <c r="E45" s="46"/>
      <c r="F45" s="48">
        <f>F44/F28</f>
        <v>2.0867988710913405E-2</v>
      </c>
      <c r="G45" s="48">
        <f>G44/G28</f>
        <v>3.0782354195621642E-2</v>
      </c>
      <c r="H45" s="48">
        <f t="shared" ref="H45:O45" si="73">H44/H28</f>
        <v>2.3084794170892695E-2</v>
      </c>
      <c r="I45" s="48">
        <f t="shared" si="73"/>
        <v>5.3334879147397665E-2</v>
      </c>
      <c r="J45" s="48">
        <f t="shared" si="73"/>
        <v>5.1835506662579051E-2</v>
      </c>
      <c r="K45" s="48">
        <f t="shared" si="73"/>
        <v>5.9313999751336569E-2</v>
      </c>
      <c r="L45" s="48">
        <f t="shared" si="73"/>
        <v>5.2954097509269465E-2</v>
      </c>
      <c r="M45" s="48">
        <f t="shared" si="73"/>
        <v>2.3829581912242232E-2</v>
      </c>
      <c r="N45" s="48">
        <f t="shared" si="73"/>
        <v>6.4114407996033296E-2</v>
      </c>
      <c r="O45" s="48">
        <f t="shared" si="73"/>
        <v>0.1075194487420038</v>
      </c>
      <c r="P45" s="48">
        <f>P44/P28</f>
        <v>0.11370992873262872</v>
      </c>
      <c r="Q45" s="48">
        <f t="shared" ref="Q45" si="74">Q44/Q28</f>
        <v>0.12489120301580831</v>
      </c>
      <c r="R45" s="48">
        <f>Q45+($T$45-$Q$45)/($T$31-$Q$31)</f>
        <v>0.13489413534387221</v>
      </c>
      <c r="S45" s="48">
        <f t="shared" ref="S45" si="75">R45+($T$45-$Q$45)/($T$31-$Q$31)</f>
        <v>0.14489706767193611</v>
      </c>
      <c r="T45" s="252">
        <v>0.15490000000000001</v>
      </c>
      <c r="U45" s="2"/>
      <c r="V45" s="2"/>
    </row>
    <row r="46" spans="1:23" x14ac:dyDescent="0.3">
      <c r="A46" s="3"/>
      <c r="B46" s="2"/>
      <c r="C46" s="12"/>
      <c r="D46" s="12"/>
      <c r="E46" s="1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12"/>
      <c r="Q46" s="12"/>
      <c r="R46" s="12"/>
      <c r="S46" s="12"/>
      <c r="T46" s="12"/>
      <c r="U46" s="2"/>
      <c r="V46" s="2"/>
    </row>
    <row r="47" spans="1:23" x14ac:dyDescent="0.3">
      <c r="A47" s="3" t="s">
        <v>260</v>
      </c>
      <c r="B47" s="256" t="s">
        <v>288</v>
      </c>
      <c r="C47" s="257"/>
      <c r="D47" s="257"/>
      <c r="E47" s="257"/>
      <c r="F47" s="103">
        <v>2015</v>
      </c>
      <c r="G47" s="103">
        <f>F47+1</f>
        <v>2016</v>
      </c>
      <c r="H47" s="103">
        <f t="shared" ref="H47" si="76">G47+1</f>
        <v>2017</v>
      </c>
      <c r="I47" s="103">
        <f t="shared" ref="I47" si="77">H47+1</f>
        <v>2018</v>
      </c>
      <c r="J47" s="103">
        <f t="shared" ref="J47" si="78">I47+1</f>
        <v>2019</v>
      </c>
      <c r="K47" s="103">
        <f t="shared" ref="K47" si="79">J47+1</f>
        <v>2020</v>
      </c>
      <c r="L47" s="103">
        <f t="shared" ref="L47" si="80">K47+1</f>
        <v>2021</v>
      </c>
      <c r="M47" s="103">
        <f t="shared" ref="M47" si="81">L47+1</f>
        <v>2022</v>
      </c>
      <c r="N47" s="103">
        <f t="shared" ref="N47" si="82">M47+1</f>
        <v>2023</v>
      </c>
      <c r="O47" s="104" t="s">
        <v>7</v>
      </c>
      <c r="P47" s="104">
        <v>2025</v>
      </c>
      <c r="Q47" s="104">
        <f>P47+1</f>
        <v>2026</v>
      </c>
      <c r="R47" s="104">
        <f t="shared" ref="R47" si="83">Q47+1</f>
        <v>2027</v>
      </c>
      <c r="S47" s="104">
        <f t="shared" ref="S47" si="84">R47+1</f>
        <v>2028</v>
      </c>
      <c r="T47" s="104">
        <f t="shared" ref="T47" si="85">S47+1</f>
        <v>2029</v>
      </c>
      <c r="U47" s="2"/>
      <c r="V47" s="2"/>
    </row>
    <row r="48" spans="1:23" x14ac:dyDescent="0.3">
      <c r="A48" s="3"/>
      <c r="B48" s="2" t="s">
        <v>10</v>
      </c>
      <c r="C48" s="12"/>
      <c r="D48" s="12"/>
      <c r="E48" s="12"/>
      <c r="F48" s="40">
        <f>IS!C15</f>
        <v>950</v>
      </c>
      <c r="G48" s="40">
        <f>IS!D15</f>
        <v>1425</v>
      </c>
      <c r="H48" s="40">
        <f>IS!E15</f>
        <v>769</v>
      </c>
      <c r="I48" s="40">
        <f>IS!F15</f>
        <v>1197</v>
      </c>
      <c r="J48" s="40">
        <f>IS!G15</f>
        <v>2374</v>
      </c>
      <c r="K48" s="40">
        <f>IS!H15</f>
        <v>2863</v>
      </c>
      <c r="L48" s="40">
        <f>IS!I15</f>
        <v>4791</v>
      </c>
      <c r="M48" s="40">
        <f>IS!J15</f>
        <v>-3217</v>
      </c>
      <c r="N48" s="40">
        <f>IS!K15</f>
        <v>7120</v>
      </c>
      <c r="O48" s="40">
        <f>IS!L15</f>
        <v>9265</v>
      </c>
      <c r="P48" s="230">
        <f>P49*P44</f>
        <v>11913.297087339664</v>
      </c>
      <c r="Q48" s="26">
        <f t="shared" ref="Q48:T48" si="86">Q49*Q44</f>
        <v>15328.328445440055</v>
      </c>
      <c r="R48" s="26">
        <f t="shared" si="86"/>
        <v>17080.272656348992</v>
      </c>
      <c r="S48" s="26">
        <f t="shared" si="86"/>
        <v>20829.211129245574</v>
      </c>
      <c r="T48" s="26">
        <f t="shared" si="86"/>
        <v>24741.478483103572</v>
      </c>
      <c r="U48" s="2"/>
      <c r="V48" s="2"/>
      <c r="W48" s="58"/>
    </row>
    <row r="49" spans="1:22" x14ac:dyDescent="0.3">
      <c r="A49" s="3"/>
      <c r="B49" s="2" t="s">
        <v>72</v>
      </c>
      <c r="C49" s="12"/>
      <c r="D49" s="12"/>
      <c r="E49" s="12"/>
      <c r="F49" s="20">
        <f>IF(F48&lt;0,"--",IS!C15/IS!C14)</f>
        <v>0.60586734693877553</v>
      </c>
      <c r="G49" s="20">
        <f>IF(G48&lt;0,"--",IS!D15/IS!D14)</f>
        <v>0.36613566289825283</v>
      </c>
      <c r="H49" s="20">
        <f>IF(H48&lt;0,"--",IS!E15/IS!E14)</f>
        <v>0.20204939569101418</v>
      </c>
      <c r="I49" s="20">
        <f>IF(I48&lt;0,"--",IS!F15/IS!F14)</f>
        <v>0.10629606606873279</v>
      </c>
      <c r="J49" s="20">
        <f>IF(J48&lt;0,"--",IS!G15/IS!G14)</f>
        <v>0.16986262163709215</v>
      </c>
      <c r="K49" s="20">
        <f>IF(K48&lt;0,"--",IS!H15/IS!H14)</f>
        <v>0.1184134337000579</v>
      </c>
      <c r="L49" s="20">
        <f>IF(L48&lt;0,"--",IS!I15/IS!I14)</f>
        <v>0.12557993237398757</v>
      </c>
      <c r="M49" s="20" t="str">
        <f>IF(M48&lt;0,"--",IS!J15/IS!J14)</f>
        <v>--</v>
      </c>
      <c r="N49" s="20">
        <f>IF(N48&lt;0,"--",IS!K15/IS!K14)</f>
        <v>0.18957850733551668</v>
      </c>
      <c r="O49" s="20">
        <f>IF(O48&lt;0,"--",IS!L15/IS!L14)</f>
        <v>0.13503075174162707</v>
      </c>
      <c r="P49" s="229">
        <v>0.14799999999999999</v>
      </c>
      <c r="Q49" s="25">
        <f>AVERAGE(N49:P49)</f>
        <v>0.15753641969238127</v>
      </c>
      <c r="R49" s="25">
        <f t="shared" ref="R49:T49" si="87">AVERAGE(O49:Q49)</f>
        <v>0.14685572381133613</v>
      </c>
      <c r="S49" s="25">
        <f t="shared" si="87"/>
        <v>0.15079738116790578</v>
      </c>
      <c r="T49" s="25">
        <f t="shared" si="87"/>
        <v>0.15172984155720773</v>
      </c>
      <c r="U49" s="2"/>
      <c r="V49" s="2"/>
    </row>
    <row r="50" spans="1:22" x14ac:dyDescent="0.3">
      <c r="A50" s="3"/>
      <c r="B50" s="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2"/>
      <c r="V50" s="22"/>
    </row>
    <row r="51" spans="1:22" x14ac:dyDescent="0.3">
      <c r="A51" s="3" t="s">
        <v>260</v>
      </c>
      <c r="B51" s="256" t="s">
        <v>289</v>
      </c>
      <c r="C51" s="257"/>
      <c r="D51" s="257"/>
      <c r="E51" s="257"/>
      <c r="F51" s="103">
        <v>2015</v>
      </c>
      <c r="G51" s="103">
        <f>F51+1</f>
        <v>2016</v>
      </c>
      <c r="H51" s="103">
        <f t="shared" ref="H51:N51" si="88">G51+1</f>
        <v>2017</v>
      </c>
      <c r="I51" s="103">
        <f t="shared" si="88"/>
        <v>2018</v>
      </c>
      <c r="J51" s="103">
        <f t="shared" si="88"/>
        <v>2019</v>
      </c>
      <c r="K51" s="103">
        <f t="shared" si="88"/>
        <v>2020</v>
      </c>
      <c r="L51" s="103">
        <f t="shared" si="88"/>
        <v>2021</v>
      </c>
      <c r="M51" s="103">
        <f t="shared" si="88"/>
        <v>2022</v>
      </c>
      <c r="N51" s="103">
        <f t="shared" si="88"/>
        <v>2023</v>
      </c>
      <c r="O51" s="104" t="s">
        <v>7</v>
      </c>
      <c r="P51" s="104">
        <v>2025</v>
      </c>
      <c r="Q51" s="104">
        <f>P51+1</f>
        <v>2026</v>
      </c>
      <c r="R51" s="104">
        <f t="shared" ref="R51:T51" si="89">Q51+1</f>
        <v>2027</v>
      </c>
      <c r="S51" s="104">
        <f t="shared" si="89"/>
        <v>2028</v>
      </c>
      <c r="T51" s="104">
        <f t="shared" si="89"/>
        <v>2029</v>
      </c>
      <c r="U51" s="2"/>
      <c r="V51" s="2"/>
    </row>
    <row r="52" spans="1:22" x14ac:dyDescent="0.3">
      <c r="A52" s="3"/>
      <c r="B52" s="2" t="s">
        <v>41</v>
      </c>
      <c r="C52" s="12"/>
      <c r="D52" s="12"/>
      <c r="E52" s="12"/>
      <c r="F52" s="26">
        <f t="shared" ref="F52:T52" si="90">F54*F$72</f>
        <v>1968.4443321883209</v>
      </c>
      <c r="G52" s="26">
        <f t="shared" si="90"/>
        <v>2514.403646651996</v>
      </c>
      <c r="H52" s="26">
        <f t="shared" si="90"/>
        <v>3936.9111085947234</v>
      </c>
      <c r="I52" s="26">
        <f t="shared" si="90"/>
        <v>5580.039133300379</v>
      </c>
      <c r="J52" s="26">
        <f t="shared" si="90"/>
        <v>7343.5401980198021</v>
      </c>
      <c r="K52" s="26">
        <f t="shared" si="90"/>
        <v>7908.0841281486919</v>
      </c>
      <c r="L52" s="26">
        <f t="shared" si="90"/>
        <v>13879.013575450695</v>
      </c>
      <c r="M52" s="26">
        <f t="shared" si="90"/>
        <v>19451.788035628309</v>
      </c>
      <c r="N52" s="26">
        <f t="shared" si="90"/>
        <v>22021.919404466502</v>
      </c>
      <c r="O52" s="26">
        <f t="shared" si="90"/>
        <v>23518.775532478874</v>
      </c>
      <c r="P52" s="26">
        <f t="shared" si="90"/>
        <v>38942.601088746793</v>
      </c>
      <c r="Q52" s="26">
        <f t="shared" si="90"/>
        <v>45725.720526236568</v>
      </c>
      <c r="R52" s="26">
        <f t="shared" si="90"/>
        <v>34987.286353065276</v>
      </c>
      <c r="S52" s="26">
        <f t="shared" si="90"/>
        <v>39011.293411116472</v>
      </c>
      <c r="T52" s="26">
        <f t="shared" si="90"/>
        <v>38088.557175285547</v>
      </c>
      <c r="U52" s="2" t="s">
        <v>1</v>
      </c>
      <c r="V52" s="2" t="s">
        <v>13</v>
      </c>
    </row>
    <row r="53" spans="1:22" x14ac:dyDescent="0.3">
      <c r="A53" s="3"/>
      <c r="B53" s="2" t="s">
        <v>147</v>
      </c>
      <c r="C53" s="12"/>
      <c r="D53" s="12"/>
      <c r="E53" s="12"/>
      <c r="F53" s="18">
        <f>'Segment data'!B21</f>
        <v>1551</v>
      </c>
      <c r="G53" s="18">
        <f>'Segment data'!C21</f>
        <v>1971</v>
      </c>
      <c r="H53" s="18">
        <f>'Segment data'!D21</f>
        <v>3029</v>
      </c>
      <c r="I53" s="18">
        <f>'Segment data'!E21</f>
        <v>4415</v>
      </c>
      <c r="J53" s="18">
        <f>'Segment data'!F21</f>
        <v>5106</v>
      </c>
      <c r="K53" s="18">
        <f>'Segment data'!G21</f>
        <v>6421</v>
      </c>
      <c r="L53" s="18">
        <f>'Segment data'!H21</f>
        <v>9234</v>
      </c>
      <c r="M53" s="18">
        <f>'Segment data'!I21</f>
        <v>11565</v>
      </c>
      <c r="N53" s="18">
        <f>'Segment data'!J21</f>
        <v>13678</v>
      </c>
      <c r="O53" s="18">
        <f>'Segment data'!K21</f>
        <v>14285</v>
      </c>
      <c r="P53" s="26">
        <f>P55*P16</f>
        <v>16207.659881404745</v>
      </c>
      <c r="Q53" s="26">
        <f>Q55*Q$16</f>
        <v>17939.114117694971</v>
      </c>
      <c r="R53" s="26">
        <f>R55*R$16</f>
        <v>19632.827085833233</v>
      </c>
      <c r="S53" s="26">
        <f>S55*S$16</f>
        <v>21827.459024342617</v>
      </c>
      <c r="T53" s="26">
        <f>T55*T$16</f>
        <v>24104.51043891388</v>
      </c>
      <c r="U53" s="2"/>
      <c r="V53" s="2"/>
    </row>
    <row r="54" spans="1:22" x14ac:dyDescent="0.3">
      <c r="A54" s="3"/>
      <c r="B54" s="2" t="s">
        <v>150</v>
      </c>
      <c r="C54" s="12"/>
      <c r="D54" s="12"/>
      <c r="E54" s="12"/>
      <c r="F54" s="38">
        <f t="shared" ref="F54:O54" si="91">F53/F69</f>
        <v>0.31339664578702769</v>
      </c>
      <c r="G54" s="38">
        <f t="shared" si="91"/>
        <v>0.30980823640364663</v>
      </c>
      <c r="H54" s="38">
        <f t="shared" si="91"/>
        <v>0.34299626316385462</v>
      </c>
      <c r="I54" s="38">
        <f t="shared" si="91"/>
        <v>0.36373372878563193</v>
      </c>
      <c r="J54" s="38">
        <f t="shared" si="91"/>
        <v>0.33702970297029705</v>
      </c>
      <c r="K54" s="38">
        <f t="shared" si="91"/>
        <v>0.31406211787723159</v>
      </c>
      <c r="L54" s="38">
        <f t="shared" si="91"/>
        <v>0.40307302806757167</v>
      </c>
      <c r="M54" s="38">
        <f t="shared" si="91"/>
        <v>0.4640105922002889</v>
      </c>
      <c r="N54" s="38">
        <f t="shared" si="91"/>
        <v>0.45253928866832094</v>
      </c>
      <c r="O54" s="38">
        <f t="shared" si="91"/>
        <v>0.44547353977609383</v>
      </c>
      <c r="P54" s="25">
        <f>AVERAGE(M54:O54)</f>
        <v>0.45400780688156789</v>
      </c>
      <c r="Q54" s="25">
        <f t="shared" ref="Q54:T54" si="92">AVERAGE(N54:P54)</f>
        <v>0.45067354510866092</v>
      </c>
      <c r="R54" s="25">
        <f t="shared" si="92"/>
        <v>0.45005163058877423</v>
      </c>
      <c r="S54" s="25">
        <f t="shared" si="92"/>
        <v>0.45157766085966772</v>
      </c>
      <c r="T54" s="25">
        <f t="shared" si="92"/>
        <v>0.45076761218570094</v>
      </c>
      <c r="U54" s="2"/>
      <c r="V54" s="2"/>
    </row>
    <row r="55" spans="1:22" x14ac:dyDescent="0.3">
      <c r="A55" s="3"/>
      <c r="B55" s="2" t="s">
        <v>151</v>
      </c>
      <c r="C55" s="12"/>
      <c r="D55" s="12"/>
      <c r="E55" s="12"/>
      <c r="F55" s="16">
        <f t="shared" ref="F55:O55" si="93">F53/F16</f>
        <v>2.4345451120738368E-2</v>
      </c>
      <c r="G55" s="16">
        <f t="shared" si="93"/>
        <v>2.4703891708967852E-2</v>
      </c>
      <c r="H55" s="16">
        <f t="shared" si="93"/>
        <v>2.8545848647629816E-2</v>
      </c>
      <c r="I55" s="16">
        <f t="shared" si="93"/>
        <v>3.1230989063848451E-2</v>
      </c>
      <c r="J55" s="16">
        <f t="shared" si="93"/>
        <v>2.9899340059611298E-2</v>
      </c>
      <c r="K55" s="16">
        <f t="shared" si="93"/>
        <v>2.7175155111265354E-2</v>
      </c>
      <c r="L55" s="16">
        <f t="shared" si="93"/>
        <v>3.2998252529187054E-2</v>
      </c>
      <c r="M55" s="16">
        <f t="shared" si="93"/>
        <v>3.6612004558693172E-2</v>
      </c>
      <c r="N55" s="16">
        <f t="shared" si="93"/>
        <v>3.8766764542496626E-2</v>
      </c>
      <c r="O55" s="16">
        <f t="shared" si="93"/>
        <v>3.6864801533947361E-2</v>
      </c>
      <c r="P55" s="25">
        <f>AVERAGE(M55:O55)</f>
        <v>3.7414523545045715E-2</v>
      </c>
      <c r="Q55" s="25">
        <f t="shared" ref="Q55:T55" si="94">AVERAGE(N55:P55)</f>
        <v>3.7682029873829903E-2</v>
      </c>
      <c r="R55" s="25">
        <f t="shared" si="94"/>
        <v>3.7320451650940993E-2</v>
      </c>
      <c r="S55" s="25">
        <f t="shared" si="94"/>
        <v>3.7472335023272206E-2</v>
      </c>
      <c r="T55" s="25">
        <f t="shared" si="94"/>
        <v>3.7491605516014374E-2</v>
      </c>
      <c r="U55" s="2"/>
      <c r="V55" s="2"/>
    </row>
    <row r="56" spans="1:22" x14ac:dyDescent="0.3">
      <c r="A56" s="3"/>
      <c r="B56" s="2"/>
      <c r="C56" s="12"/>
      <c r="D56" s="12"/>
      <c r="E56" s="12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2"/>
      <c r="Q56" s="12"/>
      <c r="R56" s="12"/>
      <c r="S56" s="12"/>
      <c r="T56" s="12"/>
      <c r="U56" s="2"/>
      <c r="V56" s="2"/>
    </row>
    <row r="57" spans="1:22" x14ac:dyDescent="0.3">
      <c r="A57" s="3"/>
      <c r="B57" s="2" t="s">
        <v>42</v>
      </c>
      <c r="C57" s="12"/>
      <c r="D57" s="12"/>
      <c r="E57" s="12"/>
      <c r="F57" s="26">
        <f t="shared" ref="F57:T57" si="95">F59*F$72</f>
        <v>1043.2374217013539</v>
      </c>
      <c r="G57" s="26">
        <f t="shared" si="95"/>
        <v>1186.4005029864823</v>
      </c>
      <c r="H57" s="26">
        <f t="shared" si="95"/>
        <v>1661.0671498131583</v>
      </c>
      <c r="I57" s="26">
        <f t="shared" si="95"/>
        <v>2057.5999340912836</v>
      </c>
      <c r="J57" s="26">
        <f t="shared" si="95"/>
        <v>2712.478811881188</v>
      </c>
      <c r="K57" s="26">
        <f t="shared" si="95"/>
        <v>7908.0841281486919</v>
      </c>
      <c r="L57" s="26">
        <f t="shared" si="95"/>
        <v>4542.1679689205112</v>
      </c>
      <c r="M57" s="26">
        <f t="shared" si="95"/>
        <v>5858.2427780452572</v>
      </c>
      <c r="N57" s="26">
        <f t="shared" si="95"/>
        <v>6465.8596526054598</v>
      </c>
      <c r="O57" s="26">
        <f t="shared" si="95"/>
        <v>7346.221660897495</v>
      </c>
      <c r="P57" s="26">
        <f t="shared" si="95"/>
        <v>11772.961531289588</v>
      </c>
      <c r="Q57" s="26">
        <f t="shared" si="95"/>
        <v>13841.627652654777</v>
      </c>
      <c r="R57" s="26">
        <f t="shared" si="95"/>
        <v>10697.7087811947</v>
      </c>
      <c r="S57" s="26">
        <f t="shared" si="95"/>
        <v>11843.478795327297</v>
      </c>
      <c r="T57" s="26">
        <f t="shared" si="95"/>
        <v>11579.651982812422</v>
      </c>
      <c r="U57" s="2"/>
      <c r="V57" s="2"/>
    </row>
    <row r="58" spans="1:22" x14ac:dyDescent="0.3">
      <c r="A58" s="3"/>
      <c r="B58" s="2" t="s">
        <v>148</v>
      </c>
      <c r="C58" s="12"/>
      <c r="D58" s="12"/>
      <c r="E58" s="12"/>
      <c r="F58" s="18">
        <f>'Segment data'!B22</f>
        <v>822</v>
      </c>
      <c r="G58" s="18">
        <f>'Segment data'!C22</f>
        <v>930</v>
      </c>
      <c r="H58" s="18">
        <f>'Segment data'!D22</f>
        <v>1278</v>
      </c>
      <c r="I58" s="18">
        <f>'Segment data'!E22</f>
        <v>1628</v>
      </c>
      <c r="J58" s="18">
        <f>'Segment data'!F22</f>
        <v>1886</v>
      </c>
      <c r="K58" s="18">
        <f>'Segment data'!G22</f>
        <v>6421</v>
      </c>
      <c r="L58" s="18">
        <f>'Segment data'!H22</f>
        <v>3022</v>
      </c>
      <c r="M58" s="18">
        <f>'Segment data'!I22</f>
        <v>3483</v>
      </c>
      <c r="N58" s="18">
        <f>'Segment data'!J22</f>
        <v>4016</v>
      </c>
      <c r="O58" s="18">
        <f>'Segment data'!K22</f>
        <v>4462</v>
      </c>
      <c r="P58" s="26">
        <f>P60*P$20</f>
        <v>4899.1789727116411</v>
      </c>
      <c r="Q58" s="26">
        <f>Q60*Q$20</f>
        <v>5428.5056618102162</v>
      </c>
      <c r="R58" s="26">
        <f>R60*R$20</f>
        <v>6002.1174727355356</v>
      </c>
      <c r="S58" s="26">
        <f>S60*S$20</f>
        <v>6625.3339080488768</v>
      </c>
      <c r="T58" s="26">
        <f>T60*T$20</f>
        <v>7326.5202767289529</v>
      </c>
      <c r="U58" s="2"/>
      <c r="V58" s="2"/>
    </row>
    <row r="59" spans="1:22" x14ac:dyDescent="0.3">
      <c r="A59" s="3"/>
      <c r="B59" s="2" t="s">
        <v>150</v>
      </c>
      <c r="C59" s="12"/>
      <c r="D59" s="12"/>
      <c r="E59" s="12"/>
      <c r="F59" s="38">
        <f t="shared" ref="F59:O59" si="96">F58/F69</f>
        <v>0.16609416043645181</v>
      </c>
      <c r="G59" s="38">
        <f t="shared" si="96"/>
        <v>0.14618044640050298</v>
      </c>
      <c r="H59" s="38">
        <f t="shared" si="96"/>
        <v>0.14471747253991621</v>
      </c>
      <c r="I59" s="38">
        <f t="shared" si="96"/>
        <v>0.13412423793046629</v>
      </c>
      <c r="J59" s="38">
        <f t="shared" si="96"/>
        <v>0.12448844884488448</v>
      </c>
      <c r="K59" s="38">
        <f t="shared" si="96"/>
        <v>0.31406211787723159</v>
      </c>
      <c r="L59" s="38">
        <f t="shared" si="96"/>
        <v>0.13191322187786458</v>
      </c>
      <c r="M59" s="38">
        <f t="shared" si="96"/>
        <v>0.13974482426576793</v>
      </c>
      <c r="N59" s="38">
        <f t="shared" si="96"/>
        <v>0.13287014061207611</v>
      </c>
      <c r="O59" s="38">
        <f t="shared" si="96"/>
        <v>0.13914616272180122</v>
      </c>
      <c r="P59" s="25">
        <f>AVERAGE(M59:O59)</f>
        <v>0.13725370919988175</v>
      </c>
      <c r="Q59" s="25">
        <f t="shared" ref="Q59" si="97">AVERAGE(N59:P59)</f>
        <v>0.13642333751125302</v>
      </c>
      <c r="R59" s="25">
        <f t="shared" ref="R59" si="98">AVERAGE(O59:Q59)</f>
        <v>0.13760773647764532</v>
      </c>
      <c r="S59" s="25">
        <f t="shared" ref="S59" si="99">AVERAGE(P59:R59)</f>
        <v>0.13709492772959339</v>
      </c>
      <c r="T59" s="25">
        <f t="shared" ref="T59" si="100">AVERAGE(Q59:S59)</f>
        <v>0.13704200057283059</v>
      </c>
      <c r="U59" s="2"/>
      <c r="V59" s="2"/>
    </row>
    <row r="60" spans="1:22" x14ac:dyDescent="0.3">
      <c r="A60" s="3"/>
      <c r="B60" s="2" t="s">
        <v>152</v>
      </c>
      <c r="C60" s="12"/>
      <c r="D60" s="12"/>
      <c r="E60" s="12"/>
      <c r="F60" s="16">
        <f t="shared" ref="F60:O60" si="101">F58/F20</f>
        <v>2.3208538031509404E-2</v>
      </c>
      <c r="G60" s="16">
        <f t="shared" si="101"/>
        <v>2.1144533115067185E-2</v>
      </c>
      <c r="H60" s="16">
        <f t="shared" si="101"/>
        <v>2.353721200066302E-2</v>
      </c>
      <c r="I60" s="16">
        <f t="shared" si="101"/>
        <v>2.4716849360823492E-2</v>
      </c>
      <c r="J60" s="16">
        <f t="shared" si="101"/>
        <v>2.5239885978882003E-2</v>
      </c>
      <c r="K60" s="16">
        <f t="shared" si="101"/>
        <v>6.1496762824196451E-2</v>
      </c>
      <c r="L60" s="16">
        <f t="shared" si="101"/>
        <v>2.3648727961373222E-2</v>
      </c>
      <c r="M60" s="16">
        <f t="shared" si="101"/>
        <v>2.9515198250951214E-2</v>
      </c>
      <c r="N60" s="16">
        <f t="shared" si="101"/>
        <v>3.0609756097560975E-2</v>
      </c>
      <c r="O60" s="16">
        <f t="shared" si="101"/>
        <v>3.1223321624004589E-2</v>
      </c>
      <c r="P60" s="25">
        <f>AVERAGE(M60:O60)</f>
        <v>3.0449425324172257E-2</v>
      </c>
      <c r="Q60" s="25">
        <f t="shared" ref="Q60" si="102">AVERAGE(N60:P60)</f>
        <v>3.0760834348579274E-2</v>
      </c>
      <c r="R60" s="25">
        <f t="shared" ref="R60" si="103">AVERAGE(O60:Q60)</f>
        <v>3.0811193765585373E-2</v>
      </c>
      <c r="S60" s="25">
        <f t="shared" ref="S60" si="104">AVERAGE(P60:R60)</f>
        <v>3.0673817812778965E-2</v>
      </c>
      <c r="T60" s="25">
        <f t="shared" ref="T60" si="105">AVERAGE(Q60:S60)</f>
        <v>3.0748615308981205E-2</v>
      </c>
      <c r="U60" s="2"/>
      <c r="V60" s="2"/>
    </row>
    <row r="61" spans="1:22" x14ac:dyDescent="0.3">
      <c r="A61" s="3"/>
      <c r="B61" s="2"/>
      <c r="C61" s="12"/>
      <c r="D61" s="12"/>
      <c r="E61" s="12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2"/>
      <c r="Q61" s="12"/>
      <c r="R61" s="12"/>
      <c r="S61" s="12"/>
      <c r="T61" s="12"/>
      <c r="U61" s="2"/>
      <c r="V61" s="2"/>
    </row>
    <row r="62" spans="1:22" x14ac:dyDescent="0.3">
      <c r="A62" s="3"/>
      <c r="B62" s="2" t="s">
        <v>43</v>
      </c>
      <c r="C62" s="12"/>
      <c r="D62" s="12"/>
      <c r="E62" s="12"/>
      <c r="F62" s="26">
        <f t="shared" ref="F62:T62" si="106">F64*F$72</f>
        <v>3269.3182461103252</v>
      </c>
      <c r="G62" s="26">
        <f t="shared" si="106"/>
        <v>4415.1958503615215</v>
      </c>
      <c r="H62" s="26">
        <f t="shared" si="106"/>
        <v>5880.0217415921179</v>
      </c>
      <c r="I62" s="26">
        <f t="shared" si="106"/>
        <v>7703.3609326083379</v>
      </c>
      <c r="J62" s="26">
        <f t="shared" si="106"/>
        <v>11732.980990099009</v>
      </c>
      <c r="K62" s="26">
        <f t="shared" si="106"/>
        <v>9363.8317437026162</v>
      </c>
      <c r="L62" s="26">
        <f t="shared" si="106"/>
        <v>16011.818455628792</v>
      </c>
      <c r="M62" s="26">
        <f t="shared" si="106"/>
        <v>16610.969186326434</v>
      </c>
      <c r="N62" s="26">
        <f t="shared" si="106"/>
        <v>20175.220942928041</v>
      </c>
      <c r="O62" s="26">
        <f t="shared" si="106"/>
        <v>21930.002806623634</v>
      </c>
      <c r="P62" s="26">
        <f t="shared" si="106"/>
        <v>35059.616789830747</v>
      </c>
      <c r="Q62" s="26">
        <f t="shared" si="106"/>
        <v>41893.500860321154</v>
      </c>
      <c r="R62" s="26">
        <f t="shared" si="106"/>
        <v>32055.610554233175</v>
      </c>
      <c r="S62" s="26">
        <f t="shared" si="106"/>
        <v>35534.118990810624</v>
      </c>
      <c r="T62" s="26">
        <f t="shared" si="106"/>
        <v>34828.893441177417</v>
      </c>
      <c r="U62" s="2"/>
      <c r="V62" s="2"/>
    </row>
    <row r="63" spans="1:22" x14ac:dyDescent="0.3">
      <c r="A63" s="3"/>
      <c r="B63" s="2" t="s">
        <v>149</v>
      </c>
      <c r="C63" s="12"/>
      <c r="D63" s="12"/>
      <c r="E63" s="12"/>
      <c r="F63" s="40">
        <f>'Segment data'!B23</f>
        <v>2576</v>
      </c>
      <c r="G63" s="40">
        <f>'Segment data'!C23</f>
        <v>3461</v>
      </c>
      <c r="H63" s="40">
        <f>'Segment data'!D23</f>
        <v>4524</v>
      </c>
      <c r="I63" s="40">
        <f>'Segment data'!E23</f>
        <v>6095</v>
      </c>
      <c r="J63" s="40">
        <f>'Segment data'!F23</f>
        <v>8158</v>
      </c>
      <c r="K63" s="40">
        <f>'Segment data'!G23</f>
        <v>7603</v>
      </c>
      <c r="L63" s="40">
        <f>'Segment data'!H23</f>
        <v>10653</v>
      </c>
      <c r="M63" s="40">
        <f>'Segment data'!I23</f>
        <v>9876</v>
      </c>
      <c r="N63" s="40">
        <f>'Segment data'!J23</f>
        <v>12531</v>
      </c>
      <c r="O63" s="40">
        <f>'Segment data'!K23</f>
        <v>13320</v>
      </c>
      <c r="P63" s="26">
        <f>P65*P$24</f>
        <v>14614.169779106185</v>
      </c>
      <c r="Q63" s="26">
        <f>Q65*Q$24</f>
        <v>16463.666650714702</v>
      </c>
      <c r="R63" s="26">
        <f>R65*R$24</f>
        <v>18014.213030766252</v>
      </c>
      <c r="S63" s="26">
        <f>S65*S$24</f>
        <v>19914.343789741131</v>
      </c>
      <c r="T63" s="26">
        <f>T65*T$24</f>
        <v>22077.748526091233</v>
      </c>
      <c r="U63" s="2"/>
      <c r="V63" s="2"/>
    </row>
    <row r="64" spans="1:22" x14ac:dyDescent="0.3">
      <c r="A64" s="3"/>
      <c r="B64" s="2" t="s">
        <v>150</v>
      </c>
      <c r="C64" s="12"/>
      <c r="D64" s="12"/>
      <c r="E64" s="12"/>
      <c r="F64" s="38">
        <f t="shared" ref="F64:O64" si="107">F63/F69</f>
        <v>0.5205091937765205</v>
      </c>
      <c r="G64" s="38">
        <f t="shared" si="107"/>
        <v>0.54401131719585039</v>
      </c>
      <c r="H64" s="38">
        <f t="shared" si="107"/>
        <v>0.51228626429622914</v>
      </c>
      <c r="I64" s="38">
        <f t="shared" si="107"/>
        <v>0.50214203328390183</v>
      </c>
      <c r="J64" s="38">
        <f t="shared" si="107"/>
        <v>0.53848184818481848</v>
      </c>
      <c r="K64" s="38">
        <f t="shared" si="107"/>
        <v>0.37187576424553681</v>
      </c>
      <c r="L64" s="38">
        <f t="shared" si="107"/>
        <v>0.46501375005456369</v>
      </c>
      <c r="M64" s="38">
        <f t="shared" si="107"/>
        <v>0.39624458353394321</v>
      </c>
      <c r="N64" s="38">
        <f t="shared" si="107"/>
        <v>0.41459057071960298</v>
      </c>
      <c r="O64" s="38">
        <f t="shared" si="107"/>
        <v>0.41538029750210498</v>
      </c>
      <c r="P64" s="25">
        <f>AVERAGE(M64:O64)</f>
        <v>0.40873848391855039</v>
      </c>
      <c r="Q64" s="25">
        <f t="shared" ref="Q64" si="108">AVERAGE(N64:P64)</f>
        <v>0.41290311738008612</v>
      </c>
      <c r="R64" s="25">
        <f t="shared" ref="R64" si="109">AVERAGE(O64:Q64)</f>
        <v>0.41234063293358053</v>
      </c>
      <c r="S64" s="25">
        <f t="shared" ref="S64" si="110">AVERAGE(P64:R64)</f>
        <v>0.41132741141073903</v>
      </c>
      <c r="T64" s="25">
        <f t="shared" ref="T64" si="111">AVERAGE(Q64:S64)</f>
        <v>0.41219038724146856</v>
      </c>
      <c r="U64" s="2"/>
      <c r="V64" s="2"/>
    </row>
    <row r="65" spans="1:27" x14ac:dyDescent="0.3">
      <c r="A65" s="3"/>
      <c r="B65" s="2" t="s">
        <v>153</v>
      </c>
      <c r="C65" s="12"/>
      <c r="D65" s="12"/>
      <c r="E65" s="12"/>
      <c r="F65" s="16">
        <f t="shared" ref="F65:O65" si="112">F63/F24</f>
        <v>0.32690355329949239</v>
      </c>
      <c r="G65" s="16">
        <f t="shared" si="112"/>
        <v>0.28324740158769129</v>
      </c>
      <c r="H65" s="16">
        <f t="shared" si="112"/>
        <v>0.25912137006701413</v>
      </c>
      <c r="I65" s="16">
        <f t="shared" si="112"/>
        <v>0.23757552134086923</v>
      </c>
      <c r="J65" s="16">
        <f t="shared" si="112"/>
        <v>0.2329126934277394</v>
      </c>
      <c r="K65" s="16">
        <f t="shared" si="112"/>
        <v>0.16757769451179194</v>
      </c>
      <c r="L65" s="16">
        <f t="shared" si="112"/>
        <v>0.17126458956303656</v>
      </c>
      <c r="M65" s="16">
        <f t="shared" si="112"/>
        <v>0.12330203755493407</v>
      </c>
      <c r="N65" s="16">
        <f t="shared" si="112"/>
        <v>0.13807199444670934</v>
      </c>
      <c r="O65" s="16">
        <f t="shared" si="112"/>
        <v>0.12384246346089479</v>
      </c>
      <c r="P65" s="25">
        <f>AVERAGE(M65:O65)</f>
        <v>0.12840549848751273</v>
      </c>
      <c r="Q65" s="25">
        <f t="shared" ref="Q65" si="113">AVERAGE(N65:P65)</f>
        <v>0.13010665213170561</v>
      </c>
      <c r="R65" s="25">
        <f t="shared" ref="R65" si="114">AVERAGE(O65:Q65)</f>
        <v>0.12745153802670439</v>
      </c>
      <c r="S65" s="25">
        <f t="shared" ref="S65" si="115">AVERAGE(P65:R65)</f>
        <v>0.12865456288197424</v>
      </c>
      <c r="T65" s="25">
        <f t="shared" ref="T65" si="116">AVERAGE(Q65:S65)</f>
        <v>0.12873758434679475</v>
      </c>
      <c r="U65" s="2"/>
      <c r="V65" s="2"/>
    </row>
    <row r="66" spans="1:27" x14ac:dyDescent="0.3">
      <c r="A66" s="3"/>
      <c r="B66" s="2"/>
      <c r="C66" s="12"/>
      <c r="D66" s="12"/>
      <c r="E66" s="12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2"/>
      <c r="Q66" s="12"/>
      <c r="R66" s="12"/>
      <c r="S66" s="12"/>
      <c r="T66" s="12"/>
      <c r="U66" s="2"/>
      <c r="V66" s="2"/>
    </row>
    <row r="67" spans="1:27" x14ac:dyDescent="0.3">
      <c r="A67" s="3"/>
      <c r="B67" s="45" t="s">
        <v>47</v>
      </c>
      <c r="C67" s="77"/>
      <c r="D67" s="77"/>
      <c r="E67" s="77"/>
      <c r="F67" s="78">
        <f t="shared" ref="F67:T67" si="117">F62+F57+F52</f>
        <v>6281</v>
      </c>
      <c r="G67" s="78">
        <f t="shared" si="117"/>
        <v>8116</v>
      </c>
      <c r="H67" s="78">
        <f t="shared" si="117"/>
        <v>11478</v>
      </c>
      <c r="I67" s="78">
        <f t="shared" si="117"/>
        <v>15341</v>
      </c>
      <c r="J67" s="78">
        <f t="shared" si="117"/>
        <v>21789</v>
      </c>
      <c r="K67" s="78">
        <f t="shared" si="117"/>
        <v>25180</v>
      </c>
      <c r="L67" s="78">
        <f t="shared" si="117"/>
        <v>34433</v>
      </c>
      <c r="M67" s="78">
        <f t="shared" si="117"/>
        <v>41921</v>
      </c>
      <c r="N67" s="78">
        <f t="shared" si="117"/>
        <v>48663</v>
      </c>
      <c r="O67" s="78">
        <f t="shared" si="117"/>
        <v>52795</v>
      </c>
      <c r="P67" s="78">
        <f t="shared" si="117"/>
        <v>85775.179409867123</v>
      </c>
      <c r="Q67" s="78">
        <f t="shared" si="117"/>
        <v>101460.84903921251</v>
      </c>
      <c r="R67" s="78">
        <f t="shared" si="117"/>
        <v>77740.605688493146</v>
      </c>
      <c r="S67" s="78">
        <f t="shared" si="117"/>
        <v>86388.891197254386</v>
      </c>
      <c r="T67" s="78">
        <f t="shared" si="117"/>
        <v>84497.102599275386</v>
      </c>
      <c r="U67" s="2"/>
      <c r="V67" s="2"/>
    </row>
    <row r="68" spans="1:27" x14ac:dyDescent="0.3">
      <c r="A68" s="3"/>
      <c r="B68" s="45" t="s">
        <v>164</v>
      </c>
      <c r="C68" s="77"/>
      <c r="D68" s="77"/>
      <c r="E68" s="77"/>
      <c r="F68" s="48">
        <f>F67/F$28</f>
        <v>5.8697643122815543E-2</v>
      </c>
      <c r="G68" s="48">
        <f t="shared" ref="G68:O68" si="118">G67/G$28</f>
        <v>5.9682175502070049E-2</v>
      </c>
      <c r="H68" s="48">
        <f t="shared" si="118"/>
        <v>6.4531726130907532E-2</v>
      </c>
      <c r="I68" s="48">
        <f t="shared" si="118"/>
        <v>6.5873148780309768E-2</v>
      </c>
      <c r="J68" s="48">
        <f t="shared" si="118"/>
        <v>7.7673052380918428E-2</v>
      </c>
      <c r="K68" s="48">
        <f t="shared" si="118"/>
        <v>6.5222346553939242E-2</v>
      </c>
      <c r="L68" s="48">
        <f t="shared" si="118"/>
        <v>7.3289458560901785E-2</v>
      </c>
      <c r="M68" s="48">
        <f t="shared" si="118"/>
        <v>8.1561063303650122E-2</v>
      </c>
      <c r="N68" s="48">
        <f t="shared" si="118"/>
        <v>8.4662960933218512E-2</v>
      </c>
      <c r="O68" s="48">
        <f t="shared" si="118"/>
        <v>8.2756101881155369E-2</v>
      </c>
      <c r="P68" s="48">
        <f t="shared" ref="P68:T68" si="119">P67/P$28</f>
        <v>0.12116850952346769</v>
      </c>
      <c r="Q68" s="48">
        <f t="shared" si="119"/>
        <v>0.13023164151517472</v>
      </c>
      <c r="R68" s="48">
        <f t="shared" si="119"/>
        <v>9.0164809126207307E-2</v>
      </c>
      <c r="S68" s="48">
        <f t="shared" si="119"/>
        <v>9.0623008080450165E-2</v>
      </c>
      <c r="T68" s="48">
        <f t="shared" si="119"/>
        <v>8.0267288251149593E-2</v>
      </c>
      <c r="U68" s="2"/>
      <c r="V68" s="2"/>
    </row>
    <row r="69" spans="1:27" x14ac:dyDescent="0.3">
      <c r="A69" s="3"/>
      <c r="B69" s="45" t="s">
        <v>145</v>
      </c>
      <c r="C69" s="77"/>
      <c r="D69" s="77"/>
      <c r="E69" s="77"/>
      <c r="F69" s="78">
        <f t="shared" ref="F69:O69" si="120">F63+F58+F53</f>
        <v>4949</v>
      </c>
      <c r="G69" s="78">
        <f t="shared" si="120"/>
        <v>6362</v>
      </c>
      <c r="H69" s="78">
        <f t="shared" si="120"/>
        <v>8831</v>
      </c>
      <c r="I69" s="78">
        <f t="shared" si="120"/>
        <v>12138</v>
      </c>
      <c r="J69" s="78">
        <f t="shared" si="120"/>
        <v>15150</v>
      </c>
      <c r="K69" s="78">
        <f t="shared" si="120"/>
        <v>20445</v>
      </c>
      <c r="L69" s="78">
        <f t="shared" si="120"/>
        <v>22909</v>
      </c>
      <c r="M69" s="78">
        <f t="shared" si="120"/>
        <v>24924</v>
      </c>
      <c r="N69" s="78">
        <f t="shared" si="120"/>
        <v>30225</v>
      </c>
      <c r="O69" s="78">
        <f t="shared" si="120"/>
        <v>32067</v>
      </c>
      <c r="P69" s="77"/>
      <c r="Q69" s="77"/>
      <c r="R69" s="77"/>
      <c r="S69" s="77"/>
      <c r="T69" s="77"/>
      <c r="U69" s="2"/>
      <c r="V69" s="2"/>
    </row>
    <row r="70" spans="1:27" x14ac:dyDescent="0.3">
      <c r="A70" s="3"/>
      <c r="B70" s="3"/>
      <c r="C70" s="74"/>
      <c r="D70" s="74"/>
      <c r="E70" s="74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4"/>
      <c r="Q70" s="74"/>
      <c r="R70" s="74"/>
      <c r="S70" s="74"/>
      <c r="T70" s="74"/>
      <c r="U70" s="2"/>
      <c r="V70" s="2"/>
    </row>
    <row r="71" spans="1:27" x14ac:dyDescent="0.3">
      <c r="A71" s="3"/>
      <c r="B71" s="3"/>
      <c r="C71" s="74"/>
      <c r="D71" s="74"/>
      <c r="E71" s="74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4"/>
      <c r="Q71" s="74"/>
      <c r="R71" s="74"/>
      <c r="S71" s="74"/>
      <c r="T71" s="74"/>
      <c r="U71" s="2"/>
      <c r="V71" s="2"/>
    </row>
    <row r="72" spans="1:27" x14ac:dyDescent="0.3">
      <c r="A72" s="3"/>
      <c r="B72" s="45" t="s">
        <v>162</v>
      </c>
      <c r="C72" s="77"/>
      <c r="D72" s="77"/>
      <c r="E72" s="77"/>
      <c r="F72" s="79">
        <f>CSF!C5</f>
        <v>6281</v>
      </c>
      <c r="G72" s="79">
        <f>CSF!D5</f>
        <v>8116</v>
      </c>
      <c r="H72" s="79">
        <f>CSF!E5</f>
        <v>11478</v>
      </c>
      <c r="I72" s="79">
        <f>CSF!F5</f>
        <v>15341</v>
      </c>
      <c r="J72" s="79">
        <f>CSF!G5</f>
        <v>21789</v>
      </c>
      <c r="K72" s="79">
        <f>CSF!H5</f>
        <v>25180</v>
      </c>
      <c r="L72" s="79">
        <f>CSF!I5</f>
        <v>34433</v>
      </c>
      <c r="M72" s="79">
        <f>CSF!J5</f>
        <v>41921</v>
      </c>
      <c r="N72" s="79">
        <f>CSF!K5</f>
        <v>48663</v>
      </c>
      <c r="O72" s="79">
        <f>CSF!L5</f>
        <v>52795</v>
      </c>
      <c r="P72" s="50">
        <f>Assumptions!F39</f>
        <v>85775.179409867123</v>
      </c>
      <c r="Q72" s="50">
        <f>Assumptions!G39</f>
        <v>101460.84903921249</v>
      </c>
      <c r="R72" s="50">
        <f>Assumptions!H39</f>
        <v>77740.605688493146</v>
      </c>
      <c r="S72" s="50">
        <f>Assumptions!I39</f>
        <v>86388.891197254386</v>
      </c>
      <c r="T72" s="50">
        <f>Assumptions!J39</f>
        <v>84497.102599275386</v>
      </c>
      <c r="U72" s="2"/>
      <c r="V72" s="2"/>
    </row>
    <row r="73" spans="1:27" x14ac:dyDescent="0.3">
      <c r="A73" s="3"/>
      <c r="B73" s="45" t="s">
        <v>50</v>
      </c>
      <c r="C73" s="77"/>
      <c r="D73" s="77"/>
      <c r="E73" s="77"/>
      <c r="F73" s="48">
        <f t="shared" ref="F73:T73" si="121">F72/F28</f>
        <v>5.8697643122815543E-2</v>
      </c>
      <c r="G73" s="48">
        <f t="shared" si="121"/>
        <v>5.9682175502070049E-2</v>
      </c>
      <c r="H73" s="48">
        <f t="shared" si="121"/>
        <v>6.4531726130907532E-2</v>
      </c>
      <c r="I73" s="48">
        <f t="shared" si="121"/>
        <v>6.5873148780309768E-2</v>
      </c>
      <c r="J73" s="48">
        <f t="shared" si="121"/>
        <v>7.7673052380918428E-2</v>
      </c>
      <c r="K73" s="48">
        <f t="shared" si="121"/>
        <v>6.5222346553939242E-2</v>
      </c>
      <c r="L73" s="48">
        <f t="shared" si="121"/>
        <v>7.3289458560901785E-2</v>
      </c>
      <c r="M73" s="48">
        <f t="shared" si="121"/>
        <v>8.1561063303650122E-2</v>
      </c>
      <c r="N73" s="48">
        <f t="shared" si="121"/>
        <v>8.4662960933218512E-2</v>
      </c>
      <c r="O73" s="48">
        <f t="shared" si="121"/>
        <v>8.2756101881155369E-2</v>
      </c>
      <c r="P73" s="48">
        <f t="shared" si="121"/>
        <v>0.12116850952346769</v>
      </c>
      <c r="Q73" s="48">
        <f t="shared" si="121"/>
        <v>0.13023164151517472</v>
      </c>
      <c r="R73" s="48">
        <f t="shared" si="121"/>
        <v>9.0164809126207307E-2</v>
      </c>
      <c r="S73" s="48">
        <f t="shared" si="121"/>
        <v>9.0623008080450165E-2</v>
      </c>
      <c r="T73" s="48">
        <f t="shared" si="121"/>
        <v>8.0267288251149593E-2</v>
      </c>
      <c r="U73" s="2"/>
      <c r="V73" s="2"/>
      <c r="AA73" s="263"/>
    </row>
    <row r="74" spans="1:27" x14ac:dyDescent="0.3">
      <c r="A74" s="3"/>
      <c r="B74" s="45" t="s">
        <v>144</v>
      </c>
      <c r="C74" s="77"/>
      <c r="D74" s="77"/>
      <c r="E74" s="77"/>
      <c r="F74" s="48">
        <f t="shared" ref="F74:T74" si="122">F72/F98</f>
        <v>1.3687077794726521</v>
      </c>
      <c r="G74" s="48">
        <f t="shared" si="122"/>
        <v>1.2046905150660532</v>
      </c>
      <c r="H74" s="48">
        <f t="shared" si="122"/>
        <v>0.96010037641154333</v>
      </c>
      <c r="I74" s="48">
        <f t="shared" si="122"/>
        <v>1.142548596112311</v>
      </c>
      <c r="J74" s="48">
        <f t="shared" si="122"/>
        <v>1.2922721072297016</v>
      </c>
      <c r="K74" s="48">
        <f t="shared" si="122"/>
        <v>0.62730443447932238</v>
      </c>
      <c r="L74" s="48">
        <f t="shared" si="122"/>
        <v>0.56398538974333778</v>
      </c>
      <c r="M74" s="48">
        <f t="shared" si="122"/>
        <v>0.65866918061120272</v>
      </c>
      <c r="N74" s="48">
        <f t="shared" si="122"/>
        <v>0.92288873295529972</v>
      </c>
      <c r="O74" s="48">
        <f t="shared" si="122"/>
        <v>0.6360920011084471</v>
      </c>
      <c r="P74" s="48">
        <f t="shared" si="122"/>
        <v>1.0516128005854233</v>
      </c>
      <c r="Q74" s="48">
        <f t="shared" si="122"/>
        <v>1.1821379104024825</v>
      </c>
      <c r="R74" s="48">
        <f t="shared" si="122"/>
        <v>0.85780727672062307</v>
      </c>
      <c r="S74" s="48">
        <f t="shared" si="122"/>
        <v>0.90572830719412767</v>
      </c>
      <c r="T74" s="48">
        <f t="shared" si="122"/>
        <v>0.84491882369631144</v>
      </c>
      <c r="U74" s="2"/>
      <c r="V74" s="2"/>
      <c r="AA74" s="42"/>
    </row>
    <row r="75" spans="1:27" x14ac:dyDescent="0.3">
      <c r="A75" s="3"/>
      <c r="B75" s="2"/>
      <c r="C75" s="12"/>
      <c r="D75" s="12"/>
      <c r="E75" s="12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2"/>
      <c r="Q75" s="12"/>
      <c r="R75" s="12"/>
      <c r="S75" s="12"/>
      <c r="T75" s="12"/>
      <c r="U75" s="2"/>
      <c r="V75" s="2"/>
      <c r="AA75" s="42"/>
    </row>
    <row r="76" spans="1:27" x14ac:dyDescent="0.3">
      <c r="A76" s="3"/>
      <c r="B76" s="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2"/>
      <c r="V76" s="2"/>
    </row>
    <row r="77" spans="1:27" x14ac:dyDescent="0.3">
      <c r="A77" s="3" t="s">
        <v>260</v>
      </c>
      <c r="B77" s="256" t="s">
        <v>290</v>
      </c>
      <c r="C77" s="257"/>
      <c r="D77" s="257"/>
      <c r="E77" s="257"/>
      <c r="F77" s="103">
        <v>2015</v>
      </c>
      <c r="G77" s="103">
        <f>F77+1</f>
        <v>2016</v>
      </c>
      <c r="H77" s="103">
        <f t="shared" ref="H77" si="123">G77+1</f>
        <v>2017</v>
      </c>
      <c r="I77" s="103">
        <f t="shared" ref="I77" si="124">H77+1</f>
        <v>2018</v>
      </c>
      <c r="J77" s="103">
        <f t="shared" ref="J77" si="125">I77+1</f>
        <v>2019</v>
      </c>
      <c r="K77" s="103">
        <f t="shared" ref="K77" si="126">J77+1</f>
        <v>2020</v>
      </c>
      <c r="L77" s="103">
        <f t="shared" ref="L77" si="127">K77+1</f>
        <v>2021</v>
      </c>
      <c r="M77" s="103">
        <f t="shared" ref="M77" si="128">L77+1</f>
        <v>2022</v>
      </c>
      <c r="N77" s="103">
        <f t="shared" ref="N77" si="129">M77+1</f>
        <v>2023</v>
      </c>
      <c r="O77" s="104" t="s">
        <v>7</v>
      </c>
      <c r="P77" s="104">
        <v>2025</v>
      </c>
      <c r="Q77" s="104">
        <f>P77+1</f>
        <v>2026</v>
      </c>
      <c r="R77" s="104">
        <f t="shared" ref="R77" si="130">Q77+1</f>
        <v>2027</v>
      </c>
      <c r="S77" s="104">
        <f t="shared" ref="S77" si="131">R77+1</f>
        <v>2028</v>
      </c>
      <c r="T77" s="104">
        <f t="shared" ref="T77" si="132">S77+1</f>
        <v>2029</v>
      </c>
    </row>
    <row r="78" spans="1:27" x14ac:dyDescent="0.3">
      <c r="A78" s="3"/>
      <c r="B78" s="2" t="s">
        <v>41</v>
      </c>
      <c r="C78" s="12"/>
      <c r="D78" s="12"/>
      <c r="E78" s="12"/>
      <c r="F78" s="26">
        <f>F80*F$98</f>
        <v>1457.523645194274</v>
      </c>
      <c r="G78" s="26">
        <f t="shared" ref="G78:T78" si="133">G80*G$98</f>
        <v>2879.9903373594334</v>
      </c>
      <c r="H78" s="26">
        <f t="shared" si="133"/>
        <v>5720.5104038280288</v>
      </c>
      <c r="I78" s="26">
        <f t="shared" si="133"/>
        <v>6272.8973835187762</v>
      </c>
      <c r="J78" s="26">
        <f t="shared" si="133"/>
        <v>7049.611213889285</v>
      </c>
      <c r="K78" s="26">
        <f t="shared" si="133"/>
        <v>22017.295700207374</v>
      </c>
      <c r="L78" s="26">
        <f t="shared" si="133"/>
        <v>32756.108646686658</v>
      </c>
      <c r="M78" s="26">
        <f t="shared" si="133"/>
        <v>25920.769243998075</v>
      </c>
      <c r="N78" s="26">
        <f t="shared" si="133"/>
        <v>19870.294973772467</v>
      </c>
      <c r="O78" s="26">
        <f t="shared" si="133"/>
        <v>23984.187281919818</v>
      </c>
      <c r="P78" s="26">
        <f t="shared" si="133"/>
        <v>29175.353049095418</v>
      </c>
      <c r="Q78" s="26">
        <f t="shared" si="133"/>
        <v>29281.761009914127</v>
      </c>
      <c r="R78" s="26">
        <f t="shared" si="133"/>
        <v>29841.378351516083</v>
      </c>
      <c r="S78" s="26">
        <f t="shared" si="133"/>
        <v>32688.077243567524</v>
      </c>
      <c r="T78" s="26">
        <f t="shared" si="133"/>
        <v>33773.933513270575</v>
      </c>
    </row>
    <row r="79" spans="1:27" x14ac:dyDescent="0.3">
      <c r="A79" s="3"/>
      <c r="B79" s="2" t="s">
        <v>147</v>
      </c>
      <c r="C79" s="12"/>
      <c r="D79" s="12"/>
      <c r="E79" s="12"/>
      <c r="F79" s="40">
        <f>'Segment data'!B16</f>
        <v>2485</v>
      </c>
      <c r="G79" s="40">
        <f>'Segment data'!C16</f>
        <v>5132</v>
      </c>
      <c r="H79" s="40">
        <f>'Segment data'!D16</f>
        <v>13200</v>
      </c>
      <c r="I79" s="40">
        <f>'Segment data'!E16</f>
        <v>10749</v>
      </c>
      <c r="J79" s="40">
        <f>'Segment data'!F16</f>
        <v>11752</v>
      </c>
      <c r="K79" s="40">
        <f>'Segment data'!G16</f>
        <v>29889</v>
      </c>
      <c r="L79" s="40">
        <f>'Segment data'!H16</f>
        <v>37397</v>
      </c>
      <c r="M79" s="40">
        <f>'Segment data'!I16</f>
        <v>23682</v>
      </c>
      <c r="N79" s="40">
        <f>'Segment data'!J16</f>
        <v>17529</v>
      </c>
      <c r="O79" s="40">
        <f>'Segment data'!K16</f>
        <v>24348</v>
      </c>
      <c r="P79" s="26">
        <f>P81*P$16</f>
        <v>28918.619040726804</v>
      </c>
      <c r="Q79" s="26">
        <f>Q81*Q$16</f>
        <v>29352.529361456887</v>
      </c>
      <c r="R79" s="26">
        <f>R81*R$16</f>
        <v>33371.325031258813</v>
      </c>
      <c r="S79" s="26">
        <f>S81*S$16</f>
        <v>37250.543932506</v>
      </c>
      <c r="T79" s="26">
        <f>T81*T$16</f>
        <v>40513.79390284275</v>
      </c>
      <c r="U79" s="2"/>
      <c r="V79" s="2"/>
    </row>
    <row r="80" spans="1:27" x14ac:dyDescent="0.3">
      <c r="A80" s="3"/>
      <c r="B80" s="2" t="s">
        <v>155</v>
      </c>
      <c r="C80" s="12"/>
      <c r="D80" s="12"/>
      <c r="E80" s="12"/>
      <c r="F80" s="16">
        <f>F79/F$95</f>
        <v>0.3176124744376278</v>
      </c>
      <c r="G80" s="16">
        <f t="shared" ref="G80:O80" si="134">G79/G$95</f>
        <v>0.42748854643898376</v>
      </c>
      <c r="H80" s="16">
        <f t="shared" si="134"/>
        <v>0.47850358877691584</v>
      </c>
      <c r="I80" s="16">
        <f t="shared" si="134"/>
        <v>0.46718532684283726</v>
      </c>
      <c r="J80" s="16">
        <f t="shared" si="134"/>
        <v>0.41810160808310803</v>
      </c>
      <c r="K80" s="16">
        <f t="shared" si="134"/>
        <v>0.54851259841074673</v>
      </c>
      <c r="L80" s="16">
        <f t="shared" si="134"/>
        <v>0.53651923159691839</v>
      </c>
      <c r="M80" s="16">
        <f t="shared" si="134"/>
        <v>0.40727110132764671</v>
      </c>
      <c r="N80" s="16">
        <f t="shared" si="134"/>
        <v>0.37683807722074125</v>
      </c>
      <c r="O80" s="16">
        <f t="shared" si="134"/>
        <v>0.2889695933917254</v>
      </c>
      <c r="P80" s="25">
        <f>AVERAGE(M80:O80)</f>
        <v>0.35769292398003777</v>
      </c>
      <c r="Q80" s="25">
        <f t="shared" ref="Q80" si="135">AVERAGE(N80:P80)</f>
        <v>0.34116686486416814</v>
      </c>
      <c r="R80" s="25">
        <f t="shared" ref="R80" si="136">AVERAGE(O80:Q80)</f>
        <v>0.32927646074531042</v>
      </c>
      <c r="S80" s="25">
        <f t="shared" ref="S80" si="137">AVERAGE(P80:R80)</f>
        <v>0.34271208319650542</v>
      </c>
      <c r="T80" s="25">
        <f t="shared" ref="T80" si="138">AVERAGE(Q80:S80)</f>
        <v>0.33771846960199464</v>
      </c>
      <c r="U80" s="2"/>
      <c r="V80" s="2"/>
    </row>
    <row r="81" spans="1:22" x14ac:dyDescent="0.3">
      <c r="A81" s="3"/>
      <c r="B81" s="2" t="s">
        <v>151</v>
      </c>
      <c r="C81" s="12"/>
      <c r="D81" s="12"/>
      <c r="E81" s="12"/>
      <c r="F81" s="16">
        <f t="shared" ref="F81:O81" si="139">F78 /F16</f>
        <v>2.2878188692068091E-2</v>
      </c>
      <c r="G81" s="16">
        <f t="shared" si="139"/>
        <v>3.6096889607813917E-2</v>
      </c>
      <c r="H81" s="16">
        <f t="shared" si="139"/>
        <v>5.3911133765225036E-2</v>
      </c>
      <c r="I81" s="16">
        <f t="shared" si="139"/>
        <v>4.4373451774251067E-2</v>
      </c>
      <c r="J81" s="16">
        <f t="shared" si="139"/>
        <v>4.128059596007147E-2</v>
      </c>
      <c r="K81" s="16">
        <f t="shared" si="139"/>
        <v>9.3182280919441071E-2</v>
      </c>
      <c r="L81" s="16">
        <f t="shared" si="139"/>
        <v>0.11705591780342797</v>
      </c>
      <c r="M81" s="16">
        <f t="shared" si="139"/>
        <v>8.2058912384443697E-2</v>
      </c>
      <c r="N81" s="16">
        <f t="shared" si="139"/>
        <v>5.6317228150182148E-2</v>
      </c>
      <c r="O81" s="16">
        <f t="shared" si="139"/>
        <v>6.1895156044872134E-2</v>
      </c>
      <c r="P81" s="25">
        <f>AVERAGE(M81:O81)</f>
        <v>6.6757098859832664E-2</v>
      </c>
      <c r="Q81" s="25">
        <f t="shared" ref="Q81" si="140">AVERAGE(N81:P81)</f>
        <v>6.1656494351628982E-2</v>
      </c>
      <c r="R81" s="25">
        <f t="shared" ref="R81" si="141">AVERAGE(O81:Q81)</f>
        <v>6.3436249752111262E-2</v>
      </c>
      <c r="S81" s="25">
        <f t="shared" ref="S81" si="142">AVERAGE(P81:R81)</f>
        <v>6.3949947654524303E-2</v>
      </c>
      <c r="T81" s="25">
        <f t="shared" ref="T81" si="143">AVERAGE(Q81:S81)</f>
        <v>6.3014230586088182E-2</v>
      </c>
      <c r="U81" s="2"/>
      <c r="V81" s="2"/>
    </row>
    <row r="82" spans="1:22" x14ac:dyDescent="0.3">
      <c r="A82" s="3"/>
      <c r="B82" s="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2"/>
      <c r="V82" s="2"/>
    </row>
    <row r="83" spans="1:22" x14ac:dyDescent="0.3">
      <c r="A83" s="3"/>
      <c r="B83" s="2" t="s">
        <v>42</v>
      </c>
      <c r="C83" s="12"/>
      <c r="D83" s="12"/>
      <c r="E83" s="12"/>
      <c r="F83" s="26">
        <f>F85*F$98</f>
        <v>385.9358384458078</v>
      </c>
      <c r="G83" s="26">
        <f t="shared" ref="G83:T83" si="144">G85*G$98</f>
        <v>942.78717201166182</v>
      </c>
      <c r="H83" s="26">
        <f t="shared" si="144"/>
        <v>2251.8009135068514</v>
      </c>
      <c r="I83" s="26">
        <f t="shared" si="144"/>
        <v>1444.9431502086231</v>
      </c>
      <c r="J83" s="26">
        <f t="shared" si="144"/>
        <v>1978.3541340543618</v>
      </c>
      <c r="K83" s="26">
        <f t="shared" si="144"/>
        <v>5946.1210108091245</v>
      </c>
      <c r="L83" s="26">
        <f t="shared" si="144"/>
        <v>8985.8790439435888</v>
      </c>
      <c r="M83" s="26">
        <f t="shared" si="144"/>
        <v>7345.421940565454</v>
      </c>
      <c r="N83" s="26">
        <f t="shared" si="144"/>
        <v>4697.5014188666264</v>
      </c>
      <c r="O83" s="26">
        <f t="shared" si="144"/>
        <v>6543.7389565382518</v>
      </c>
      <c r="P83" s="26">
        <f t="shared" si="144"/>
        <v>7703.609240659177</v>
      </c>
      <c r="Q83" s="26">
        <f t="shared" si="144"/>
        <v>7506.4221571463504</v>
      </c>
      <c r="R83" s="26">
        <f t="shared" si="144"/>
        <v>7876.9128531563747</v>
      </c>
      <c r="S83" s="26">
        <f t="shared" si="144"/>
        <v>8546.7775795881626</v>
      </c>
      <c r="T83" s="26">
        <f t="shared" si="144"/>
        <v>8799.9220182121735</v>
      </c>
      <c r="U83" s="2"/>
      <c r="V83" s="2"/>
    </row>
    <row r="84" spans="1:22" x14ac:dyDescent="0.3">
      <c r="A84" s="3"/>
      <c r="B84" s="2" t="s">
        <v>148</v>
      </c>
      <c r="C84" s="12"/>
      <c r="D84" s="12"/>
      <c r="E84" s="12"/>
      <c r="F84" s="40">
        <f>'Segment data'!B17</f>
        <v>658</v>
      </c>
      <c r="G84" s="40">
        <f>'Segment data'!C17</f>
        <v>1680</v>
      </c>
      <c r="H84" s="40">
        <f>'Segment data'!D17</f>
        <v>5196</v>
      </c>
      <c r="I84" s="40">
        <f>'Segment data'!E17</f>
        <v>2476</v>
      </c>
      <c r="J84" s="40">
        <f>'Segment data'!F17</f>
        <v>3298</v>
      </c>
      <c r="K84" s="40">
        <f>'Segment data'!G17</f>
        <v>8072</v>
      </c>
      <c r="L84" s="40">
        <f>'Segment data'!H17</f>
        <v>10259</v>
      </c>
      <c r="M84" s="40">
        <f>'Segment data'!I17</f>
        <v>6711</v>
      </c>
      <c r="N84" s="40">
        <f>'Segment data'!J17</f>
        <v>4144</v>
      </c>
      <c r="O84" s="40">
        <f>'Segment data'!K17</f>
        <v>6643</v>
      </c>
      <c r="P84" s="26">
        <f>P86*P$20</f>
        <v>7714.4236380210195</v>
      </c>
      <c r="Q84" s="26">
        <f>Q86*Q$20</f>
        <v>7620.2552347964311</v>
      </c>
      <c r="R84" s="26">
        <f>R86*R$20</f>
        <v>8890.6688815307389</v>
      </c>
      <c r="S84" s="26">
        <f>S86*S$20</f>
        <v>9846.8730249831169</v>
      </c>
      <c r="T84" s="26">
        <f>T86*T$20</f>
        <v>10675.243709111781</v>
      </c>
      <c r="U84" s="2"/>
      <c r="V84" s="2"/>
    </row>
    <row r="85" spans="1:22" x14ac:dyDescent="0.3">
      <c r="A85" s="3"/>
      <c r="B85" s="2" t="s">
        <v>155</v>
      </c>
      <c r="C85" s="12"/>
      <c r="D85" s="12"/>
      <c r="E85" s="12"/>
      <c r="F85" s="16">
        <f>F84/F$95</f>
        <v>8.410020449897751E-2</v>
      </c>
      <c r="G85" s="16">
        <f t="shared" ref="G85" si="145">G84/G$95</f>
        <v>0.13994169096209913</v>
      </c>
      <c r="H85" s="16">
        <f t="shared" ref="H85" si="146">H84/H$95</f>
        <v>0.18835641267309505</v>
      </c>
      <c r="I85" s="16">
        <f t="shared" ref="I85" si="147">I84/I$95</f>
        <v>0.10761474269819193</v>
      </c>
      <c r="J85" s="16">
        <f t="shared" ref="J85" si="148">J84/J$95</f>
        <v>0.11733314358901381</v>
      </c>
      <c r="K85" s="16">
        <f t="shared" ref="K85" si="149">K84/K$95</f>
        <v>0.14813455433007286</v>
      </c>
      <c r="L85" s="16">
        <f t="shared" ref="L85" si="150">L84/L$95</f>
        <v>0.14718161341692609</v>
      </c>
      <c r="M85" s="16">
        <f t="shared" ref="M85" si="151">M84/M$95</f>
        <v>0.11541239595514893</v>
      </c>
      <c r="N85" s="16">
        <f t="shared" ref="N85" si="152">N84/N$95</f>
        <v>8.908762576317826E-2</v>
      </c>
      <c r="O85" s="16">
        <f t="shared" ref="O85" si="153">O84/O$95</f>
        <v>7.8841178285741415E-2</v>
      </c>
      <c r="P85" s="25">
        <f>AVERAGE(M85:O85)</f>
        <v>9.4447066668022869E-2</v>
      </c>
      <c r="Q85" s="25">
        <f t="shared" ref="Q85" si="154">AVERAGE(N85:P85)</f>
        <v>8.7458623572314195E-2</v>
      </c>
      <c r="R85" s="25">
        <f t="shared" ref="R85" si="155">AVERAGE(O85:Q85)</f>
        <v>8.6915622842026155E-2</v>
      </c>
      <c r="S85" s="25">
        <f t="shared" ref="S85" si="156">AVERAGE(P85:R85)</f>
        <v>8.960710436078774E-2</v>
      </c>
      <c r="T85" s="25">
        <f t="shared" ref="T85" si="157">AVERAGE(Q85:S85)</f>
        <v>8.7993783591709354E-2</v>
      </c>
      <c r="U85" s="2"/>
      <c r="V85" s="2"/>
    </row>
    <row r="86" spans="1:22" x14ac:dyDescent="0.3">
      <c r="A86" s="3"/>
      <c r="B86" s="2" t="s">
        <v>152</v>
      </c>
      <c r="C86" s="12"/>
      <c r="D86" s="12"/>
      <c r="E86" s="12"/>
      <c r="F86" s="16">
        <f t="shared" ref="F86:O86" si="158">F83/F20</f>
        <v>1.0896601684053526E-2</v>
      </c>
      <c r="G86" s="16">
        <f t="shared" si="158"/>
        <v>2.1435262988237769E-2</v>
      </c>
      <c r="H86" s="16">
        <f t="shared" si="158"/>
        <v>4.1471921349371998E-2</v>
      </c>
      <c r="I86" s="16">
        <f t="shared" si="158"/>
        <v>2.1937618045860127E-2</v>
      </c>
      <c r="J86" s="16">
        <f t="shared" si="158"/>
        <v>2.6475839220244927E-2</v>
      </c>
      <c r="K86" s="16">
        <f t="shared" si="158"/>
        <v>5.6948636275611274E-2</v>
      </c>
      <c r="L86" s="16">
        <f t="shared" si="158"/>
        <v>7.0319195567182802E-2</v>
      </c>
      <c r="M86" s="16">
        <f t="shared" si="158"/>
        <v>6.224564594104972E-2</v>
      </c>
      <c r="N86" s="16">
        <f t="shared" si="158"/>
        <v>3.5804126668190751E-2</v>
      </c>
      <c r="O86" s="16">
        <f t="shared" si="158"/>
        <v>4.5790512340547297E-2</v>
      </c>
      <c r="P86" s="25">
        <f>AVERAGE(M86:O86)</f>
        <v>4.7946761649929254E-2</v>
      </c>
      <c r="Q86" s="25">
        <f t="shared" ref="Q86" si="159">AVERAGE(N86:P86)</f>
        <v>4.3180466886222436E-2</v>
      </c>
      <c r="R86" s="25">
        <f t="shared" ref="R86" si="160">AVERAGE(O86:Q86)</f>
        <v>4.5639246958899655E-2</v>
      </c>
      <c r="S86" s="25">
        <f t="shared" ref="S86" si="161">AVERAGE(P86:R86)</f>
        <v>4.5588825165017111E-2</v>
      </c>
      <c r="T86" s="25">
        <f t="shared" ref="T86" si="162">AVERAGE(Q86:S86)</f>
        <v>4.4802846336713074E-2</v>
      </c>
      <c r="U86" s="2"/>
      <c r="V86" s="2"/>
    </row>
    <row r="87" spans="1:22" x14ac:dyDescent="0.3">
      <c r="A87" s="3"/>
      <c r="B87" s="2"/>
      <c r="C87" s="12"/>
      <c r="D87" s="12"/>
      <c r="E87" s="12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2"/>
      <c r="Q87" s="12"/>
      <c r="R87" s="12"/>
      <c r="S87" s="12"/>
      <c r="T87" s="12"/>
      <c r="U87" s="2"/>
      <c r="V87" s="2"/>
    </row>
    <row r="88" spans="1:22" x14ac:dyDescent="0.3">
      <c r="A88" s="3"/>
      <c r="B88" s="2" t="s">
        <v>43</v>
      </c>
      <c r="C88" s="12"/>
      <c r="D88" s="12"/>
      <c r="E88" s="12"/>
      <c r="F88" s="26">
        <f>F90*F$98</f>
        <v>2745.540516359918</v>
      </c>
      <c r="G88" s="26">
        <f t="shared" ref="G88:T88" si="163">G90*G$98</f>
        <v>2914.2224906289043</v>
      </c>
      <c r="H88" s="26">
        <f t="shared" si="163"/>
        <v>3982.6886826651198</v>
      </c>
      <c r="I88" s="26">
        <f t="shared" si="163"/>
        <v>5709.1594662726011</v>
      </c>
      <c r="J88" s="26">
        <f t="shared" si="163"/>
        <v>7833.0346520563544</v>
      </c>
      <c r="K88" s="26">
        <f t="shared" si="163"/>
        <v>12176.583288983502</v>
      </c>
      <c r="L88" s="26">
        <f t="shared" si="163"/>
        <v>19311.012309369755</v>
      </c>
      <c r="M88" s="26">
        <f t="shared" si="163"/>
        <v>30378.808815436474</v>
      </c>
      <c r="N88" s="26">
        <f t="shared" si="163"/>
        <v>28161.203607360905</v>
      </c>
      <c r="O88" s="26">
        <f t="shared" si="163"/>
        <v>52471.073761541935</v>
      </c>
      <c r="P88" s="26">
        <f t="shared" si="163"/>
        <v>44686.400324809299</v>
      </c>
      <c r="Q88" s="26">
        <f t="shared" si="163"/>
        <v>49040.0845387507</v>
      </c>
      <c r="R88" s="26">
        <f t="shared" si="163"/>
        <v>52908.831924538616</v>
      </c>
      <c r="S88" s="26">
        <f t="shared" si="163"/>
        <v>54145.725104703815</v>
      </c>
      <c r="T88" s="26">
        <f t="shared" si="163"/>
        <v>57432.322848614633</v>
      </c>
      <c r="U88" s="2"/>
      <c r="V88" s="2"/>
    </row>
    <row r="89" spans="1:22" x14ac:dyDescent="0.3">
      <c r="A89" s="3"/>
      <c r="B89" s="2" t="s">
        <v>149</v>
      </c>
      <c r="C89" s="2"/>
      <c r="D89" s="2"/>
      <c r="E89" s="2"/>
      <c r="F89" s="40">
        <f>'Segment data'!B18</f>
        <v>4681</v>
      </c>
      <c r="G89" s="40">
        <f>'Segment data'!C18</f>
        <v>5193</v>
      </c>
      <c r="H89" s="40">
        <f>'Segment data'!D18</f>
        <v>9190</v>
      </c>
      <c r="I89" s="40">
        <f>'Segment data'!E18</f>
        <v>9783</v>
      </c>
      <c r="J89" s="40">
        <f>'Segment data'!F18</f>
        <v>13058</v>
      </c>
      <c r="K89" s="40">
        <f>'Segment data'!G18</f>
        <v>16530</v>
      </c>
      <c r="L89" s="40">
        <f>'Segment data'!H18</f>
        <v>22047</v>
      </c>
      <c r="M89" s="40">
        <f>'Segment data'!I18</f>
        <v>27755</v>
      </c>
      <c r="N89" s="40">
        <f>'Segment data'!J18</f>
        <v>24843</v>
      </c>
      <c r="O89" s="40">
        <f>'Segment data'!K18</f>
        <v>53267</v>
      </c>
      <c r="P89" s="26">
        <f>P91*P$24</f>
        <v>44668.475156801353</v>
      </c>
      <c r="Q89" s="26">
        <f>Q91*Q$24</f>
        <v>50220.050715104713</v>
      </c>
      <c r="R89" s="26">
        <f>R91*R$24</f>
        <v>60173.58969754821</v>
      </c>
      <c r="S89" s="26">
        <f>S91*S$24</f>
        <v>62693.611292141075</v>
      </c>
      <c r="T89" s="26">
        <f>T91*T$24</f>
        <v>70177.064866948334</v>
      </c>
      <c r="U89" s="2"/>
      <c r="V89" s="2"/>
    </row>
    <row r="90" spans="1:22" x14ac:dyDescent="0.3">
      <c r="A90" s="3"/>
      <c r="B90" s="2" t="s">
        <v>155</v>
      </c>
      <c r="C90" s="2"/>
      <c r="D90" s="2"/>
      <c r="E90" s="2"/>
      <c r="F90" s="16">
        <f>F89/F$95</f>
        <v>0.59828732106339466</v>
      </c>
      <c r="G90" s="16">
        <f t="shared" ref="G90" si="164">G89/G$95</f>
        <v>0.43256976259891711</v>
      </c>
      <c r="H90" s="16">
        <f t="shared" ref="H90" si="165">H89/H$95</f>
        <v>0.3331399985499891</v>
      </c>
      <c r="I90" s="16">
        <f t="shared" ref="I90" si="166">I89/I$95</f>
        <v>0.42519993045897081</v>
      </c>
      <c r="J90" s="16">
        <f t="shared" ref="J90" si="167">J89/J$95</f>
        <v>0.46456524832787821</v>
      </c>
      <c r="K90" s="16">
        <f t="shared" ref="K90" si="168">K89/K$95</f>
        <v>0.30335284725918044</v>
      </c>
      <c r="L90" s="16">
        <f t="shared" ref="L90" si="169">L89/L$95</f>
        <v>0.31629915498615557</v>
      </c>
      <c r="M90" s="16">
        <f t="shared" ref="M90" si="170">M89/M$95</f>
        <v>0.47731650271720438</v>
      </c>
      <c r="N90" s="16">
        <f t="shared" ref="N90" si="171">N89/N$95</f>
        <v>0.53407429701608045</v>
      </c>
      <c r="O90" s="16">
        <f t="shared" ref="O90" si="172">O89/O$95</f>
        <v>0.63218922832253321</v>
      </c>
      <c r="P90" s="25">
        <f>AVERAGE(M90:O90)</f>
        <v>0.54786000935193935</v>
      </c>
      <c r="Q90" s="25">
        <f t="shared" ref="Q90" si="173">AVERAGE(N90:P90)</f>
        <v>0.57137451156351771</v>
      </c>
      <c r="R90" s="25">
        <f t="shared" ref="R90" si="174">AVERAGE(O90:Q90)</f>
        <v>0.58380791641266339</v>
      </c>
      <c r="S90" s="25">
        <f t="shared" ref="S90" si="175">AVERAGE(P90:R90)</f>
        <v>0.56768081244270674</v>
      </c>
      <c r="T90" s="25">
        <f t="shared" ref="T90" si="176">AVERAGE(Q90:S90)</f>
        <v>0.57428774680629591</v>
      </c>
      <c r="U90" s="25"/>
      <c r="V90" s="2"/>
    </row>
    <row r="91" spans="1:22" x14ac:dyDescent="0.3">
      <c r="A91" s="3"/>
      <c r="B91" s="2" t="s">
        <v>153</v>
      </c>
      <c r="C91" s="12"/>
      <c r="D91" s="12"/>
      <c r="E91" s="12"/>
      <c r="F91" s="16">
        <f t="shared" ref="F91:O91" si="177">F88/F24</f>
        <v>0.34841884725379668</v>
      </c>
      <c r="G91" s="16">
        <f t="shared" si="177"/>
        <v>0.23849926267525201</v>
      </c>
      <c r="H91" s="16">
        <f t="shared" si="177"/>
        <v>0.22811665517298355</v>
      </c>
      <c r="I91" s="16">
        <f t="shared" si="177"/>
        <v>0.22253593709891253</v>
      </c>
      <c r="J91" s="16">
        <f t="shared" si="177"/>
        <v>0.22363486130464097</v>
      </c>
      <c r="K91" s="16">
        <f t="shared" si="177"/>
        <v>0.26838402664720085</v>
      </c>
      <c r="L91" s="16">
        <f t="shared" si="177"/>
        <v>0.31045645331934268</v>
      </c>
      <c r="M91" s="16">
        <f t="shared" si="177"/>
        <v>0.37927997422388726</v>
      </c>
      <c r="N91" s="16">
        <f t="shared" si="177"/>
        <v>0.31029235879723771</v>
      </c>
      <c r="O91" s="16">
        <f t="shared" si="177"/>
        <v>0.48784887650658199</v>
      </c>
      <c r="P91" s="25">
        <f>AVERAGE(M91:O91)</f>
        <v>0.39247373650923567</v>
      </c>
      <c r="Q91" s="25">
        <f t="shared" ref="Q91" si="178">AVERAGE(N91:P91)</f>
        <v>0.39687165727101847</v>
      </c>
      <c r="R91" s="25">
        <f t="shared" ref="R91" si="179">AVERAGE(O91:Q91)</f>
        <v>0.42573142342894538</v>
      </c>
      <c r="S91" s="25">
        <f t="shared" ref="S91" si="180">AVERAGE(P91:R91)</f>
        <v>0.40502560573639984</v>
      </c>
      <c r="T91" s="25">
        <f t="shared" ref="T91" si="181">AVERAGE(Q91:S91)</f>
        <v>0.40920956214545456</v>
      </c>
      <c r="U91" s="2"/>
      <c r="V91" s="2"/>
    </row>
    <row r="92" spans="1:22" x14ac:dyDescent="0.3">
      <c r="A92" s="3"/>
      <c r="B92" s="2"/>
      <c r="C92" s="12"/>
      <c r="D92" s="12"/>
      <c r="E92" s="12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2"/>
      <c r="Q92" s="12"/>
      <c r="R92" s="12"/>
      <c r="S92" s="12"/>
      <c r="T92" s="12"/>
      <c r="U92" s="2"/>
      <c r="V92" s="2"/>
    </row>
    <row r="93" spans="1:22" x14ac:dyDescent="0.3">
      <c r="A93" s="3"/>
      <c r="B93" s="45" t="s">
        <v>154</v>
      </c>
      <c r="C93" s="77"/>
      <c r="D93" s="77"/>
      <c r="E93" s="77"/>
      <c r="F93" s="78">
        <f>F88+F83+F78</f>
        <v>4589</v>
      </c>
      <c r="G93" s="78">
        <f t="shared" ref="G93:T93" si="182">G88+G83+G78</f>
        <v>6737</v>
      </c>
      <c r="H93" s="78">
        <f t="shared" si="182"/>
        <v>11955</v>
      </c>
      <c r="I93" s="78">
        <f t="shared" si="182"/>
        <v>13427</v>
      </c>
      <c r="J93" s="78">
        <f t="shared" si="182"/>
        <v>16861</v>
      </c>
      <c r="K93" s="78">
        <f t="shared" si="182"/>
        <v>40140</v>
      </c>
      <c r="L93" s="78">
        <f t="shared" si="182"/>
        <v>61053</v>
      </c>
      <c r="M93" s="78">
        <f t="shared" si="182"/>
        <v>63645</v>
      </c>
      <c r="N93" s="78">
        <f t="shared" si="182"/>
        <v>52729</v>
      </c>
      <c r="O93" s="78">
        <f t="shared" si="182"/>
        <v>82999</v>
      </c>
      <c r="P93" s="78">
        <f t="shared" si="182"/>
        <v>81565.362614563899</v>
      </c>
      <c r="Q93" s="78">
        <f t="shared" si="182"/>
        <v>85828.267705811173</v>
      </c>
      <c r="R93" s="78">
        <f t="shared" si="182"/>
        <v>90627.123129211075</v>
      </c>
      <c r="S93" s="78">
        <f t="shared" si="182"/>
        <v>95380.579927859508</v>
      </c>
      <c r="T93" s="78">
        <f t="shared" si="182"/>
        <v>100006.17838009738</v>
      </c>
      <c r="U93" s="2" t="s">
        <v>1</v>
      </c>
      <c r="V93" s="2" t="s">
        <v>15</v>
      </c>
    </row>
    <row r="94" spans="1:22" x14ac:dyDescent="0.3">
      <c r="A94" s="3"/>
      <c r="B94" s="45" t="s">
        <v>164</v>
      </c>
      <c r="C94" s="77"/>
      <c r="D94" s="77"/>
      <c r="E94" s="77"/>
      <c r="F94" s="48">
        <f t="shared" ref="F94:O94" si="183">F93/F$28</f>
        <v>4.2885445675943407E-2</v>
      </c>
      <c r="G94" s="48">
        <f t="shared" si="183"/>
        <v>4.9541500290468943E-2</v>
      </c>
      <c r="H94" s="48">
        <f t="shared" si="183"/>
        <v>6.7213520290555814E-2</v>
      </c>
      <c r="I94" s="48">
        <f t="shared" si="183"/>
        <v>5.7654570671613274E-2</v>
      </c>
      <c r="J94" s="48">
        <f t="shared" si="183"/>
        <v>6.0105802753438235E-2</v>
      </c>
      <c r="K94" s="48">
        <f t="shared" si="183"/>
        <v>0.10397239835882134</v>
      </c>
      <c r="L94" s="48">
        <f t="shared" si="183"/>
        <v>0.12994921480901278</v>
      </c>
      <c r="M94" s="48">
        <f t="shared" si="183"/>
        <v>0.12382705264571008</v>
      </c>
      <c r="N94" s="48">
        <f t="shared" si="183"/>
        <v>9.1736910322990334E-2</v>
      </c>
      <c r="O94" s="48">
        <f t="shared" si="183"/>
        <v>0.13010083720113674</v>
      </c>
      <c r="P94" s="48">
        <f t="shared" ref="P94" si="184">P93/P$28</f>
        <v>0.11522160005661237</v>
      </c>
      <c r="Q94" s="48">
        <f t="shared" ref="Q94" si="185">Q93/Q$28</f>
        <v>0.11016620004245929</v>
      </c>
      <c r="R94" s="48">
        <f t="shared" ref="R94" si="186">R93/R$28</f>
        <v>0.10511080002830617</v>
      </c>
      <c r="S94" s="48">
        <f t="shared" ref="S94" si="187">S93/S$28</f>
        <v>0.10005540001415308</v>
      </c>
      <c r="T94" s="48">
        <f t="shared" ref="T94" si="188">T93/T$28</f>
        <v>9.4999999999999987E-2</v>
      </c>
      <c r="U94" s="2" t="s">
        <v>1</v>
      </c>
      <c r="V94" s="2" t="s">
        <v>275</v>
      </c>
    </row>
    <row r="95" spans="1:22" x14ac:dyDescent="0.3">
      <c r="A95" s="3"/>
      <c r="B95" s="45" t="s">
        <v>156</v>
      </c>
      <c r="C95" s="77"/>
      <c r="D95" s="77"/>
      <c r="E95" s="77"/>
      <c r="F95" s="78">
        <f>F89+F84+F79</f>
        <v>7824</v>
      </c>
      <c r="G95" s="78">
        <f t="shared" ref="G95:O95" si="189">G89+G84+G79</f>
        <v>12005</v>
      </c>
      <c r="H95" s="78">
        <f t="shared" si="189"/>
        <v>27586</v>
      </c>
      <c r="I95" s="78">
        <f t="shared" si="189"/>
        <v>23008</v>
      </c>
      <c r="J95" s="78">
        <f t="shared" si="189"/>
        <v>28108</v>
      </c>
      <c r="K95" s="78">
        <f t="shared" si="189"/>
        <v>54491</v>
      </c>
      <c r="L95" s="78">
        <f t="shared" si="189"/>
        <v>69703</v>
      </c>
      <c r="M95" s="78">
        <f t="shared" si="189"/>
        <v>58148</v>
      </c>
      <c r="N95" s="78">
        <f t="shared" si="189"/>
        <v>46516</v>
      </c>
      <c r="O95" s="78">
        <f t="shared" si="189"/>
        <v>84258</v>
      </c>
      <c r="P95" s="77"/>
      <c r="Q95" s="77"/>
      <c r="R95" s="77"/>
      <c r="S95" s="77"/>
      <c r="T95" s="77"/>
      <c r="U95" s="2"/>
      <c r="V95" s="2"/>
    </row>
    <row r="96" spans="1:22" x14ac:dyDescent="0.3">
      <c r="A96" s="3"/>
      <c r="B96" s="3"/>
      <c r="C96" s="74"/>
      <c r="D96" s="74"/>
      <c r="E96" s="74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4"/>
      <c r="Q96" s="74"/>
      <c r="R96" s="74"/>
      <c r="S96" s="74"/>
      <c r="T96" s="74"/>
      <c r="U96" s="2"/>
      <c r="V96" s="2"/>
    </row>
    <row r="97" spans="1:22" x14ac:dyDescent="0.3">
      <c r="A97" s="3"/>
      <c r="B97" s="80"/>
      <c r="C97" s="74"/>
      <c r="D97" s="74"/>
      <c r="E97" s="74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4"/>
      <c r="Q97" s="74"/>
      <c r="R97" s="74"/>
      <c r="S97" s="74"/>
      <c r="T97" s="74"/>
      <c r="U97" s="2"/>
      <c r="V97" s="2"/>
    </row>
    <row r="98" spans="1:22" x14ac:dyDescent="0.3">
      <c r="A98" s="3"/>
      <c r="B98" s="81" t="s">
        <v>163</v>
      </c>
      <c r="C98" s="77"/>
      <c r="D98" s="77"/>
      <c r="E98" s="77"/>
      <c r="F98" s="82">
        <f>-(CSF!C14)</f>
        <v>4589</v>
      </c>
      <c r="G98" s="82">
        <f>-(CSF!D14)</f>
        <v>6737</v>
      </c>
      <c r="H98" s="82">
        <f>-(CSF!E14)</f>
        <v>11955</v>
      </c>
      <c r="I98" s="82">
        <f>-(CSF!F14)</f>
        <v>13427</v>
      </c>
      <c r="J98" s="82">
        <f>-(CSF!G14)</f>
        <v>16861</v>
      </c>
      <c r="K98" s="82">
        <f>-(CSF!H14)</f>
        <v>40140</v>
      </c>
      <c r="L98" s="82">
        <f>-(CSF!I14)</f>
        <v>61053</v>
      </c>
      <c r="M98" s="82">
        <f>-(CSF!J14)</f>
        <v>63645</v>
      </c>
      <c r="N98" s="82">
        <f>-(CSF!K14)</f>
        <v>52729</v>
      </c>
      <c r="O98" s="82">
        <f>-(CSF!L14)</f>
        <v>82999</v>
      </c>
      <c r="P98" s="50">
        <f>P99*P28</f>
        <v>81565.362614563899</v>
      </c>
      <c r="Q98" s="50">
        <f>Q99*Q28</f>
        <v>85828.267705811173</v>
      </c>
      <c r="R98" s="50">
        <f>R99*R28</f>
        <v>90627.123129211075</v>
      </c>
      <c r="S98" s="50">
        <f>S99*S28</f>
        <v>95380.579927859508</v>
      </c>
      <c r="T98" s="226">
        <f>T99*T28</f>
        <v>100006.17838009739</v>
      </c>
      <c r="U98" s="2" t="s">
        <v>1</v>
      </c>
      <c r="V98" s="2" t="s">
        <v>285</v>
      </c>
    </row>
    <row r="99" spans="1:22" x14ac:dyDescent="0.3">
      <c r="A99" s="3"/>
      <c r="B99" s="45" t="s">
        <v>50</v>
      </c>
      <c r="C99" s="77"/>
      <c r="D99" s="77"/>
      <c r="E99" s="77"/>
      <c r="F99" s="48">
        <f t="shared" ref="F99:O99" si="190">F98/F28</f>
        <v>4.2885445675943407E-2</v>
      </c>
      <c r="G99" s="48">
        <f t="shared" si="190"/>
        <v>4.9541500290468943E-2</v>
      </c>
      <c r="H99" s="48">
        <f t="shared" si="190"/>
        <v>6.7213520290555814E-2</v>
      </c>
      <c r="I99" s="48">
        <f t="shared" si="190"/>
        <v>5.7654570671613274E-2</v>
      </c>
      <c r="J99" s="48">
        <f t="shared" si="190"/>
        <v>6.0105802753438235E-2</v>
      </c>
      <c r="K99" s="48">
        <f t="shared" si="190"/>
        <v>0.10397239835882134</v>
      </c>
      <c r="L99" s="48">
        <f t="shared" si="190"/>
        <v>0.12994921480901278</v>
      </c>
      <c r="M99" s="48">
        <f t="shared" si="190"/>
        <v>0.12382705264571008</v>
      </c>
      <c r="N99" s="48">
        <f t="shared" si="190"/>
        <v>9.1736910322990334E-2</v>
      </c>
      <c r="O99" s="48">
        <f t="shared" si="190"/>
        <v>0.13010083720113674</v>
      </c>
      <c r="P99" s="276">
        <f>AVERAGE(M99:O99)</f>
        <v>0.11522160005661237</v>
      </c>
      <c r="Q99" s="276">
        <f>P99+($T$99-$P$99)/($T$101-$P$101)</f>
        <v>0.11016620004245928</v>
      </c>
      <c r="R99" s="276">
        <f t="shared" ref="R99:S99" si="191">Q99+($T$99-$P$99)/($T$101-$P$101)</f>
        <v>0.10511080002830618</v>
      </c>
      <c r="S99" s="276">
        <f t="shared" si="191"/>
        <v>0.10005540001415308</v>
      </c>
      <c r="T99" s="231">
        <v>9.5000000000000001E-2</v>
      </c>
      <c r="U99" s="2"/>
      <c r="V99" s="2"/>
    </row>
    <row r="100" spans="1:22" x14ac:dyDescent="0.3">
      <c r="A100" s="3"/>
      <c r="B100" s="2"/>
      <c r="C100" s="12"/>
      <c r="D100" s="12"/>
      <c r="E100" s="12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59"/>
      <c r="Q100" s="59"/>
      <c r="R100" s="59"/>
      <c r="S100" s="59"/>
      <c r="T100" s="59"/>
      <c r="U100" s="2"/>
      <c r="V100" s="2"/>
    </row>
    <row r="101" spans="1:22" x14ac:dyDescent="0.3">
      <c r="A101" s="3" t="s">
        <v>260</v>
      </c>
      <c r="B101" s="256" t="s">
        <v>291</v>
      </c>
      <c r="C101" s="257"/>
      <c r="D101" s="257"/>
      <c r="E101" s="257"/>
      <c r="F101" s="103">
        <v>2015</v>
      </c>
      <c r="G101" s="103">
        <f>F101+1</f>
        <v>2016</v>
      </c>
      <c r="H101" s="103">
        <f t="shared" ref="H101" si="192">G101+1</f>
        <v>2017</v>
      </c>
      <c r="I101" s="103">
        <f t="shared" ref="I101" si="193">H101+1</f>
        <v>2018</v>
      </c>
      <c r="J101" s="103">
        <f t="shared" ref="J101" si="194">I101+1</f>
        <v>2019</v>
      </c>
      <c r="K101" s="103">
        <f t="shared" ref="K101" si="195">J101+1</f>
        <v>2020</v>
      </c>
      <c r="L101" s="103">
        <f t="shared" ref="L101" si="196">K101+1</f>
        <v>2021</v>
      </c>
      <c r="M101" s="103">
        <f t="shared" ref="M101" si="197">L101+1</f>
        <v>2022</v>
      </c>
      <c r="N101" s="103">
        <f t="shared" ref="N101" si="198">M101+1</f>
        <v>2023</v>
      </c>
      <c r="O101" s="104" t="s">
        <v>7</v>
      </c>
      <c r="P101" s="104">
        <v>2025</v>
      </c>
      <c r="Q101" s="104">
        <f>P101+1</f>
        <v>2026</v>
      </c>
      <c r="R101" s="104">
        <f t="shared" ref="R101" si="199">Q101+1</f>
        <v>2027</v>
      </c>
      <c r="S101" s="104">
        <f t="shared" ref="S101" si="200">R101+1</f>
        <v>2028</v>
      </c>
      <c r="T101" s="104">
        <f t="shared" ref="T101" si="201">S101+1</f>
        <v>2029</v>
      </c>
      <c r="U101" s="2"/>
      <c r="V101" s="2"/>
    </row>
    <row r="102" spans="1:22" x14ac:dyDescent="0.3">
      <c r="A102" s="3"/>
      <c r="B102" s="2" t="s">
        <v>41</v>
      </c>
      <c r="C102" s="12"/>
      <c r="D102" s="12"/>
      <c r="E102" s="12"/>
      <c r="F102" s="41">
        <f t="shared" ref="F102:O102" si="202">F104*F$117</f>
        <v>1522.35721361419</v>
      </c>
      <c r="G102" s="41">
        <f t="shared" si="202"/>
        <v>2257.0752719009906</v>
      </c>
      <c r="H102" s="41">
        <f t="shared" si="202"/>
        <v>-144.37059359292951</v>
      </c>
      <c r="I102" s="41">
        <f t="shared" si="202"/>
        <v>-633.11708253358927</v>
      </c>
      <c r="J102" s="41">
        <f t="shared" si="202"/>
        <v>-1484.1779753459623</v>
      </c>
      <c r="K102" s="41">
        <f t="shared" si="202"/>
        <v>8250.7502434829457</v>
      </c>
      <c r="L102" s="41">
        <f t="shared" si="202"/>
        <v>-11680.604490636879</v>
      </c>
      <c r="M102" s="41">
        <f t="shared" si="202"/>
        <v>-12835.968660442077</v>
      </c>
      <c r="N102" s="41">
        <f t="shared" si="202"/>
        <v>-7084.3671077011404</v>
      </c>
      <c r="O102" s="41">
        <f t="shared" si="202"/>
        <v>-9439.6205351754579</v>
      </c>
      <c r="P102" s="26">
        <f>0.64*P117</f>
        <v>-12847.896234817925</v>
      </c>
      <c r="Q102" s="26">
        <f t="shared" ref="Q102:T102" si="203">0.64*Q117</f>
        <v>-14955.204147979948</v>
      </c>
      <c r="R102" s="26">
        <f t="shared" si="203"/>
        <v>-17453.331606886448</v>
      </c>
      <c r="S102" s="26">
        <f t="shared" si="203"/>
        <v>-20294.641120301465</v>
      </c>
      <c r="T102" s="26">
        <f t="shared" si="203"/>
        <v>-23513.031582082687</v>
      </c>
      <c r="U102" s="2"/>
      <c r="V102" s="2"/>
    </row>
    <row r="103" spans="1:22" x14ac:dyDescent="0.3">
      <c r="A103" s="3"/>
      <c r="B103" s="2" t="s">
        <v>151</v>
      </c>
      <c r="C103" s="12"/>
      <c r="D103" s="12"/>
      <c r="E103" s="12"/>
      <c r="F103" s="51">
        <f t="shared" ref="F103:T103" si="204">F102/F16</f>
        <v>2.3895856307122966E-2</v>
      </c>
      <c r="G103" s="51">
        <f t="shared" si="204"/>
        <v>2.8289468846286778E-2</v>
      </c>
      <c r="H103" s="51">
        <f t="shared" si="204"/>
        <v>-1.3605748147481813E-3</v>
      </c>
      <c r="I103" s="51">
        <f t="shared" si="204"/>
        <v>-4.4785668586052466E-3</v>
      </c>
      <c r="J103" s="51">
        <f t="shared" si="204"/>
        <v>-8.6909404609977117E-3</v>
      </c>
      <c r="K103" s="51">
        <f t="shared" si="204"/>
        <v>3.4919080774172155E-2</v>
      </c>
      <c r="L103" s="51">
        <f t="shared" si="204"/>
        <v>-4.1741340337404377E-2</v>
      </c>
      <c r="M103" s="51">
        <f t="shared" si="204"/>
        <v>-4.0635585223635799E-2</v>
      </c>
      <c r="N103" s="51">
        <f t="shared" si="204"/>
        <v>-2.0078812077559436E-2</v>
      </c>
      <c r="O103" s="51">
        <f t="shared" si="204"/>
        <v>-2.4360499655934002E-2</v>
      </c>
      <c r="P103" s="51">
        <f t="shared" si="204"/>
        <v>-2.9658687293494496E-2</v>
      </c>
      <c r="Q103" s="51">
        <f t="shared" si="204"/>
        <v>-3.1414173842482684E-2</v>
      </c>
      <c r="R103" s="51">
        <f t="shared" si="204"/>
        <v>-3.3177403108320687E-2</v>
      </c>
      <c r="S103" s="51">
        <f t="shared" si="204"/>
        <v>-3.4840866744447668E-2</v>
      </c>
      <c r="T103" s="51">
        <f t="shared" si="204"/>
        <v>-3.6571632798560696E-2</v>
      </c>
      <c r="U103" s="2"/>
      <c r="V103" s="2"/>
    </row>
    <row r="104" spans="1:22" x14ac:dyDescent="0.3">
      <c r="A104" s="3"/>
      <c r="B104" s="2" t="s">
        <v>157</v>
      </c>
      <c r="C104" s="12"/>
      <c r="D104" s="12"/>
      <c r="E104" s="12"/>
      <c r="F104" s="27">
        <f>F18</f>
        <v>0.59536848401024245</v>
      </c>
      <c r="G104" s="27">
        <f t="shared" ref="G104:O104" si="205">G18</f>
        <v>0.58671049438549272</v>
      </c>
      <c r="H104" s="27">
        <f t="shared" si="205"/>
        <v>0.59657270079722935</v>
      </c>
      <c r="I104" s="27">
        <f t="shared" si="205"/>
        <v>0.6070154194952917</v>
      </c>
      <c r="J104" s="27">
        <f t="shared" si="205"/>
        <v>0.60876865272598946</v>
      </c>
      <c r="K104" s="27">
        <f t="shared" si="205"/>
        <v>0.61202805752414102</v>
      </c>
      <c r="L104" s="27">
        <f t="shared" si="205"/>
        <v>0.59561493501794294</v>
      </c>
      <c r="M104" s="27">
        <f t="shared" si="205"/>
        <v>0.61457285552245888</v>
      </c>
      <c r="N104" s="27">
        <f t="shared" si="205"/>
        <v>0.61384343711126765</v>
      </c>
      <c r="O104" s="27">
        <f t="shared" si="205"/>
        <v>0.6074011025786924</v>
      </c>
      <c r="P104" s="51"/>
      <c r="Q104" s="51"/>
      <c r="R104" s="51"/>
      <c r="S104" s="51"/>
      <c r="T104" s="51"/>
      <c r="U104" s="2"/>
      <c r="V104" s="2"/>
    </row>
    <row r="105" spans="1:22" x14ac:dyDescent="0.3">
      <c r="A105" s="3"/>
      <c r="B105" s="2"/>
      <c r="C105" s="12"/>
      <c r="D105" s="12"/>
      <c r="E105" s="12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51"/>
      <c r="Q105" s="51"/>
      <c r="R105" s="51"/>
      <c r="S105" s="51"/>
      <c r="T105" s="51"/>
      <c r="U105" s="2"/>
      <c r="V105" s="2"/>
    </row>
    <row r="106" spans="1:22" x14ac:dyDescent="0.3">
      <c r="A106" s="3"/>
      <c r="B106" s="2" t="s">
        <v>42</v>
      </c>
      <c r="C106" s="12"/>
      <c r="D106" s="12"/>
      <c r="E106" s="12"/>
      <c r="F106" s="41">
        <f t="shared" ref="F106:O106" si="206">F108*F$117</f>
        <v>846.34343868568124</v>
      </c>
      <c r="G106" s="41">
        <f t="shared" si="206"/>
        <v>1244.2557082662313</v>
      </c>
      <c r="H106" s="41">
        <f t="shared" si="206"/>
        <v>-73.875130716382003</v>
      </c>
      <c r="I106" s="41">
        <f t="shared" si="206"/>
        <v>-294.98528470889312</v>
      </c>
      <c r="J106" s="41">
        <f t="shared" si="206"/>
        <v>-649.41314406713207</v>
      </c>
      <c r="K106" s="41">
        <f t="shared" si="206"/>
        <v>3645.9710617928636</v>
      </c>
      <c r="L106" s="41">
        <f t="shared" si="206"/>
        <v>-5334.0006576958931</v>
      </c>
      <c r="M106" s="41">
        <f t="shared" si="206"/>
        <v>-4795.2835054855905</v>
      </c>
      <c r="N106" s="41">
        <f t="shared" si="206"/>
        <v>-2634.3401445757977</v>
      </c>
      <c r="O106" s="41">
        <f t="shared" si="206"/>
        <v>-3481.2615638309044</v>
      </c>
      <c r="P106" s="106">
        <f>P117*0.2</f>
        <v>-4014.9675733806016</v>
      </c>
      <c r="Q106" s="106">
        <f t="shared" ref="Q106:T106" si="207">Q117*0.2</f>
        <v>-4673.501296243734</v>
      </c>
      <c r="R106" s="106">
        <f t="shared" si="207"/>
        <v>-5454.1661271520152</v>
      </c>
      <c r="S106" s="106">
        <f t="shared" si="207"/>
        <v>-6342.0753500942083</v>
      </c>
      <c r="T106" s="106">
        <f t="shared" si="207"/>
        <v>-7347.8223694008402</v>
      </c>
      <c r="U106" s="2"/>
      <c r="V106" s="2"/>
    </row>
    <row r="107" spans="1:22" x14ac:dyDescent="0.3">
      <c r="A107" s="3"/>
      <c r="B107" s="2" t="s">
        <v>152</v>
      </c>
      <c r="C107" s="12"/>
      <c r="D107" s="12"/>
      <c r="E107" s="12"/>
      <c r="F107" s="51">
        <f t="shared" ref="F107:T107" si="208">F106/F20</f>
        <v>2.3895856307122966E-2</v>
      </c>
      <c r="G107" s="51">
        <f t="shared" si="208"/>
        <v>2.8289468846286775E-2</v>
      </c>
      <c r="H107" s="51">
        <f t="shared" si="208"/>
        <v>-1.3605748147481813E-3</v>
      </c>
      <c r="I107" s="51">
        <f t="shared" si="208"/>
        <v>-4.4785668586052457E-3</v>
      </c>
      <c r="J107" s="51">
        <f t="shared" si="208"/>
        <v>-8.6909404609977117E-3</v>
      </c>
      <c r="K107" s="51">
        <f t="shared" si="208"/>
        <v>3.4919080774172162E-2</v>
      </c>
      <c r="L107" s="51">
        <f t="shared" si="208"/>
        <v>-4.1741340337404377E-2</v>
      </c>
      <c r="M107" s="51">
        <f t="shared" si="208"/>
        <v>-4.0635585223635806E-2</v>
      </c>
      <c r="N107" s="51">
        <f t="shared" si="208"/>
        <v>-2.0078812077559433E-2</v>
      </c>
      <c r="O107" s="51">
        <f t="shared" si="208"/>
        <v>-2.4360499655934002E-2</v>
      </c>
      <c r="P107" s="51">
        <f t="shared" si="208"/>
        <v>-2.4953865940716958E-2</v>
      </c>
      <c r="Q107" s="51">
        <f t="shared" si="208"/>
        <v>-2.6482573319023643E-2</v>
      </c>
      <c r="R107" s="51">
        <f t="shared" si="208"/>
        <v>-2.7998347272730505E-2</v>
      </c>
      <c r="S107" s="51">
        <f t="shared" si="208"/>
        <v>-2.9362393887404199E-2</v>
      </c>
      <c r="T107" s="51">
        <f t="shared" si="208"/>
        <v>-3.0838017894124471E-2</v>
      </c>
      <c r="U107" s="2"/>
      <c r="V107" s="2"/>
    </row>
    <row r="108" spans="1:22" x14ac:dyDescent="0.3">
      <c r="A108" s="3"/>
      <c r="B108" s="2" t="s">
        <v>158</v>
      </c>
      <c r="C108" s="12"/>
      <c r="D108" s="12"/>
      <c r="E108" s="12"/>
      <c r="F108" s="27">
        <f>F22</f>
        <v>0.33099078556342637</v>
      </c>
      <c r="G108" s="27">
        <f t="shared" ref="G108:O108" si="209">G22</f>
        <v>0.32343532837697719</v>
      </c>
      <c r="H108" s="27">
        <f t="shared" si="209"/>
        <v>0.30526913519166116</v>
      </c>
      <c r="I108" s="27">
        <f t="shared" si="209"/>
        <v>0.28282385878129734</v>
      </c>
      <c r="J108" s="27">
        <f t="shared" si="209"/>
        <v>0.26637126499882363</v>
      </c>
      <c r="K108" s="27">
        <f t="shared" si="209"/>
        <v>0.27045256744995649</v>
      </c>
      <c r="L108" s="27">
        <f t="shared" si="209"/>
        <v>0.27199024311334929</v>
      </c>
      <c r="M108" s="27">
        <f t="shared" si="209"/>
        <v>0.22959319666214642</v>
      </c>
      <c r="N108" s="27">
        <f t="shared" si="209"/>
        <v>0.22825926215889419</v>
      </c>
      <c r="O108" s="27">
        <f t="shared" si="209"/>
        <v>0.22400499091634415</v>
      </c>
      <c r="P108" s="51"/>
      <c r="Q108" s="51"/>
      <c r="R108" s="51"/>
      <c r="S108" s="51"/>
      <c r="T108" s="51"/>
      <c r="U108" s="2"/>
      <c r="V108" s="2"/>
    </row>
    <row r="109" spans="1:22" x14ac:dyDescent="0.3">
      <c r="A109" s="3"/>
      <c r="B109" s="2"/>
      <c r="C109" s="12"/>
      <c r="D109" s="12"/>
      <c r="E109" s="12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51"/>
      <c r="Q109" s="51"/>
      <c r="R109" s="51"/>
      <c r="S109" s="51"/>
      <c r="T109" s="51"/>
      <c r="U109" s="2"/>
      <c r="V109" s="2"/>
    </row>
    <row r="110" spans="1:22" x14ac:dyDescent="0.3">
      <c r="A110" s="3"/>
      <c r="B110" s="2" t="s">
        <v>43</v>
      </c>
      <c r="C110" s="12"/>
      <c r="D110" s="12"/>
      <c r="E110" s="12"/>
      <c r="F110" s="41">
        <f t="shared" ref="F110:O110" si="210">F112*F$117</f>
        <v>188.29934770012898</v>
      </c>
      <c r="G110" s="41">
        <f t="shared" si="210"/>
        <v>345.66901983277813</v>
      </c>
      <c r="H110" s="41">
        <f t="shared" si="210"/>
        <v>-23.754275690688495</v>
      </c>
      <c r="I110" s="41">
        <f t="shared" si="210"/>
        <v>-114.8976327575176</v>
      </c>
      <c r="J110" s="41">
        <f t="shared" si="210"/>
        <v>-304.40888058690581</v>
      </c>
      <c r="K110" s="41">
        <f t="shared" si="210"/>
        <v>1584.2786947241909</v>
      </c>
      <c r="L110" s="41">
        <f t="shared" si="210"/>
        <v>-2596.3948516672272</v>
      </c>
      <c r="M110" s="41">
        <f t="shared" si="210"/>
        <v>-3254.7478340723333</v>
      </c>
      <c r="N110" s="41">
        <f t="shared" si="210"/>
        <v>-1822.2927477230619</v>
      </c>
      <c r="O110" s="41">
        <f t="shared" si="210"/>
        <v>-2620.1179009936372</v>
      </c>
      <c r="P110" s="106">
        <f>P117-P106-P102</f>
        <v>-3211.9740587044798</v>
      </c>
      <c r="Q110" s="106">
        <f t="shared" ref="Q110:T110" si="211">Q117-Q106-Q102</f>
        <v>-3738.801036994988</v>
      </c>
      <c r="R110" s="106">
        <f t="shared" si="211"/>
        <v>-4363.3329017216129</v>
      </c>
      <c r="S110" s="106">
        <f t="shared" si="211"/>
        <v>-5073.6602800753644</v>
      </c>
      <c r="T110" s="106">
        <f t="shared" si="211"/>
        <v>-5878.25789552067</v>
      </c>
      <c r="U110" s="2"/>
      <c r="V110" s="2"/>
    </row>
    <row r="111" spans="1:22" x14ac:dyDescent="0.3">
      <c r="A111" s="3"/>
      <c r="B111" s="2" t="s">
        <v>153</v>
      </c>
      <c r="C111" s="12"/>
      <c r="D111" s="12"/>
      <c r="E111" s="12"/>
      <c r="F111" s="51">
        <f t="shared" ref="F111:T111" si="212">F110/F24</f>
        <v>2.3895856307122966E-2</v>
      </c>
      <c r="G111" s="51">
        <f t="shared" si="212"/>
        <v>2.8289468846286778E-2</v>
      </c>
      <c r="H111" s="51">
        <f t="shared" si="212"/>
        <v>-1.3605748147481811E-3</v>
      </c>
      <c r="I111" s="51">
        <f t="shared" si="212"/>
        <v>-4.4785668586052466E-3</v>
      </c>
      <c r="J111" s="51">
        <f t="shared" si="212"/>
        <v>-8.6909404609977099E-3</v>
      </c>
      <c r="K111" s="51">
        <f t="shared" si="212"/>
        <v>3.4919080774172162E-2</v>
      </c>
      <c r="L111" s="51">
        <f t="shared" si="212"/>
        <v>-4.1741340337404377E-2</v>
      </c>
      <c r="M111" s="51">
        <f t="shared" si="212"/>
        <v>-4.0635585223635806E-2</v>
      </c>
      <c r="N111" s="51">
        <f t="shared" si="212"/>
        <v>-2.0078812077559439E-2</v>
      </c>
      <c r="O111" s="51">
        <f t="shared" si="212"/>
        <v>-2.4360499655933999E-2</v>
      </c>
      <c r="P111" s="51">
        <f t="shared" si="212"/>
        <v>-2.8221591535535936E-2</v>
      </c>
      <c r="Q111" s="51">
        <f t="shared" si="212"/>
        <v>-2.9546448930855274E-2</v>
      </c>
      <c r="R111" s="51">
        <f t="shared" si="212"/>
        <v>-3.0870817853500633E-2</v>
      </c>
      <c r="S111" s="51">
        <f t="shared" si="212"/>
        <v>-3.2777858634789402E-2</v>
      </c>
      <c r="T111" s="51">
        <f t="shared" si="212"/>
        <v>-3.4276716248601291E-2</v>
      </c>
      <c r="U111" s="2"/>
      <c r="V111" s="2"/>
    </row>
    <row r="112" spans="1:22" x14ac:dyDescent="0.3">
      <c r="A112" s="3"/>
      <c r="B112" s="2" t="s">
        <v>159</v>
      </c>
      <c r="C112" s="12"/>
      <c r="D112" s="12"/>
      <c r="E112" s="12"/>
      <c r="F112" s="27">
        <f>F26</f>
        <v>7.3640730426331236E-2</v>
      </c>
      <c r="G112" s="27">
        <f t="shared" ref="G112:O112" si="213">G26</f>
        <v>8.9854177237530058E-2</v>
      </c>
      <c r="H112" s="27">
        <f t="shared" si="213"/>
        <v>9.8158164011109481E-2</v>
      </c>
      <c r="I112" s="27">
        <f t="shared" si="213"/>
        <v>0.11016072172341093</v>
      </c>
      <c r="J112" s="27">
        <f t="shared" si="213"/>
        <v>0.12486008227518697</v>
      </c>
      <c r="K112" s="27">
        <f t="shared" si="213"/>
        <v>0.11751937502590244</v>
      </c>
      <c r="L112" s="27">
        <f t="shared" si="213"/>
        <v>0.13239482186870771</v>
      </c>
      <c r="M112" s="27">
        <f t="shared" si="213"/>
        <v>0.15583394781539467</v>
      </c>
      <c r="N112" s="27">
        <f t="shared" si="213"/>
        <v>0.15789730072983812</v>
      </c>
      <c r="O112" s="27">
        <f t="shared" si="213"/>
        <v>0.16859390650496348</v>
      </c>
      <c r="P112" s="59"/>
      <c r="Q112" s="59"/>
      <c r="R112" s="59"/>
      <c r="S112" s="59"/>
      <c r="T112" s="59"/>
      <c r="U112" s="2"/>
      <c r="V112" s="2"/>
    </row>
    <row r="113" spans="1:22" x14ac:dyDescent="0.3">
      <c r="A113" s="3"/>
      <c r="B113" s="2"/>
      <c r="C113" s="12"/>
      <c r="D113" s="12"/>
      <c r="E113" s="12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59"/>
      <c r="Q113" s="59"/>
      <c r="R113" s="59"/>
      <c r="S113" s="59"/>
      <c r="T113" s="59"/>
      <c r="U113" s="2"/>
      <c r="V113" s="2"/>
    </row>
    <row r="114" spans="1:22" x14ac:dyDescent="0.3">
      <c r="A114" s="3"/>
      <c r="B114" s="45" t="s">
        <v>161</v>
      </c>
      <c r="C114" s="77"/>
      <c r="D114" s="77"/>
      <c r="E114" s="77"/>
      <c r="F114" s="78">
        <f>F110+F106+F102</f>
        <v>2557</v>
      </c>
      <c r="G114" s="78">
        <f t="shared" ref="G114:O114" si="214">G110+G106+G102</f>
        <v>3847</v>
      </c>
      <c r="H114" s="78">
        <f t="shared" si="214"/>
        <v>-242</v>
      </c>
      <c r="I114" s="78">
        <f t="shared" si="214"/>
        <v>-1043</v>
      </c>
      <c r="J114" s="78">
        <f t="shared" si="214"/>
        <v>-2438</v>
      </c>
      <c r="K114" s="78">
        <f t="shared" si="214"/>
        <v>13481</v>
      </c>
      <c r="L114" s="78">
        <f t="shared" si="214"/>
        <v>-19611</v>
      </c>
      <c r="M114" s="78">
        <f t="shared" si="214"/>
        <v>-20886</v>
      </c>
      <c r="N114" s="78">
        <f t="shared" si="214"/>
        <v>-11541</v>
      </c>
      <c r="O114" s="78">
        <f t="shared" si="214"/>
        <v>-15541</v>
      </c>
      <c r="P114" s="78">
        <f t="shared" ref="P114:T114" si="215">P110+P106+P102</f>
        <v>-20074.837866903006</v>
      </c>
      <c r="Q114" s="78">
        <f t="shared" si="215"/>
        <v>-23367.506481218668</v>
      </c>
      <c r="R114" s="78">
        <f t="shared" si="215"/>
        <v>-27270.830635760074</v>
      </c>
      <c r="S114" s="78">
        <f t="shared" si="215"/>
        <v>-31710.376750471038</v>
      </c>
      <c r="T114" s="78">
        <f t="shared" si="215"/>
        <v>-36739.111847004198</v>
      </c>
      <c r="U114" s="2"/>
      <c r="V114" s="2"/>
    </row>
    <row r="115" spans="1:22" x14ac:dyDescent="0.3">
      <c r="A115" s="3"/>
      <c r="B115" s="81" t="s">
        <v>160</v>
      </c>
      <c r="C115" s="77"/>
      <c r="D115" s="77"/>
      <c r="E115" s="77"/>
      <c r="F115" s="83">
        <f t="shared" ref="F115:O115" si="216">F114/F$28</f>
        <v>2.3895856307122966E-2</v>
      </c>
      <c r="G115" s="83">
        <f t="shared" si="216"/>
        <v>2.8289468846286778E-2</v>
      </c>
      <c r="H115" s="83">
        <f t="shared" si="216"/>
        <v>-1.3605748147481813E-3</v>
      </c>
      <c r="I115" s="83">
        <f t="shared" si="216"/>
        <v>-4.4785668586052466E-3</v>
      </c>
      <c r="J115" s="83">
        <f t="shared" si="216"/>
        <v>-8.6909404609977117E-3</v>
      </c>
      <c r="K115" s="83">
        <f t="shared" si="216"/>
        <v>3.4919080774172155E-2</v>
      </c>
      <c r="L115" s="83">
        <f t="shared" si="216"/>
        <v>-4.1741340337404377E-2</v>
      </c>
      <c r="M115" s="83">
        <f t="shared" si="216"/>
        <v>-4.0635585223635799E-2</v>
      </c>
      <c r="N115" s="83">
        <f t="shared" si="216"/>
        <v>-2.0078812077559436E-2</v>
      </c>
      <c r="O115" s="83">
        <f t="shared" si="216"/>
        <v>-2.4360499655934002E-2</v>
      </c>
      <c r="P115" s="83">
        <f t="shared" ref="P115" si="217">P114/P$28</f>
        <v>-2.8358298985709754E-2</v>
      </c>
      <c r="Q115" s="83">
        <f t="shared" ref="Q115" si="218">Q114/Q$28</f>
        <v>-2.9993724239282309E-2</v>
      </c>
      <c r="R115" s="83">
        <f t="shared" ref="R115" si="219">R114/R$28</f>
        <v>-3.1629149492854877E-2</v>
      </c>
      <c r="S115" s="83">
        <f t="shared" ref="S115" si="220">S114/S$28</f>
        <v>-3.3264574746427439E-2</v>
      </c>
      <c r="T115" s="83">
        <f t="shared" ref="T115" si="221">T114/T$28</f>
        <v>-3.49E-2</v>
      </c>
      <c r="U115" s="2"/>
      <c r="V115" s="2"/>
    </row>
    <row r="116" spans="1:22" x14ac:dyDescent="0.3">
      <c r="A116" s="3"/>
      <c r="B116" s="2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2"/>
      <c r="V116" s="2"/>
    </row>
    <row r="117" spans="1:22" x14ac:dyDescent="0.3">
      <c r="A117" s="3"/>
      <c r="B117" s="45" t="s">
        <v>17</v>
      </c>
      <c r="C117" s="77"/>
      <c r="D117" s="77"/>
      <c r="E117" s="77"/>
      <c r="F117" s="79">
        <f>CSF!C12</f>
        <v>2557</v>
      </c>
      <c r="G117" s="79">
        <f>CSF!D12</f>
        <v>3847</v>
      </c>
      <c r="H117" s="79">
        <f>CSF!E12</f>
        <v>-242</v>
      </c>
      <c r="I117" s="79">
        <f>CSF!F12</f>
        <v>-1043</v>
      </c>
      <c r="J117" s="79">
        <f>CSF!G12</f>
        <v>-2438</v>
      </c>
      <c r="K117" s="79">
        <f>CSF!H12</f>
        <v>13481</v>
      </c>
      <c r="L117" s="79">
        <f>CSF!I12</f>
        <v>-19611</v>
      </c>
      <c r="M117" s="79">
        <f>CSF!J12</f>
        <v>-20886</v>
      </c>
      <c r="N117" s="79">
        <f>CSF!K12</f>
        <v>-11541</v>
      </c>
      <c r="O117" s="79">
        <f>CSF!L12</f>
        <v>-15541</v>
      </c>
      <c r="P117" s="50">
        <f>P118*P28</f>
        <v>-20074.837866903006</v>
      </c>
      <c r="Q117" s="50">
        <f>Q118*Q28</f>
        <v>-23367.506481218668</v>
      </c>
      <c r="R117" s="50">
        <f>R118*R28</f>
        <v>-27270.830635760074</v>
      </c>
      <c r="S117" s="50">
        <f>S118*S28</f>
        <v>-31710.376750471038</v>
      </c>
      <c r="T117" s="226">
        <f>T118*T28</f>
        <v>-36739.111847004198</v>
      </c>
      <c r="U117" s="2" t="s">
        <v>1</v>
      </c>
      <c r="V117" s="2" t="s">
        <v>18</v>
      </c>
    </row>
    <row r="118" spans="1:22" x14ac:dyDescent="0.3">
      <c r="A118" s="3"/>
      <c r="B118" s="81" t="s">
        <v>160</v>
      </c>
      <c r="C118" s="77"/>
      <c r="D118" s="77"/>
      <c r="E118" s="77"/>
      <c r="F118" s="83">
        <f t="shared" ref="F118:O118" si="222">F117/F28</f>
        <v>2.3895856307122966E-2</v>
      </c>
      <c r="G118" s="83">
        <f t="shared" si="222"/>
        <v>2.8289468846286778E-2</v>
      </c>
      <c r="H118" s="83">
        <f t="shared" si="222"/>
        <v>-1.3605748147481813E-3</v>
      </c>
      <c r="I118" s="83">
        <f t="shared" si="222"/>
        <v>-4.4785668586052466E-3</v>
      </c>
      <c r="J118" s="83">
        <f t="shared" si="222"/>
        <v>-8.6909404609977117E-3</v>
      </c>
      <c r="K118" s="83">
        <f t="shared" si="222"/>
        <v>3.4919080774172155E-2</v>
      </c>
      <c r="L118" s="83">
        <f t="shared" si="222"/>
        <v>-4.1741340337404377E-2</v>
      </c>
      <c r="M118" s="83">
        <f t="shared" si="222"/>
        <v>-4.0635585223635799E-2</v>
      </c>
      <c r="N118" s="83">
        <f t="shared" si="222"/>
        <v>-2.0078812077559436E-2</v>
      </c>
      <c r="O118" s="83">
        <f t="shared" si="222"/>
        <v>-2.4360499655934002E-2</v>
      </c>
      <c r="P118" s="83">
        <f>AVERAGE(M118:O118)</f>
        <v>-2.835829898570975E-2</v>
      </c>
      <c r="Q118" s="83">
        <f>P118+($T$118-$P$118)/($T$121-$P$121)</f>
        <v>-2.9993724239282312E-2</v>
      </c>
      <c r="R118" s="83">
        <f t="shared" ref="R118:S118" si="223">Q118+($T$118-$P$118)/($T$121-$P$121)</f>
        <v>-3.1629149492854877E-2</v>
      </c>
      <c r="S118" s="83">
        <f t="shared" si="223"/>
        <v>-3.3264574746427439E-2</v>
      </c>
      <c r="T118" s="274">
        <v>-3.49E-2</v>
      </c>
      <c r="U118" s="2" t="s">
        <v>1</v>
      </c>
      <c r="V118" s="2" t="s">
        <v>272</v>
      </c>
    </row>
    <row r="119" spans="1:22" x14ac:dyDescent="0.3">
      <c r="A119" s="3"/>
      <c r="B119" s="81" t="s">
        <v>19</v>
      </c>
      <c r="C119" s="77"/>
      <c r="D119" s="77"/>
      <c r="E119" s="77"/>
      <c r="F119" s="84" t="s">
        <v>46</v>
      </c>
      <c r="G119" s="83">
        <f t="shared" ref="G119:O119" si="224">G117/(G16-F16)</f>
        <v>0.23928593643092616</v>
      </c>
      <c r="H119" s="83">
        <f t="shared" si="224"/>
        <v>-9.1927825261158592E-3</v>
      </c>
      <c r="I119" s="83">
        <f t="shared" si="224"/>
        <v>-2.9583616972997506E-2</v>
      </c>
      <c r="J119" s="83">
        <f t="shared" si="224"/>
        <v>-8.2905430679770117E-2</v>
      </c>
      <c r="K119" s="83">
        <f t="shared" si="224"/>
        <v>0.20578851760826758</v>
      </c>
      <c r="L119" s="83">
        <f t="shared" si="224"/>
        <v>-0.45029964868774541</v>
      </c>
      <c r="M119" s="83">
        <f t="shared" si="224"/>
        <v>-0.57941021444225593</v>
      </c>
      <c r="N119" s="83">
        <f t="shared" si="224"/>
        <v>-0.31235790841182204</v>
      </c>
      <c r="O119" s="83">
        <f t="shared" si="224"/>
        <v>-0.44826790504485275</v>
      </c>
      <c r="P119" s="77"/>
      <c r="Q119" s="77"/>
      <c r="R119" s="77"/>
      <c r="S119" s="77"/>
      <c r="T119" s="77"/>
      <c r="U119" s="2" t="s">
        <v>273</v>
      </c>
      <c r="V119" s="2" t="s">
        <v>274</v>
      </c>
    </row>
    <row r="120" spans="1:22" x14ac:dyDescent="0.3">
      <c r="A120" s="3"/>
      <c r="B120" s="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232">
        <v>1</v>
      </c>
      <c r="Q120" s="232">
        <f>P120+1</f>
        <v>2</v>
      </c>
      <c r="R120" s="232">
        <f>Q120+1</f>
        <v>3</v>
      </c>
      <c r="S120" s="232">
        <f>R120+1</f>
        <v>4</v>
      </c>
      <c r="T120" s="232">
        <f>S120+1</f>
        <v>5</v>
      </c>
      <c r="U120" s="2"/>
      <c r="V120" s="2"/>
    </row>
    <row r="121" spans="1:22" x14ac:dyDescent="0.3">
      <c r="A121" s="217" t="s">
        <v>260</v>
      </c>
      <c r="B121" s="217" t="s">
        <v>20</v>
      </c>
      <c r="C121" s="232"/>
      <c r="D121" s="232"/>
      <c r="E121" s="232"/>
      <c r="F121" s="240">
        <v>2015</v>
      </c>
      <c r="G121" s="240">
        <f>F121+1</f>
        <v>2016</v>
      </c>
      <c r="H121" s="240">
        <f t="shared" ref="H121:N121" si="225">G121+1</f>
        <v>2017</v>
      </c>
      <c r="I121" s="240">
        <f t="shared" si="225"/>
        <v>2018</v>
      </c>
      <c r="J121" s="240">
        <f t="shared" si="225"/>
        <v>2019</v>
      </c>
      <c r="K121" s="240">
        <f t="shared" si="225"/>
        <v>2020</v>
      </c>
      <c r="L121" s="240">
        <f t="shared" si="225"/>
        <v>2021</v>
      </c>
      <c r="M121" s="240">
        <f t="shared" si="225"/>
        <v>2022</v>
      </c>
      <c r="N121" s="240">
        <f t="shared" si="225"/>
        <v>2023</v>
      </c>
      <c r="O121" s="241" t="s">
        <v>7</v>
      </c>
      <c r="P121" s="241">
        <v>2025</v>
      </c>
      <c r="Q121" s="241">
        <f>P121+1</f>
        <v>2026</v>
      </c>
      <c r="R121" s="241">
        <f t="shared" ref="R121:T121" si="226">Q121+1</f>
        <v>2027</v>
      </c>
      <c r="S121" s="241">
        <f t="shared" si="226"/>
        <v>2028</v>
      </c>
      <c r="T121" s="241">
        <f t="shared" si="226"/>
        <v>2029</v>
      </c>
    </row>
    <row r="122" spans="1:22" x14ac:dyDescent="0.3">
      <c r="A122" s="217"/>
      <c r="B122" s="8" t="s">
        <v>3</v>
      </c>
      <c r="C122" s="235"/>
      <c r="D122" s="235"/>
      <c r="E122" s="235"/>
      <c r="F122" s="242">
        <f>F28</f>
        <v>107006</v>
      </c>
      <c r="G122" s="242">
        <f t="shared" ref="G122:T122" si="227">G28</f>
        <v>135987</v>
      </c>
      <c r="H122" s="242">
        <f t="shared" si="227"/>
        <v>177866</v>
      </c>
      <c r="I122" s="242">
        <f t="shared" si="227"/>
        <v>232887</v>
      </c>
      <c r="J122" s="242">
        <f t="shared" si="227"/>
        <v>280522</v>
      </c>
      <c r="K122" s="242">
        <f t="shared" si="227"/>
        <v>386064</v>
      </c>
      <c r="L122" s="242">
        <f t="shared" si="227"/>
        <v>469822</v>
      </c>
      <c r="M122" s="242">
        <f t="shared" si="227"/>
        <v>513983</v>
      </c>
      <c r="N122" s="242">
        <f t="shared" si="227"/>
        <v>574785</v>
      </c>
      <c r="O122" s="242">
        <f t="shared" si="227"/>
        <v>637959</v>
      </c>
      <c r="P122" s="242">
        <f t="shared" si="227"/>
        <v>707899.93</v>
      </c>
      <c r="Q122" s="242">
        <f t="shared" si="227"/>
        <v>779079.86</v>
      </c>
      <c r="R122" s="242">
        <f t="shared" si="227"/>
        <v>862205.62591860525</v>
      </c>
      <c r="S122" s="242">
        <f t="shared" si="227"/>
        <v>953277.68330712477</v>
      </c>
      <c r="T122" s="242">
        <f t="shared" si="227"/>
        <v>1052696.614527341</v>
      </c>
      <c r="V122" s="243"/>
    </row>
    <row r="123" spans="1:22" x14ac:dyDescent="0.3">
      <c r="A123" s="217"/>
      <c r="B123" s="8" t="s">
        <v>8</v>
      </c>
      <c r="C123" s="235"/>
      <c r="D123" s="235"/>
      <c r="E123" s="235"/>
      <c r="F123" s="242" t="str">
        <f>F29</f>
        <v>--</v>
      </c>
      <c r="G123" s="244">
        <f>G29</f>
        <v>0.27083528026465808</v>
      </c>
      <c r="H123" s="244">
        <f t="shared" ref="H123:T123" si="228">H29</f>
        <v>0.30796326119408479</v>
      </c>
      <c r="I123" s="244">
        <f t="shared" si="228"/>
        <v>0.3093396152159491</v>
      </c>
      <c r="J123" s="244">
        <f t="shared" si="228"/>
        <v>0.20454125820676983</v>
      </c>
      <c r="K123" s="244">
        <f t="shared" si="228"/>
        <v>0.37623430604373276</v>
      </c>
      <c r="L123" s="244">
        <f t="shared" si="228"/>
        <v>0.21695366571345676</v>
      </c>
      <c r="M123" s="244">
        <f t="shared" si="228"/>
        <v>9.399517263985091E-2</v>
      </c>
      <c r="N123" s="244">
        <f t="shared" si="228"/>
        <v>0.1182957412988368</v>
      </c>
      <c r="O123" s="244">
        <f t="shared" si="228"/>
        <v>0.1099089224666614</v>
      </c>
      <c r="P123" s="244">
        <f t="shared" si="228"/>
        <v>0.10963232746932028</v>
      </c>
      <c r="Q123" s="244">
        <f t="shared" si="228"/>
        <v>0.10055083633077899</v>
      </c>
      <c r="R123" s="244">
        <f t="shared" si="228"/>
        <v>0.10669736208892022</v>
      </c>
      <c r="S123" s="244">
        <f t="shared" si="228"/>
        <v>0.10562684196300649</v>
      </c>
      <c r="T123" s="244">
        <f t="shared" si="228"/>
        <v>0.10429168012756856</v>
      </c>
      <c r="V123" s="243"/>
    </row>
    <row r="124" spans="1:22" x14ac:dyDescent="0.3">
      <c r="A124" s="217"/>
      <c r="C124" s="235"/>
      <c r="D124" s="235"/>
      <c r="E124" s="235"/>
    </row>
    <row r="125" spans="1:22" x14ac:dyDescent="0.3">
      <c r="A125" s="217"/>
      <c r="B125" s="8" t="s">
        <v>4</v>
      </c>
      <c r="C125" s="235"/>
      <c r="D125" s="235"/>
      <c r="E125" s="235"/>
      <c r="F125" s="245">
        <f>F44</f>
        <v>2233</v>
      </c>
      <c r="G125" s="245">
        <f t="shared" ref="G125:T125" si="229">G44</f>
        <v>4186</v>
      </c>
      <c r="H125" s="245">
        <f t="shared" si="229"/>
        <v>4106</v>
      </c>
      <c r="I125" s="245">
        <f t="shared" si="229"/>
        <v>12421</v>
      </c>
      <c r="J125" s="245">
        <f t="shared" si="229"/>
        <v>14541</v>
      </c>
      <c r="K125" s="245">
        <f t="shared" si="229"/>
        <v>22899</v>
      </c>
      <c r="L125" s="245">
        <f t="shared" si="229"/>
        <v>24879</v>
      </c>
      <c r="M125" s="245">
        <f t="shared" si="229"/>
        <v>12248</v>
      </c>
      <c r="N125" s="245">
        <f t="shared" si="229"/>
        <v>36852</v>
      </c>
      <c r="O125" s="245">
        <f t="shared" si="229"/>
        <v>68593</v>
      </c>
      <c r="P125" s="245">
        <f t="shared" si="229"/>
        <v>80495.25059013287</v>
      </c>
      <c r="Q125" s="245">
        <f t="shared" si="229"/>
        <v>97300.220960787512</v>
      </c>
      <c r="R125" s="245">
        <f t="shared" si="229"/>
        <v>116306.48239691238</v>
      </c>
      <c r="S125" s="245">
        <f t="shared" si="229"/>
        <v>138127.14098829892</v>
      </c>
      <c r="T125" s="245">
        <f t="shared" si="229"/>
        <v>163062.70559028513</v>
      </c>
    </row>
    <row r="126" spans="1:22" x14ac:dyDescent="0.3">
      <c r="A126" s="217"/>
      <c r="B126" s="246" t="s">
        <v>9</v>
      </c>
      <c r="C126" s="235"/>
      <c r="D126" s="235"/>
      <c r="E126" s="235"/>
      <c r="F126" s="244">
        <f t="shared" ref="F126:T126" si="230">F45</f>
        <v>2.0867988710913405E-2</v>
      </c>
      <c r="G126" s="244">
        <f t="shared" si="230"/>
        <v>3.0782354195621642E-2</v>
      </c>
      <c r="H126" s="244">
        <f t="shared" si="230"/>
        <v>2.3084794170892695E-2</v>
      </c>
      <c r="I126" s="244">
        <f t="shared" si="230"/>
        <v>5.3334879147397665E-2</v>
      </c>
      <c r="J126" s="244">
        <f t="shared" si="230"/>
        <v>5.1835506662579051E-2</v>
      </c>
      <c r="K126" s="244">
        <f t="shared" si="230"/>
        <v>5.9313999751336569E-2</v>
      </c>
      <c r="L126" s="244">
        <f t="shared" si="230"/>
        <v>5.2954097509269465E-2</v>
      </c>
      <c r="M126" s="244">
        <f t="shared" si="230"/>
        <v>2.3829581912242232E-2</v>
      </c>
      <c r="N126" s="244">
        <f t="shared" si="230"/>
        <v>6.4114407996033296E-2</v>
      </c>
      <c r="O126" s="244">
        <f t="shared" si="230"/>
        <v>0.1075194487420038</v>
      </c>
      <c r="P126" s="244">
        <f t="shared" si="230"/>
        <v>0.11370992873262872</v>
      </c>
      <c r="Q126" s="244">
        <f t="shared" si="230"/>
        <v>0.12489120301580831</v>
      </c>
      <c r="R126" s="244">
        <f t="shared" si="230"/>
        <v>0.13489413534387221</v>
      </c>
      <c r="S126" s="244">
        <f t="shared" si="230"/>
        <v>0.14489706767193611</v>
      </c>
      <c r="T126" s="244">
        <f t="shared" si="230"/>
        <v>0.15490000000000001</v>
      </c>
    </row>
    <row r="127" spans="1:22" x14ac:dyDescent="0.3">
      <c r="A127" s="217"/>
      <c r="B127" s="246"/>
      <c r="C127" s="235"/>
      <c r="D127" s="235"/>
      <c r="E127" s="235"/>
    </row>
    <row r="128" spans="1:22" x14ac:dyDescent="0.3">
      <c r="A128" s="217"/>
      <c r="B128" s="8" t="s">
        <v>10</v>
      </c>
      <c r="C128" s="235"/>
      <c r="D128" s="235"/>
      <c r="E128" s="235"/>
      <c r="F128" s="237">
        <f>F48</f>
        <v>950</v>
      </c>
      <c r="G128" s="237">
        <f t="shared" ref="G128:O128" si="231">G48</f>
        <v>1425</v>
      </c>
      <c r="H128" s="237">
        <f t="shared" si="231"/>
        <v>769</v>
      </c>
      <c r="I128" s="237">
        <f t="shared" si="231"/>
        <v>1197</v>
      </c>
      <c r="J128" s="237">
        <f t="shared" si="231"/>
        <v>2374</v>
      </c>
      <c r="K128" s="237">
        <f t="shared" si="231"/>
        <v>2863</v>
      </c>
      <c r="L128" s="237">
        <f t="shared" si="231"/>
        <v>4791</v>
      </c>
      <c r="M128" s="237">
        <f t="shared" si="231"/>
        <v>-3217</v>
      </c>
      <c r="N128" s="237">
        <f t="shared" si="231"/>
        <v>7120</v>
      </c>
      <c r="O128" s="237">
        <f t="shared" si="231"/>
        <v>9265</v>
      </c>
      <c r="P128" s="237">
        <f>P129*P125</f>
        <v>11913.297087339664</v>
      </c>
      <c r="Q128" s="237">
        <f t="shared" ref="Q128:T128" si="232">Q129*Q125</f>
        <v>15328.328445440055</v>
      </c>
      <c r="R128" s="237">
        <f t="shared" si="232"/>
        <v>17080.272656348992</v>
      </c>
      <c r="S128" s="237">
        <f t="shared" si="232"/>
        <v>20829.211129245574</v>
      </c>
      <c r="T128" s="237">
        <f t="shared" si="232"/>
        <v>24741.478483103572</v>
      </c>
    </row>
    <row r="129" spans="1:22" x14ac:dyDescent="0.3">
      <c r="A129" s="217"/>
      <c r="B129" s="246" t="s">
        <v>11</v>
      </c>
      <c r="C129" s="235"/>
      <c r="D129" s="235"/>
      <c r="E129" s="235"/>
      <c r="F129" s="244">
        <f t="shared" ref="F129:T129" si="233">F49</f>
        <v>0.60586734693877553</v>
      </c>
      <c r="G129" s="244">
        <f t="shared" si="233"/>
        <v>0.36613566289825283</v>
      </c>
      <c r="H129" s="244">
        <f t="shared" si="233"/>
        <v>0.20204939569101418</v>
      </c>
      <c r="I129" s="244">
        <f t="shared" si="233"/>
        <v>0.10629606606873279</v>
      </c>
      <c r="J129" s="244">
        <f t="shared" si="233"/>
        <v>0.16986262163709215</v>
      </c>
      <c r="K129" s="244">
        <f t="shared" si="233"/>
        <v>0.1184134337000579</v>
      </c>
      <c r="L129" s="244">
        <f t="shared" si="233"/>
        <v>0.12557993237398757</v>
      </c>
      <c r="M129" s="244" t="str">
        <f t="shared" si="233"/>
        <v>--</v>
      </c>
      <c r="N129" s="244">
        <f t="shared" si="233"/>
        <v>0.18957850733551668</v>
      </c>
      <c r="O129" s="244">
        <f t="shared" si="233"/>
        <v>0.13503075174162707</v>
      </c>
      <c r="P129" s="244">
        <f t="shared" si="233"/>
        <v>0.14799999999999999</v>
      </c>
      <c r="Q129" s="244">
        <f t="shared" si="233"/>
        <v>0.15753641969238127</v>
      </c>
      <c r="R129" s="244">
        <f t="shared" si="233"/>
        <v>0.14685572381133613</v>
      </c>
      <c r="S129" s="244">
        <f t="shared" si="233"/>
        <v>0.15079738116790578</v>
      </c>
      <c r="T129" s="244">
        <f t="shared" si="233"/>
        <v>0.15172984155720773</v>
      </c>
      <c r="U129" s="8" t="s">
        <v>1</v>
      </c>
      <c r="V129" s="8" t="s">
        <v>21</v>
      </c>
    </row>
    <row r="130" spans="1:22" x14ac:dyDescent="0.3">
      <c r="A130" s="217"/>
    </row>
    <row r="131" spans="1:22" x14ac:dyDescent="0.3">
      <c r="A131" s="217"/>
      <c r="B131" s="217" t="s">
        <v>22</v>
      </c>
      <c r="P131" s="234">
        <f>P125-P128</f>
        <v>68581.9535027932</v>
      </c>
      <c r="Q131" s="234">
        <f t="shared" ref="Q131:T131" si="234">Q125-Q128</f>
        <v>81971.892515347456</v>
      </c>
      <c r="R131" s="234">
        <f t="shared" si="234"/>
        <v>99226.209740563383</v>
      </c>
      <c r="S131" s="234">
        <f t="shared" si="234"/>
        <v>117297.92985905334</v>
      </c>
      <c r="T131" s="234">
        <f t="shared" si="234"/>
        <v>138321.22710718156</v>
      </c>
      <c r="U131" s="8" t="s">
        <v>1</v>
      </c>
      <c r="V131" s="8" t="s">
        <v>23</v>
      </c>
    </row>
    <row r="132" spans="1:22" x14ac:dyDescent="0.3">
      <c r="A132" s="217"/>
    </row>
    <row r="133" spans="1:22" x14ac:dyDescent="0.3">
      <c r="A133" s="217"/>
      <c r="B133" s="8" t="s">
        <v>12</v>
      </c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>
        <f t="shared" ref="P133:T133" si="235">P72</f>
        <v>85775.179409867123</v>
      </c>
      <c r="Q133" s="237">
        <f t="shared" si="235"/>
        <v>101460.84903921249</v>
      </c>
      <c r="R133" s="237">
        <f t="shared" si="235"/>
        <v>77740.605688493146</v>
      </c>
      <c r="S133" s="237">
        <f t="shared" si="235"/>
        <v>86388.891197254386</v>
      </c>
      <c r="T133" s="237">
        <f t="shared" si="235"/>
        <v>84497.102599275386</v>
      </c>
    </row>
    <row r="134" spans="1:22" x14ac:dyDescent="0.3">
      <c r="A134" s="217"/>
      <c r="B134" s="246" t="s">
        <v>50</v>
      </c>
      <c r="F134" s="244"/>
      <c r="G134" s="244"/>
      <c r="H134" s="244"/>
      <c r="I134" s="244"/>
      <c r="J134" s="244"/>
      <c r="K134" s="244"/>
      <c r="L134" s="244"/>
      <c r="M134" s="244"/>
      <c r="N134" s="244"/>
      <c r="O134" s="244"/>
      <c r="P134" s="244">
        <f t="shared" ref="P134:T134" si="236">P73</f>
        <v>0.12116850952346769</v>
      </c>
      <c r="Q134" s="244">
        <f t="shared" si="236"/>
        <v>0.13023164151517472</v>
      </c>
      <c r="R134" s="244">
        <f t="shared" si="236"/>
        <v>9.0164809126207307E-2</v>
      </c>
      <c r="S134" s="244">
        <f t="shared" si="236"/>
        <v>9.0623008080450165E-2</v>
      </c>
      <c r="T134" s="244">
        <f t="shared" si="236"/>
        <v>8.0267288251149593E-2</v>
      </c>
      <c r="U134" s="8" t="s">
        <v>1</v>
      </c>
      <c r="V134" s="8" t="s">
        <v>24</v>
      </c>
    </row>
    <row r="135" spans="1:22" x14ac:dyDescent="0.3">
      <c r="A135" s="217"/>
    </row>
    <row r="136" spans="1:22" x14ac:dyDescent="0.3">
      <c r="A136" s="217"/>
      <c r="B136" s="8" t="s">
        <v>14</v>
      </c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>
        <f t="shared" ref="P136:T136" si="237">P98</f>
        <v>81565.362614563899</v>
      </c>
      <c r="Q136" s="237">
        <f t="shared" si="237"/>
        <v>85828.267705811173</v>
      </c>
      <c r="R136" s="237">
        <f t="shared" si="237"/>
        <v>90627.123129211075</v>
      </c>
      <c r="S136" s="237">
        <f t="shared" si="237"/>
        <v>95380.579927859508</v>
      </c>
      <c r="T136" s="237">
        <f t="shared" si="237"/>
        <v>100006.17838009739</v>
      </c>
    </row>
    <row r="137" spans="1:22" x14ac:dyDescent="0.3">
      <c r="A137" s="217"/>
      <c r="B137" s="246" t="s">
        <v>16</v>
      </c>
      <c r="F137" s="244"/>
      <c r="G137" s="244"/>
      <c r="H137" s="244"/>
      <c r="I137" s="244"/>
      <c r="J137" s="244"/>
      <c r="K137" s="244"/>
      <c r="L137" s="244"/>
      <c r="M137" s="244"/>
      <c r="N137" s="244"/>
      <c r="O137" s="244"/>
      <c r="P137" s="244">
        <f t="shared" ref="P137:T137" si="238">P99</f>
        <v>0.11522160005661237</v>
      </c>
      <c r="Q137" s="244">
        <f t="shared" si="238"/>
        <v>0.11016620004245928</v>
      </c>
      <c r="R137" s="244">
        <f t="shared" si="238"/>
        <v>0.10511080002830618</v>
      </c>
      <c r="S137" s="244">
        <f t="shared" si="238"/>
        <v>0.10005540001415308</v>
      </c>
      <c r="T137" s="244">
        <f t="shared" si="238"/>
        <v>9.5000000000000001E-2</v>
      </c>
      <c r="U137" s="8" t="s">
        <v>1</v>
      </c>
      <c r="V137" s="8" t="s">
        <v>24</v>
      </c>
    </row>
    <row r="138" spans="1:22" x14ac:dyDescent="0.3">
      <c r="A138" s="217"/>
    </row>
    <row r="139" spans="1:22" x14ac:dyDescent="0.3">
      <c r="A139" s="217"/>
      <c r="B139" s="8" t="s">
        <v>17</v>
      </c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>
        <f t="shared" ref="P139:T139" si="239">P117</f>
        <v>-20074.837866903006</v>
      </c>
      <c r="Q139" s="237">
        <f t="shared" si="239"/>
        <v>-23367.506481218668</v>
      </c>
      <c r="R139" s="237">
        <f t="shared" si="239"/>
        <v>-27270.830635760074</v>
      </c>
      <c r="S139" s="237">
        <f t="shared" si="239"/>
        <v>-31710.376750471038</v>
      </c>
      <c r="T139" s="237">
        <f t="shared" si="239"/>
        <v>-36739.111847004198</v>
      </c>
    </row>
    <row r="140" spans="1:22" x14ac:dyDescent="0.3">
      <c r="A140" s="217"/>
      <c r="B140" s="246" t="s">
        <v>9</v>
      </c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>
        <f t="shared" ref="P140:T140" si="240">P118</f>
        <v>-2.835829898570975E-2</v>
      </c>
      <c r="Q140" s="247">
        <f t="shared" si="240"/>
        <v>-2.9993724239282312E-2</v>
      </c>
      <c r="R140" s="247">
        <f t="shared" si="240"/>
        <v>-3.1629149492854877E-2</v>
      </c>
      <c r="S140" s="247">
        <f t="shared" si="240"/>
        <v>-3.3264574746427439E-2</v>
      </c>
      <c r="T140" s="247">
        <f t="shared" si="240"/>
        <v>-3.49E-2</v>
      </c>
      <c r="U140" s="8" t="s">
        <v>1</v>
      </c>
      <c r="V140" s="8" t="s">
        <v>24</v>
      </c>
    </row>
    <row r="141" spans="1:22" x14ac:dyDescent="0.3">
      <c r="A141" s="217"/>
    </row>
    <row r="142" spans="1:22" x14ac:dyDescent="0.3">
      <c r="A142" s="217"/>
      <c r="B142" s="217" t="s">
        <v>25</v>
      </c>
      <c r="C142" s="217"/>
      <c r="D142" s="217"/>
      <c r="E142" s="217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3">
        <f>P131+P133-P136-P139</f>
        <v>92866.608164999416</v>
      </c>
      <c r="Q142" s="233">
        <f t="shared" ref="Q142:T142" si="241">Q131+Q133-Q136-Q139</f>
        <v>120971.98032996745</v>
      </c>
      <c r="R142" s="233">
        <f t="shared" si="241"/>
        <v>113610.52293560552</v>
      </c>
      <c r="S142" s="233">
        <f t="shared" si="241"/>
        <v>140016.61787891926</v>
      </c>
      <c r="T142" s="233">
        <f t="shared" si="241"/>
        <v>159551.26317336375</v>
      </c>
      <c r="U142" s="8" t="s">
        <v>1</v>
      </c>
      <c r="V142" s="8" t="s">
        <v>261</v>
      </c>
    </row>
    <row r="143" spans="1:22" x14ac:dyDescent="0.3">
      <c r="A143" s="217"/>
      <c r="B143" s="217" t="s">
        <v>172</v>
      </c>
      <c r="C143" s="217"/>
      <c r="D143" s="217"/>
      <c r="E143" s="217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4">
        <f>(P142*P145)/(1+WACC)^P146</f>
        <v>32962.061040640387</v>
      </c>
      <c r="Q143" s="234">
        <f>Q142/(1+WACC)^Q146</f>
        <v>111424.82637590122</v>
      </c>
      <c r="R143" s="234">
        <f>R142/(1+WACC)^R146</f>
        <v>95116.177911795428</v>
      </c>
      <c r="S143" s="234">
        <f>S142/(1+WACC)^S146</f>
        <v>106550.15124800532</v>
      </c>
      <c r="T143" s="234">
        <f>T142/(1+WACC)^T146</f>
        <v>110360.43159506594</v>
      </c>
      <c r="U143" s="8" t="s">
        <v>1</v>
      </c>
      <c r="V143" s="8" t="s">
        <v>262</v>
      </c>
    </row>
    <row r="144" spans="1:22" x14ac:dyDescent="0.3">
      <c r="A144" s="217"/>
    </row>
    <row r="145" spans="1:22" x14ac:dyDescent="0.3">
      <c r="A145" s="217"/>
      <c r="B145" s="8" t="s">
        <v>171</v>
      </c>
      <c r="P145" s="236">
        <f>YEARFRAC(C5,C6)</f>
        <v>0.3611111111111111</v>
      </c>
      <c r="Q145" s="236"/>
      <c r="R145" s="236"/>
      <c r="S145" s="236"/>
      <c r="T145" s="236"/>
    </row>
    <row r="146" spans="1:22" x14ac:dyDescent="0.3">
      <c r="A146" s="217"/>
      <c r="B146" s="8" t="s">
        <v>26</v>
      </c>
      <c r="P146" s="236">
        <f>P145/2</f>
        <v>0.18055555555555555</v>
      </c>
      <c r="Q146" s="236">
        <f>P145+0.5</f>
        <v>0.86111111111111116</v>
      </c>
      <c r="R146" s="236">
        <f>Q146+1</f>
        <v>1.8611111111111112</v>
      </c>
      <c r="S146" s="236">
        <f t="shared" ref="S146:T146" si="242">R146+1</f>
        <v>2.8611111111111112</v>
      </c>
      <c r="T146" s="236">
        <f t="shared" si="242"/>
        <v>3.8611111111111112</v>
      </c>
    </row>
    <row r="147" spans="1:22" x14ac:dyDescent="0.3">
      <c r="A147" s="217"/>
    </row>
    <row r="148" spans="1:22" x14ac:dyDescent="0.3">
      <c r="A148" s="217"/>
      <c r="B148" s="8" t="s">
        <v>27</v>
      </c>
      <c r="T148" s="237">
        <f>(T142*(1+TGR))/(WACC-TGR)</f>
        <v>2175489.2238056227</v>
      </c>
      <c r="U148" s="8" t="s">
        <v>1</v>
      </c>
      <c r="V148" s="8" t="s">
        <v>263</v>
      </c>
    </row>
    <row r="149" spans="1:22" x14ac:dyDescent="0.3">
      <c r="A149" s="217"/>
      <c r="B149" s="8" t="s">
        <v>28</v>
      </c>
      <c r="T149" s="237">
        <f>(T148)/(1+WACC)^T146</f>
        <v>1504769.8457186825</v>
      </c>
      <c r="U149" s="8" t="s">
        <v>1</v>
      </c>
      <c r="V149" s="8" t="s">
        <v>264</v>
      </c>
    </row>
    <row r="150" spans="1:22" x14ac:dyDescent="0.3">
      <c r="A150" s="217"/>
      <c r="B150" s="217" t="s">
        <v>29</v>
      </c>
      <c r="T150" s="234">
        <f>SUM(P143:T143,T149)</f>
        <v>1961183.4938900908</v>
      </c>
      <c r="U150" s="8" t="s">
        <v>1</v>
      </c>
      <c r="V150" s="8" t="s">
        <v>30</v>
      </c>
    </row>
    <row r="151" spans="1:22" x14ac:dyDescent="0.3">
      <c r="A151" s="217"/>
      <c r="B151" s="8" t="s">
        <v>31</v>
      </c>
      <c r="T151" s="238">
        <f>57741+35439</f>
        <v>93180</v>
      </c>
      <c r="U151" s="8" t="s">
        <v>1</v>
      </c>
      <c r="V151" s="8" t="s">
        <v>32</v>
      </c>
    </row>
    <row r="152" spans="1:22" x14ac:dyDescent="0.3">
      <c r="A152" s="217"/>
      <c r="B152" s="8" t="s">
        <v>33</v>
      </c>
      <c r="T152" s="238">
        <f>WACC!E12</f>
        <v>50718</v>
      </c>
      <c r="U152" s="8" t="s">
        <v>1</v>
      </c>
      <c r="V152" s="239" t="s">
        <v>34</v>
      </c>
    </row>
    <row r="153" spans="1:22" x14ac:dyDescent="0.3">
      <c r="A153" s="217"/>
      <c r="B153" s="217" t="s">
        <v>35</v>
      </c>
      <c r="T153" s="234">
        <f>T150+T151-T152</f>
        <v>2003645.4938900908</v>
      </c>
      <c r="U153" s="8" t="s">
        <v>1</v>
      </c>
      <c r="V153" s="8" t="s">
        <v>265</v>
      </c>
    </row>
    <row r="154" spans="1:22" x14ac:dyDescent="0.3">
      <c r="A154" s="217"/>
    </row>
    <row r="155" spans="1:22" x14ac:dyDescent="0.3">
      <c r="A155" s="217"/>
      <c r="B155" s="8" t="s">
        <v>174</v>
      </c>
      <c r="T155" s="238">
        <f>Shares!E15</f>
        <v>10956.612097000001</v>
      </c>
      <c r="U155" s="8" t="s">
        <v>1</v>
      </c>
      <c r="V155" s="8" t="s">
        <v>37</v>
      </c>
    </row>
    <row r="156" spans="1:22" x14ac:dyDescent="0.3">
      <c r="A156" s="217"/>
      <c r="B156" s="8" t="s">
        <v>185</v>
      </c>
      <c r="T156" s="236">
        <f>T153/T155</f>
        <v>182.8708980615188</v>
      </c>
      <c r="U156" s="8" t="s">
        <v>1</v>
      </c>
      <c r="V156" s="8" t="s">
        <v>266</v>
      </c>
    </row>
    <row r="157" spans="1:22" x14ac:dyDescent="0.3">
      <c r="A157" s="217"/>
    </row>
    <row r="160" spans="1:22" ht="18" x14ac:dyDescent="0.35">
      <c r="A160" s="248"/>
      <c r="B160" s="24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A9B5-CFEC-4301-926A-0366B9A4D755}">
  <sheetPr codeName="Sheet4">
    <tabColor rgb="FF002060"/>
  </sheetPr>
  <dimension ref="A1"/>
  <sheetViews>
    <sheetView showGridLines="0" topLeftCell="XFD1" workbookViewId="0">
      <selection activeCell="A2" sqref="A2"/>
    </sheetView>
  </sheetViews>
  <sheetFormatPr defaultColWidth="0" defaultRowHeight="14.4" x14ac:dyDescent="0.3"/>
  <cols>
    <col min="1" max="16384" width="8.88671875" hidden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AEE4-15CA-448C-BDA2-80EB848137B1}">
  <sheetPr codeName="Sheet5"/>
  <dimension ref="A1:AB57"/>
  <sheetViews>
    <sheetView topLeftCell="A21" workbookViewId="0">
      <selection activeCell="P45" sqref="P45"/>
    </sheetView>
  </sheetViews>
  <sheetFormatPr defaultRowHeight="14.4" x14ac:dyDescent="0.3"/>
  <cols>
    <col min="1" max="1" width="3.77734375" style="3" customWidth="1"/>
    <col min="2" max="5" width="8.88671875" style="2"/>
    <col min="6" max="20" width="10.21875" style="2" customWidth="1"/>
    <col min="21" max="21" width="3.77734375" style="2" customWidth="1"/>
    <col min="22" max="16384" width="8.88671875" style="2"/>
  </cols>
  <sheetData>
    <row r="1" spans="1:22" x14ac:dyDescent="0.3">
      <c r="A1" s="2"/>
    </row>
    <row r="2" spans="1:22" ht="21" x14ac:dyDescent="0.4">
      <c r="A2" s="1"/>
      <c r="B2" s="60" t="s">
        <v>179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2"/>
      <c r="B3" s="3"/>
    </row>
    <row r="4" spans="1:22" x14ac:dyDescent="0.3">
      <c r="A4" s="2"/>
      <c r="B4" s="23" t="s">
        <v>170</v>
      </c>
      <c r="C4" s="111"/>
      <c r="D4" s="111"/>
      <c r="E4" s="111"/>
      <c r="F4" s="111"/>
    </row>
    <row r="5" spans="1:22" x14ac:dyDescent="0.3">
      <c r="A5" s="2"/>
      <c r="B5" s="2" t="s">
        <v>5</v>
      </c>
      <c r="F5" s="112">
        <f>WACC</f>
        <v>0.10017391626818278</v>
      </c>
    </row>
    <row r="6" spans="1:22" x14ac:dyDescent="0.3">
      <c r="A6" s="2"/>
      <c r="B6" s="2" t="s">
        <v>6</v>
      </c>
      <c r="F6" s="112">
        <f>TGR</f>
        <v>2.5000000000000001E-2</v>
      </c>
    </row>
    <row r="7" spans="1:22" x14ac:dyDescent="0.3">
      <c r="A7" s="2"/>
      <c r="C7" s="3"/>
    </row>
    <row r="8" spans="1:22" x14ac:dyDescent="0.3">
      <c r="A8" s="3" t="s">
        <v>260</v>
      </c>
      <c r="B8" s="23" t="s">
        <v>180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8" customHeight="1" x14ac:dyDescent="0.3">
      <c r="A9" s="2"/>
      <c r="C9" s="3"/>
    </row>
    <row r="10" spans="1:22" x14ac:dyDescent="0.3">
      <c r="A10" s="3" t="s">
        <v>260</v>
      </c>
      <c r="B10" s="101" t="s">
        <v>176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B11" s="2" t="s">
        <v>3</v>
      </c>
      <c r="C11" s="12"/>
      <c r="D11" s="12"/>
      <c r="E11" s="12"/>
      <c r="F11" s="107">
        <f>'North America'!F11+International!F11+AWS!F11</f>
        <v>107006</v>
      </c>
      <c r="G11" s="107">
        <f>'North America'!G11+International!G11+AWS!G11</f>
        <v>135987</v>
      </c>
      <c r="H11" s="107">
        <f>'North America'!H11+International!H11+AWS!H11</f>
        <v>177866</v>
      </c>
      <c r="I11" s="107">
        <f>'North America'!I11+International!I11+AWS!I11</f>
        <v>232887</v>
      </c>
      <c r="J11" s="107">
        <f>'North America'!J11+International!J11+AWS!J11</f>
        <v>280522</v>
      </c>
      <c r="K11" s="107">
        <f>'North America'!K11+International!K11+AWS!K11</f>
        <v>386064</v>
      </c>
      <c r="L11" s="107">
        <f>'North America'!L11+International!L11+AWS!L11</f>
        <v>469822</v>
      </c>
      <c r="M11" s="107">
        <f>'North America'!M11+International!M11+AWS!M11</f>
        <v>513983</v>
      </c>
      <c r="N11" s="107">
        <f>'North America'!N11+International!N11+AWS!N11</f>
        <v>574785</v>
      </c>
      <c r="O11" s="107">
        <f>'North America'!O11+International!O11+AWS!O11</f>
        <v>637959</v>
      </c>
      <c r="P11" s="107">
        <f>'North America'!P11+International!P11+AWS!P11</f>
        <v>707899.93</v>
      </c>
      <c r="Q11" s="107">
        <f>'North America'!Q11+International!Q11+AWS!Q11</f>
        <v>779079.86</v>
      </c>
      <c r="R11" s="107">
        <f>'North America'!R11+International!R11+AWS!R11</f>
        <v>862205.62591860525</v>
      </c>
      <c r="S11" s="107">
        <f>'North America'!S11+International!S11+AWS!S11</f>
        <v>953277.68330712477</v>
      </c>
      <c r="T11" s="107">
        <f>'North America'!T11+International!T11+AWS!T11</f>
        <v>1052696.614527341</v>
      </c>
      <c r="U11" s="2" t="s">
        <v>1</v>
      </c>
      <c r="V11" s="253" t="s">
        <v>267</v>
      </c>
    </row>
    <row r="12" spans="1:22" x14ac:dyDescent="0.3">
      <c r="B12" s="2" t="s">
        <v>8</v>
      </c>
      <c r="C12" s="12"/>
      <c r="D12" s="12"/>
      <c r="E12" s="12"/>
      <c r="F12" s="20" t="str">
        <f>'Operating Model'!F25</f>
        <v>--</v>
      </c>
      <c r="G12" s="38">
        <f>G11/F11-1</f>
        <v>0.27083528026465808</v>
      </c>
      <c r="H12" s="38">
        <f t="shared" ref="H12:T12" si="2">H11/G11-1</f>
        <v>0.30796326119408479</v>
      </c>
      <c r="I12" s="38">
        <f t="shared" si="2"/>
        <v>0.3093396152159491</v>
      </c>
      <c r="J12" s="38">
        <f t="shared" si="2"/>
        <v>0.20454125820676983</v>
      </c>
      <c r="K12" s="38">
        <f t="shared" si="2"/>
        <v>0.37623430604373276</v>
      </c>
      <c r="L12" s="38">
        <f t="shared" si="2"/>
        <v>0.21695366571345676</v>
      </c>
      <c r="M12" s="38">
        <f t="shared" si="2"/>
        <v>9.399517263985091E-2</v>
      </c>
      <c r="N12" s="38">
        <f t="shared" si="2"/>
        <v>0.1182957412988368</v>
      </c>
      <c r="O12" s="38">
        <f t="shared" si="2"/>
        <v>0.1099089224666614</v>
      </c>
      <c r="P12" s="38">
        <f t="shared" si="2"/>
        <v>0.10963232746932028</v>
      </c>
      <c r="Q12" s="38">
        <f t="shared" si="2"/>
        <v>0.10055083633077899</v>
      </c>
      <c r="R12" s="38">
        <f t="shared" si="2"/>
        <v>0.10669736208892022</v>
      </c>
      <c r="S12" s="38">
        <f t="shared" si="2"/>
        <v>0.10562684196300642</v>
      </c>
      <c r="T12" s="38">
        <f t="shared" si="2"/>
        <v>0.10429168012756862</v>
      </c>
      <c r="U12" s="2" t="s">
        <v>1</v>
      </c>
      <c r="V12" s="254" t="s">
        <v>271</v>
      </c>
    </row>
    <row r="13" spans="1:22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5" t="s">
        <v>268</v>
      </c>
    </row>
    <row r="14" spans="1:22" x14ac:dyDescent="0.3">
      <c r="B14" s="2" t="s">
        <v>4</v>
      </c>
      <c r="C14" s="12"/>
      <c r="D14" s="12"/>
      <c r="E14" s="12"/>
      <c r="F14" s="107">
        <f>'North America'!F14+International!F14+AWS!F14</f>
        <v>2233</v>
      </c>
      <c r="G14" s="107">
        <f>'North America'!G14+International!G14+AWS!G14</f>
        <v>4186</v>
      </c>
      <c r="H14" s="107">
        <f>'North America'!H14+International!H14+AWS!H14</f>
        <v>4106</v>
      </c>
      <c r="I14" s="107">
        <f>'North America'!I14+International!I14+AWS!I14</f>
        <v>12421</v>
      </c>
      <c r="J14" s="107">
        <f>'North America'!J14+International!J14+AWS!J14</f>
        <v>14541</v>
      </c>
      <c r="K14" s="107">
        <f>'North America'!K14+International!K14+AWS!K14</f>
        <v>22899</v>
      </c>
      <c r="L14" s="107">
        <f>'North America'!L14+International!L14+AWS!L14</f>
        <v>24879</v>
      </c>
      <c r="M14" s="107">
        <f>'North America'!M14+International!M14+AWS!M14</f>
        <v>12248</v>
      </c>
      <c r="N14" s="107">
        <f>'North America'!N14+International!N14+AWS!N14</f>
        <v>36852</v>
      </c>
      <c r="O14" s="107">
        <f>'North America'!O14+International!O14+AWS!O14</f>
        <v>68593</v>
      </c>
      <c r="P14" s="107">
        <f>'North America'!P14+International!P14+AWS!P14</f>
        <v>80495.25059013287</v>
      </c>
      <c r="Q14" s="107">
        <f>'North America'!Q14+International!Q14+AWS!Q14</f>
        <v>97300.220960787512</v>
      </c>
      <c r="R14" s="107">
        <f>'North America'!R14+International!R14+AWS!R14</f>
        <v>116306.48239691241</v>
      </c>
      <c r="S14" s="107">
        <f>'North America'!S14+International!S14+AWS!S14</f>
        <v>138127.14098829892</v>
      </c>
      <c r="T14" s="107">
        <f>'North America'!T14+International!T14+AWS!T14</f>
        <v>163062.70559028513</v>
      </c>
      <c r="U14" s="2" t="s">
        <v>1</v>
      </c>
      <c r="V14" s="19" t="s">
        <v>269</v>
      </c>
    </row>
    <row r="15" spans="1:22" x14ac:dyDescent="0.3">
      <c r="B15" s="15" t="s">
        <v>9</v>
      </c>
      <c r="C15" s="12"/>
      <c r="D15" s="12"/>
      <c r="E15" s="12"/>
      <c r="F15" s="51">
        <f>F14/F11</f>
        <v>2.0867988710913405E-2</v>
      </c>
      <c r="G15" s="51">
        <f t="shared" ref="G15:T15" si="3">G14/G11</f>
        <v>3.0782354195621642E-2</v>
      </c>
      <c r="H15" s="51">
        <f t="shared" si="3"/>
        <v>2.3084794170892695E-2</v>
      </c>
      <c r="I15" s="51">
        <f t="shared" si="3"/>
        <v>5.3334879147397665E-2</v>
      </c>
      <c r="J15" s="51">
        <f t="shared" si="3"/>
        <v>5.1835506662579051E-2</v>
      </c>
      <c r="K15" s="51">
        <f t="shared" si="3"/>
        <v>5.9313999751336569E-2</v>
      </c>
      <c r="L15" s="51">
        <f t="shared" si="3"/>
        <v>5.2954097509269465E-2</v>
      </c>
      <c r="M15" s="51">
        <f t="shared" si="3"/>
        <v>2.3829581912242232E-2</v>
      </c>
      <c r="N15" s="51">
        <f t="shared" si="3"/>
        <v>6.4114407996033296E-2</v>
      </c>
      <c r="O15" s="51">
        <f t="shared" si="3"/>
        <v>0.1075194487420038</v>
      </c>
      <c r="P15" s="51">
        <f t="shared" si="3"/>
        <v>0.11370992873262872</v>
      </c>
      <c r="Q15" s="51">
        <f t="shared" si="3"/>
        <v>0.12489120301580831</v>
      </c>
      <c r="R15" s="51">
        <f t="shared" si="3"/>
        <v>0.13489413534387223</v>
      </c>
      <c r="S15" s="51">
        <f t="shared" si="3"/>
        <v>0.14489706767193611</v>
      </c>
      <c r="T15" s="51">
        <f t="shared" si="3"/>
        <v>0.15490000000000001</v>
      </c>
      <c r="U15" s="2" t="s">
        <v>1</v>
      </c>
      <c r="V15" s="2" t="s">
        <v>270</v>
      </c>
    </row>
    <row r="16" spans="1:22" x14ac:dyDescent="0.3"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2:22" x14ac:dyDescent="0.3">
      <c r="B17" s="2" t="s">
        <v>10</v>
      </c>
      <c r="C17" s="12"/>
      <c r="D17" s="12"/>
      <c r="E17" s="12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7">
        <f>'North America'!P17+International!P17+AWS!P17</f>
        <v>11913.297087339664</v>
      </c>
      <c r="Q17" s="107">
        <f>'North America'!Q17+International!Q17+AWS!Q17</f>
        <v>15328.328445440055</v>
      </c>
      <c r="R17" s="107">
        <f>'North America'!R17+International!R17+AWS!R17</f>
        <v>17080.272656348996</v>
      </c>
      <c r="S17" s="107">
        <f>'North America'!S17+International!S17+AWS!S17</f>
        <v>20829.211129245577</v>
      </c>
      <c r="T17" s="107">
        <f>'North America'!T17+International!T17+AWS!T17</f>
        <v>24741.478483103576</v>
      </c>
    </row>
    <row r="18" spans="2:22" x14ac:dyDescent="0.3"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 t="s">
        <v>184</v>
      </c>
      <c r="P18" s="20">
        <f>'Operating Model'!P49</f>
        <v>0.14799999999999999</v>
      </c>
      <c r="Q18" s="20">
        <f>'Operating Model'!Q49</f>
        <v>0.15753641969238127</v>
      </c>
      <c r="R18" s="20">
        <f>'Operating Model'!R49</f>
        <v>0.14685572381133613</v>
      </c>
      <c r="S18" s="20">
        <f>'Operating Model'!S49</f>
        <v>0.15079738116790578</v>
      </c>
      <c r="T18" s="20">
        <f>'Operating Model'!T49</f>
        <v>0.15172984155720773</v>
      </c>
    </row>
    <row r="19" spans="2:22" x14ac:dyDescent="0.3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2:22" x14ac:dyDescent="0.3"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114">
        <f>'North America'!P20+International!P20+AWS!P20</f>
        <v>68581.9535027932</v>
      </c>
      <c r="Q20" s="114">
        <f>'North America'!Q20+International!Q20+AWS!Q20</f>
        <v>81971.892515347456</v>
      </c>
      <c r="R20" s="114">
        <f>'North America'!R20+International!R20+AWS!R20</f>
        <v>99226.209740563412</v>
      </c>
      <c r="S20" s="114">
        <f>'North America'!S20+International!S20+AWS!S20</f>
        <v>117297.92985905337</v>
      </c>
      <c r="T20" s="115">
        <f>'North America'!T20+International!T20+AWS!T20</f>
        <v>138321.22710718156</v>
      </c>
      <c r="U20" s="30"/>
    </row>
    <row r="21" spans="2:22" x14ac:dyDescent="0.3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2:22" x14ac:dyDescent="0.3">
      <c r="B22" s="2" t="s">
        <v>12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7">
        <f>'North America'!P22+International!P22+AWS!P22</f>
        <v>85775.179409867123</v>
      </c>
      <c r="Q22" s="107">
        <f>'North America'!Q22+International!Q22+AWS!Q22</f>
        <v>101460.84903921251</v>
      </c>
      <c r="R22" s="107">
        <f>'North America'!R22+International!R22+AWS!R22</f>
        <v>77740.605688493146</v>
      </c>
      <c r="S22" s="107">
        <f>'North America'!S22+International!S22+AWS!S22</f>
        <v>86388.891197254386</v>
      </c>
      <c r="T22" s="107">
        <f>'North America'!T22+International!T22+AWS!T22</f>
        <v>84497.102599275386</v>
      </c>
    </row>
    <row r="23" spans="2:22" x14ac:dyDescent="0.3">
      <c r="B23" s="15" t="s">
        <v>178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P22/P$11</f>
        <v>0.12116850952346769</v>
      </c>
      <c r="Q23" s="20">
        <f t="shared" ref="Q23:T23" si="4">Q22/Q$11</f>
        <v>0.13023164151517472</v>
      </c>
      <c r="R23" s="20">
        <f t="shared" si="4"/>
        <v>9.0164809126207307E-2</v>
      </c>
      <c r="S23" s="20">
        <f t="shared" si="4"/>
        <v>9.0623008080450165E-2</v>
      </c>
      <c r="T23" s="20">
        <f t="shared" si="4"/>
        <v>8.0267288251149593E-2</v>
      </c>
    </row>
    <row r="24" spans="2:22" x14ac:dyDescent="0.3"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2:22" x14ac:dyDescent="0.3">
      <c r="B25" s="2" t="s">
        <v>14</v>
      </c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7">
        <f>'North America'!P25+International!P25+AWS!P25</f>
        <v>81565.362614563899</v>
      </c>
      <c r="Q25" s="107">
        <f>'North America'!Q25+International!Q25+AWS!Q25</f>
        <v>85828.267705811188</v>
      </c>
      <c r="R25" s="107">
        <f>'North America'!R25+International!R25+AWS!R25</f>
        <v>90627.123129211075</v>
      </c>
      <c r="S25" s="107">
        <f>'North America'!S25+International!S25+AWS!S25</f>
        <v>95380.579927859508</v>
      </c>
      <c r="T25" s="107">
        <f>'North America'!T25+International!T25+AWS!T25</f>
        <v>100006.17838009738</v>
      </c>
    </row>
    <row r="26" spans="2:22" x14ac:dyDescent="0.3"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P25/P$11</f>
        <v>0.11522160005661237</v>
      </c>
      <c r="Q26" s="20">
        <f t="shared" ref="Q26" si="5">Q25/Q$11</f>
        <v>0.11016620004245931</v>
      </c>
      <c r="R26" s="20">
        <f t="shared" ref="R26" si="6">R25/R$11</f>
        <v>0.10511080002830617</v>
      </c>
      <c r="S26" s="20">
        <f t="shared" ref="S26" si="7">S25/S$11</f>
        <v>0.10005540001415308</v>
      </c>
      <c r="T26" s="20">
        <f t="shared" ref="T26" si="8">T25/T$11</f>
        <v>9.4999999999999987E-2</v>
      </c>
    </row>
    <row r="27" spans="2:22" x14ac:dyDescent="0.3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2" x14ac:dyDescent="0.3">
      <c r="B28" s="2" t="s">
        <v>17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>
        <f>'North America'!P28+International!P28+AWS!P28</f>
        <v>-20074.837866903006</v>
      </c>
      <c r="Q28" s="109">
        <f>'North America'!Q28+International!Q28+AWS!Q28</f>
        <v>-23367.506481218672</v>
      </c>
      <c r="R28" s="109">
        <f>'North America'!R28+International!R28+AWS!R28</f>
        <v>-27270.830635760078</v>
      </c>
      <c r="S28" s="109">
        <f>'North America'!S28+International!S28+AWS!S28</f>
        <v>-31710.376750471038</v>
      </c>
      <c r="T28" s="109">
        <f>'North America'!T28+International!T28+AWS!T28</f>
        <v>-36739.111847004198</v>
      </c>
    </row>
    <row r="29" spans="2:22" x14ac:dyDescent="0.3">
      <c r="B29" s="15" t="s">
        <v>9</v>
      </c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>
        <f>P28/P$11</f>
        <v>-2.8358298985709754E-2</v>
      </c>
      <c r="Q29" s="110">
        <f t="shared" ref="Q29" si="9">Q28/Q$11</f>
        <v>-2.9993724239282316E-2</v>
      </c>
      <c r="R29" s="110">
        <f t="shared" ref="R29" si="10">R28/R$11</f>
        <v>-3.1629149492854877E-2</v>
      </c>
      <c r="S29" s="110">
        <f t="shared" ref="S29" si="11">S28/S$11</f>
        <v>-3.3264574746427439E-2</v>
      </c>
      <c r="T29" s="110">
        <f t="shared" ref="T29" si="12">T28/T$11</f>
        <v>-3.49E-2</v>
      </c>
    </row>
    <row r="30" spans="2:22" x14ac:dyDescent="0.3">
      <c r="F30" s="12"/>
      <c r="G30" s="12"/>
      <c r="H30" s="12"/>
      <c r="I30" s="110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2:22" x14ac:dyDescent="0.3"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117">
        <f>'North America'!P31+International!P31+AWS!P31</f>
        <v>92866.608164999445</v>
      </c>
      <c r="Q31" s="117">
        <f>'North America'!Q31+International!Q31+AWS!Q31</f>
        <v>120971.98032996747</v>
      </c>
      <c r="R31" s="117">
        <f>'North America'!R31+International!R31+AWS!R31</f>
        <v>113610.52293560555</v>
      </c>
      <c r="S31" s="117">
        <f>'North America'!S31+International!S31+AWS!S31</f>
        <v>140016.61787891929</v>
      </c>
      <c r="T31" s="73">
        <f>'North America'!T31+International!T31+AWS!T31</f>
        <v>159551.26317336375</v>
      </c>
      <c r="U31" s="30" t="s">
        <v>1</v>
      </c>
      <c r="V31" s="2" t="s">
        <v>276</v>
      </c>
    </row>
    <row r="32" spans="2:22" ht="15" thickBot="1" x14ac:dyDescent="0.35">
      <c r="B32" s="97" t="s">
        <v>172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'North America'!P32+International!P32+AWS!P32</f>
        <v>32962.061040640401</v>
      </c>
      <c r="Q32" s="100">
        <f>'North America'!Q32+International!Q32+AWS!Q32</f>
        <v>111424.82637590122</v>
      </c>
      <c r="R32" s="100">
        <f>'North America'!R32+International!R32+AWS!R32</f>
        <v>95116.177911795457</v>
      </c>
      <c r="S32" s="100">
        <f>'North America'!S32+International!S32+AWS!S32</f>
        <v>106550.15124800534</v>
      </c>
      <c r="T32" s="118">
        <f>'North America'!T32+International!T32+AWS!T32</f>
        <v>110360.43159506594</v>
      </c>
      <c r="U32" s="30" t="s">
        <v>1</v>
      </c>
      <c r="V32" s="2" t="s">
        <v>277</v>
      </c>
    </row>
    <row r="33" spans="2:22" x14ac:dyDescent="0.3">
      <c r="B33" s="22"/>
      <c r="C33" s="22"/>
      <c r="D33" s="22"/>
      <c r="E33" s="2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2"/>
      <c r="Q33" s="12"/>
      <c r="R33" s="12"/>
      <c r="S33" s="12"/>
      <c r="T33" s="12"/>
    </row>
    <row r="34" spans="2:22" x14ac:dyDescent="0.3">
      <c r="B34" s="2" t="s">
        <v>171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2:22" x14ac:dyDescent="0.3"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13">R35+1</f>
        <v>2.8611111111111112</v>
      </c>
      <c r="T35" s="72">
        <f t="shared" si="13"/>
        <v>3.8611111111111112</v>
      </c>
    </row>
    <row r="36" spans="2:22" x14ac:dyDescent="0.3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2:22" x14ac:dyDescent="0.3"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T37" s="41">
        <f>'North America'!T37+International!T37+AWS!T37</f>
        <v>2748363.6391664725</v>
      </c>
      <c r="U37" s="2" t="s">
        <v>1</v>
      </c>
      <c r="V37" s="2" t="s">
        <v>278</v>
      </c>
    </row>
    <row r="38" spans="2:22" x14ac:dyDescent="0.3"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T38" s="26">
        <f>'North America'!T38+International!T38+AWS!T38</f>
        <v>1901022.8522542594</v>
      </c>
      <c r="U38" s="2" t="s">
        <v>1</v>
      </c>
      <c r="V38" s="2" t="s">
        <v>279</v>
      </c>
    </row>
    <row r="39" spans="2:22" x14ac:dyDescent="0.3">
      <c r="S39" s="58"/>
    </row>
    <row r="40" spans="2:22" x14ac:dyDescent="0.3"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262"/>
      <c r="T40" s="113">
        <f>SUM(P32:T32,T38)</f>
        <v>2357436.5004256675</v>
      </c>
      <c r="U40" s="2" t="s">
        <v>1</v>
      </c>
      <c r="V40" s="2" t="s">
        <v>30</v>
      </c>
    </row>
    <row r="41" spans="2:22" x14ac:dyDescent="0.3">
      <c r="B41" s="2" t="s">
        <v>31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207">
        <f>57741+35439</f>
        <v>93180</v>
      </c>
      <c r="U41" s="2" t="s">
        <v>1</v>
      </c>
      <c r="V41" s="2" t="s">
        <v>280</v>
      </c>
    </row>
    <row r="42" spans="2:22" x14ac:dyDescent="0.3">
      <c r="B42" s="2" t="s">
        <v>33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07">
        <v>50718</v>
      </c>
      <c r="U42" s="2" t="s">
        <v>1</v>
      </c>
      <c r="V42" s="2" t="s">
        <v>280</v>
      </c>
    </row>
    <row r="43" spans="2:22" x14ac:dyDescent="0.3">
      <c r="B43" s="3" t="s">
        <v>35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16">
        <f>T40+T41-T42</f>
        <v>2399898.5004256675</v>
      </c>
      <c r="U43" s="2" t="s">
        <v>1</v>
      </c>
      <c r="V43" s="2" t="s">
        <v>281</v>
      </c>
    </row>
    <row r="44" spans="2:22" x14ac:dyDescent="0.3"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2:22" x14ac:dyDescent="0.3">
      <c r="B45" s="2" t="s">
        <v>174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207">
        <f>Shares!E15</f>
        <v>10956.612097000001</v>
      </c>
      <c r="U45" s="2" t="s">
        <v>1</v>
      </c>
      <c r="V45" s="2" t="s">
        <v>293</v>
      </c>
    </row>
    <row r="46" spans="2:22" x14ac:dyDescent="0.3">
      <c r="B46" s="3" t="s">
        <v>185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261">
        <f>T43/T45</f>
        <v>219.03654881446218</v>
      </c>
      <c r="U46" s="2" t="s">
        <v>1</v>
      </c>
      <c r="V46" s="2" t="s">
        <v>282</v>
      </c>
    </row>
    <row r="47" spans="2:22" x14ac:dyDescent="0.3">
      <c r="B47" s="2" t="s">
        <v>294</v>
      </c>
      <c r="T47" s="260">
        <v>221.95</v>
      </c>
    </row>
    <row r="48" spans="2:22" x14ac:dyDescent="0.3">
      <c r="B48" s="2" t="s">
        <v>295</v>
      </c>
      <c r="T48" s="259">
        <f>T46/T47-1</f>
        <v>-1.3126610432700248E-2</v>
      </c>
      <c r="V48" s="217"/>
    </row>
    <row r="49" spans="22:28" ht="5.4" customHeight="1" x14ac:dyDescent="0.3"/>
    <row r="50" spans="22:28" x14ac:dyDescent="0.3">
      <c r="X50" s="218"/>
      <c r="Y50" s="218"/>
      <c r="Z50" s="218"/>
      <c r="AA50" s="218"/>
      <c r="AB50" s="218"/>
    </row>
    <row r="51" spans="22:28" x14ac:dyDescent="0.3">
      <c r="W51" s="221"/>
      <c r="X51" s="220"/>
      <c r="Y51" s="220"/>
      <c r="Z51" s="220"/>
      <c r="AA51" s="220"/>
      <c r="AB51" s="220"/>
    </row>
    <row r="52" spans="22:28" x14ac:dyDescent="0.3">
      <c r="W52" s="220"/>
      <c r="X52" s="215"/>
      <c r="Y52" s="215"/>
      <c r="Z52" s="215"/>
      <c r="AA52" s="215"/>
      <c r="AB52" s="215"/>
    </row>
    <row r="53" spans="22:28" x14ac:dyDescent="0.3">
      <c r="W53" s="220"/>
      <c r="X53" s="215"/>
      <c r="Y53" s="215"/>
      <c r="Z53" s="215"/>
      <c r="AA53" s="215"/>
      <c r="AB53" s="215"/>
    </row>
    <row r="54" spans="22:28" x14ac:dyDescent="0.3">
      <c r="W54" s="42"/>
      <c r="X54" s="215"/>
      <c r="Y54" s="215"/>
      <c r="Z54" s="215"/>
      <c r="AA54" s="215"/>
      <c r="AB54" s="215"/>
    </row>
    <row r="55" spans="22:28" x14ac:dyDescent="0.3">
      <c r="W55" s="220"/>
      <c r="X55" s="215"/>
      <c r="Y55" s="215"/>
      <c r="Z55" s="215"/>
      <c r="AA55" s="215"/>
      <c r="AB55" s="215"/>
    </row>
    <row r="56" spans="22:28" x14ac:dyDescent="0.3">
      <c r="W56" s="220"/>
      <c r="X56" s="215"/>
      <c r="Y56" s="215"/>
      <c r="Z56" s="215"/>
      <c r="AA56" s="215"/>
      <c r="AB56" s="215"/>
    </row>
    <row r="57" spans="22:28" x14ac:dyDescent="0.3">
      <c r="V57" s="22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9C4C-877D-4CD8-A74B-6C195BEE9FE1}">
  <sheetPr codeName="Sheet1"/>
  <dimension ref="A1:AB62"/>
  <sheetViews>
    <sheetView workbookViewId="0"/>
  </sheetViews>
  <sheetFormatPr defaultRowHeight="14.4" x14ac:dyDescent="0.3"/>
  <cols>
    <col min="1" max="1" width="3.77734375" style="2" customWidth="1"/>
    <col min="2" max="4" width="8.88671875" style="2"/>
    <col min="5" max="5" width="10" style="2" bestFit="1" customWidth="1"/>
    <col min="6" max="20" width="10.21875" style="2" customWidth="1"/>
    <col min="21" max="21" width="3.77734375" style="2" customWidth="1"/>
    <col min="22" max="22" width="8.88671875" style="2"/>
    <col min="23" max="23" width="10.5546875" style="2" bestFit="1" customWidth="1"/>
    <col min="24" max="28" width="9.5546875" style="2" bestFit="1" customWidth="1"/>
    <col min="29" max="16384" width="8.88671875" style="2"/>
  </cols>
  <sheetData>
    <row r="1" spans="1:22" x14ac:dyDescent="0.3">
      <c r="A1" s="3"/>
    </row>
    <row r="2" spans="1:22" ht="21" x14ac:dyDescent="0.4">
      <c r="A2" s="70"/>
      <c r="B2" s="60" t="s">
        <v>175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3"/>
      <c r="B3" s="3"/>
    </row>
    <row r="4" spans="1:22" x14ac:dyDescent="0.3">
      <c r="A4" s="3"/>
      <c r="B4" s="23" t="s">
        <v>170</v>
      </c>
      <c r="C4" s="111"/>
      <c r="D4" s="111"/>
      <c r="E4" s="111"/>
      <c r="F4" s="111"/>
    </row>
    <row r="5" spans="1:22" x14ac:dyDescent="0.3">
      <c r="A5" s="3"/>
      <c r="B5" s="2" t="s">
        <v>5</v>
      </c>
      <c r="F5" s="112">
        <f>WACC</f>
        <v>0.10017391626818278</v>
      </c>
    </row>
    <row r="6" spans="1:22" x14ac:dyDescent="0.3">
      <c r="A6" s="3"/>
      <c r="B6" s="2" t="s">
        <v>6</v>
      </c>
      <c r="F6" s="112">
        <v>2.5000000000000001E-2</v>
      </c>
    </row>
    <row r="7" spans="1:22" x14ac:dyDescent="0.3">
      <c r="A7" s="3"/>
      <c r="C7" s="3"/>
    </row>
    <row r="8" spans="1:22" x14ac:dyDescent="0.3">
      <c r="A8" s="3" t="s">
        <v>260</v>
      </c>
      <c r="B8" s="23" t="s">
        <v>181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2" ht="4.8" customHeight="1" x14ac:dyDescent="0.3">
      <c r="A9" s="3"/>
      <c r="C9" s="3"/>
    </row>
    <row r="10" spans="1:22" x14ac:dyDescent="0.3">
      <c r="A10" s="3" t="s">
        <v>260</v>
      </c>
      <c r="B10" s="101" t="s">
        <v>176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A11" s="3"/>
      <c r="B11" s="2" t="s">
        <v>3</v>
      </c>
      <c r="C11" s="12"/>
      <c r="D11" s="12"/>
      <c r="E11" s="12"/>
      <c r="F11" s="107">
        <f>'Operating Model'!F16</f>
        <v>63708</v>
      </c>
      <c r="G11" s="107">
        <f>'Operating Model'!G16</f>
        <v>79785</v>
      </c>
      <c r="H11" s="107">
        <f>'Operating Model'!H16</f>
        <v>106110</v>
      </c>
      <c r="I11" s="107">
        <f>'Operating Model'!I16</f>
        <v>141366</v>
      </c>
      <c r="J11" s="107">
        <f>'Operating Model'!J16</f>
        <v>170773</v>
      </c>
      <c r="K11" s="107">
        <f>'Operating Model'!K16</f>
        <v>236282</v>
      </c>
      <c r="L11" s="107">
        <f>'Operating Model'!L16</f>
        <v>279833</v>
      </c>
      <c r="M11" s="107">
        <f>'Operating Model'!M16</f>
        <v>315880</v>
      </c>
      <c r="N11" s="107">
        <f>'Operating Model'!N16</f>
        <v>352828</v>
      </c>
      <c r="O11" s="107">
        <f>'Operating Model'!O16</f>
        <v>387497</v>
      </c>
      <c r="P11" s="107">
        <f>'Operating Model'!P16</f>
        <v>433191.66852121789</v>
      </c>
      <c r="Q11" s="107">
        <f>'Operating Model'!Q16</f>
        <v>476065.49269665679</v>
      </c>
      <c r="R11" s="107">
        <f>'Operating Model'!R16</f>
        <v>526060.81162842014</v>
      </c>
      <c r="S11" s="107">
        <f>'Operating Model'!S16</f>
        <v>582495.29982016515</v>
      </c>
      <c r="T11" s="107">
        <f>'Operating Model'!T16</f>
        <v>642930.86698081635</v>
      </c>
      <c r="U11" s="2" t="s">
        <v>1</v>
      </c>
      <c r="V11" s="253" t="s">
        <v>267</v>
      </c>
    </row>
    <row r="12" spans="1:22" x14ac:dyDescent="0.3">
      <c r="A12" s="3"/>
      <c r="B12" s="2" t="s">
        <v>8</v>
      </c>
      <c r="C12" s="12"/>
      <c r="D12" s="12"/>
      <c r="E12" s="12"/>
      <c r="F12" s="20" t="str">
        <f>'Operating Model'!F17</f>
        <v>--</v>
      </c>
      <c r="G12" s="20">
        <f>'Operating Model'!G17</f>
        <v>0.25235449237144469</v>
      </c>
      <c r="H12" s="20">
        <f>'Operating Model'!H17</f>
        <v>0.32994923857868019</v>
      </c>
      <c r="I12" s="20">
        <f>'Operating Model'!I17</f>
        <v>0.33225897653378578</v>
      </c>
      <c r="J12" s="20">
        <f>'Operating Model'!J17</f>
        <v>0.20802031605902416</v>
      </c>
      <c r="K12" s="20">
        <f>'Operating Model'!K17</f>
        <v>0.38360279435273736</v>
      </c>
      <c r="L12" s="20">
        <f>'Operating Model'!L17</f>
        <v>0.1843178913332375</v>
      </c>
      <c r="M12" s="20">
        <f>'Operating Model'!M17</f>
        <v>0.12881611532592663</v>
      </c>
      <c r="N12" s="20">
        <f>'Operating Model'!N17</f>
        <v>0.11696846903887548</v>
      </c>
      <c r="O12" s="20">
        <f>'Operating Model'!O17</f>
        <v>9.8260342149715907E-2</v>
      </c>
      <c r="P12" s="20">
        <f>'Operating Model'!P17</f>
        <v>0.11792263816550297</v>
      </c>
      <c r="Q12" s="20">
        <f>'Operating Model'!Q17</f>
        <v>9.8971950041875978E-2</v>
      </c>
      <c r="R12" s="20">
        <f>'Operating Model'!R17</f>
        <v>0.10501773327145925</v>
      </c>
      <c r="S12" s="20">
        <f>'Operating Model'!S17</f>
        <v>0.10727749899684058</v>
      </c>
      <c r="T12" s="20">
        <f>'Operating Model'!T17</f>
        <v>0.10375288380749104</v>
      </c>
      <c r="U12" s="2" t="s">
        <v>1</v>
      </c>
      <c r="V12" s="254" t="s">
        <v>271</v>
      </c>
    </row>
    <row r="13" spans="1:22" x14ac:dyDescent="0.3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5" t="s">
        <v>268</v>
      </c>
    </row>
    <row r="14" spans="1:22" x14ac:dyDescent="0.3">
      <c r="A14" s="3"/>
      <c r="B14" s="2" t="s">
        <v>4</v>
      </c>
      <c r="C14" s="12"/>
      <c r="D14" s="12"/>
      <c r="E14" s="12"/>
      <c r="F14" s="108">
        <f>'Operating Model'!F32</f>
        <v>1425</v>
      </c>
      <c r="G14" s="108">
        <f>'Operating Model'!G32</f>
        <v>2361</v>
      </c>
      <c r="H14" s="108">
        <f>'Operating Model'!H32</f>
        <v>2837</v>
      </c>
      <c r="I14" s="108">
        <f>'Operating Model'!I32</f>
        <v>7267</v>
      </c>
      <c r="J14" s="108">
        <f>'Operating Model'!J32</f>
        <v>7033</v>
      </c>
      <c r="K14" s="108">
        <f>'Operating Model'!K32</f>
        <v>8651</v>
      </c>
      <c r="L14" s="108">
        <f>'Operating Model'!L32</f>
        <v>7271</v>
      </c>
      <c r="M14" s="108">
        <f>'Operating Model'!M32</f>
        <v>-2847</v>
      </c>
      <c r="N14" s="108">
        <f>'Operating Model'!N32</f>
        <v>14877</v>
      </c>
      <c r="O14" s="108">
        <f>'Operating Model'!O32</f>
        <v>24967</v>
      </c>
      <c r="P14" s="108">
        <f>'Operating Model'!P32</f>
        <v>14361.354329027412</v>
      </c>
      <c r="Q14" s="108">
        <f>'Operating Model'!Q32</f>
        <v>30685.112942385807</v>
      </c>
      <c r="R14" s="108">
        <f>'Operating Model'!R32</f>
        <v>33254.555609596107</v>
      </c>
      <c r="S14" s="108">
        <f>'Operating Model'!S32</f>
        <v>35899.221447328906</v>
      </c>
      <c r="T14" s="108">
        <f>'Operating Model'!T32</f>
        <v>46809.155598540405</v>
      </c>
      <c r="U14" s="2" t="s">
        <v>1</v>
      </c>
      <c r="V14" s="19" t="s">
        <v>269</v>
      </c>
    </row>
    <row r="15" spans="1:22" x14ac:dyDescent="0.3">
      <c r="A15" s="3"/>
      <c r="B15" s="15" t="s">
        <v>9</v>
      </c>
      <c r="C15" s="12"/>
      <c r="D15" s="12"/>
      <c r="E15" s="12"/>
      <c r="F15" s="20">
        <f>'Operating Model'!F33</f>
        <v>1.3317010261106854E-2</v>
      </c>
      <c r="G15" s="20">
        <f>'Operating Model'!G33</f>
        <v>1.7361953716164044E-2</v>
      </c>
      <c r="H15" s="20">
        <f>'Operating Model'!H33</f>
        <v>1.5950209708432191E-2</v>
      </c>
      <c r="I15" s="20">
        <f>'Operating Model'!I33</f>
        <v>3.1203974459716514E-2</v>
      </c>
      <c r="J15" s="20">
        <f>'Operating Model'!J33</f>
        <v>2.5071117416815794E-2</v>
      </c>
      <c r="K15" s="20">
        <f>'Operating Model'!K33</f>
        <v>2.2408201748932821E-2</v>
      </c>
      <c r="L15" s="20">
        <f>'Operating Model'!L33</f>
        <v>1.5476073917355934E-2</v>
      </c>
      <c r="M15" s="20">
        <f>'Operating Model'!M33</f>
        <v>-5.5390937054338374E-3</v>
      </c>
      <c r="N15" s="20">
        <f>'Operating Model'!N33</f>
        <v>2.5882721365380099E-2</v>
      </c>
      <c r="O15" s="20">
        <f>'Operating Model'!O33</f>
        <v>3.9135743833067643E-2</v>
      </c>
      <c r="P15" s="20">
        <f>'Operating Model'!P33</f>
        <v>2.0287266208696208E-2</v>
      </c>
      <c r="Q15" s="20">
        <f>'Operating Model'!Q33</f>
        <v>3.9386351153251231E-2</v>
      </c>
      <c r="R15" s="20">
        <f>'Operating Model'!R33</f>
        <v>3.8569170288312915E-2</v>
      </c>
      <c r="S15" s="20">
        <f>'Operating Model'!S33</f>
        <v>3.7658724289848899E-2</v>
      </c>
      <c r="T15" s="20">
        <f>'Operating Model'!T33</f>
        <v>4.4465950543174905E-2</v>
      </c>
      <c r="U15" s="2" t="s">
        <v>1</v>
      </c>
      <c r="V15" s="2" t="s">
        <v>270</v>
      </c>
    </row>
    <row r="16" spans="1:22" x14ac:dyDescent="0.3">
      <c r="A16" s="3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3">
      <c r="A17" s="3"/>
      <c r="B17" s="2" t="s">
        <v>10</v>
      </c>
      <c r="C17" s="12"/>
      <c r="D17" s="12"/>
      <c r="E17" s="12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>
        <f>P18*P14</f>
        <v>2125.480440696057</v>
      </c>
      <c r="Q17" s="109">
        <f t="shared" ref="Q17:T17" si="2">Q18*Q14</f>
        <v>4834.0228307998113</v>
      </c>
      <c r="R17" s="109">
        <f t="shared" si="2"/>
        <v>4883.621834071565</v>
      </c>
      <c r="S17" s="109">
        <f t="shared" si="2"/>
        <v>5413.5085802239155</v>
      </c>
      <c r="T17" s="109">
        <f t="shared" si="2"/>
        <v>7102.345762393219</v>
      </c>
    </row>
    <row r="18" spans="1:22" x14ac:dyDescent="0.3">
      <c r="A18" s="3"/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0.15753641969238127</v>
      </c>
      <c r="R18" s="20">
        <f>'Operating Model'!R49</f>
        <v>0.14685572381133613</v>
      </c>
      <c r="S18" s="20">
        <f>'Operating Model'!S49</f>
        <v>0.15079738116790578</v>
      </c>
      <c r="T18" s="20">
        <f>'Operating Model'!T49</f>
        <v>0.15172984155720773</v>
      </c>
    </row>
    <row r="19" spans="1:22" x14ac:dyDescent="0.3">
      <c r="A19" s="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2" x14ac:dyDescent="0.3">
      <c r="A20" s="3"/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>
        <f>P14-P17</f>
        <v>12235.873888331354</v>
      </c>
      <c r="Q20" s="86">
        <f t="shared" ref="Q20:T20" si="3">Q14-Q17</f>
        <v>25851.090111585996</v>
      </c>
      <c r="R20" s="86">
        <f t="shared" si="3"/>
        <v>28370.933775524543</v>
      </c>
      <c r="S20" s="86">
        <f t="shared" si="3"/>
        <v>30485.71286710499</v>
      </c>
      <c r="T20" s="86">
        <f t="shared" si="3"/>
        <v>39706.809836147186</v>
      </c>
      <c r="U20" s="30"/>
    </row>
    <row r="21" spans="1:22" x14ac:dyDescent="0.3">
      <c r="A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2" x14ac:dyDescent="0.3">
      <c r="A22" s="3"/>
      <c r="B22" s="2" t="s">
        <v>12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>
        <f>'Operating Model'!P52</f>
        <v>38942.601088746793</v>
      </c>
      <c r="Q22" s="109">
        <f>'Operating Model'!Q52</f>
        <v>45725.720526236568</v>
      </c>
      <c r="R22" s="109">
        <f>'Operating Model'!R52</f>
        <v>34987.286353065276</v>
      </c>
      <c r="S22" s="109">
        <f>'Operating Model'!S52</f>
        <v>39011.293411116472</v>
      </c>
      <c r="T22" s="109">
        <f>'Operating Model'!T52</f>
        <v>38088.557175285547</v>
      </c>
    </row>
    <row r="23" spans="1:22" x14ac:dyDescent="0.3">
      <c r="A23" s="3"/>
      <c r="B23" s="15" t="s">
        <v>178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Model'!P55</f>
        <v>3.7414523545045715E-2</v>
      </c>
      <c r="Q23" s="20">
        <f>'Operating Model'!Q55</f>
        <v>3.7682029873829903E-2</v>
      </c>
      <c r="R23" s="20">
        <f>'Operating Model'!R55</f>
        <v>3.7320451650940993E-2</v>
      </c>
      <c r="S23" s="20">
        <f>'Operating Model'!S55</f>
        <v>3.7472335023272206E-2</v>
      </c>
      <c r="T23" s="20">
        <f>'Operating Model'!T55</f>
        <v>3.7491605516014374E-2</v>
      </c>
    </row>
    <row r="24" spans="1:22" x14ac:dyDescent="0.3">
      <c r="A24" s="3"/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1:22" x14ac:dyDescent="0.3">
      <c r="A25" s="3"/>
      <c r="B25" s="2" t="s">
        <v>14</v>
      </c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>
        <f>'Operating Model'!P78</f>
        <v>29175.353049095418</v>
      </c>
      <c r="Q25" s="109">
        <f>'Operating Model'!Q78</f>
        <v>29281.761009914127</v>
      </c>
      <c r="R25" s="109">
        <f>'Operating Model'!R78</f>
        <v>29841.378351516083</v>
      </c>
      <c r="S25" s="109">
        <f>'Operating Model'!S78</f>
        <v>32688.077243567524</v>
      </c>
      <c r="T25" s="109">
        <f>'Operating Model'!T78</f>
        <v>33773.933513270575</v>
      </c>
    </row>
    <row r="26" spans="1:22" x14ac:dyDescent="0.3">
      <c r="A26" s="3"/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Model'!P81</f>
        <v>6.6757098859832664E-2</v>
      </c>
      <c r="Q26" s="20">
        <f>'Operating Model'!Q81</f>
        <v>6.1656494351628982E-2</v>
      </c>
      <c r="R26" s="20">
        <f>'Operating Model'!R81</f>
        <v>6.3436249752111262E-2</v>
      </c>
      <c r="S26" s="20">
        <f>'Operating Model'!S81</f>
        <v>6.3949947654524303E-2</v>
      </c>
      <c r="T26" s="20">
        <f>'Operating Model'!T81</f>
        <v>6.3014230586088182E-2</v>
      </c>
    </row>
    <row r="27" spans="1:22" x14ac:dyDescent="0.3">
      <c r="A27" s="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2" x14ac:dyDescent="0.3">
      <c r="A28" s="3"/>
      <c r="B28" s="2" t="s">
        <v>17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>
        <f>'Operating Model'!P102</f>
        <v>-12847.896234817925</v>
      </c>
      <c r="Q28" s="109">
        <f>'Operating Model'!Q102</f>
        <v>-14955.204147979948</v>
      </c>
      <c r="R28" s="109">
        <f>'Operating Model'!R102</f>
        <v>-17453.331606886448</v>
      </c>
      <c r="S28" s="109">
        <f>'Operating Model'!S102</f>
        <v>-20294.641120301465</v>
      </c>
      <c r="T28" s="109">
        <f>'Operating Model'!T102</f>
        <v>-23513.031582082687</v>
      </c>
    </row>
    <row r="29" spans="1:22" x14ac:dyDescent="0.3">
      <c r="A29" s="3"/>
      <c r="B29" s="15" t="s">
        <v>9</v>
      </c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>
        <f>'Operating Model'!P103</f>
        <v>-2.9658687293494496E-2</v>
      </c>
      <c r="Q29" s="110">
        <f>'Operating Model'!Q103</f>
        <v>-3.1414173842482684E-2</v>
      </c>
      <c r="R29" s="110">
        <f>'Operating Model'!R103</f>
        <v>-3.3177403108320687E-2</v>
      </c>
      <c r="S29" s="110">
        <f>'Operating Model'!S103</f>
        <v>-3.4840866744447668E-2</v>
      </c>
      <c r="T29" s="110">
        <f>'Operating Model'!T103</f>
        <v>-3.6571632798560696E-2</v>
      </c>
    </row>
    <row r="30" spans="1:22" x14ac:dyDescent="0.3">
      <c r="A30" s="3"/>
      <c r="F30" s="12"/>
      <c r="G30" s="12"/>
      <c r="H30" s="12"/>
      <c r="I30" s="110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2" x14ac:dyDescent="0.3">
      <c r="A31" s="3"/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>
        <f>P20+P22-P25-P28</f>
        <v>34851.018162800654</v>
      </c>
      <c r="Q31" s="96">
        <f t="shared" ref="Q31:T31" si="4">Q20+Q22-Q25-Q28</f>
        <v>57250.253775888385</v>
      </c>
      <c r="R31" s="96">
        <f t="shared" si="4"/>
        <v>50970.17338396018</v>
      </c>
      <c r="S31" s="96">
        <f t="shared" si="4"/>
        <v>57103.570154955407</v>
      </c>
      <c r="T31" s="96">
        <f t="shared" si="4"/>
        <v>67534.465080244845</v>
      </c>
      <c r="U31" s="30" t="s">
        <v>1</v>
      </c>
      <c r="V31" s="2" t="s">
        <v>276</v>
      </c>
    </row>
    <row r="32" spans="1:22" ht="15" thickBot="1" x14ac:dyDescent="0.35">
      <c r="A32" s="3"/>
      <c r="B32" s="97" t="s">
        <v>172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(P31*P34)/(1+$F$5)^P35</f>
        <v>12370.015560056385</v>
      </c>
      <c r="Q32" s="100">
        <f>Q31/(1+$F$5)^Q35</f>
        <v>52732.042325460723</v>
      </c>
      <c r="R32" s="100">
        <f t="shared" ref="R32:T32" si="5">R31/(1+$F$5)^R35</f>
        <v>42672.878836511598</v>
      </c>
      <c r="S32" s="100">
        <f t="shared" si="5"/>
        <v>43454.799358695556</v>
      </c>
      <c r="T32" s="100">
        <f t="shared" si="5"/>
        <v>46713.091238264737</v>
      </c>
      <c r="U32" s="30" t="s">
        <v>1</v>
      </c>
      <c r="V32" s="2" t="s">
        <v>277</v>
      </c>
    </row>
    <row r="33" spans="1:22" x14ac:dyDescent="0.3">
      <c r="A33" s="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A34" s="3"/>
      <c r="B34" s="2" t="s">
        <v>171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1:22" x14ac:dyDescent="0.3">
      <c r="A35" s="3"/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6">R35+1</f>
        <v>2.8611111111111112</v>
      </c>
      <c r="T35" s="72">
        <f t="shared" si="6"/>
        <v>3.8611111111111112</v>
      </c>
    </row>
    <row r="36" spans="1:22" x14ac:dyDescent="0.3">
      <c r="A36" s="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A37" s="3"/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5">
        <f>E48</f>
        <v>1082340.7529835158</v>
      </c>
      <c r="U37" s="2" t="s">
        <v>1</v>
      </c>
      <c r="V37" s="2" t="s">
        <v>278</v>
      </c>
    </row>
    <row r="38" spans="1:22" x14ac:dyDescent="0.3">
      <c r="A38" s="3"/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5">
        <f>E49</f>
        <v>748647.11351361207</v>
      </c>
      <c r="U38" s="2" t="s">
        <v>1</v>
      </c>
      <c r="V38" s="2" t="s">
        <v>279</v>
      </c>
    </row>
    <row r="39" spans="1:22" x14ac:dyDescent="0.3">
      <c r="A39" s="3"/>
    </row>
    <row r="40" spans="1:22" x14ac:dyDescent="0.3">
      <c r="A40" s="3"/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3">
        <f>SUM(P32:T32,T38)</f>
        <v>946589.94083260116</v>
      </c>
      <c r="U40" s="2" t="s">
        <v>1</v>
      </c>
      <c r="V40" s="2" t="s">
        <v>30</v>
      </c>
    </row>
    <row r="41" spans="1:22" x14ac:dyDescent="0.3">
      <c r="A41" s="3"/>
    </row>
    <row r="42" spans="1:22" x14ac:dyDescent="0.3">
      <c r="A42" s="3" t="s">
        <v>260</v>
      </c>
      <c r="B42" s="23" t="s">
        <v>186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5.4" customHeight="1" x14ac:dyDescent="0.3"/>
    <row r="44" spans="1:22" x14ac:dyDescent="0.3">
      <c r="B44" s="101" t="s">
        <v>187</v>
      </c>
      <c r="C44" s="119"/>
      <c r="D44" s="119"/>
      <c r="E44" s="119"/>
      <c r="H44" s="101" t="s">
        <v>188</v>
      </c>
      <c r="I44" s="119"/>
      <c r="J44" s="119"/>
      <c r="K44" s="119"/>
      <c r="N44" s="101" t="s">
        <v>189</v>
      </c>
      <c r="O44" s="119"/>
      <c r="P44" s="119"/>
      <c r="Q44" s="119"/>
    </row>
    <row r="45" spans="1:22" x14ac:dyDescent="0.3">
      <c r="B45" s="2" t="s">
        <v>190</v>
      </c>
      <c r="E45" s="213">
        <v>0.8</v>
      </c>
      <c r="H45" s="2" t="s">
        <v>193</v>
      </c>
      <c r="K45" s="123">
        <v>2.5000000000000001E-2</v>
      </c>
      <c r="N45" s="2" t="s">
        <v>195</v>
      </c>
      <c r="Q45" s="105">
        <f>T14+T22</f>
        <v>84897.712773825944</v>
      </c>
    </row>
    <row r="46" spans="1:22" x14ac:dyDescent="0.3">
      <c r="B46" s="2" t="s">
        <v>191</v>
      </c>
      <c r="E46" s="122">
        <f>1-E45</f>
        <v>0.19999999999999996</v>
      </c>
      <c r="H46" s="2" t="s">
        <v>27</v>
      </c>
      <c r="K46" s="26">
        <f>(T31*(1+K45))/(F5-K45)</f>
        <v>920835.71195491101</v>
      </c>
      <c r="N46" s="2" t="s">
        <v>196</v>
      </c>
      <c r="Q46" s="214">
        <f>COMPS!Z23</f>
        <v>20.358156428812425</v>
      </c>
    </row>
    <row r="47" spans="1:22" x14ac:dyDescent="0.3">
      <c r="E47" s="12"/>
      <c r="H47" s="1" t="s">
        <v>194</v>
      </c>
      <c r="I47" s="1"/>
      <c r="J47" s="1"/>
      <c r="K47" s="124">
        <f>K46/(1+F5)^T35</f>
        <v>636935.268190715</v>
      </c>
      <c r="N47" s="2" t="s">
        <v>197</v>
      </c>
      <c r="Q47" s="105">
        <f>Q45*Q46</f>
        <v>1728360.9170979355</v>
      </c>
    </row>
    <row r="48" spans="1:22" x14ac:dyDescent="0.3">
      <c r="B48" s="2" t="s">
        <v>192</v>
      </c>
      <c r="E48" s="212">
        <f>E45*K46+E46*Q47</f>
        <v>1082340.7529835158</v>
      </c>
      <c r="H48" s="3" t="s">
        <v>201</v>
      </c>
      <c r="K48" s="116">
        <f>SUM(P32:T32)+K47</f>
        <v>834878.09550970397</v>
      </c>
      <c r="N48" s="2" t="s">
        <v>198</v>
      </c>
      <c r="Q48" s="26">
        <f>Q47/(1+$F$5)^T35</f>
        <v>1195494.4948052007</v>
      </c>
    </row>
    <row r="49" spans="2:28" x14ac:dyDescent="0.3">
      <c r="B49" s="2" t="s">
        <v>198</v>
      </c>
      <c r="E49" s="26">
        <f>E45*K47+E46*Q48</f>
        <v>748647.11351361207</v>
      </c>
      <c r="K49" s="12"/>
      <c r="N49" s="94" t="s">
        <v>201</v>
      </c>
      <c r="O49" s="31"/>
      <c r="P49" s="31"/>
      <c r="Q49" s="126">
        <f>SUM(P32:T32)+Q48</f>
        <v>1393437.3221241897</v>
      </c>
    </row>
    <row r="50" spans="2:28" x14ac:dyDescent="0.3">
      <c r="K50" s="12"/>
      <c r="Q50" s="12"/>
    </row>
    <row r="51" spans="2:28" x14ac:dyDescent="0.3">
      <c r="H51" s="2" t="s">
        <v>199</v>
      </c>
      <c r="K51" s="16">
        <f>K47/K48</f>
        <v>0.76290810792186103</v>
      </c>
      <c r="N51" s="2" t="s">
        <v>199</v>
      </c>
      <c r="Q51" s="16">
        <f>Q48/Q49</f>
        <v>0.85794637176989053</v>
      </c>
    </row>
    <row r="52" spans="2:28" x14ac:dyDescent="0.3">
      <c r="H52" s="2" t="s">
        <v>200</v>
      </c>
      <c r="K52" s="125">
        <f>K48/(T14+T22)</f>
        <v>9.8339291864538634</v>
      </c>
      <c r="N52" s="2" t="s">
        <v>202</v>
      </c>
      <c r="Q52" s="16">
        <f>(($F$5-(T31/Q47)/((1+(T31)/Q47))))</f>
        <v>6.2569016923581439E-2</v>
      </c>
    </row>
    <row r="54" spans="2:28" x14ac:dyDescent="0.3">
      <c r="V54" s="217"/>
    </row>
    <row r="56" spans="2:28" x14ac:dyDescent="0.3">
      <c r="X56" s="218"/>
      <c r="Y56" s="218"/>
      <c r="Z56" s="218"/>
      <c r="AA56" s="218"/>
      <c r="AB56" s="218"/>
    </row>
    <row r="57" spans="2:28" x14ac:dyDescent="0.3">
      <c r="W57" s="219"/>
      <c r="X57" s="220"/>
      <c r="Y57" s="220"/>
      <c r="Z57" s="220"/>
      <c r="AA57" s="220"/>
      <c r="AB57" s="220"/>
    </row>
    <row r="58" spans="2:28" x14ac:dyDescent="0.3">
      <c r="W58" s="220"/>
      <c r="X58" s="216"/>
      <c r="Y58" s="216"/>
      <c r="Z58" s="216"/>
      <c r="AA58" s="216"/>
      <c r="AB58" s="216"/>
    </row>
    <row r="59" spans="2:28" x14ac:dyDescent="0.3">
      <c r="W59" s="220"/>
      <c r="X59" s="216"/>
      <c r="Y59" s="216"/>
      <c r="Z59" s="216"/>
      <c r="AA59" s="216"/>
      <c r="AB59" s="216"/>
    </row>
    <row r="60" spans="2:28" x14ac:dyDescent="0.3">
      <c r="W60" s="42"/>
      <c r="X60" s="216"/>
      <c r="Y60" s="216"/>
      <c r="Z60" s="216"/>
      <c r="AA60" s="216"/>
      <c r="AB60" s="216"/>
    </row>
    <row r="61" spans="2:28" x14ac:dyDescent="0.3">
      <c r="W61" s="220"/>
      <c r="X61" s="216"/>
      <c r="Y61" s="216"/>
      <c r="Z61" s="216"/>
      <c r="AA61" s="216"/>
      <c r="AB61" s="216"/>
    </row>
    <row r="62" spans="2:28" x14ac:dyDescent="0.3">
      <c r="W62" s="220"/>
      <c r="X62" s="216"/>
      <c r="Y62" s="216"/>
      <c r="Z62" s="216"/>
      <c r="AA62" s="216"/>
      <c r="AB62" s="2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548E-6FE1-43B2-83DB-8D2366DAD554}">
  <sheetPr codeName="Sheet6"/>
  <dimension ref="A1:AB62"/>
  <sheetViews>
    <sheetView workbookViewId="0">
      <selection activeCell="A2" sqref="A2"/>
    </sheetView>
  </sheetViews>
  <sheetFormatPr defaultRowHeight="14.4" x14ac:dyDescent="0.3"/>
  <cols>
    <col min="1" max="1" width="3.77734375" style="2" customWidth="1"/>
    <col min="2" max="5" width="8.88671875" style="2"/>
    <col min="6" max="20" width="10.21875" style="2" customWidth="1"/>
    <col min="21" max="21" width="3.77734375" style="2" customWidth="1"/>
    <col min="22" max="28" width="10.21875" style="2" customWidth="1"/>
    <col min="29" max="16384" width="8.88671875" style="2"/>
  </cols>
  <sheetData>
    <row r="1" spans="1:22" x14ac:dyDescent="0.3">
      <c r="A1" s="3"/>
    </row>
    <row r="2" spans="1:22" ht="21" x14ac:dyDescent="0.4">
      <c r="A2" s="70"/>
      <c r="B2" s="60" t="s">
        <v>177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3"/>
      <c r="B3" s="3"/>
    </row>
    <row r="4" spans="1:22" x14ac:dyDescent="0.3">
      <c r="A4" s="3"/>
      <c r="B4" s="23" t="s">
        <v>170</v>
      </c>
      <c r="C4" s="111"/>
      <c r="D4" s="111"/>
      <c r="E4" s="111"/>
      <c r="F4" s="111"/>
    </row>
    <row r="5" spans="1:22" x14ac:dyDescent="0.3">
      <c r="A5" s="3"/>
      <c r="B5" s="2" t="s">
        <v>5</v>
      </c>
      <c r="F5" s="112">
        <f>WACC</f>
        <v>0.10017391626818278</v>
      </c>
    </row>
    <row r="6" spans="1:22" x14ac:dyDescent="0.3">
      <c r="A6" s="3"/>
      <c r="B6" s="2" t="s">
        <v>6</v>
      </c>
      <c r="F6" s="112">
        <v>2.5000000000000001E-2</v>
      </c>
    </row>
    <row r="7" spans="1:22" x14ac:dyDescent="0.3">
      <c r="A7" s="3"/>
      <c r="C7" s="3"/>
    </row>
    <row r="8" spans="1:22" x14ac:dyDescent="0.3">
      <c r="A8" s="3" t="s">
        <v>260</v>
      </c>
      <c r="B8" s="23" t="s">
        <v>182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8" customHeight="1" x14ac:dyDescent="0.3">
      <c r="A9" s="3"/>
      <c r="C9" s="3"/>
    </row>
    <row r="10" spans="1:22" x14ac:dyDescent="0.3">
      <c r="A10" s="3" t="s">
        <v>260</v>
      </c>
      <c r="B10" s="101" t="s">
        <v>176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A11" s="3"/>
      <c r="B11" s="2" t="s">
        <v>3</v>
      </c>
      <c r="C11" s="12"/>
      <c r="D11" s="12"/>
      <c r="E11" s="12"/>
      <c r="F11" s="107">
        <f>'Operating Model'!F20</f>
        <v>35418</v>
      </c>
      <c r="G11" s="107">
        <f>'Operating Model'!G20</f>
        <v>43983</v>
      </c>
      <c r="H11" s="107">
        <f>'Operating Model'!H20</f>
        <v>54297</v>
      </c>
      <c r="I11" s="107">
        <f>'Operating Model'!I20</f>
        <v>65866</v>
      </c>
      <c r="J11" s="107">
        <f>'Operating Model'!J20</f>
        <v>74723</v>
      </c>
      <c r="K11" s="107">
        <f>'Operating Model'!K20</f>
        <v>104412</v>
      </c>
      <c r="L11" s="107">
        <f>'Operating Model'!L20</f>
        <v>127787</v>
      </c>
      <c r="M11" s="107">
        <f>'Operating Model'!M20</f>
        <v>118007</v>
      </c>
      <c r="N11" s="107">
        <f>'Operating Model'!N20</f>
        <v>131200</v>
      </c>
      <c r="O11" s="107">
        <f>'Operating Model'!O20</f>
        <v>142906</v>
      </c>
      <c r="P11" s="107">
        <f>'Operating Model'!P20</f>
        <v>160895.61364635776</v>
      </c>
      <c r="Q11" s="107">
        <f>'Operating Model'!Q20</f>
        <v>176474.59104310474</v>
      </c>
      <c r="R11" s="107">
        <f>'Operating Model'!R20</f>
        <v>194803.14584369052</v>
      </c>
      <c r="S11" s="107">
        <f>'Operating Model'!S20</f>
        <v>215993.12966150267</v>
      </c>
      <c r="T11" s="107">
        <f>'Operating Model'!T20</f>
        <v>238271.55151890652</v>
      </c>
      <c r="U11" s="2" t="s">
        <v>1</v>
      </c>
      <c r="V11" s="253" t="s">
        <v>267</v>
      </c>
    </row>
    <row r="12" spans="1:22" x14ac:dyDescent="0.3">
      <c r="A12" s="3"/>
      <c r="B12" s="2" t="s">
        <v>8</v>
      </c>
      <c r="C12" s="12"/>
      <c r="D12" s="12"/>
      <c r="E12" s="12"/>
      <c r="F12" s="20" t="str">
        <f>'Operating Model'!F21</f>
        <v>--</v>
      </c>
      <c r="G12" s="20">
        <f>'Operating Model'!G21</f>
        <v>0.24182619007284423</v>
      </c>
      <c r="H12" s="20">
        <f>'Operating Model'!H21</f>
        <v>0.23449969306322904</v>
      </c>
      <c r="I12" s="20">
        <f>'Operating Model'!I21</f>
        <v>0.21306886199974207</v>
      </c>
      <c r="J12" s="20">
        <f>'Operating Model'!J21</f>
        <v>0.13446998451401337</v>
      </c>
      <c r="K12" s="20">
        <f>'Operating Model'!K21</f>
        <v>0.39732077138230526</v>
      </c>
      <c r="L12" s="20">
        <f>'Operating Model'!L21</f>
        <v>0.22387273493468185</v>
      </c>
      <c r="M12" s="20">
        <f>'Operating Model'!M21</f>
        <v>-7.6533606704907386E-2</v>
      </c>
      <c r="N12" s="20">
        <f>'Operating Model'!N21</f>
        <v>0.11179845263416577</v>
      </c>
      <c r="O12" s="20">
        <f>'Operating Model'!O21</f>
        <v>8.9222560975609655E-2</v>
      </c>
      <c r="P12" s="20">
        <f>'Operating Model'!P21</f>
        <v>0.12588424311335955</v>
      </c>
      <c r="Q12" s="20">
        <f>'Operating Model'!Q21</f>
        <v>9.6826613502273284E-2</v>
      </c>
      <c r="R12" s="20">
        <f>'Operating Model'!R21</f>
        <v>0.10385945473651192</v>
      </c>
      <c r="S12" s="20">
        <f>'Operating Model'!S21</f>
        <v>0.10877639437514497</v>
      </c>
      <c r="T12" s="20">
        <f>'Operating Model'!T21</f>
        <v>0.10314412265018746</v>
      </c>
      <c r="U12" s="2" t="s">
        <v>1</v>
      </c>
      <c r="V12" s="254" t="s">
        <v>271</v>
      </c>
    </row>
    <row r="13" spans="1:22" x14ac:dyDescent="0.3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5" t="s">
        <v>268</v>
      </c>
    </row>
    <row r="14" spans="1:22" x14ac:dyDescent="0.3">
      <c r="A14" s="3"/>
      <c r="B14" s="2" t="s">
        <v>4</v>
      </c>
      <c r="C14" s="12"/>
      <c r="D14" s="12"/>
      <c r="E14" s="12"/>
      <c r="F14" s="109">
        <f>'Operating Model'!F36</f>
        <v>-699</v>
      </c>
      <c r="G14" s="109">
        <f>'Operating Model'!G36</f>
        <v>-1283</v>
      </c>
      <c r="H14" s="109">
        <f>'Operating Model'!H36</f>
        <v>-3062</v>
      </c>
      <c r="I14" s="109">
        <f>'Operating Model'!I36</f>
        <v>-2142</v>
      </c>
      <c r="J14" s="109">
        <f>'Operating Model'!J36</f>
        <v>-1693</v>
      </c>
      <c r="K14" s="109">
        <f>'Operating Model'!K36</f>
        <v>717</v>
      </c>
      <c r="L14" s="109">
        <f>'Operating Model'!L36</f>
        <v>-924</v>
      </c>
      <c r="M14" s="109">
        <f>'Operating Model'!M36</f>
        <v>-7746</v>
      </c>
      <c r="N14" s="109">
        <f>'Operating Model'!N36</f>
        <v>-2656</v>
      </c>
      <c r="O14" s="109">
        <f>'Operating Model'!O36</f>
        <v>3792</v>
      </c>
      <c r="P14" s="109">
        <f>'Operating Model'!P36</f>
        <v>-17419.688672194872</v>
      </c>
      <c r="Q14" s="109">
        <f>'Operating Model'!Q36</f>
        <v>-7563.336847957994</v>
      </c>
      <c r="R14" s="109">
        <f>'Operating Model'!R36</f>
        <v>-9260.1579989811671</v>
      </c>
      <c r="S14" s="109">
        <f>'Operating Model'!S36</f>
        <v>-17208.660300607971</v>
      </c>
      <c r="T14" s="109">
        <f>'Operating Model'!T36</f>
        <v>-15324.426700036258</v>
      </c>
      <c r="U14" s="2" t="s">
        <v>1</v>
      </c>
      <c r="V14" s="19" t="s">
        <v>269</v>
      </c>
    </row>
    <row r="15" spans="1:22" x14ac:dyDescent="0.3">
      <c r="A15" s="3"/>
      <c r="B15" s="15" t="s">
        <v>9</v>
      </c>
      <c r="C15" s="12"/>
      <c r="D15" s="12"/>
      <c r="E15" s="12"/>
      <c r="F15" s="110">
        <f>'Operating Model'!F37</f>
        <v>-6.5323439807113623E-3</v>
      </c>
      <c r="G15" s="110">
        <f>'Operating Model'!G37</f>
        <v>-9.4347253781611479E-3</v>
      </c>
      <c r="H15" s="110">
        <f>'Operating Model'!H37</f>
        <v>-1.7215206953549302E-2</v>
      </c>
      <c r="I15" s="110">
        <f>'Operating Model'!I37</f>
        <v>-9.1975936827731909E-3</v>
      </c>
      <c r="J15" s="110">
        <f>'Operating Model'!J37</f>
        <v>-6.035177276648534E-3</v>
      </c>
      <c r="K15" s="110">
        <f>'Operating Model'!K37</f>
        <v>1.8572050230013677E-3</v>
      </c>
      <c r="L15" s="110">
        <f>'Operating Model'!L37</f>
        <v>-1.9667022829922822E-3</v>
      </c>
      <c r="M15" s="110">
        <f>'Operating Model'!M37</f>
        <v>-1.5070537352402706E-2</v>
      </c>
      <c r="N15" s="110">
        <f>'Operating Model'!N37</f>
        <v>-4.6208582339483462E-3</v>
      </c>
      <c r="O15" s="110">
        <f>'Operating Model'!O37</f>
        <v>5.9439556460524892E-3</v>
      </c>
      <c r="P15" s="110">
        <f>'Operating Model'!P37</f>
        <v>-2.4607558122226217E-2</v>
      </c>
      <c r="Q15" s="110">
        <f>'Operating Model'!Q37</f>
        <v>-9.7080379512801095E-3</v>
      </c>
      <c r="R15" s="110">
        <f>'Operating Model'!R37</f>
        <v>-1.074008069608137E-2</v>
      </c>
      <c r="S15" s="110">
        <f>'Operating Model'!S37</f>
        <v>-1.8052096049188351E-2</v>
      </c>
      <c r="T15" s="110">
        <f>'Operating Model'!T37</f>
        <v>-1.4557305959340336E-2</v>
      </c>
      <c r="U15" s="2" t="s">
        <v>1</v>
      </c>
      <c r="V15" s="2" t="s">
        <v>270</v>
      </c>
    </row>
    <row r="16" spans="1:22" x14ac:dyDescent="0.3">
      <c r="A16" s="3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3">
      <c r="A17" s="3"/>
      <c r="B17" s="2" t="s">
        <v>10</v>
      </c>
      <c r="C17" s="12"/>
      <c r="D17" s="12"/>
      <c r="E17" s="12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>
        <f>P18*P14</f>
        <v>-2578.1139234848411</v>
      </c>
      <c r="Q17" s="109">
        <f t="shared" ref="Q17:T17" si="2">Q18*Q14</f>
        <v>-1191.5010079547626</v>
      </c>
      <c r="R17" s="109">
        <f t="shared" si="2"/>
        <v>-1359.9072055477134</v>
      </c>
      <c r="S17" s="109">
        <f t="shared" si="2"/>
        <v>-2595.0209067397882</v>
      </c>
      <c r="T17" s="109">
        <f t="shared" si="2"/>
        <v>-2325.1728351515453</v>
      </c>
    </row>
    <row r="18" spans="1:22" x14ac:dyDescent="0.3">
      <c r="A18" s="3"/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0.15753641969238127</v>
      </c>
      <c r="R18" s="20">
        <f>'Operating Model'!R49</f>
        <v>0.14685572381133613</v>
      </c>
      <c r="S18" s="20">
        <f>'Operating Model'!S49</f>
        <v>0.15079738116790578</v>
      </c>
      <c r="T18" s="20">
        <f>'Operating Model'!T49</f>
        <v>0.15172984155720773</v>
      </c>
    </row>
    <row r="19" spans="1:22" x14ac:dyDescent="0.3">
      <c r="A19" s="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2" x14ac:dyDescent="0.3">
      <c r="A20" s="3"/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>
        <f>P14-P17</f>
        <v>-14841.574748710031</v>
      </c>
      <c r="Q20" s="86">
        <f t="shared" ref="Q20:T20" si="3">Q14-Q17</f>
        <v>-6371.8358400032312</v>
      </c>
      <c r="R20" s="86">
        <f t="shared" si="3"/>
        <v>-7900.2507934334535</v>
      </c>
      <c r="S20" s="86">
        <f t="shared" si="3"/>
        <v>-14613.639393868183</v>
      </c>
      <c r="T20" s="86">
        <f t="shared" si="3"/>
        <v>-12999.253864884713</v>
      </c>
      <c r="U20" s="30"/>
    </row>
    <row r="21" spans="1:22" x14ac:dyDescent="0.3">
      <c r="A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2" x14ac:dyDescent="0.3">
      <c r="A22" s="3"/>
      <c r="B22" s="2" t="s">
        <v>12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>
        <f>'Operating Model'!P57</f>
        <v>11772.961531289588</v>
      </c>
      <c r="Q22" s="109">
        <f>'Operating Model'!Q57</f>
        <v>13841.627652654777</v>
      </c>
      <c r="R22" s="109">
        <f>'Operating Model'!R57</f>
        <v>10697.7087811947</v>
      </c>
      <c r="S22" s="109">
        <f>'Operating Model'!S57</f>
        <v>11843.478795327297</v>
      </c>
      <c r="T22" s="109">
        <f>'Operating Model'!T57</f>
        <v>11579.651982812422</v>
      </c>
    </row>
    <row r="23" spans="1:22" x14ac:dyDescent="0.3">
      <c r="A23" s="3"/>
      <c r="B23" s="15" t="s">
        <v>178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Model'!P60</f>
        <v>3.0449425324172257E-2</v>
      </c>
      <c r="Q23" s="20">
        <f>'Operating Model'!Q60</f>
        <v>3.0760834348579274E-2</v>
      </c>
      <c r="R23" s="20">
        <f>'Operating Model'!R60</f>
        <v>3.0811193765585373E-2</v>
      </c>
      <c r="S23" s="20">
        <f>'Operating Model'!S60</f>
        <v>3.0673817812778965E-2</v>
      </c>
      <c r="T23" s="20">
        <f>'Operating Model'!T60</f>
        <v>3.0748615308981205E-2</v>
      </c>
    </row>
    <row r="24" spans="1:22" x14ac:dyDescent="0.3">
      <c r="A24" s="3"/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1:22" x14ac:dyDescent="0.3">
      <c r="A25" s="3"/>
      <c r="B25" s="2" t="s">
        <v>14</v>
      </c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>
        <f>'Operating Model'!P83</f>
        <v>7703.609240659177</v>
      </c>
      <c r="Q25" s="109">
        <f>'Operating Model'!Q83</f>
        <v>7506.4221571463504</v>
      </c>
      <c r="R25" s="109">
        <f>'Operating Model'!R83</f>
        <v>7876.9128531563747</v>
      </c>
      <c r="S25" s="109">
        <f>'Operating Model'!S83</f>
        <v>8546.7775795881626</v>
      </c>
      <c r="T25" s="109">
        <f>'Operating Model'!T83</f>
        <v>8799.9220182121735</v>
      </c>
    </row>
    <row r="26" spans="1:22" x14ac:dyDescent="0.3">
      <c r="A26" s="3"/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Model'!P86</f>
        <v>4.7946761649929254E-2</v>
      </c>
      <c r="Q26" s="20">
        <f>'Operating Model'!Q86</f>
        <v>4.3180466886222436E-2</v>
      </c>
      <c r="R26" s="20">
        <f>'Operating Model'!R86</f>
        <v>4.5639246958899655E-2</v>
      </c>
      <c r="S26" s="20">
        <f>'Operating Model'!S86</f>
        <v>4.5588825165017111E-2</v>
      </c>
      <c r="T26" s="20">
        <f>'Operating Model'!T86</f>
        <v>4.4802846336713074E-2</v>
      </c>
    </row>
    <row r="27" spans="1:22" x14ac:dyDescent="0.3">
      <c r="A27" s="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2" x14ac:dyDescent="0.3">
      <c r="A28" s="3"/>
      <c r="B28" s="2" t="s">
        <v>17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>
        <f>'Operating Model'!P106</f>
        <v>-4014.9675733806016</v>
      </c>
      <c r="Q28" s="109">
        <f>'Operating Model'!Q106</f>
        <v>-4673.501296243734</v>
      </c>
      <c r="R28" s="109">
        <f>'Operating Model'!R106</f>
        <v>-5454.1661271520152</v>
      </c>
      <c r="S28" s="109">
        <f>'Operating Model'!S106</f>
        <v>-6342.0753500942083</v>
      </c>
      <c r="T28" s="109">
        <f>'Operating Model'!T106</f>
        <v>-7347.8223694008402</v>
      </c>
    </row>
    <row r="29" spans="1:22" x14ac:dyDescent="0.3">
      <c r="A29" s="3"/>
      <c r="B29" s="15" t="s">
        <v>9</v>
      </c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>
        <f>'Operating Model'!P107</f>
        <v>-2.4953865940716958E-2</v>
      </c>
      <c r="Q29" s="110">
        <f>'Operating Model'!Q107</f>
        <v>-2.6482573319023643E-2</v>
      </c>
      <c r="R29" s="110">
        <f>'Operating Model'!R107</f>
        <v>-2.7998347272730505E-2</v>
      </c>
      <c r="S29" s="110">
        <f>'Operating Model'!S107</f>
        <v>-2.9362393887404199E-2</v>
      </c>
      <c r="T29" s="110">
        <f>'Operating Model'!T107</f>
        <v>-3.0838017894124471E-2</v>
      </c>
    </row>
    <row r="30" spans="1:22" x14ac:dyDescent="0.3">
      <c r="A30" s="3"/>
      <c r="F30" s="12"/>
      <c r="G30" s="12"/>
      <c r="H30" s="12"/>
      <c r="I30" s="110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2" x14ac:dyDescent="0.3">
      <c r="A31" s="3"/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>
        <f>P20+P22-P25-P28</f>
        <v>-6757.2548846990194</v>
      </c>
      <c r="Q31" s="96">
        <f t="shared" ref="Q31:T31" si="4">Q20+Q22-Q25-Q28</f>
        <v>4636.8709517489297</v>
      </c>
      <c r="R31" s="96">
        <f t="shared" si="4"/>
        <v>374.71126175688732</v>
      </c>
      <c r="S31" s="96">
        <f t="shared" si="4"/>
        <v>-4974.8628280348403</v>
      </c>
      <c r="T31" s="96">
        <f t="shared" si="4"/>
        <v>-2871.7015308836244</v>
      </c>
      <c r="U31" s="30" t="s">
        <v>1</v>
      </c>
      <c r="V31" s="2" t="s">
        <v>276</v>
      </c>
    </row>
    <row r="32" spans="1:22" ht="15" thickBot="1" x14ac:dyDescent="0.35">
      <c r="A32" s="3"/>
      <c r="B32" s="97" t="s">
        <v>172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(P31*P34)/(1+$F$5)^P35</f>
        <v>-2398.419112937524</v>
      </c>
      <c r="Q32" s="100">
        <f>Q31/(1+$F$5)^Q35</f>
        <v>4270.9273611692333</v>
      </c>
      <c r="R32" s="100">
        <f t="shared" ref="R32:T32" si="5">R31/(1+$F$5)^R35</f>
        <v>313.71304451281179</v>
      </c>
      <c r="S32" s="100">
        <f t="shared" si="5"/>
        <v>-3785.7819649920198</v>
      </c>
      <c r="T32" s="100">
        <f t="shared" si="5"/>
        <v>-1986.3347619891288</v>
      </c>
      <c r="U32" s="30" t="s">
        <v>1</v>
      </c>
      <c r="V32" s="2" t="s">
        <v>277</v>
      </c>
    </row>
    <row r="33" spans="1:22" x14ac:dyDescent="0.3">
      <c r="A33" s="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A34" s="3"/>
      <c r="B34" s="2" t="s">
        <v>171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1:22" x14ac:dyDescent="0.3">
      <c r="A35" s="3"/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6">R35+1</f>
        <v>2.8611111111111112</v>
      </c>
      <c r="T35" s="72">
        <f t="shared" si="6"/>
        <v>3.8611111111111112</v>
      </c>
    </row>
    <row r="36" spans="1:22" x14ac:dyDescent="0.3">
      <c r="A36" s="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A37" s="3"/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5">
        <f>E48</f>
        <v>-46571.973793353201</v>
      </c>
      <c r="U37" s="2" t="s">
        <v>1</v>
      </c>
      <c r="V37" s="2" t="s">
        <v>278</v>
      </c>
    </row>
    <row r="38" spans="1:22" x14ac:dyDescent="0.3">
      <c r="A38" s="3"/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5">
        <f>E49</f>
        <v>-32213.490672799679</v>
      </c>
      <c r="U38" s="2" t="s">
        <v>1</v>
      </c>
      <c r="V38" s="2" t="s">
        <v>279</v>
      </c>
    </row>
    <row r="39" spans="1:22" x14ac:dyDescent="0.3">
      <c r="A39" s="3"/>
    </row>
    <row r="40" spans="1:22" x14ac:dyDescent="0.3">
      <c r="A40" s="3"/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3">
        <f>SUM(P32:T32,T38)</f>
        <v>-35799.386107036305</v>
      </c>
      <c r="U40" s="2" t="s">
        <v>1</v>
      </c>
      <c r="V40" s="2" t="s">
        <v>30</v>
      </c>
    </row>
    <row r="41" spans="1:22" x14ac:dyDescent="0.3">
      <c r="A41" s="3"/>
    </row>
    <row r="42" spans="1:22" x14ac:dyDescent="0.3">
      <c r="A42" s="3" t="s">
        <v>260</v>
      </c>
      <c r="B42" s="23" t="s">
        <v>186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5.4" customHeight="1" x14ac:dyDescent="0.3"/>
    <row r="44" spans="1:22" x14ac:dyDescent="0.3">
      <c r="B44" s="101" t="s">
        <v>187</v>
      </c>
      <c r="C44" s="119"/>
      <c r="D44" s="119"/>
      <c r="E44" s="119"/>
      <c r="H44" s="101" t="s">
        <v>188</v>
      </c>
      <c r="I44" s="119"/>
      <c r="J44" s="119"/>
      <c r="K44" s="119"/>
      <c r="N44" s="101" t="s">
        <v>189</v>
      </c>
      <c r="O44" s="119"/>
      <c r="P44" s="119"/>
      <c r="Q44" s="119"/>
    </row>
    <row r="45" spans="1:22" x14ac:dyDescent="0.3">
      <c r="B45" s="2" t="s">
        <v>190</v>
      </c>
      <c r="E45" s="213">
        <v>0.8</v>
      </c>
      <c r="H45" s="2" t="s">
        <v>193</v>
      </c>
      <c r="K45" s="123">
        <v>2.5000000000000001E-2</v>
      </c>
      <c r="N45" s="2" t="s">
        <v>195</v>
      </c>
      <c r="Q45" s="105">
        <f>T14+T22</f>
        <v>-3744.774717223836</v>
      </c>
    </row>
    <row r="46" spans="1:22" x14ac:dyDescent="0.3">
      <c r="B46" s="2" t="s">
        <v>191</v>
      </c>
      <c r="E46" s="122">
        <f>1-E45</f>
        <v>0.19999999999999996</v>
      </c>
      <c r="H46" s="2" t="s">
        <v>27</v>
      </c>
      <c r="K46" s="26">
        <f>(T31*(1+K45))/(F5-K45)</f>
        <v>-39155.789870715344</v>
      </c>
      <c r="N46" s="2" t="s">
        <v>196</v>
      </c>
      <c r="Q46" s="214">
        <f>COMPS!Z23</f>
        <v>20.358156428812425</v>
      </c>
    </row>
    <row r="47" spans="1:22" x14ac:dyDescent="0.3">
      <c r="E47" s="12"/>
      <c r="H47" s="1" t="s">
        <v>194</v>
      </c>
      <c r="I47" s="1"/>
      <c r="J47" s="1"/>
      <c r="K47" s="124">
        <f>K46/(1+F5)^T35</f>
        <v>-27083.770968848501</v>
      </c>
      <c r="N47" s="2" t="s">
        <v>197</v>
      </c>
      <c r="Q47" s="105">
        <f>Q45*Q46</f>
        <v>-76236.709483904662</v>
      </c>
    </row>
    <row r="48" spans="1:22" x14ac:dyDescent="0.3">
      <c r="B48" s="2" t="s">
        <v>192</v>
      </c>
      <c r="E48" s="212">
        <f>E45*K46+E46*Q47</f>
        <v>-46571.973793353201</v>
      </c>
      <c r="H48" s="3" t="s">
        <v>201</v>
      </c>
      <c r="K48" s="116">
        <f>SUM(P32:T32)+K47</f>
        <v>-30669.666403085128</v>
      </c>
      <c r="N48" s="2" t="s">
        <v>198</v>
      </c>
      <c r="Q48" s="26">
        <f>Q47/(1+$F$5)^T35</f>
        <v>-52732.369488604381</v>
      </c>
    </row>
    <row r="49" spans="2:28" x14ac:dyDescent="0.3">
      <c r="B49" s="2" t="s">
        <v>198</v>
      </c>
      <c r="E49" s="26">
        <f>E45*K47+E46*Q48</f>
        <v>-32213.490672799679</v>
      </c>
      <c r="K49" s="12"/>
      <c r="N49" s="94" t="s">
        <v>201</v>
      </c>
      <c r="O49" s="31"/>
      <c r="P49" s="31"/>
      <c r="Q49" s="126">
        <f>SUM(P32:T32)+Q48</f>
        <v>-56318.264922841008</v>
      </c>
    </row>
    <row r="50" spans="2:28" x14ac:dyDescent="0.3">
      <c r="K50" s="12"/>
      <c r="Q50" s="12"/>
    </row>
    <row r="51" spans="2:28" x14ac:dyDescent="0.3">
      <c r="H51" s="2" t="s">
        <v>199</v>
      </c>
      <c r="K51" s="16">
        <f>K47/K48</f>
        <v>0.88308006395935512</v>
      </c>
      <c r="N51" s="2" t="s">
        <v>199</v>
      </c>
      <c r="Q51" s="16">
        <f>Q48/Q49</f>
        <v>0.93632802006330462</v>
      </c>
    </row>
    <row r="52" spans="2:28" x14ac:dyDescent="0.3">
      <c r="H52" s="2" t="s">
        <v>200</v>
      </c>
      <c r="K52" s="125">
        <f>K48/(T14+T22)</f>
        <v>8.1899897107353592</v>
      </c>
      <c r="N52" s="2" t="s">
        <v>202</v>
      </c>
      <c r="Q52" s="16">
        <f>(($F$5-(T31/Q47)/((1+(T31)/Q47))))</f>
        <v>6.3873079302227326E-2</v>
      </c>
    </row>
    <row r="54" spans="2:28" x14ac:dyDescent="0.3">
      <c r="V54" s="217"/>
    </row>
    <row r="56" spans="2:28" x14ac:dyDescent="0.3">
      <c r="X56" s="218"/>
      <c r="Y56" s="218"/>
      <c r="Z56" s="218"/>
      <c r="AA56" s="218"/>
      <c r="AB56" s="218"/>
    </row>
    <row r="57" spans="2:28" x14ac:dyDescent="0.3">
      <c r="W57" s="223"/>
      <c r="X57" s="220"/>
      <c r="Y57" s="220"/>
      <c r="Z57" s="220"/>
      <c r="AA57" s="220"/>
      <c r="AB57" s="220"/>
    </row>
    <row r="58" spans="2:28" x14ac:dyDescent="0.3">
      <c r="W58" s="220"/>
      <c r="X58" s="216"/>
      <c r="Y58" s="216"/>
      <c r="Z58" s="216"/>
      <c r="AA58" s="216"/>
      <c r="AB58" s="216"/>
    </row>
    <row r="59" spans="2:28" x14ac:dyDescent="0.3">
      <c r="W59" s="220"/>
      <c r="X59" s="216"/>
      <c r="Y59" s="216"/>
      <c r="Z59" s="216"/>
      <c r="AA59" s="216"/>
      <c r="AB59" s="216"/>
    </row>
    <row r="60" spans="2:28" x14ac:dyDescent="0.3">
      <c r="W60" s="42"/>
      <c r="X60" s="216"/>
      <c r="Y60" s="216"/>
      <c r="Z60" s="216"/>
      <c r="AA60" s="216"/>
      <c r="AB60" s="216"/>
    </row>
    <row r="61" spans="2:28" x14ac:dyDescent="0.3">
      <c r="W61" s="220"/>
      <c r="X61" s="216"/>
      <c r="Y61" s="216"/>
      <c r="Z61" s="216"/>
      <c r="AA61" s="216"/>
      <c r="AB61" s="216"/>
    </row>
    <row r="62" spans="2:28" x14ac:dyDescent="0.3">
      <c r="W62" s="220"/>
      <c r="X62" s="216"/>
      <c r="Y62" s="216"/>
      <c r="Z62" s="216"/>
      <c r="AA62" s="216"/>
      <c r="AB62" s="2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A543-5D7C-41AA-875E-0CCDD7C4583E}">
  <sheetPr codeName="Sheet7"/>
  <dimension ref="A1:AB62"/>
  <sheetViews>
    <sheetView workbookViewId="0">
      <selection activeCell="B2" sqref="B2"/>
    </sheetView>
  </sheetViews>
  <sheetFormatPr defaultRowHeight="14.4" x14ac:dyDescent="0.3"/>
  <cols>
    <col min="1" max="1" width="3.77734375" style="3" customWidth="1"/>
    <col min="2" max="4" width="8.88671875" style="2"/>
    <col min="5" max="5" width="10" style="2" bestFit="1" customWidth="1"/>
    <col min="6" max="20" width="10.21875" style="2" customWidth="1"/>
    <col min="21" max="21" width="3.77734375" style="2" customWidth="1"/>
    <col min="22" max="16384" width="8.88671875" style="2"/>
  </cols>
  <sheetData>
    <row r="1" spans="1:22" x14ac:dyDescent="0.3">
      <c r="A1" s="2"/>
    </row>
    <row r="2" spans="1:22" ht="21" x14ac:dyDescent="0.4">
      <c r="A2" s="1"/>
      <c r="B2" s="60" t="s">
        <v>179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2"/>
      <c r="B3" s="3"/>
    </row>
    <row r="4" spans="1:22" x14ac:dyDescent="0.3">
      <c r="A4" s="2"/>
      <c r="B4" s="23" t="s">
        <v>170</v>
      </c>
      <c r="C4" s="111"/>
      <c r="D4" s="111"/>
      <c r="E4" s="111"/>
      <c r="F4" s="111"/>
    </row>
    <row r="5" spans="1:22" x14ac:dyDescent="0.3">
      <c r="A5" s="2"/>
      <c r="B5" s="2" t="s">
        <v>5</v>
      </c>
      <c r="F5" s="112">
        <f>WACC</f>
        <v>0.10017391626818278</v>
      </c>
    </row>
    <row r="6" spans="1:22" x14ac:dyDescent="0.3">
      <c r="A6" s="2"/>
      <c r="B6" s="2" t="s">
        <v>6</v>
      </c>
      <c r="F6" s="112">
        <v>2.5000000000000001E-2</v>
      </c>
    </row>
    <row r="7" spans="1:22" x14ac:dyDescent="0.3">
      <c r="A7" s="2"/>
      <c r="C7" s="3"/>
    </row>
    <row r="8" spans="1:22" x14ac:dyDescent="0.3">
      <c r="A8" s="3" t="s">
        <v>260</v>
      </c>
      <c r="B8" s="23" t="s">
        <v>183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8" customHeight="1" x14ac:dyDescent="0.3">
      <c r="A9" s="2"/>
      <c r="C9" s="3"/>
    </row>
    <row r="10" spans="1:22" x14ac:dyDescent="0.3">
      <c r="A10" s="3" t="s">
        <v>260</v>
      </c>
      <c r="B10" s="101" t="s">
        <v>176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B11" s="2" t="s">
        <v>3</v>
      </c>
      <c r="C11" s="12"/>
      <c r="D11" s="12"/>
      <c r="E11" s="12"/>
      <c r="F11" s="107">
        <f>'Operating Model'!F24</f>
        <v>7880</v>
      </c>
      <c r="G11" s="107">
        <f>'Operating Model'!G24</f>
        <v>12219</v>
      </c>
      <c r="H11" s="107">
        <f>'Operating Model'!H24</f>
        <v>17459</v>
      </c>
      <c r="I11" s="107">
        <f>'Operating Model'!I24</f>
        <v>25655</v>
      </c>
      <c r="J11" s="107">
        <f>'Operating Model'!J24</f>
        <v>35026</v>
      </c>
      <c r="K11" s="107">
        <f>'Operating Model'!K24</f>
        <v>45370</v>
      </c>
      <c r="L11" s="107">
        <f>'Operating Model'!L24</f>
        <v>62202</v>
      </c>
      <c r="M11" s="107">
        <f>'Operating Model'!M24</f>
        <v>80096</v>
      </c>
      <c r="N11" s="107">
        <f>'Operating Model'!N24</f>
        <v>90757</v>
      </c>
      <c r="O11" s="107">
        <f>'Operating Model'!O24</f>
        <v>107556</v>
      </c>
      <c r="P11" s="107">
        <f>'Operating Model'!P24</f>
        <v>113812.64783242437</v>
      </c>
      <c r="Q11" s="107">
        <f>'Operating Model'!Q24</f>
        <v>126539.77626023845</v>
      </c>
      <c r="R11" s="107">
        <f>'Operating Model'!R24</f>
        <v>141341.66844649462</v>
      </c>
      <c r="S11" s="107">
        <f>'Operating Model'!S24</f>
        <v>154789.25382545701</v>
      </c>
      <c r="T11" s="107">
        <f>'Operating Model'!T24</f>
        <v>171494.19602761805</v>
      </c>
      <c r="U11" s="2" t="s">
        <v>1</v>
      </c>
      <c r="V11" s="253" t="s">
        <v>267</v>
      </c>
    </row>
    <row r="12" spans="1:22" x14ac:dyDescent="0.3">
      <c r="B12" s="2" t="s">
        <v>8</v>
      </c>
      <c r="C12" s="12"/>
      <c r="D12" s="12"/>
      <c r="E12" s="12"/>
      <c r="F12" s="20" t="str">
        <f>'Operating Model'!F25</f>
        <v>--</v>
      </c>
      <c r="G12" s="20">
        <f>'Operating Model'!G25</f>
        <v>0.55063451776649752</v>
      </c>
      <c r="H12" s="20">
        <f>'Operating Model'!H25</f>
        <v>0.42884033063262139</v>
      </c>
      <c r="I12" s="20">
        <f>'Operating Model'!I25</f>
        <v>0.46944269431238905</v>
      </c>
      <c r="J12" s="20">
        <f>'Operating Model'!J25</f>
        <v>0.36526992788930035</v>
      </c>
      <c r="K12" s="20">
        <f>'Operating Model'!K25</f>
        <v>0.29532347399074976</v>
      </c>
      <c r="L12" s="20">
        <f>'Operating Model'!L25</f>
        <v>0.37099404893101173</v>
      </c>
      <c r="M12" s="20">
        <f>'Operating Model'!M25</f>
        <v>0.28767563743931057</v>
      </c>
      <c r="N12" s="20">
        <f>'Operating Model'!N25</f>
        <v>0.13310277666799841</v>
      </c>
      <c r="O12" s="20">
        <f>'Operating Model'!O25</f>
        <v>0.18509867007503544</v>
      </c>
      <c r="P12" s="20">
        <f>'Operating Model'!P25</f>
        <v>5.817107211521777E-2</v>
      </c>
      <c r="Q12" s="20">
        <f>'Operating Model'!Q25</f>
        <v>0.11182525554236533</v>
      </c>
      <c r="R12" s="20">
        <f>'Operating Model'!R25</f>
        <v>0.11697422441948202</v>
      </c>
      <c r="S12" s="20">
        <f>'Operating Model'!S25</f>
        <v>9.5142398747422696E-2</v>
      </c>
      <c r="T12" s="20">
        <f>'Operating Model'!T25</f>
        <v>0.1079205551374891</v>
      </c>
      <c r="U12" s="2" t="s">
        <v>1</v>
      </c>
      <c r="V12" s="254" t="s">
        <v>271</v>
      </c>
    </row>
    <row r="13" spans="1:22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5" t="s">
        <v>268</v>
      </c>
    </row>
    <row r="14" spans="1:22" x14ac:dyDescent="0.3">
      <c r="B14" s="2" t="s">
        <v>4</v>
      </c>
      <c r="C14" s="12"/>
      <c r="D14" s="12"/>
      <c r="E14" s="12"/>
      <c r="F14" s="109">
        <f>'Operating Model'!F40</f>
        <v>1507</v>
      </c>
      <c r="G14" s="109">
        <f>'Operating Model'!G40</f>
        <v>3108</v>
      </c>
      <c r="H14" s="109">
        <f>'Operating Model'!H40</f>
        <v>4331</v>
      </c>
      <c r="I14" s="109">
        <f>'Operating Model'!I40</f>
        <v>7296</v>
      </c>
      <c r="J14" s="109">
        <f>'Operating Model'!J40</f>
        <v>9201</v>
      </c>
      <c r="K14" s="109">
        <f>'Operating Model'!K40</f>
        <v>13531</v>
      </c>
      <c r="L14" s="109">
        <f>'Operating Model'!L40</f>
        <v>18532</v>
      </c>
      <c r="M14" s="109">
        <f>'Operating Model'!M40</f>
        <v>22841</v>
      </c>
      <c r="N14" s="109">
        <f>'Operating Model'!N40</f>
        <v>24631</v>
      </c>
      <c r="O14" s="109">
        <f>'Operating Model'!O40</f>
        <v>39834</v>
      </c>
      <c r="P14" s="109">
        <f>'Operating Model'!P40</f>
        <v>83553.584933300328</v>
      </c>
      <c r="Q14" s="109">
        <f>'Operating Model'!Q40</f>
        <v>74178.4448663597</v>
      </c>
      <c r="R14" s="109">
        <f>'Operating Model'!R40</f>
        <v>92312.084786297462</v>
      </c>
      <c r="S14" s="109">
        <f>'Operating Model'!S40</f>
        <v>119436.579841578</v>
      </c>
      <c r="T14" s="109">
        <f>'Operating Model'!T40</f>
        <v>131577.97669178099</v>
      </c>
      <c r="U14" s="2" t="s">
        <v>1</v>
      </c>
      <c r="V14" s="19" t="s">
        <v>269</v>
      </c>
    </row>
    <row r="15" spans="1:22" x14ac:dyDescent="0.3">
      <c r="B15" s="15" t="s">
        <v>9</v>
      </c>
      <c r="C15" s="12"/>
      <c r="D15" s="12"/>
      <c r="E15" s="12"/>
      <c r="F15" s="110">
        <f>'Operating Model'!F41</f>
        <v>1.4083322430517915E-2</v>
      </c>
      <c r="G15" s="110">
        <f>'Operating Model'!G41</f>
        <v>2.2855125857618744E-2</v>
      </c>
      <c r="H15" s="110">
        <f>'Operating Model'!H41</f>
        <v>2.4349791416009806E-2</v>
      </c>
      <c r="I15" s="110">
        <f>'Operating Model'!I41</f>
        <v>3.1328498370454337E-2</v>
      </c>
      <c r="J15" s="110">
        <f>'Operating Model'!J41</f>
        <v>3.279956652241179E-2</v>
      </c>
      <c r="K15" s="110">
        <f>'Operating Model'!K41</f>
        <v>3.5048592979402382E-2</v>
      </c>
      <c r="L15" s="110">
        <f>'Operating Model'!L41</f>
        <v>3.9444725874905814E-2</v>
      </c>
      <c r="M15" s="110">
        <f>'Operating Model'!M41</f>
        <v>4.443921297007878E-2</v>
      </c>
      <c r="N15" s="110">
        <f>'Operating Model'!N41</f>
        <v>4.2852544864601549E-2</v>
      </c>
      <c r="O15" s="110">
        <f>'Operating Model'!O41</f>
        <v>6.2439749262883662E-2</v>
      </c>
      <c r="P15" s="110">
        <f>'Operating Model'!P41</f>
        <v>0.11803022064615873</v>
      </c>
      <c r="Q15" s="110">
        <f>'Operating Model'!Q41</f>
        <v>9.5212889813837187E-2</v>
      </c>
      <c r="R15" s="110">
        <f>'Operating Model'!R41</f>
        <v>0.10706504575164068</v>
      </c>
      <c r="S15" s="110">
        <f>'Operating Model'!S41</f>
        <v>0.12529043943127555</v>
      </c>
      <c r="T15" s="110">
        <f>'Operating Model'!T41</f>
        <v>0.12499135541616545</v>
      </c>
      <c r="U15" s="2" t="s">
        <v>1</v>
      </c>
      <c r="V15" s="2" t="s">
        <v>270</v>
      </c>
    </row>
    <row r="16" spans="1:22" x14ac:dyDescent="0.3"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2:22" x14ac:dyDescent="0.3">
      <c r="B17" s="2" t="s">
        <v>10</v>
      </c>
      <c r="C17" s="12"/>
      <c r="D17" s="12"/>
      <c r="E17" s="12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>
        <f>P18*P14</f>
        <v>12365.930570128448</v>
      </c>
      <c r="Q17" s="109">
        <f t="shared" ref="Q17:T17" si="2">Q18*Q14</f>
        <v>11685.806622595006</v>
      </c>
      <c r="R17" s="109">
        <f t="shared" si="2"/>
        <v>13556.558027825144</v>
      </c>
      <c r="S17" s="109">
        <f t="shared" si="2"/>
        <v>18010.72345576145</v>
      </c>
      <c r="T17" s="109">
        <f t="shared" si="2"/>
        <v>19964.305555861902</v>
      </c>
    </row>
    <row r="18" spans="2:22" x14ac:dyDescent="0.3"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0.15753641969238127</v>
      </c>
      <c r="R18" s="20">
        <f>'Operating Model'!R49</f>
        <v>0.14685572381133613</v>
      </c>
      <c r="S18" s="20">
        <f>'Operating Model'!S49</f>
        <v>0.15079738116790578</v>
      </c>
      <c r="T18" s="20">
        <f>'Operating Model'!T49</f>
        <v>0.15172984155720773</v>
      </c>
    </row>
    <row r="19" spans="2:22" x14ac:dyDescent="0.3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2:22" x14ac:dyDescent="0.3"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>
        <f>P14-P17</f>
        <v>71187.654363171881</v>
      </c>
      <c r="Q20" s="86">
        <f t="shared" ref="Q20:T20" si="3">Q14-Q17</f>
        <v>62492.638243764697</v>
      </c>
      <c r="R20" s="86">
        <f t="shared" si="3"/>
        <v>78755.526758472319</v>
      </c>
      <c r="S20" s="86">
        <f t="shared" si="3"/>
        <v>101425.85638581656</v>
      </c>
      <c r="T20" s="86">
        <f t="shared" si="3"/>
        <v>111613.67113591908</v>
      </c>
      <c r="U20" s="30"/>
    </row>
    <row r="21" spans="2:22" x14ac:dyDescent="0.3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2:22" x14ac:dyDescent="0.3">
      <c r="B22" s="2" t="s">
        <v>12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>
        <f>'Operating Model'!P62</f>
        <v>35059.616789830747</v>
      </c>
      <c r="Q22" s="109">
        <f>'Operating Model'!Q62</f>
        <v>41893.500860321154</v>
      </c>
      <c r="R22" s="109">
        <f>'Operating Model'!R62</f>
        <v>32055.610554233175</v>
      </c>
      <c r="S22" s="109">
        <f>'Operating Model'!S62</f>
        <v>35534.118990810624</v>
      </c>
      <c r="T22" s="109">
        <f>'Operating Model'!T62</f>
        <v>34828.893441177417</v>
      </c>
    </row>
    <row r="23" spans="2:22" x14ac:dyDescent="0.3">
      <c r="B23" s="15" t="s">
        <v>178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Model'!P65</f>
        <v>0.12840549848751273</v>
      </c>
      <c r="Q23" s="20">
        <f>'Operating Model'!Q65</f>
        <v>0.13010665213170561</v>
      </c>
      <c r="R23" s="20">
        <f>'Operating Model'!R65</f>
        <v>0.12745153802670439</v>
      </c>
      <c r="S23" s="20">
        <f>'Operating Model'!S65</f>
        <v>0.12865456288197424</v>
      </c>
      <c r="T23" s="20">
        <f>'Operating Model'!T65</f>
        <v>0.12873758434679475</v>
      </c>
    </row>
    <row r="24" spans="2:22" x14ac:dyDescent="0.3"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2:22" x14ac:dyDescent="0.3">
      <c r="B25" s="2" t="s">
        <v>14</v>
      </c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>
        <f>'Operating Model'!P88</f>
        <v>44686.400324809299</v>
      </c>
      <c r="Q25" s="109">
        <f>'Operating Model'!Q88</f>
        <v>49040.0845387507</v>
      </c>
      <c r="R25" s="109">
        <f>'Operating Model'!R88</f>
        <v>52908.831924538616</v>
      </c>
      <c r="S25" s="109">
        <f>'Operating Model'!S88</f>
        <v>54145.725104703815</v>
      </c>
      <c r="T25" s="109">
        <f>'Operating Model'!T88</f>
        <v>57432.322848614633</v>
      </c>
    </row>
    <row r="26" spans="2:22" x14ac:dyDescent="0.3"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Model'!P91</f>
        <v>0.39247373650923567</v>
      </c>
      <c r="Q26" s="20">
        <f>'Operating Model'!Q91</f>
        <v>0.39687165727101847</v>
      </c>
      <c r="R26" s="20">
        <f>'Operating Model'!R91</f>
        <v>0.42573142342894538</v>
      </c>
      <c r="S26" s="20">
        <f>'Operating Model'!S91</f>
        <v>0.40502560573639984</v>
      </c>
      <c r="T26" s="20">
        <f>'Operating Model'!T91</f>
        <v>0.40920956214545456</v>
      </c>
    </row>
    <row r="27" spans="2:22" x14ac:dyDescent="0.3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2" x14ac:dyDescent="0.3">
      <c r="B28" s="2" t="s">
        <v>17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>
        <f>'Operating Model'!P110</f>
        <v>-3211.9740587044798</v>
      </c>
      <c r="Q28" s="109">
        <f>'Operating Model'!Q110</f>
        <v>-3738.801036994988</v>
      </c>
      <c r="R28" s="109">
        <f>'Operating Model'!R110</f>
        <v>-4363.3329017216129</v>
      </c>
      <c r="S28" s="109">
        <f>'Operating Model'!S110</f>
        <v>-5073.6602800753644</v>
      </c>
      <c r="T28" s="109">
        <f>'Operating Model'!T110</f>
        <v>-5878.25789552067</v>
      </c>
    </row>
    <row r="29" spans="2:22" x14ac:dyDescent="0.3">
      <c r="B29" s="15" t="s">
        <v>9</v>
      </c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>
        <f>'Operating Model'!P111</f>
        <v>-2.8221591535535936E-2</v>
      </c>
      <c r="Q29" s="110">
        <f>'Operating Model'!Q111</f>
        <v>-2.9546448930855274E-2</v>
      </c>
      <c r="R29" s="110">
        <f>'Operating Model'!R111</f>
        <v>-3.0870817853500633E-2</v>
      </c>
      <c r="S29" s="110">
        <f>'Operating Model'!S111</f>
        <v>-3.2777858634789402E-2</v>
      </c>
      <c r="T29" s="110">
        <f>'Operating Model'!T111</f>
        <v>-3.4276716248601291E-2</v>
      </c>
    </row>
    <row r="30" spans="2:22" x14ac:dyDescent="0.3">
      <c r="F30" s="12"/>
      <c r="G30" s="12"/>
      <c r="H30" s="12"/>
      <c r="I30" s="110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2:22" x14ac:dyDescent="0.3"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>
        <f>P20+P22-P25-P28</f>
        <v>64772.844886897808</v>
      </c>
      <c r="Q31" s="96">
        <f t="shared" ref="Q31:T31" si="4">Q20+Q22-Q25-Q28</f>
        <v>59084.85560233015</v>
      </c>
      <c r="R31" s="96">
        <f t="shared" si="4"/>
        <v>62265.638289888491</v>
      </c>
      <c r="S31" s="96">
        <f t="shared" si="4"/>
        <v>87887.910551998721</v>
      </c>
      <c r="T31" s="96">
        <f t="shared" si="4"/>
        <v>94888.499624002536</v>
      </c>
      <c r="U31" s="30" t="s">
        <v>1</v>
      </c>
      <c r="V31" s="2" t="s">
        <v>276</v>
      </c>
    </row>
    <row r="32" spans="2:22" ht="15" thickBot="1" x14ac:dyDescent="0.35">
      <c r="B32" s="97" t="s">
        <v>172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(P31*P34)/(1+$F$5)^P35</f>
        <v>22990.464593521538</v>
      </c>
      <c r="Q32" s="100">
        <f>Q31/(1+$F$5)^Q35</f>
        <v>54421.856689271262</v>
      </c>
      <c r="R32" s="100">
        <f t="shared" ref="R32:T32" si="5">R31/(1+$F$5)^R35</f>
        <v>52129.586030771046</v>
      </c>
      <c r="S32" s="100">
        <f t="shared" si="5"/>
        <v>66881.133854301806</v>
      </c>
      <c r="T32" s="100">
        <f t="shared" si="5"/>
        <v>65633.675118790328</v>
      </c>
      <c r="U32" s="30" t="s">
        <v>1</v>
      </c>
      <c r="V32" s="2" t="s">
        <v>277</v>
      </c>
    </row>
    <row r="33" spans="1:22" x14ac:dyDescent="0.3"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B34" s="2" t="s">
        <v>171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1:22" x14ac:dyDescent="0.3"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6">R35+1</f>
        <v>2.8611111111111112</v>
      </c>
      <c r="T35" s="72">
        <f t="shared" si="6"/>
        <v>3.8611111111111112</v>
      </c>
    </row>
    <row r="36" spans="1:22" x14ac:dyDescent="0.3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5">
        <f>E48</f>
        <v>1712594.8599763098</v>
      </c>
      <c r="U37" s="2" t="s">
        <v>1</v>
      </c>
      <c r="V37" s="2" t="s">
        <v>278</v>
      </c>
    </row>
    <row r="38" spans="1:22" x14ac:dyDescent="0.3"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5">
        <f>E49</f>
        <v>1184589.229413447</v>
      </c>
      <c r="U38" s="2" t="s">
        <v>1</v>
      </c>
      <c r="V38" s="2" t="s">
        <v>279</v>
      </c>
    </row>
    <row r="40" spans="1:22" x14ac:dyDescent="0.3"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3">
        <f>SUM(P32:T32,T38)</f>
        <v>1446645.945700103</v>
      </c>
      <c r="U40" s="2" t="s">
        <v>1</v>
      </c>
      <c r="V40" s="2" t="s">
        <v>30</v>
      </c>
    </row>
    <row r="42" spans="1:22" x14ac:dyDescent="0.3">
      <c r="A42" s="3" t="s">
        <v>260</v>
      </c>
      <c r="B42" s="23" t="s">
        <v>186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5.4" customHeight="1" x14ac:dyDescent="0.3"/>
    <row r="44" spans="1:22" x14ac:dyDescent="0.3">
      <c r="B44" s="101" t="s">
        <v>187</v>
      </c>
      <c r="C44" s="119"/>
      <c r="D44" s="119"/>
      <c r="E44" s="119"/>
      <c r="H44" s="101" t="s">
        <v>188</v>
      </c>
      <c r="I44" s="119"/>
      <c r="J44" s="119"/>
      <c r="K44" s="119"/>
      <c r="N44" s="101" t="s">
        <v>189</v>
      </c>
      <c r="O44" s="119"/>
      <c r="P44" s="119"/>
      <c r="Q44" s="119"/>
    </row>
    <row r="45" spans="1:22" x14ac:dyDescent="0.3">
      <c r="B45" s="2" t="s">
        <v>190</v>
      </c>
      <c r="E45" s="213">
        <v>0.8</v>
      </c>
      <c r="H45" s="2" t="s">
        <v>193</v>
      </c>
      <c r="K45" s="123">
        <v>2.5000000000000001E-2</v>
      </c>
      <c r="N45" s="2" t="s">
        <v>195</v>
      </c>
      <c r="Q45" s="105">
        <f>T14+T22</f>
        <v>166406.8701329584</v>
      </c>
    </row>
    <row r="46" spans="1:22" x14ac:dyDescent="0.3">
      <c r="B46" s="2" t="s">
        <v>191</v>
      </c>
      <c r="E46" s="122">
        <f>1-E45</f>
        <v>0.19999999999999996</v>
      </c>
      <c r="H46" s="2" t="s">
        <v>27</v>
      </c>
      <c r="K46" s="26">
        <f>(T31*(1+K45))/(F5-K45)</f>
        <v>1293809.3017214269</v>
      </c>
      <c r="N46" s="2" t="s">
        <v>196</v>
      </c>
      <c r="Q46" s="214">
        <f>COMPS!Z23</f>
        <v>20.358156428812425</v>
      </c>
    </row>
    <row r="47" spans="1:22" x14ac:dyDescent="0.3">
      <c r="E47" s="12"/>
      <c r="H47" s="1" t="s">
        <v>194</v>
      </c>
      <c r="I47" s="1"/>
      <c r="J47" s="1"/>
      <c r="K47" s="124">
        <f>K46/(1+F5)^T35</f>
        <v>894918.348496816</v>
      </c>
      <c r="N47" s="2" t="s">
        <v>197</v>
      </c>
      <c r="Q47" s="105">
        <f>Q45*Q46</f>
        <v>3387737.0929958415</v>
      </c>
    </row>
    <row r="48" spans="1:22" x14ac:dyDescent="0.3">
      <c r="B48" s="2" t="s">
        <v>192</v>
      </c>
      <c r="E48" s="212">
        <f>E45*K46+E46*Q47</f>
        <v>1712594.8599763098</v>
      </c>
      <c r="H48" s="3" t="s">
        <v>201</v>
      </c>
      <c r="K48" s="116">
        <f>SUM(P32:T32)+K47</f>
        <v>1156975.0647834721</v>
      </c>
      <c r="N48" s="2" t="s">
        <v>198</v>
      </c>
      <c r="Q48" s="26">
        <f>Q47/(1+$F$5)^T35</f>
        <v>2343272.7530799708</v>
      </c>
    </row>
    <row r="49" spans="2:28" x14ac:dyDescent="0.3">
      <c r="B49" s="2" t="s">
        <v>198</v>
      </c>
      <c r="E49" s="26">
        <f>E45*K47+E46*Q48</f>
        <v>1184589.229413447</v>
      </c>
      <c r="K49" s="12"/>
      <c r="N49" s="94" t="s">
        <v>201</v>
      </c>
      <c r="O49" s="31"/>
      <c r="P49" s="31"/>
      <c r="Q49" s="126">
        <f>SUM(P32:T32)+Q48</f>
        <v>2605329.4693666268</v>
      </c>
    </row>
    <row r="50" spans="2:28" x14ac:dyDescent="0.3">
      <c r="K50" s="12"/>
      <c r="Q50" s="12"/>
    </row>
    <row r="51" spans="2:28" x14ac:dyDescent="0.3">
      <c r="H51" s="2" t="s">
        <v>199</v>
      </c>
      <c r="K51" s="16">
        <f>K47/K48</f>
        <v>0.77349838880434296</v>
      </c>
      <c r="N51" s="2" t="s">
        <v>199</v>
      </c>
      <c r="Q51" s="16">
        <f>Q48/Q49</f>
        <v>0.89941513372189208</v>
      </c>
    </row>
    <row r="52" spans="2:28" x14ac:dyDescent="0.3">
      <c r="H52" s="2" t="s">
        <v>200</v>
      </c>
      <c r="K52" s="125">
        <f>K48/(T14+T22)</f>
        <v>6.9526880943019593</v>
      </c>
      <c r="N52" s="2" t="s">
        <v>202</v>
      </c>
      <c r="Q52" s="16">
        <f>(($F$5-(T31/Q47)/((1+(T31)/Q47))))</f>
        <v>7.2927662802095547E-2</v>
      </c>
    </row>
    <row r="54" spans="2:28" x14ac:dyDescent="0.3">
      <c r="V54" s="217"/>
    </row>
    <row r="56" spans="2:28" x14ac:dyDescent="0.3">
      <c r="X56" s="218"/>
      <c r="Y56" s="218"/>
      <c r="Z56" s="218"/>
      <c r="AA56" s="218"/>
      <c r="AB56" s="218"/>
    </row>
    <row r="57" spans="2:28" x14ac:dyDescent="0.3">
      <c r="W57" s="216"/>
      <c r="X57" s="220"/>
      <c r="Y57" s="220"/>
      <c r="Z57" s="220"/>
      <c r="AA57" s="220"/>
      <c r="AB57" s="220"/>
    </row>
    <row r="58" spans="2:28" x14ac:dyDescent="0.3">
      <c r="W58" s="220"/>
      <c r="X58" s="216"/>
      <c r="Y58" s="216"/>
      <c r="Z58" s="216"/>
      <c r="AA58" s="216"/>
      <c r="AB58" s="216"/>
    </row>
    <row r="59" spans="2:28" x14ac:dyDescent="0.3">
      <c r="W59" s="220"/>
      <c r="X59" s="216"/>
      <c r="Y59" s="216"/>
      <c r="Z59" s="216"/>
      <c r="AA59" s="216"/>
      <c r="AB59" s="216"/>
    </row>
    <row r="60" spans="2:28" x14ac:dyDescent="0.3">
      <c r="W60" s="42"/>
      <c r="X60" s="216"/>
      <c r="Y60" s="216"/>
      <c r="Z60" s="216"/>
      <c r="AA60" s="216"/>
      <c r="AB60" s="216"/>
    </row>
    <row r="61" spans="2:28" x14ac:dyDescent="0.3">
      <c r="W61" s="220"/>
      <c r="X61" s="216"/>
      <c r="Y61" s="216"/>
      <c r="Z61" s="216"/>
      <c r="AA61" s="216"/>
      <c r="AB61" s="216"/>
    </row>
    <row r="62" spans="2:28" x14ac:dyDescent="0.3">
      <c r="W62" s="220"/>
      <c r="X62" s="216"/>
      <c r="Y62" s="216"/>
      <c r="Z62" s="216"/>
      <c r="AA62" s="216"/>
      <c r="AB62" s="2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ED4C-342A-45C3-9419-8DC364B203F5}">
  <sheetPr codeName="Sheet8"/>
  <dimension ref="A1:N33"/>
  <sheetViews>
    <sheetView workbookViewId="0">
      <selection activeCell="A2" sqref="A2"/>
    </sheetView>
  </sheetViews>
  <sheetFormatPr defaultColWidth="13.77734375" defaultRowHeight="14.4" x14ac:dyDescent="0.3"/>
  <cols>
    <col min="1" max="1" width="3.77734375" style="2" customWidth="1"/>
    <col min="2" max="4" width="13.77734375" style="2"/>
    <col min="5" max="5" width="25.44140625" style="2" bestFit="1" customWidth="1"/>
    <col min="6" max="16384" width="13.77734375" style="2"/>
  </cols>
  <sheetData>
    <row r="1" spans="1:14" x14ac:dyDescent="0.3">
      <c r="A1" s="3"/>
    </row>
    <row r="2" spans="1:14" ht="25.8" x14ac:dyDescent="0.5">
      <c r="A2" s="3"/>
      <c r="B2" s="53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3"/>
    </row>
    <row r="4" spans="1:14" x14ac:dyDescent="0.3">
      <c r="A4" s="3" t="s">
        <v>260</v>
      </c>
      <c r="B4" s="54" t="s">
        <v>5</v>
      </c>
      <c r="C4" s="55"/>
      <c r="D4" s="55"/>
      <c r="E4" s="55"/>
      <c r="F4" s="8"/>
      <c r="G4" s="56" t="s">
        <v>2</v>
      </c>
    </row>
    <row r="5" spans="1:14" x14ac:dyDescent="0.3">
      <c r="A5" s="3"/>
      <c r="B5" s="2" t="s">
        <v>73</v>
      </c>
      <c r="E5" s="52">
        <f>COMPS!D11*Shares!E15</f>
        <v>2431820.0549291503</v>
      </c>
      <c r="F5" s="57" t="s">
        <v>1</v>
      </c>
      <c r="G5" s="2" t="s">
        <v>74</v>
      </c>
    </row>
    <row r="6" spans="1:14" x14ac:dyDescent="0.3">
      <c r="A6" s="3"/>
      <c r="B6" s="2" t="s">
        <v>75</v>
      </c>
      <c r="E6" s="44">
        <f>E5/(E5+E12)</f>
        <v>0.97957010169519942</v>
      </c>
      <c r="F6" s="57" t="s">
        <v>1</v>
      </c>
      <c r="G6" s="2" t="s">
        <v>76</v>
      </c>
    </row>
    <row r="7" spans="1:14" x14ac:dyDescent="0.3">
      <c r="A7" s="3"/>
      <c r="B7" s="2" t="s">
        <v>77</v>
      </c>
      <c r="E7" s="44">
        <f>E8+(E9*E10)</f>
        <v>8.4123247343300039E-2</v>
      </c>
      <c r="F7" s="43" t="s">
        <v>1</v>
      </c>
      <c r="G7" s="2" t="s">
        <v>78</v>
      </c>
    </row>
    <row r="8" spans="1:14" x14ac:dyDescent="0.3">
      <c r="A8" s="3"/>
      <c r="B8" s="2" t="s">
        <v>79</v>
      </c>
      <c r="E8" s="42">
        <v>4.2700000000000002E-2</v>
      </c>
      <c r="F8" s="57" t="s">
        <v>1</v>
      </c>
      <c r="G8" s="33" t="s">
        <v>80</v>
      </c>
    </row>
    <row r="9" spans="1:14" x14ac:dyDescent="0.3">
      <c r="A9" s="3"/>
      <c r="B9" s="2" t="s">
        <v>81</v>
      </c>
      <c r="E9" s="208">
        <f>D29</f>
        <v>1.078730399565105</v>
      </c>
      <c r="F9" s="57" t="s">
        <v>1</v>
      </c>
      <c r="G9" s="33" t="s">
        <v>82</v>
      </c>
    </row>
    <row r="10" spans="1:14" x14ac:dyDescent="0.3">
      <c r="A10" s="3"/>
      <c r="B10" s="2" t="s">
        <v>173</v>
      </c>
      <c r="E10" s="202">
        <v>3.8399999999999997E-2</v>
      </c>
      <c r="F10" s="57" t="s">
        <v>1</v>
      </c>
      <c r="G10" s="33" t="s">
        <v>83</v>
      </c>
    </row>
    <row r="11" spans="1:14" x14ac:dyDescent="0.3">
      <c r="A11" s="3"/>
      <c r="G11" s="33"/>
    </row>
    <row r="12" spans="1:14" x14ac:dyDescent="0.3">
      <c r="A12" s="3"/>
      <c r="B12" s="2" t="s">
        <v>84</v>
      </c>
      <c r="E12" s="52">
        <v>50718</v>
      </c>
      <c r="F12" s="57" t="s">
        <v>1</v>
      </c>
      <c r="G12" s="33" t="s">
        <v>85</v>
      </c>
    </row>
    <row r="13" spans="1:14" x14ac:dyDescent="0.3">
      <c r="A13" s="3"/>
      <c r="B13" s="2" t="s">
        <v>86</v>
      </c>
      <c r="E13" s="44">
        <f>E12/E5</f>
        <v>2.0855983935652526E-2</v>
      </c>
      <c r="F13" s="57" t="s">
        <v>1</v>
      </c>
      <c r="G13" s="33" t="s">
        <v>87</v>
      </c>
    </row>
    <row r="14" spans="1:14" x14ac:dyDescent="0.3">
      <c r="A14" s="3"/>
      <c r="B14" s="2" t="s">
        <v>88</v>
      </c>
      <c r="E14" s="120">
        <f>(1057*2)/E12</f>
        <v>4.1681454316021924E-2</v>
      </c>
      <c r="F14" s="57" t="s">
        <v>1</v>
      </c>
      <c r="G14" s="2" t="s">
        <v>93</v>
      </c>
    </row>
    <row r="15" spans="1:14" x14ac:dyDescent="0.3">
      <c r="A15" s="3"/>
      <c r="B15" s="1" t="s">
        <v>11</v>
      </c>
      <c r="C15" s="1"/>
      <c r="D15" s="1"/>
      <c r="E15" s="121">
        <v>0.14799999999999999</v>
      </c>
      <c r="F15" s="57" t="s">
        <v>1</v>
      </c>
      <c r="G15" s="33" t="s">
        <v>89</v>
      </c>
    </row>
    <row r="16" spans="1:14" x14ac:dyDescent="0.3">
      <c r="A16" s="3"/>
      <c r="B16" s="2" t="s">
        <v>90</v>
      </c>
      <c r="E16" s="58">
        <f>E5+E12</f>
        <v>2482538.0549291503</v>
      </c>
      <c r="F16" s="57" t="s">
        <v>1</v>
      </c>
      <c r="G16" s="33" t="s">
        <v>91</v>
      </c>
    </row>
    <row r="17" spans="1:9" x14ac:dyDescent="0.3">
      <c r="A17" s="3"/>
    </row>
    <row r="18" spans="1:9" x14ac:dyDescent="0.3">
      <c r="A18" s="3"/>
      <c r="B18" s="3" t="s">
        <v>5</v>
      </c>
      <c r="E18" s="202">
        <f>E6*E7+E13*(1-E15)</f>
        <v>0.10017391626818278</v>
      </c>
      <c r="F18" s="89" t="s">
        <v>1</v>
      </c>
      <c r="G18" s="2" t="s">
        <v>92</v>
      </c>
    </row>
    <row r="19" spans="1:9" x14ac:dyDescent="0.3">
      <c r="A19" s="3"/>
    </row>
    <row r="20" spans="1:9" x14ac:dyDescent="0.3">
      <c r="A20" s="3"/>
    </row>
    <row r="21" spans="1:9" x14ac:dyDescent="0.3">
      <c r="A21" s="3" t="s">
        <v>260</v>
      </c>
      <c r="B21" s="54" t="s">
        <v>81</v>
      </c>
      <c r="C21" s="55"/>
      <c r="D21" s="55"/>
      <c r="E21" s="55"/>
      <c r="F21" s="55"/>
      <c r="G21" s="55"/>
      <c r="H21" s="55"/>
    </row>
    <row r="22" spans="1:9" ht="4.2" customHeight="1" x14ac:dyDescent="0.3">
      <c r="A22" s="3"/>
    </row>
    <row r="23" spans="1:9" x14ac:dyDescent="0.3">
      <c r="A23" s="3"/>
      <c r="B23" s="119"/>
      <c r="C23" s="119"/>
      <c r="D23" s="101" t="s">
        <v>204</v>
      </c>
      <c r="E23" s="101" t="s">
        <v>206</v>
      </c>
      <c r="F23" s="101" t="s">
        <v>205</v>
      </c>
      <c r="G23" s="101" t="s">
        <v>11</v>
      </c>
      <c r="H23" s="101" t="s">
        <v>208</v>
      </c>
    </row>
    <row r="24" spans="1:9" x14ac:dyDescent="0.3">
      <c r="A24" s="251"/>
      <c r="B24" s="2" t="s">
        <v>209</v>
      </c>
      <c r="D24" s="204">
        <v>1.2</v>
      </c>
      <c r="E24" s="17">
        <f>COMPS!G13</f>
        <v>3194474.46</v>
      </c>
      <c r="F24" s="204">
        <f>9923+9345+82430-36269-19103</f>
        <v>46326</v>
      </c>
      <c r="G24" s="121">
        <v>0.154</v>
      </c>
      <c r="H24" s="201">
        <f>(D24/(1+(1-G24)*(F24/E24)))</f>
        <v>1.1854560887003298</v>
      </c>
      <c r="I24" s="2" t="s">
        <v>249</v>
      </c>
    </row>
    <row r="25" spans="1:9" x14ac:dyDescent="0.3">
      <c r="A25" s="3"/>
      <c r="B25" s="2" t="s">
        <v>211</v>
      </c>
      <c r="D25" s="204">
        <v>1.05</v>
      </c>
      <c r="E25" s="17">
        <f>COMPS!G14</f>
        <v>3818172.11</v>
      </c>
      <c r="F25" s="204">
        <f>2999+39882-28828-50790</f>
        <v>-36737</v>
      </c>
      <c r="G25" s="121">
        <v>0.18</v>
      </c>
      <c r="H25" s="201">
        <f t="shared" ref="H25:H26" si="0">(D25/(1+(1-G25)*(F25/E25)))</f>
        <v>1.0583500945395945</v>
      </c>
    </row>
    <row r="26" spans="1:9" x14ac:dyDescent="0.3">
      <c r="A26" s="3"/>
      <c r="B26" s="2" t="s">
        <v>212</v>
      </c>
      <c r="D26" s="204">
        <v>1.01</v>
      </c>
      <c r="E26" s="17">
        <f>COMPS!G15</f>
        <v>2341205.92</v>
      </c>
      <c r="F26" s="204">
        <f>10883-23466-72191</f>
        <v>-84774</v>
      </c>
      <c r="G26" s="121">
        <v>0.17100000000000001</v>
      </c>
      <c r="H26" s="201">
        <f t="shared" si="0"/>
        <v>1.0412561269647569</v>
      </c>
    </row>
    <row r="27" spans="1:9" x14ac:dyDescent="0.3">
      <c r="A27" s="3"/>
    </row>
    <row r="28" spans="1:9" x14ac:dyDescent="0.3">
      <c r="A28" s="3"/>
      <c r="B28" s="2" t="s">
        <v>250</v>
      </c>
      <c r="D28" s="205">
        <f>AVERAGE(H24:H26)</f>
        <v>1.0950207700682271</v>
      </c>
    </row>
    <row r="29" spans="1:9" x14ac:dyDescent="0.3">
      <c r="A29" s="3"/>
      <c r="B29" s="3" t="s">
        <v>203</v>
      </c>
      <c r="D29" s="206">
        <f>D28*(1+(1-E15)*('Consolidated DCF'!T42-'Consolidated DCF'!T41)/E5)</f>
        <v>1.078730399565105</v>
      </c>
      <c r="F29" s="2" t="s">
        <v>252</v>
      </c>
    </row>
    <row r="30" spans="1:9" x14ac:dyDescent="0.3">
      <c r="A30" s="3"/>
    </row>
    <row r="31" spans="1:9" x14ac:dyDescent="0.3">
      <c r="A31" s="3"/>
    </row>
    <row r="32" spans="1:9" x14ac:dyDescent="0.3">
      <c r="A32" s="3" t="s">
        <v>260</v>
      </c>
      <c r="B32" s="101" t="s">
        <v>251</v>
      </c>
      <c r="C32" s="119"/>
      <c r="D32" s="101" t="s">
        <v>204</v>
      </c>
      <c r="E32" s="101" t="s">
        <v>206</v>
      </c>
      <c r="F32" s="101" t="s">
        <v>205</v>
      </c>
      <c r="G32" s="101" t="s">
        <v>11</v>
      </c>
      <c r="H32" s="101" t="s">
        <v>208</v>
      </c>
    </row>
    <row r="33" spans="1:8" x14ac:dyDescent="0.3">
      <c r="A33" s="3"/>
      <c r="B33" s="2" t="s">
        <v>210</v>
      </c>
      <c r="D33" s="204">
        <v>2.13</v>
      </c>
      <c r="E33" s="203">
        <f>COMPS!G16</f>
        <v>4233400</v>
      </c>
      <c r="F33" s="204">
        <f>8464-15234-38457</f>
        <v>-45227</v>
      </c>
      <c r="G33" s="121">
        <v>0.13900000000000001</v>
      </c>
      <c r="H33" s="201">
        <f>(D33/(1+(1-G33)*(F33/E33)))</f>
        <v>2.149774455102488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B7DB-F4D3-4733-A46C-105FF82E09C0}">
  <sheetPr codeName="Sheet9"/>
  <dimension ref="A2:AC62"/>
  <sheetViews>
    <sheetView zoomScale="80" zoomScaleNormal="80" workbookViewId="0">
      <selection activeCell="H23" sqref="H23"/>
    </sheetView>
  </sheetViews>
  <sheetFormatPr defaultColWidth="12.44140625" defaultRowHeight="14.4" outlineLevelRow="1" x14ac:dyDescent="0.3"/>
  <cols>
    <col min="1" max="1" width="4.88671875" style="9" customWidth="1"/>
    <col min="2" max="4" width="12.44140625" style="2"/>
    <col min="5" max="5" width="12.5546875" style="2" bestFit="1" customWidth="1"/>
    <col min="6" max="7" width="14" style="2" bestFit="1" customWidth="1"/>
    <col min="8" max="8" width="12.44140625" style="2"/>
    <col min="9" max="11" width="13.6640625" style="2" bestFit="1" customWidth="1"/>
    <col min="12" max="12" width="13.21875" style="2" bestFit="1" customWidth="1"/>
    <col min="13" max="13" width="12.6640625" style="2" bestFit="1" customWidth="1"/>
    <col min="14" max="14" width="13.21875" style="2" bestFit="1" customWidth="1"/>
    <col min="15" max="15" width="12.6640625" style="2" bestFit="1" customWidth="1"/>
    <col min="16" max="16384" width="12.44140625" style="2"/>
  </cols>
  <sheetData>
    <row r="2" spans="1:29" s="1" customFormat="1" ht="21" x14ac:dyDescent="0.4">
      <c r="A2" s="186"/>
      <c r="B2" s="60" t="s">
        <v>213</v>
      </c>
      <c r="F2" s="187"/>
      <c r="R2" s="187"/>
      <c r="U2" s="187"/>
    </row>
    <row r="4" spans="1:29" ht="15.6" x14ac:dyDescent="0.3">
      <c r="B4" s="184" t="s">
        <v>167</v>
      </c>
      <c r="C4" s="127">
        <f>DATE(2025,8,21)</f>
        <v>45890</v>
      </c>
      <c r="F4" s="185"/>
    </row>
    <row r="5" spans="1:29" ht="15.6" x14ac:dyDescent="0.3">
      <c r="B5" s="184" t="s">
        <v>214</v>
      </c>
      <c r="C5" s="128" t="s">
        <v>215</v>
      </c>
    </row>
    <row r="7" spans="1:29" ht="17.399999999999999" x14ac:dyDescent="0.3">
      <c r="B7" s="129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2" t="s">
        <v>216</v>
      </c>
      <c r="Y7" s="132"/>
      <c r="Z7" s="132"/>
      <c r="AA7" s="132"/>
      <c r="AB7" s="132"/>
      <c r="AC7" s="132"/>
    </row>
    <row r="8" spans="1:29" ht="17.399999999999999" x14ac:dyDescent="0.3">
      <c r="B8" s="129"/>
      <c r="C8" s="129"/>
      <c r="D8" s="131" t="s">
        <v>217</v>
      </c>
      <c r="E8" s="131" t="s">
        <v>218</v>
      </c>
      <c r="F8" s="131" t="s">
        <v>219</v>
      </c>
      <c r="G8" s="131" t="s">
        <v>220</v>
      </c>
      <c r="H8" s="132"/>
      <c r="I8" s="132" t="s">
        <v>3</v>
      </c>
      <c r="J8" s="132"/>
      <c r="K8" s="132"/>
      <c r="L8" s="132" t="s">
        <v>61</v>
      </c>
      <c r="M8" s="132"/>
      <c r="N8" s="132" t="s">
        <v>221</v>
      </c>
      <c r="O8" s="132"/>
      <c r="P8" s="131"/>
      <c r="Q8" s="132" t="s">
        <v>222</v>
      </c>
      <c r="R8" s="132"/>
      <c r="S8" s="132" t="s">
        <v>223</v>
      </c>
      <c r="T8" s="132"/>
      <c r="U8" s="132" t="s">
        <v>224</v>
      </c>
      <c r="V8" s="132"/>
      <c r="W8" s="131"/>
      <c r="X8" s="132" t="s">
        <v>225</v>
      </c>
      <c r="Y8" s="132"/>
      <c r="Z8" s="132" t="s">
        <v>226</v>
      </c>
      <c r="AA8" s="132"/>
      <c r="AB8" s="132" t="s">
        <v>227</v>
      </c>
      <c r="AC8" s="132"/>
    </row>
    <row r="9" spans="1:29" ht="15.6" customHeight="1" x14ac:dyDescent="0.3">
      <c r="B9" s="133" t="s">
        <v>166</v>
      </c>
      <c r="C9" s="133" t="s">
        <v>228</v>
      </c>
      <c r="D9" s="134" t="s">
        <v>229</v>
      </c>
      <c r="E9" s="134" t="s">
        <v>230</v>
      </c>
      <c r="F9" s="134" t="s">
        <v>231</v>
      </c>
      <c r="G9" s="134" t="s">
        <v>232</v>
      </c>
      <c r="H9" s="135"/>
      <c r="I9" s="135" t="s">
        <v>233</v>
      </c>
      <c r="J9" s="135">
        <f>I9+1</f>
        <v>25</v>
      </c>
      <c r="K9" s="135">
        <f>J9+1</f>
        <v>26</v>
      </c>
      <c r="L9" s="135" t="s">
        <v>234</v>
      </c>
      <c r="M9" s="135" t="s">
        <v>235</v>
      </c>
      <c r="N9" s="135" t="str">
        <f>L9</f>
        <v>'25</v>
      </c>
      <c r="O9" s="135" t="str">
        <f>M9</f>
        <v>'26</v>
      </c>
      <c r="P9" s="134"/>
      <c r="Q9" s="135" t="s">
        <v>236</v>
      </c>
      <c r="R9" s="135" t="s">
        <v>237</v>
      </c>
      <c r="S9" s="135" t="s">
        <v>234</v>
      </c>
      <c r="T9" s="135" t="s">
        <v>235</v>
      </c>
      <c r="U9" s="135" t="str">
        <f>S9</f>
        <v>'25</v>
      </c>
      <c r="V9" s="135" t="str">
        <f>T9</f>
        <v>'26</v>
      </c>
      <c r="W9" s="135"/>
      <c r="X9" s="135" t="s">
        <v>234</v>
      </c>
      <c r="Y9" s="135" t="s">
        <v>235</v>
      </c>
      <c r="Z9" s="135" t="s">
        <v>234</v>
      </c>
      <c r="AA9" s="135" t="s">
        <v>235</v>
      </c>
      <c r="AB9" s="135" t="s">
        <v>234</v>
      </c>
      <c r="AC9" s="135" t="s">
        <v>235</v>
      </c>
    </row>
    <row r="10" spans="1:29" ht="5.0999999999999996" customHeight="1" x14ac:dyDescent="0.3">
      <c r="B10" s="160"/>
      <c r="C10" s="160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</row>
    <row r="11" spans="1:29" ht="15.6" x14ac:dyDescent="0.3">
      <c r="B11" s="189" t="s">
        <v>169</v>
      </c>
      <c r="C11" s="29" t="str">
        <f>VLOOKUP($B11,[1]Database!$B$8:$O$23,[1]Database!C$4,0)</f>
        <v>Amazon.com, Inc.</v>
      </c>
      <c r="D11" s="190">
        <v>221.95</v>
      </c>
      <c r="E11" s="191">
        <f>VLOOKUP($B11,[1]Database!$B$8:$O$23,[1]Database!E$4,0)</f>
        <v>10793</v>
      </c>
      <c r="F11" s="191">
        <f>VLOOKUP($B11,[1]Database!$B$8:$O$23,[1]Database!F$4,0)</f>
        <v>24520436.600000001</v>
      </c>
      <c r="G11" s="191">
        <f>VLOOKUP($B11,[1]Database!$B$8:$O$23,[1]Database!G$4,0)</f>
        <v>2457048.6</v>
      </c>
      <c r="H11" s="192"/>
      <c r="I11" s="191">
        <f>VLOOKUP($B11,[1]Database!$B$8:$O$23,[1]Database!I$4,0)</f>
        <v>637959</v>
      </c>
      <c r="J11" s="191">
        <f>VLOOKUP($B11,[1]Database!$B$8:$O$23,[1]Database!J$4,0)</f>
        <v>695217.39</v>
      </c>
      <c r="K11" s="191">
        <f>VLOOKUP($B11,[1]Database!$B$8:$O$23,[1]Database!K$4,0)</f>
        <v>762821.81</v>
      </c>
      <c r="L11" s="191">
        <f>VLOOKUP($B11,[1]Database!$B$8:$O$23,[1]Database!L$4,0)</f>
        <v>161644.92000000001</v>
      </c>
      <c r="M11" s="191">
        <f>VLOOKUP($B11,[1]Database!$B$8:$O$23,[1]Database!M$4,0)</f>
        <v>191295.24</v>
      </c>
      <c r="N11" s="191">
        <f>VLOOKUP($B11,[1]Database!$B$8:$O$23,[1]Database!N$4,0)</f>
        <v>67124.19</v>
      </c>
      <c r="O11" s="191">
        <f>VLOOKUP($B11,[1]Database!$B$8:$O$23,[1]Database!O$4,0)</f>
        <v>79700.67</v>
      </c>
      <c r="P11" s="136"/>
      <c r="Q11" s="136">
        <f>J11/I11-1</f>
        <v>8.9752460581322691E-2</v>
      </c>
      <c r="R11" s="136">
        <f>K11/J11-1</f>
        <v>9.7242130263743842E-2</v>
      </c>
      <c r="S11" s="136">
        <f>L11/J11</f>
        <v>0.23250989161821745</v>
      </c>
      <c r="T11" s="136">
        <f t="shared" ref="T11" si="0">M11/K11</f>
        <v>0.2507731654919515</v>
      </c>
      <c r="U11" s="136">
        <f>N11/J11</f>
        <v>9.6551367910978181E-2</v>
      </c>
      <c r="V11" s="136">
        <f t="shared" ref="V11" si="1">O11/K11</f>
        <v>0.10448137291722163</v>
      </c>
      <c r="W11" s="180"/>
      <c r="X11" s="137">
        <f>$F11/J11</f>
        <v>35.270171535841477</v>
      </c>
      <c r="Y11" s="137">
        <f>$F11/K11</f>
        <v>32.144383234139568</v>
      </c>
      <c r="Z11" s="137">
        <f t="shared" ref="Z11:AA11" si="2">$F11/L11</f>
        <v>151.69320879369423</v>
      </c>
      <c r="AA11" s="137">
        <f t="shared" si="2"/>
        <v>128.18111208621815</v>
      </c>
      <c r="AB11" s="137">
        <f>$G11/N11</f>
        <v>36.604517685800005</v>
      </c>
      <c r="AC11" s="137">
        <f t="shared" ref="AC11" si="3">$G11/O11</f>
        <v>30.828456021762427</v>
      </c>
    </row>
    <row r="12" spans="1:29" ht="4.95" customHeight="1" x14ac:dyDescent="0.3">
      <c r="B12" s="164"/>
      <c r="D12" s="178"/>
      <c r="E12" s="193"/>
      <c r="F12" s="193"/>
      <c r="G12" s="193"/>
      <c r="H12" s="194"/>
      <c r="I12" s="193"/>
      <c r="J12" s="193"/>
      <c r="K12" s="193"/>
      <c r="L12" s="193"/>
      <c r="M12" s="193"/>
      <c r="N12" s="193"/>
      <c r="O12" s="193"/>
      <c r="P12" s="194"/>
      <c r="Q12" s="194"/>
      <c r="R12" s="194"/>
      <c r="S12" s="194"/>
      <c r="T12" s="194"/>
      <c r="U12" s="194"/>
      <c r="V12" s="194"/>
      <c r="W12" s="194"/>
      <c r="X12" s="183"/>
      <c r="Y12" s="183"/>
      <c r="Z12" s="183"/>
      <c r="AA12" s="183"/>
      <c r="AB12" s="183"/>
      <c r="AC12" s="183"/>
    </row>
    <row r="13" spans="1:29" ht="15.6" x14ac:dyDescent="0.3">
      <c r="A13" s="9">
        <v>1</v>
      </c>
      <c r="B13" s="164" t="s">
        <v>209</v>
      </c>
      <c r="C13" s="2" t="str">
        <f>VLOOKUP($B13,[1]Database!$B$8:$O$25,[1]Database!C$4,0)</f>
        <v>Apple Inc.</v>
      </c>
      <c r="D13" s="2">
        <f>VLOOKUP($B13,[1]Database!$B$8:$O$25,[1]Database!D$4,0)</f>
        <v>213.88</v>
      </c>
      <c r="E13" s="2">
        <f>VLOOKUP($B13,[1]Database!$B$8:$O$25,[1]Database!E$4,0)</f>
        <v>15056.13</v>
      </c>
      <c r="F13" s="2">
        <f>VLOOKUP($B13,[1]Database!$B$8:$O$25,[1]Database!F$4,0)</f>
        <v>3159738.46</v>
      </c>
      <c r="G13" s="2">
        <f>VLOOKUP($B13,[1]Database!$B$8:$O$25,[1]Database!G$4,0)</f>
        <v>3194474.46</v>
      </c>
      <c r="I13" s="2">
        <f>VLOOKUP($B13,[1]Database!$B$8:$O$25,[1]Database!I$4,0)</f>
        <v>391035</v>
      </c>
      <c r="J13" s="2">
        <f>VLOOKUP($B13,[1]Database!$B$8:$O$25,[1]Database!J$4,0)</f>
        <v>407341.31</v>
      </c>
      <c r="K13" s="2">
        <f>VLOOKUP($B13,[1]Database!$B$8:$O$25,[1]Database!K$4,0)</f>
        <v>431340.79</v>
      </c>
      <c r="L13" s="2">
        <f>VLOOKUP($B13,[1]Database!$B$8:$O$25,[1]Database!L$4,0)</f>
        <v>139515.15</v>
      </c>
      <c r="M13" s="2">
        <f>VLOOKUP($B13,[1]Database!$B$8:$O$25,[1]Database!M$4,0)</f>
        <v>147838.18</v>
      </c>
      <c r="N13" s="2">
        <f>VLOOKUP($B13,[1]Database!$B$8:$O$25,[1]Database!N$4,0)</f>
        <v>107818.29</v>
      </c>
      <c r="O13" s="2">
        <f>VLOOKUP($B13,[1]Database!$B$8:$O$25,[1]Database!O$4,0)</f>
        <v>114634.61</v>
      </c>
      <c r="P13" s="180"/>
      <c r="Q13" s="180">
        <f>J13/I13-1</f>
        <v>4.1700384876034002E-2</v>
      </c>
      <c r="R13" s="180">
        <f>K13/J13-1</f>
        <v>5.8917373246528681E-2</v>
      </c>
      <c r="S13" s="180">
        <f>L13/J13</f>
        <v>0.34250184446060722</v>
      </c>
      <c r="T13" s="180">
        <f t="shared" ref="T13:T18" si="4">M13/K13</f>
        <v>0.34274101459312484</v>
      </c>
      <c r="U13" s="180">
        <f>N13/J13</f>
        <v>0.26468783635030779</v>
      </c>
      <c r="V13" s="180">
        <f t="shared" ref="V13:V18" si="5">O13/K13</f>
        <v>0.26576343498605826</v>
      </c>
      <c r="W13" s="180"/>
      <c r="X13" s="183">
        <f>$F13/J13</f>
        <v>7.7569801599548054</v>
      </c>
      <c r="Y13" s="183">
        <f>$F13/K13</f>
        <v>7.325387566522517</v>
      </c>
      <c r="Z13" s="183">
        <f t="shared" ref="Z13:AA18" si="6">$F13/L13</f>
        <v>22.64799528940047</v>
      </c>
      <c r="AA13" s="183">
        <f t="shared" si="6"/>
        <v>21.372952913787223</v>
      </c>
      <c r="AB13" s="183">
        <f>$G13/N13</f>
        <v>29.628316865348172</v>
      </c>
      <c r="AC13" s="183">
        <f t="shared" ref="AC13:AC18" si="7">$G13/O13</f>
        <v>27.866579386452312</v>
      </c>
    </row>
    <row r="14" spans="1:29" ht="15.6" x14ac:dyDescent="0.3">
      <c r="A14" s="9">
        <f>A13+1</f>
        <v>2</v>
      </c>
      <c r="B14" s="164" t="s">
        <v>211</v>
      </c>
      <c r="C14" s="2" t="str">
        <f>VLOOKUP($B14,[1]Database!$B$8:$O$25,[1]Database!C$4,0)</f>
        <v>Microsoft Corporation</v>
      </c>
      <c r="D14" s="2">
        <f>VLOOKUP($B14,[1]Database!$B$8:$O$25,[1]Database!D$4,0)</f>
        <v>513.71</v>
      </c>
      <c r="E14" s="2">
        <f>VLOOKUP($B14,[1]Database!$B$8:$O$25,[1]Database!E$4,0)</f>
        <v>7461</v>
      </c>
      <c r="F14" s="2">
        <f>VLOOKUP($B14,[1]Database!$B$8:$O$25,[1]Database!F$4,0)</f>
        <v>3843573.11</v>
      </c>
      <c r="G14" s="2">
        <f>VLOOKUP($B14,[1]Database!$B$8:$O$25,[1]Database!G$4,0)</f>
        <v>3818172.11</v>
      </c>
      <c r="I14" s="2">
        <f>VLOOKUP($B14,[1]Database!$B$8:$O$25,[1]Database!I$4,0)</f>
        <v>245122</v>
      </c>
      <c r="J14" s="2">
        <f>VLOOKUP($B14,[1]Database!$B$8:$O$25,[1]Database!J$4,0)</f>
        <v>279029.28000000003</v>
      </c>
      <c r="K14" s="2">
        <f>VLOOKUP($B14,[1]Database!$B$8:$O$25,[1]Database!K$4,0)</f>
        <v>316492.86</v>
      </c>
      <c r="L14" s="2">
        <f>VLOOKUP($B14,[1]Database!$B$8:$O$25,[1]Database!L$4,0)</f>
        <v>188797.7</v>
      </c>
      <c r="M14" s="2">
        <f>VLOOKUP($B14,[1]Database!$B$8:$O$25,[1]Database!M$4,0)</f>
        <v>219439.72</v>
      </c>
      <c r="N14" s="2">
        <f>VLOOKUP($B14,[1]Database!$B$8:$O$25,[1]Database!N$4,0)</f>
        <v>99973.45</v>
      </c>
      <c r="O14" s="2">
        <f>VLOOKUP($B14,[1]Database!$B$8:$O$25,[1]Database!O$4,0)</f>
        <v>113022.48</v>
      </c>
      <c r="P14" s="180"/>
      <c r="Q14" s="180">
        <f t="shared" ref="Q14:R18" si="8">J14/I14-1</f>
        <v>0.13832817943717823</v>
      </c>
      <c r="R14" s="180">
        <f t="shared" si="8"/>
        <v>0.13426397401735035</v>
      </c>
      <c r="S14" s="180">
        <f t="shared" ref="S14:S18" si="9">L14/J14</f>
        <v>0.67662325616867158</v>
      </c>
      <c r="T14" s="180">
        <f t="shared" si="4"/>
        <v>0.69334809006433828</v>
      </c>
      <c r="U14" s="180">
        <f t="shared" ref="U14:U18" si="10">N14/J14</f>
        <v>0.3582901765721504</v>
      </c>
      <c r="V14" s="180">
        <f t="shared" si="5"/>
        <v>0.35710909876450292</v>
      </c>
      <c r="W14" s="180"/>
      <c r="X14" s="183">
        <f t="shared" ref="X14:Y18" si="11">$F14/J14</f>
        <v>13.774802092454237</v>
      </c>
      <c r="Y14" s="183">
        <f t="shared" si="11"/>
        <v>12.144264834284098</v>
      </c>
      <c r="Z14" s="183">
        <f t="shared" si="6"/>
        <v>20.358156428812425</v>
      </c>
      <c r="AA14" s="183">
        <f t="shared" si="6"/>
        <v>17.515393794705897</v>
      </c>
      <c r="AB14" s="183">
        <f t="shared" ref="AB14:AB18" si="12">$G14/N14</f>
        <v>38.191861039105881</v>
      </c>
      <c r="AC14" s="183">
        <f t="shared" si="7"/>
        <v>33.782413109321261</v>
      </c>
    </row>
    <row r="15" spans="1:29" ht="15.6" x14ac:dyDescent="0.3">
      <c r="A15" s="9">
        <f t="shared" ref="A15:A18" si="13">A14+1</f>
        <v>3</v>
      </c>
      <c r="B15" s="164" t="s">
        <v>212</v>
      </c>
      <c r="C15" s="2" t="str">
        <f>VLOOKUP($B15,[1]Database!$B$8:$O$25,[1]Database!C$4,0)</f>
        <v>Alphabet Inc. Class A</v>
      </c>
      <c r="D15" s="2">
        <f>VLOOKUP($B15,[1]Database!$B$8:$O$25,[1]Database!D$4,0)</f>
        <v>193.18</v>
      </c>
      <c r="E15" s="2">
        <f>VLOOKUP($B15,[1]Database!$B$8:$O$25,[1]Database!E$4,0)</f>
        <v>12198</v>
      </c>
      <c r="F15" s="2">
        <f>VLOOKUP($B15,[1]Database!$B$8:$O$25,[1]Database!F$4,0)</f>
        <v>2287725.92</v>
      </c>
      <c r="G15" s="2">
        <f>VLOOKUP($B15,[1]Database!$B$8:$O$25,[1]Database!G$4,0)</f>
        <v>2341205.92</v>
      </c>
      <c r="I15" s="2">
        <f>VLOOKUP($B15,[1]Database!$B$8:$O$25,[1]Database!I$4,0)</f>
        <v>350018</v>
      </c>
      <c r="J15" s="2">
        <f>VLOOKUP($B15,[1]Database!$B$8:$O$25,[1]Database!J$4,0)</f>
        <v>387817.32</v>
      </c>
      <c r="K15" s="2">
        <f>VLOOKUP($B15,[1]Database!$B$8:$O$25,[1]Database!K$4,0)</f>
        <v>428897.93</v>
      </c>
      <c r="L15" s="2">
        <f>VLOOKUP($B15,[1]Database!$B$8:$O$25,[1]Database!L$4,0)</f>
        <v>172681.77</v>
      </c>
      <c r="M15" s="2">
        <f>VLOOKUP($B15,[1]Database!$B$8:$O$25,[1]Database!M$4,0)</f>
        <v>195965.74</v>
      </c>
      <c r="N15" s="2">
        <f>VLOOKUP($B15,[1]Database!$B$8:$O$25,[1]Database!N$4,0)</f>
        <v>116876.3</v>
      </c>
      <c r="O15" s="2">
        <f>VLOOKUP($B15,[1]Database!$B$8:$O$25,[1]Database!O$4,0)</f>
        <v>122718.11</v>
      </c>
      <c r="P15" s="180"/>
      <c r="Q15" s="180">
        <f t="shared" si="8"/>
        <v>0.1079925032426905</v>
      </c>
      <c r="R15" s="180">
        <f t="shared" si="8"/>
        <v>0.1059277342229068</v>
      </c>
      <c r="S15" s="180">
        <f t="shared" si="9"/>
        <v>0.44526575037958588</v>
      </c>
      <c r="T15" s="180">
        <f t="shared" si="4"/>
        <v>0.45690530611793811</v>
      </c>
      <c r="U15" s="180">
        <f t="shared" si="10"/>
        <v>0.30136946952240296</v>
      </c>
      <c r="V15" s="180">
        <f t="shared" si="5"/>
        <v>0.28612427670145202</v>
      </c>
      <c r="W15" s="180"/>
      <c r="X15" s="183">
        <f t="shared" si="11"/>
        <v>5.8989782096374652</v>
      </c>
      <c r="Y15" s="183">
        <f t="shared" si="11"/>
        <v>5.3339635376650101</v>
      </c>
      <c r="Z15" s="183">
        <f t="shared" si="6"/>
        <v>13.248219079524144</v>
      </c>
      <c r="AA15" s="183">
        <f t="shared" si="6"/>
        <v>11.674111607467713</v>
      </c>
      <c r="AB15" s="183">
        <f t="shared" si="12"/>
        <v>20.031485596309945</v>
      </c>
      <c r="AC15" s="183">
        <f t="shared" si="7"/>
        <v>19.07791702463475</v>
      </c>
    </row>
    <row r="16" spans="1:29" ht="15.6" x14ac:dyDescent="0.3">
      <c r="A16" s="9">
        <f t="shared" si="13"/>
        <v>4</v>
      </c>
      <c r="B16" s="164" t="s">
        <v>210</v>
      </c>
      <c r="C16" s="2" t="str">
        <f>VLOOKUP($B16,[1]Database!$B$8:$O$25,[1]Database!C$4,0)</f>
        <v>NVIDIA Corporation</v>
      </c>
      <c r="D16" s="2">
        <f>VLOOKUP($B16,[1]Database!$B$8:$O$25,[1]Database!D$4,0)</f>
        <v>173.5</v>
      </c>
      <c r="E16" s="2">
        <f>VLOOKUP($B16,[1]Database!$B$8:$O$25,[1]Database!E$4,0)</f>
        <v>24611</v>
      </c>
      <c r="F16" s="2">
        <f>VLOOKUP($B16,[1]Database!$B$8:$O$25,[1]Database!F$4,0)</f>
        <v>4189994</v>
      </c>
      <c r="G16" s="2">
        <f>VLOOKUP($B16,[1]Database!$B$8:$O$25,[1]Database!G$4,0)</f>
        <v>4233400</v>
      </c>
      <c r="I16" s="2">
        <f>VLOOKUP($B16,[1]Database!$B$8:$O$25,[1]Database!I$4,0)</f>
        <v>130497</v>
      </c>
      <c r="J16" s="2">
        <f>VLOOKUP($B16,[1]Database!$B$8:$O$25,[1]Database!J$4,0)</f>
        <v>199809.65</v>
      </c>
      <c r="K16" s="2">
        <f>VLOOKUP($B16,[1]Database!$B$8:$O$25,[1]Database!K$4,0)</f>
        <v>250795.05</v>
      </c>
      <c r="L16" s="2">
        <f>VLOOKUP($B16,[1]Database!$B$8:$O$25,[1]Database!L$4,0)</f>
        <v>118236.88</v>
      </c>
      <c r="M16" s="2">
        <f>VLOOKUP($B16,[1]Database!$B$8:$O$25,[1]Database!M$4,0)</f>
        <v>149501.66</v>
      </c>
      <c r="N16" s="2">
        <f>VLOOKUP($B16,[1]Database!$B$8:$O$25,[1]Database!N$4,0)</f>
        <v>105175.35</v>
      </c>
      <c r="O16" s="2">
        <f>VLOOKUP($B16,[1]Database!$B$8:$O$25,[1]Database!O$4,0)</f>
        <v>138863.49</v>
      </c>
      <c r="P16" s="180"/>
      <c r="Q16" s="180">
        <f t="shared" si="8"/>
        <v>0.53114362782286184</v>
      </c>
      <c r="R16" s="180">
        <f t="shared" si="8"/>
        <v>0.25516985791226787</v>
      </c>
      <c r="S16" s="180">
        <f t="shared" si="9"/>
        <v>0.59174759577427816</v>
      </c>
      <c r="T16" s="180">
        <f t="shared" si="4"/>
        <v>0.59611088815349433</v>
      </c>
      <c r="U16" s="180">
        <f t="shared" si="10"/>
        <v>0.52637773000453181</v>
      </c>
      <c r="V16" s="180">
        <f t="shared" si="5"/>
        <v>0.55369310518688464</v>
      </c>
      <c r="W16" s="180"/>
      <c r="X16" s="183">
        <f t="shared" si="11"/>
        <v>20.969928129096868</v>
      </c>
      <c r="Y16" s="183">
        <f t="shared" si="11"/>
        <v>16.706844891874859</v>
      </c>
      <c r="Z16" s="183">
        <f t="shared" si="6"/>
        <v>35.437284880994831</v>
      </c>
      <c r="AA16" s="183">
        <f t="shared" si="6"/>
        <v>28.026404522866166</v>
      </c>
      <c r="AB16" s="183">
        <f t="shared" si="12"/>
        <v>40.250876274716461</v>
      </c>
      <c r="AC16" s="183">
        <f t="shared" si="7"/>
        <v>30.486055045858347</v>
      </c>
    </row>
    <row r="17" spans="1:29" ht="15.6" x14ac:dyDescent="0.3">
      <c r="A17" s="9">
        <f t="shared" si="13"/>
        <v>5</v>
      </c>
      <c r="B17" s="164" t="s">
        <v>238</v>
      </c>
      <c r="C17" s="2" t="str">
        <f>VLOOKUP($B17,[1]Database!$B$8:$O$25,[1]Database!C$4,0)</f>
        <v xml:space="preserve">META Platforms, Inc. </v>
      </c>
      <c r="D17" s="2">
        <f>VLOOKUP($B17,[1]Database!$B$8:$O$25,[1]Database!D$4,0)</f>
        <v>754.79</v>
      </c>
      <c r="E17" s="2">
        <f>VLOOKUP($B17,[1]Database!$B$8:$O$25,[1]Database!E$4,0)</f>
        <v>2570</v>
      </c>
      <c r="F17" s="2">
        <f>VLOOKUP($B17,[1]Database!$B$8:$O$25,[1]Database!F$4,0)</f>
        <v>1898628.26</v>
      </c>
      <c r="G17" s="2">
        <f>VLOOKUP($B17,[1]Database!$B$8:$O$25,[1]Database!G$4,0)</f>
        <v>1896139.26</v>
      </c>
      <c r="I17" s="2">
        <f>VLOOKUP($B17,[1]Database!$B$8:$O$25,[1]Database!I$4,0)</f>
        <v>164501</v>
      </c>
      <c r="J17" s="2">
        <f>VLOOKUP($B17,[1]Database!$B$8:$O$25,[1]Database!J$4,0)</f>
        <v>196001.85</v>
      </c>
      <c r="K17" s="2">
        <f>VLOOKUP($B17,[1]Database!$B$8:$O$25,[1]Database!K$4,0)</f>
        <v>227655.15</v>
      </c>
      <c r="L17" s="2">
        <f>VLOOKUP($B17,[1]Database!$B$8:$O$25,[1]Database!L$4,0)</f>
        <v>119791.72</v>
      </c>
      <c r="M17" s="2">
        <f>VLOOKUP($B17,[1]Database!$B$8:$O$25,[1]Database!M$4,0)</f>
        <v>137842.76</v>
      </c>
      <c r="N17" s="2">
        <f>VLOOKUP($B17,[1]Database!$B$8:$O$25,[1]Database!N$4,0)</f>
        <v>71334.179999999993</v>
      </c>
      <c r="O17" s="2">
        <f>VLOOKUP($B17,[1]Database!$B$8:$O$25,[1]Database!O$4,0)</f>
        <v>76079.899999999994</v>
      </c>
      <c r="P17" s="180"/>
      <c r="Q17" s="180">
        <f t="shared" si="8"/>
        <v>0.19149336478197698</v>
      </c>
      <c r="R17" s="180">
        <f t="shared" si="8"/>
        <v>0.16149490425728108</v>
      </c>
      <c r="S17" s="180">
        <f t="shared" si="9"/>
        <v>0.61117647614040371</v>
      </c>
      <c r="T17" s="180">
        <f t="shared" si="4"/>
        <v>0.60548931135535489</v>
      </c>
      <c r="U17" s="180">
        <f t="shared" si="10"/>
        <v>0.36394646275022402</v>
      </c>
      <c r="V17" s="180">
        <f t="shared" si="5"/>
        <v>0.3341892331449563</v>
      </c>
      <c r="W17" s="180"/>
      <c r="X17" s="183">
        <f t="shared" si="11"/>
        <v>9.6867874461389007</v>
      </c>
      <c r="Y17" s="183">
        <f t="shared" si="11"/>
        <v>8.33993107557637</v>
      </c>
      <c r="Z17" s="183">
        <f t="shared" si="6"/>
        <v>15.849411461827245</v>
      </c>
      <c r="AA17" s="183">
        <f t="shared" si="6"/>
        <v>13.773870024076707</v>
      </c>
      <c r="AB17" s="183">
        <f t="shared" si="12"/>
        <v>26.581076000312898</v>
      </c>
      <c r="AC17" s="183">
        <f t="shared" si="7"/>
        <v>24.922998847264523</v>
      </c>
    </row>
    <row r="18" spans="1:29" ht="15.6" x14ac:dyDescent="0.3">
      <c r="A18" s="9">
        <f t="shared" si="13"/>
        <v>6</v>
      </c>
      <c r="B18" s="164" t="s">
        <v>239</v>
      </c>
      <c r="C18" s="2" t="str">
        <f>VLOOKUP($B18,[1]Database!$B$8:$O$25,[1]Database!C$4,0)</f>
        <v>Walmart Inc.</v>
      </c>
      <c r="D18" s="2">
        <f>VLOOKUP($B18,[1]Database!$B$8:$O$25,[1]Database!D$4,0)</f>
        <v>96.83</v>
      </c>
      <c r="E18" s="2">
        <f>VLOOKUP($B18,[1]Database!$B$8:$O$25,[1]Database!E$4,0)</f>
        <v>8016</v>
      </c>
      <c r="F18" s="2">
        <f>VLOOKUP($B18,[1]Database!$B$8:$O$25,[1]Database!F$4,0)</f>
        <v>835073.89</v>
      </c>
      <c r="G18" s="2">
        <f>VLOOKUP($B18,[1]Database!$B$8:$O$25,[1]Database!G$4,0)</f>
        <v>772743.89</v>
      </c>
      <c r="I18" s="2">
        <f>VLOOKUP($B18,[1]Database!$B$8:$O$25,[1]Database!I$4,0)</f>
        <v>674538</v>
      </c>
      <c r="J18" s="2">
        <f>VLOOKUP($B18,[1]Database!$B$8:$O$25,[1]Database!J$4,0)</f>
        <v>704388.23</v>
      </c>
      <c r="K18" s="2">
        <f>VLOOKUP($B18,[1]Database!$B$8:$O$25,[1]Database!K$4,0)</f>
        <v>739556.37</v>
      </c>
      <c r="L18" s="2">
        <f>VLOOKUP($B18,[1]Database!$B$8:$O$25,[1]Database!L$4,0)</f>
        <v>44488.45</v>
      </c>
      <c r="M18" s="2">
        <f>VLOOKUP($B18,[1]Database!$B$8:$O$25,[1]Database!M$4,0)</f>
        <v>48676.84</v>
      </c>
      <c r="N18" s="2">
        <f>VLOOKUP($B18,[1]Database!$B$8:$O$25,[1]Database!N$4,0)</f>
        <v>21026.63</v>
      </c>
      <c r="O18" s="2">
        <f>VLOOKUP($B18,[1]Database!$B$8:$O$25,[1]Database!O$4,0)</f>
        <v>23459.88</v>
      </c>
      <c r="P18" s="180"/>
      <c r="Q18" s="180">
        <f t="shared" si="8"/>
        <v>4.4252851581378705E-2</v>
      </c>
      <c r="R18" s="180">
        <f t="shared" si="8"/>
        <v>4.9927211305049735E-2</v>
      </c>
      <c r="S18" s="180">
        <f t="shared" si="9"/>
        <v>6.3158991171672466E-2</v>
      </c>
      <c r="T18" s="180">
        <f t="shared" si="4"/>
        <v>6.5818971987219851E-2</v>
      </c>
      <c r="U18" s="180">
        <f t="shared" si="10"/>
        <v>2.9850910484407158E-2</v>
      </c>
      <c r="V18" s="180">
        <f t="shared" si="5"/>
        <v>3.1721557614330334E-2</v>
      </c>
      <c r="W18" s="180"/>
      <c r="X18" s="183">
        <f t="shared" si="11"/>
        <v>1.1855307264290886</v>
      </c>
      <c r="Y18" s="183">
        <f t="shared" si="11"/>
        <v>1.1291551582470989</v>
      </c>
      <c r="Z18" s="183">
        <f t="shared" si="6"/>
        <v>18.770577307143768</v>
      </c>
      <c r="AA18" s="183">
        <f t="shared" si="6"/>
        <v>17.15546633676303</v>
      </c>
      <c r="AB18" s="183">
        <f t="shared" si="12"/>
        <v>36.750724676279553</v>
      </c>
      <c r="AC18" s="183">
        <f t="shared" si="7"/>
        <v>32.938953225677196</v>
      </c>
    </row>
    <row r="19" spans="1:29" ht="15.6" x14ac:dyDescent="0.3">
      <c r="B19" s="164"/>
      <c r="P19" s="180"/>
      <c r="Q19" s="180"/>
      <c r="R19" s="180"/>
      <c r="S19" s="180"/>
      <c r="T19" s="180"/>
      <c r="U19" s="180"/>
      <c r="V19" s="180"/>
      <c r="W19" s="180"/>
      <c r="X19" s="183"/>
      <c r="Y19" s="183"/>
      <c r="Z19" s="183"/>
      <c r="AA19" s="183"/>
      <c r="AB19" s="183"/>
      <c r="AC19" s="183"/>
    </row>
    <row r="20" spans="1:29" ht="15.6" x14ac:dyDescent="0.3">
      <c r="B20" s="164"/>
      <c r="P20" s="180"/>
      <c r="Q20" s="180"/>
      <c r="R20" s="180"/>
      <c r="S20" s="180"/>
      <c r="T20" s="180"/>
      <c r="U20" s="180"/>
      <c r="V20" s="180"/>
      <c r="W20" s="180"/>
      <c r="X20" s="183"/>
      <c r="Y20" s="183"/>
      <c r="Z20" s="183"/>
      <c r="AA20" s="183"/>
      <c r="AB20" s="183"/>
      <c r="AC20" s="183"/>
    </row>
    <row r="21" spans="1:29" ht="5.0999999999999996" customHeight="1" x14ac:dyDescent="0.3">
      <c r="B21" s="164"/>
      <c r="D21" s="9"/>
      <c r="E21" s="9"/>
      <c r="F21" s="179"/>
      <c r="G21" s="179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3"/>
      <c r="Y21" s="183"/>
      <c r="Z21" s="183"/>
      <c r="AA21" s="183"/>
      <c r="AB21" s="183"/>
      <c r="AC21" s="183"/>
    </row>
    <row r="22" spans="1:29" ht="15.6" outlineLevel="1" x14ac:dyDescent="0.3">
      <c r="B22" s="138" t="s">
        <v>240</v>
      </c>
      <c r="C22" s="139"/>
      <c r="D22" s="139"/>
      <c r="E22" s="139"/>
      <c r="F22" s="139"/>
      <c r="G22" s="139"/>
      <c r="H22" s="140"/>
      <c r="I22" s="140"/>
      <c r="J22" s="140"/>
      <c r="K22" s="140"/>
      <c r="L22" s="140"/>
      <c r="M22" s="140"/>
      <c r="N22" s="140"/>
      <c r="O22" s="140"/>
      <c r="P22" s="140"/>
      <c r="Q22" s="140">
        <f>AVERAGE(Q11:Q20)</f>
        <v>0.163523338903349</v>
      </c>
      <c r="R22" s="140">
        <f t="shared" ref="R22:V22" si="14">AVERAGE(R11:R20)</f>
        <v>0.12327759788930405</v>
      </c>
      <c r="S22" s="140">
        <f t="shared" si="14"/>
        <v>0.42328340081620525</v>
      </c>
      <c r="T22" s="140">
        <f t="shared" si="14"/>
        <v>0.43016953539477448</v>
      </c>
      <c r="U22" s="140">
        <f t="shared" si="14"/>
        <v>0.27729627908500032</v>
      </c>
      <c r="V22" s="140">
        <f t="shared" si="14"/>
        <v>0.27615458275934374</v>
      </c>
      <c r="W22" s="140"/>
      <c r="X22" s="141">
        <f t="shared" ref="X22:AC22" si="15">AVERAGE(X11:X20)</f>
        <v>13.506168328507551</v>
      </c>
      <c r="Y22" s="141">
        <f t="shared" si="15"/>
        <v>11.874847185472788</v>
      </c>
      <c r="Z22" s="141">
        <f t="shared" si="15"/>
        <v>39.714979034485296</v>
      </c>
      <c r="AA22" s="141">
        <f t="shared" si="15"/>
        <v>33.957044469412125</v>
      </c>
      <c r="AB22" s="141">
        <f t="shared" si="15"/>
        <v>32.576979733981844</v>
      </c>
      <c r="AC22" s="142">
        <f t="shared" si="15"/>
        <v>28.557624665852977</v>
      </c>
    </row>
    <row r="23" spans="1:29" ht="15.6" outlineLevel="1" x14ac:dyDescent="0.3">
      <c r="B23" s="143" t="s">
        <v>241</v>
      </c>
      <c r="C23" s="144"/>
      <c r="D23" s="144"/>
      <c r="E23" s="144"/>
      <c r="F23" s="144"/>
      <c r="G23" s="144"/>
      <c r="H23" s="145"/>
      <c r="I23" s="145"/>
      <c r="J23" s="145"/>
      <c r="K23" s="145"/>
      <c r="L23" s="145"/>
      <c r="M23" s="145"/>
      <c r="N23" s="145"/>
      <c r="O23" s="145"/>
      <c r="P23" s="145"/>
      <c r="Q23" s="145">
        <f>MEDIAN(Q11:Q20)</f>
        <v>0.1079925032426905</v>
      </c>
      <c r="R23" s="145">
        <f t="shared" ref="R23:V23" si="16">MEDIAN(R11:R20)</f>
        <v>0.1059277342229068</v>
      </c>
      <c r="S23" s="145">
        <f t="shared" si="16"/>
        <v>0.44526575037958588</v>
      </c>
      <c r="T23" s="145">
        <f t="shared" si="16"/>
        <v>0.45690530611793811</v>
      </c>
      <c r="U23" s="145">
        <f t="shared" si="16"/>
        <v>0.30136946952240296</v>
      </c>
      <c r="V23" s="145">
        <f t="shared" si="16"/>
        <v>0.28612427670145202</v>
      </c>
      <c r="W23" s="145"/>
      <c r="X23" s="146">
        <f t="shared" ref="X23:AC23" si="17">MEDIAN(X11:X20)</f>
        <v>9.6867874461389007</v>
      </c>
      <c r="Y23" s="146">
        <f t="shared" si="17"/>
        <v>8.33993107557637</v>
      </c>
      <c r="Z23" s="146">
        <f t="shared" si="17"/>
        <v>20.358156428812425</v>
      </c>
      <c r="AA23" s="146">
        <f t="shared" si="17"/>
        <v>17.515393794705897</v>
      </c>
      <c r="AB23" s="146">
        <f t="shared" si="17"/>
        <v>36.604517685800005</v>
      </c>
      <c r="AC23" s="147">
        <f t="shared" si="17"/>
        <v>30.486055045858347</v>
      </c>
    </row>
    <row r="24" spans="1:29" ht="15.6" customHeight="1" outlineLevel="1" x14ac:dyDescent="0.3">
      <c r="B24" s="160"/>
      <c r="C24" s="160"/>
      <c r="D24" s="158"/>
      <c r="E24" s="158"/>
      <c r="F24" s="158"/>
      <c r="G24" s="158"/>
      <c r="I24" s="158"/>
      <c r="J24" s="158"/>
      <c r="K24" s="158"/>
      <c r="L24" s="158"/>
      <c r="M24" s="158"/>
      <c r="N24" s="158"/>
      <c r="O24" s="158"/>
      <c r="P24" s="158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</row>
    <row r="25" spans="1:29" ht="15.75" customHeight="1" outlineLevel="1" x14ac:dyDescent="0.3">
      <c r="A25" s="188"/>
      <c r="B25" s="129"/>
      <c r="C25" s="129"/>
      <c r="D25" s="132" t="s">
        <v>242</v>
      </c>
      <c r="E25" s="132"/>
      <c r="F25" s="132"/>
      <c r="G25" s="131"/>
      <c r="H25" s="132" t="s">
        <v>243</v>
      </c>
      <c r="I25" s="132"/>
      <c r="J25" s="132"/>
      <c r="K25" s="131"/>
      <c r="L25" s="132" t="s">
        <v>29</v>
      </c>
      <c r="M25" s="132"/>
      <c r="N25" s="132"/>
      <c r="O25" s="131"/>
      <c r="P25" s="131"/>
      <c r="Q25" s="132"/>
      <c r="R25" s="132"/>
      <c r="S25" s="132"/>
      <c r="T25" s="132" t="s">
        <v>35</v>
      </c>
      <c r="U25" s="132"/>
      <c r="V25" s="132"/>
      <c r="W25" s="131"/>
      <c r="X25" s="132" t="s">
        <v>185</v>
      </c>
      <c r="Y25" s="132"/>
      <c r="Z25" s="132"/>
      <c r="AA25" s="131"/>
      <c r="AB25" s="131"/>
      <c r="AC25" s="131"/>
    </row>
    <row r="26" spans="1:29" ht="15.6" customHeight="1" outlineLevel="1" x14ac:dyDescent="0.3">
      <c r="B26" s="133" t="s">
        <v>244</v>
      </c>
      <c r="C26" s="133"/>
      <c r="D26" s="134" t="s">
        <v>3</v>
      </c>
      <c r="E26" s="134" t="s">
        <v>61</v>
      </c>
      <c r="F26" s="134" t="s">
        <v>245</v>
      </c>
      <c r="G26" s="134"/>
      <c r="H26" s="134" t="s">
        <v>3</v>
      </c>
      <c r="I26" s="134" t="s">
        <v>61</v>
      </c>
      <c r="J26" s="134" t="s">
        <v>65</v>
      </c>
      <c r="K26" s="134"/>
      <c r="L26" s="134" t="s">
        <v>3</v>
      </c>
      <c r="M26" s="134" t="s">
        <v>61</v>
      </c>
      <c r="N26" s="134" t="s">
        <v>221</v>
      </c>
      <c r="O26" s="134"/>
      <c r="P26" s="134" t="s">
        <v>246</v>
      </c>
      <c r="Q26" s="134" t="s">
        <v>84</v>
      </c>
      <c r="R26" s="134" t="s">
        <v>207</v>
      </c>
      <c r="S26" s="134"/>
      <c r="T26" s="134" t="s">
        <v>3</v>
      </c>
      <c r="U26" s="134" t="s">
        <v>61</v>
      </c>
      <c r="V26" s="134" t="s">
        <v>221</v>
      </c>
      <c r="W26" s="134"/>
      <c r="X26" s="134" t="s">
        <v>3</v>
      </c>
      <c r="Y26" s="134" t="s">
        <v>61</v>
      </c>
      <c r="Z26" s="134" t="s">
        <v>221</v>
      </c>
      <c r="AA26" s="134"/>
      <c r="AB26" s="134"/>
      <c r="AC26" s="134"/>
    </row>
    <row r="27" spans="1:29" ht="15.6" customHeight="1" outlineLevel="1" x14ac:dyDescent="0.3">
      <c r="B27" s="160" t="s">
        <v>247</v>
      </c>
      <c r="C27" s="160"/>
      <c r="D27" s="195">
        <f>MIN(Y13:Y20)</f>
        <v>1.1291551582470989</v>
      </c>
      <c r="E27" s="195">
        <f>MIN(AA13:AA20)</f>
        <v>11.674111607467713</v>
      </c>
      <c r="F27" s="195">
        <f>MIN(AC13:AC20)</f>
        <v>19.07791702463475</v>
      </c>
      <c r="G27" s="158"/>
      <c r="H27" s="179">
        <f>K11</f>
        <v>762821.81</v>
      </c>
      <c r="I27" s="179">
        <f>M11</f>
        <v>191295.24</v>
      </c>
      <c r="J27" s="196">
        <v>6.56</v>
      </c>
      <c r="L27" s="179">
        <f>D27*H27</f>
        <v>861344.18158488849</v>
      </c>
      <c r="M27" s="179">
        <f>E27*I27</f>
        <v>2233201.9817373217</v>
      </c>
      <c r="N27" s="179" t="s">
        <v>46</v>
      </c>
      <c r="P27" s="197">
        <f>57741+35439</f>
        <v>93180</v>
      </c>
      <c r="Q27" s="197">
        <v>50718</v>
      </c>
      <c r="R27" s="250">
        <v>10956.612097000001</v>
      </c>
      <c r="S27" s="35"/>
      <c r="T27" s="198">
        <f>L27+P27-Q27</f>
        <v>903806.18158488849</v>
      </c>
      <c r="U27" s="198">
        <f t="shared" ref="U27:U30" si="18">M27+Q27-R27</f>
        <v>2272963.3696403219</v>
      </c>
      <c r="V27" s="198">
        <f>J27*R27*F27</f>
        <v>1371232.4471623504</v>
      </c>
      <c r="W27" s="159"/>
      <c r="X27" s="199">
        <f>T27/$R27</f>
        <v>82.489566444755042</v>
      </c>
      <c r="Y27" s="199">
        <f t="shared" ref="Y27:Z30" si="19">U27/$R27</f>
        <v>207.4512951191067</v>
      </c>
      <c r="Z27" s="199">
        <f t="shared" si="19"/>
        <v>125.15113568160396</v>
      </c>
      <c r="AB27" s="159"/>
      <c r="AC27" s="159"/>
    </row>
    <row r="28" spans="1:29" ht="15.6" customHeight="1" outlineLevel="1" x14ac:dyDescent="0.3">
      <c r="B28" s="160" t="s">
        <v>240</v>
      </c>
      <c r="C28" s="160"/>
      <c r="D28" s="195">
        <f>Y22</f>
        <v>11.874847185472788</v>
      </c>
      <c r="E28" s="195">
        <f>AA22</f>
        <v>33.957044469412125</v>
      </c>
      <c r="F28" s="195">
        <f>AC22</f>
        <v>28.557624665852977</v>
      </c>
      <c r="G28" s="158"/>
      <c r="H28" s="179">
        <v>762821.81</v>
      </c>
      <c r="I28" s="179">
        <v>191295.24</v>
      </c>
      <c r="J28" s="196">
        <v>6.56</v>
      </c>
      <c r="K28" s="179"/>
      <c r="L28" s="179">
        <f t="shared" ref="L28:M30" si="20">D28*H28</f>
        <v>9058392.4234957583</v>
      </c>
      <c r="M28" s="179">
        <f t="shared" si="20"/>
        <v>6495820.9714668645</v>
      </c>
      <c r="N28" s="179" t="s">
        <v>46</v>
      </c>
      <c r="P28" s="197">
        <f t="shared" ref="P28:P30" si="21">57741+35439</f>
        <v>93180</v>
      </c>
      <c r="Q28" s="197">
        <v>50718</v>
      </c>
      <c r="R28" s="250">
        <v>10956.612097000001</v>
      </c>
      <c r="T28" s="198">
        <f t="shared" ref="T28:T30" si="22">L28+P28-Q28</f>
        <v>9100854.4234957583</v>
      </c>
      <c r="U28" s="198">
        <f t="shared" si="18"/>
        <v>6535582.3593698647</v>
      </c>
      <c r="V28" s="198">
        <f t="shared" ref="V28:V30" si="23">J28*R28*F28</f>
        <v>2052589.9921430852</v>
      </c>
      <c r="W28" s="159"/>
      <c r="X28" s="199">
        <f t="shared" ref="X28:X30" si="24">T28/$R28</f>
        <v>830.62668851694013</v>
      </c>
      <c r="Y28" s="199">
        <f t="shared" si="19"/>
        <v>596.49664526860033</v>
      </c>
      <c r="Z28" s="199">
        <f t="shared" si="19"/>
        <v>187.3380178079955</v>
      </c>
      <c r="AA28" s="159"/>
      <c r="AB28" s="159"/>
      <c r="AC28" s="159"/>
    </row>
    <row r="29" spans="1:29" ht="15.6" customHeight="1" outlineLevel="1" x14ac:dyDescent="0.3">
      <c r="B29" s="160" t="s">
        <v>241</v>
      </c>
      <c r="C29" s="160"/>
      <c r="D29" s="195">
        <f>Y23</f>
        <v>8.33993107557637</v>
      </c>
      <c r="E29" s="195">
        <f>AA23</f>
        <v>17.515393794705897</v>
      </c>
      <c r="F29" s="195">
        <f>AC23</f>
        <v>30.486055045858347</v>
      </c>
      <c r="G29" s="158"/>
      <c r="H29" s="179">
        <v>762821.81</v>
      </c>
      <c r="I29" s="179">
        <v>191295.24</v>
      </c>
      <c r="J29" s="196">
        <v>6.56</v>
      </c>
      <c r="K29" s="179"/>
      <c r="L29" s="179">
        <f t="shared" si="20"/>
        <v>6361881.3183464138</v>
      </c>
      <c r="M29" s="179">
        <f t="shared" si="20"/>
        <v>3350611.459652775</v>
      </c>
      <c r="N29" s="179" t="s">
        <v>46</v>
      </c>
      <c r="P29" s="197">
        <f t="shared" si="21"/>
        <v>93180</v>
      </c>
      <c r="Q29" s="197">
        <v>50718</v>
      </c>
      <c r="R29" s="250">
        <v>10956.612097000001</v>
      </c>
      <c r="T29" s="198">
        <f t="shared" si="22"/>
        <v>6404343.3183464138</v>
      </c>
      <c r="U29" s="198">
        <f t="shared" si="18"/>
        <v>3390372.8475557752</v>
      </c>
      <c r="V29" s="198">
        <f t="shared" si="23"/>
        <v>2191196.6495545022</v>
      </c>
      <c r="W29" s="159"/>
      <c r="X29" s="199">
        <f t="shared" si="24"/>
        <v>584.51857760848986</v>
      </c>
      <c r="Y29" s="199">
        <f t="shared" si="19"/>
        <v>309.43623973728921</v>
      </c>
      <c r="Z29" s="199">
        <f t="shared" si="19"/>
        <v>199.98852110083075</v>
      </c>
      <c r="AA29" s="159"/>
      <c r="AB29" s="159"/>
      <c r="AC29" s="159"/>
    </row>
    <row r="30" spans="1:29" ht="15.6" customHeight="1" outlineLevel="1" x14ac:dyDescent="0.3">
      <c r="B30" s="160" t="s">
        <v>248</v>
      </c>
      <c r="C30" s="160"/>
      <c r="D30" s="195">
        <f>MAX(Y13:Y20)</f>
        <v>16.706844891874859</v>
      </c>
      <c r="E30" s="195">
        <f>MAX(AA13:AA20)</f>
        <v>28.026404522866166</v>
      </c>
      <c r="F30" s="195">
        <f>MAX(AC13:AC20)</f>
        <v>33.782413109321261</v>
      </c>
      <c r="G30" s="158"/>
      <c r="H30" s="179">
        <v>762821.81</v>
      </c>
      <c r="I30" s="179">
        <v>191295.24</v>
      </c>
      <c r="J30" s="196">
        <v>6.56</v>
      </c>
      <c r="K30" s="179"/>
      <c r="L30" s="179">
        <f>D30*H30</f>
        <v>12744345.659809235</v>
      </c>
      <c r="M30" s="179">
        <f t="shared" si="20"/>
        <v>5361317.7795387683</v>
      </c>
      <c r="N30" s="179" t="s">
        <v>46</v>
      </c>
      <c r="P30" s="197">
        <f t="shared" si="21"/>
        <v>93180</v>
      </c>
      <c r="Q30" s="197">
        <v>50718</v>
      </c>
      <c r="R30" s="250">
        <v>10956.612097000001</v>
      </c>
      <c r="T30" s="198">
        <f t="shared" si="22"/>
        <v>12786807.659809235</v>
      </c>
      <c r="U30" s="198">
        <f t="shared" si="18"/>
        <v>5401079.1674417686</v>
      </c>
      <c r="V30" s="198">
        <f t="shared" si="23"/>
        <v>2428123.6226747311</v>
      </c>
      <c r="W30" s="159"/>
      <c r="X30" s="199">
        <f t="shared" si="24"/>
        <v>1167.040280937787</v>
      </c>
      <c r="Y30" s="199">
        <f t="shared" si="19"/>
        <v>492.95157295206451</v>
      </c>
      <c r="Z30" s="199">
        <f t="shared" si="19"/>
        <v>221.61262999714745</v>
      </c>
      <c r="AA30" s="159"/>
      <c r="AB30" s="159"/>
      <c r="AC30" s="159"/>
    </row>
    <row r="31" spans="1:29" ht="15.6" customHeight="1" outlineLevel="1" x14ac:dyDescent="0.3">
      <c r="B31" s="160"/>
      <c r="C31" s="160"/>
      <c r="D31" s="195"/>
      <c r="E31" s="195"/>
      <c r="F31" s="195"/>
      <c r="G31" s="158"/>
      <c r="H31" s="9"/>
      <c r="I31" s="179"/>
      <c r="J31" s="179"/>
      <c r="K31" s="179"/>
      <c r="L31" s="179"/>
      <c r="M31" s="179"/>
      <c r="N31" s="179"/>
      <c r="P31" s="179"/>
      <c r="Q31" s="179"/>
      <c r="R31" s="200"/>
      <c r="U31" s="159"/>
      <c r="V31" s="159"/>
      <c r="W31" s="159"/>
      <c r="X31" s="159"/>
      <c r="Y31" s="159"/>
      <c r="Z31" s="159"/>
      <c r="AA31" s="159"/>
      <c r="AB31" s="159"/>
      <c r="AC31" s="159"/>
    </row>
    <row r="32" spans="1:29" s="153" customFormat="1" ht="15.6" customHeight="1" outlineLevel="1" x14ac:dyDescent="0.3">
      <c r="A32" s="148"/>
      <c r="B32" s="149"/>
      <c r="C32" s="149"/>
      <c r="D32" s="150"/>
      <c r="E32" s="150"/>
      <c r="F32" s="150"/>
      <c r="G32" s="151"/>
      <c r="H32" s="148"/>
      <c r="I32" s="152"/>
      <c r="J32" s="152"/>
      <c r="K32" s="152"/>
      <c r="L32" s="152"/>
      <c r="M32" s="152"/>
      <c r="N32" s="152"/>
      <c r="P32" s="152"/>
      <c r="Q32" s="152"/>
      <c r="R32" s="154"/>
      <c r="U32" s="155"/>
      <c r="V32" s="155"/>
      <c r="W32" s="155"/>
      <c r="X32" s="155"/>
      <c r="Y32" s="155"/>
      <c r="Z32" s="155"/>
      <c r="AA32" s="155"/>
      <c r="AB32" s="155"/>
      <c r="AC32" s="155"/>
    </row>
    <row r="33" spans="2:29" ht="15.6" customHeight="1" x14ac:dyDescent="0.3">
      <c r="B33" s="156"/>
      <c r="C33" s="156"/>
      <c r="D33" s="157"/>
      <c r="E33" s="157"/>
      <c r="F33" s="157"/>
      <c r="G33" s="157"/>
      <c r="H33" s="156"/>
      <c r="I33" s="156"/>
      <c r="J33" s="157"/>
      <c r="K33" s="157"/>
      <c r="L33" s="157"/>
      <c r="M33" s="157"/>
      <c r="N33" s="156"/>
      <c r="O33" s="156"/>
      <c r="P33" s="158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</row>
    <row r="34" spans="2:29" ht="15.6" customHeight="1" x14ac:dyDescent="0.3">
      <c r="B34" s="160"/>
      <c r="C34" s="161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</row>
    <row r="35" spans="2:29" ht="15.6" customHeight="1" x14ac:dyDescent="0.3">
      <c r="B35" s="160"/>
      <c r="C35" s="160"/>
      <c r="D35" s="158"/>
      <c r="E35" s="158"/>
      <c r="F35" s="158"/>
      <c r="G35" s="158"/>
      <c r="H35" s="162"/>
      <c r="I35" s="163"/>
      <c r="J35" s="162"/>
      <c r="K35" s="162"/>
      <c r="L35" s="162"/>
      <c r="M35" s="162"/>
      <c r="N35" s="162"/>
      <c r="O35" s="162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</row>
    <row r="36" spans="2:29" ht="15.6" customHeight="1" x14ac:dyDescent="0.3">
      <c r="B36" s="160"/>
      <c r="C36" s="160"/>
      <c r="D36" s="158"/>
      <c r="E36" s="158"/>
      <c r="F36" s="158"/>
      <c r="G36" s="158"/>
      <c r="H36" s="159"/>
      <c r="I36" s="159"/>
      <c r="J36" s="159"/>
      <c r="K36" s="159"/>
      <c r="L36" s="159"/>
      <c r="M36" s="159"/>
      <c r="N36" s="159"/>
      <c r="O36" s="159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</row>
    <row r="37" spans="2:29" ht="15.6" customHeight="1" x14ac:dyDescent="0.3">
      <c r="B37" s="164"/>
      <c r="D37" s="165"/>
      <c r="E37" s="166"/>
      <c r="F37" s="167"/>
      <c r="G37" s="167"/>
      <c r="H37" s="166"/>
      <c r="I37" s="168"/>
      <c r="J37" s="168"/>
      <c r="K37" s="169"/>
      <c r="L37" s="169"/>
      <c r="M37" s="169"/>
      <c r="N37" s="169"/>
      <c r="O37" s="169"/>
      <c r="P37" s="170"/>
      <c r="Q37" s="170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59"/>
      <c r="AC37" s="159"/>
    </row>
    <row r="38" spans="2:29" ht="15.6" customHeight="1" x14ac:dyDescent="0.3">
      <c r="B38" s="164"/>
      <c r="D38" s="165"/>
      <c r="E38" s="167"/>
      <c r="F38" s="167"/>
      <c r="G38" s="167"/>
      <c r="H38" s="166"/>
      <c r="I38" s="172"/>
      <c r="J38" s="172"/>
      <c r="K38" s="172"/>
      <c r="L38" s="172"/>
      <c r="M38" s="172"/>
      <c r="N38" s="172"/>
      <c r="O38" s="172"/>
      <c r="P38" s="170"/>
      <c r="Q38" s="170"/>
      <c r="R38" s="170"/>
      <c r="S38" s="170"/>
      <c r="T38" s="171"/>
      <c r="U38" s="171"/>
      <c r="V38" s="171"/>
      <c r="W38" s="171"/>
      <c r="X38" s="171"/>
      <c r="Y38" s="171"/>
      <c r="Z38" s="171"/>
      <c r="AA38" s="171"/>
      <c r="AB38" s="159"/>
      <c r="AC38" s="159"/>
    </row>
    <row r="39" spans="2:29" ht="15.6" customHeight="1" x14ac:dyDescent="0.3">
      <c r="B39" s="164"/>
      <c r="D39" s="165"/>
      <c r="E39" s="167"/>
      <c r="F39" s="167"/>
      <c r="G39" s="167"/>
      <c r="H39" s="166"/>
      <c r="I39" s="172"/>
      <c r="J39" s="172"/>
      <c r="K39" s="172"/>
      <c r="L39" s="172"/>
      <c r="M39" s="172"/>
      <c r="N39" s="172"/>
      <c r="O39" s="172"/>
      <c r="P39" s="170"/>
      <c r="Q39" s="170"/>
      <c r="R39" s="170"/>
      <c r="S39" s="170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</row>
    <row r="40" spans="2:29" ht="15.6" customHeight="1" x14ac:dyDescent="0.3">
      <c r="B40" s="164"/>
      <c r="D40" s="166"/>
      <c r="E40" s="172"/>
      <c r="F40" s="167"/>
      <c r="G40" s="167"/>
      <c r="H40" s="166"/>
      <c r="I40" s="172"/>
      <c r="J40" s="172"/>
      <c r="K40" s="172"/>
      <c r="L40" s="172"/>
      <c r="M40" s="172"/>
      <c r="N40" s="172"/>
      <c r="O40" s="172"/>
      <c r="P40" s="170"/>
      <c r="Q40" s="170"/>
      <c r="R40" s="170"/>
      <c r="S40" s="170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</row>
    <row r="41" spans="2:29" ht="15.6" x14ac:dyDescent="0.3">
      <c r="B41" s="164"/>
      <c r="D41" s="166"/>
      <c r="E41" s="172"/>
      <c r="F41" s="167"/>
      <c r="G41" s="167"/>
      <c r="H41" s="166"/>
      <c r="I41" s="172"/>
      <c r="J41" s="172"/>
      <c r="K41" s="172"/>
      <c r="L41" s="172"/>
      <c r="M41" s="172"/>
      <c r="N41" s="172"/>
      <c r="O41" s="172"/>
      <c r="P41" s="170"/>
      <c r="Q41" s="170"/>
      <c r="R41" s="170"/>
      <c r="S41" s="170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</row>
    <row r="42" spans="2:29" ht="15.6" x14ac:dyDescent="0.3">
      <c r="B42" s="164"/>
      <c r="D42" s="166"/>
      <c r="E42" s="173"/>
      <c r="F42" s="167"/>
      <c r="G42" s="167"/>
      <c r="H42" s="166"/>
      <c r="I42" s="172"/>
      <c r="J42" s="172"/>
      <c r="K42" s="172"/>
      <c r="L42" s="172"/>
      <c r="M42" s="172"/>
      <c r="N42" s="172"/>
      <c r="O42" s="172"/>
      <c r="P42" s="170"/>
      <c r="Q42" s="170"/>
      <c r="R42" s="170"/>
      <c r="S42" s="170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</row>
    <row r="43" spans="2:29" ht="15.6" x14ac:dyDescent="0.3">
      <c r="B43" s="164"/>
      <c r="D43" s="166"/>
      <c r="E43" s="172"/>
      <c r="F43" s="167"/>
      <c r="G43" s="167"/>
      <c r="H43" s="166"/>
      <c r="I43" s="172"/>
      <c r="J43" s="172"/>
      <c r="K43" s="172"/>
      <c r="L43" s="172"/>
      <c r="M43" s="172"/>
      <c r="N43" s="172"/>
      <c r="O43" s="172"/>
      <c r="P43" s="170"/>
      <c r="Q43" s="170"/>
      <c r="R43" s="170"/>
      <c r="S43" s="174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</row>
    <row r="44" spans="2:29" ht="15.6" x14ac:dyDescent="0.3">
      <c r="B44" s="164"/>
      <c r="D44" s="166"/>
      <c r="E44" s="175"/>
      <c r="F44" s="167"/>
      <c r="G44" s="167"/>
      <c r="H44" s="166"/>
      <c r="I44" s="172"/>
      <c r="J44" s="172"/>
      <c r="K44" s="172"/>
      <c r="L44" s="172"/>
      <c r="M44" s="172"/>
      <c r="N44" s="172"/>
      <c r="O44" s="172"/>
      <c r="P44" s="170"/>
      <c r="Q44" s="170"/>
    </row>
    <row r="45" spans="2:29" ht="15.6" x14ac:dyDescent="0.3">
      <c r="B45" s="164"/>
      <c r="D45" s="166"/>
      <c r="E45" s="172"/>
      <c r="F45" s="167"/>
      <c r="G45" s="167"/>
      <c r="H45" s="166"/>
      <c r="I45" s="172"/>
      <c r="J45" s="172"/>
      <c r="K45" s="172"/>
      <c r="L45" s="172"/>
      <c r="M45" s="172"/>
      <c r="N45" s="172"/>
      <c r="O45" s="172"/>
      <c r="P45" s="170"/>
      <c r="Q45" s="170"/>
      <c r="R45" s="170"/>
      <c r="S45" s="170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</row>
    <row r="46" spans="2:29" ht="15.6" x14ac:dyDescent="0.3">
      <c r="B46" s="164"/>
      <c r="D46" s="166"/>
      <c r="E46" s="172"/>
      <c r="F46" s="167"/>
      <c r="G46" s="167"/>
      <c r="H46" s="166"/>
      <c r="I46" s="172"/>
      <c r="J46" s="172"/>
      <c r="K46" s="172"/>
      <c r="L46" s="172"/>
      <c r="M46" s="172"/>
      <c r="N46" s="172"/>
      <c r="O46" s="172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</row>
    <row r="47" spans="2:29" ht="15.6" x14ac:dyDescent="0.3">
      <c r="B47" s="164"/>
      <c r="D47" s="166"/>
      <c r="E47" s="172"/>
      <c r="F47" s="167"/>
      <c r="G47" s="167"/>
      <c r="H47" s="166"/>
      <c r="I47" s="172"/>
      <c r="J47" s="172"/>
      <c r="K47" s="172"/>
      <c r="L47" s="172"/>
      <c r="M47" s="172"/>
      <c r="N47" s="172"/>
      <c r="O47" s="172"/>
      <c r="P47" s="170"/>
      <c r="Q47" s="170"/>
      <c r="R47" s="170"/>
      <c r="S47" s="170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</row>
    <row r="48" spans="2:29" ht="15.6" x14ac:dyDescent="0.3">
      <c r="B48" s="164"/>
      <c r="D48" s="166"/>
      <c r="E48" s="172"/>
      <c r="F48" s="167"/>
      <c r="G48" s="167"/>
      <c r="H48" s="166"/>
      <c r="I48" s="172"/>
      <c r="J48" s="172"/>
      <c r="K48" s="172"/>
      <c r="L48" s="172"/>
      <c r="M48" s="172"/>
      <c r="N48" s="172"/>
      <c r="O48" s="172"/>
      <c r="P48" s="170"/>
      <c r="Q48" s="170"/>
      <c r="R48" s="170"/>
      <c r="S48" s="170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</row>
    <row r="49" spans="2:29" ht="15.6" x14ac:dyDescent="0.3">
      <c r="B49" s="164"/>
      <c r="D49" s="166"/>
      <c r="E49" s="167"/>
      <c r="F49" s="167"/>
      <c r="G49" s="167"/>
      <c r="H49" s="166"/>
      <c r="I49" s="176"/>
      <c r="J49" s="176"/>
      <c r="K49" s="176"/>
      <c r="L49" s="177"/>
      <c r="M49" s="176"/>
      <c r="N49" s="177"/>
      <c r="O49" s="176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</row>
    <row r="50" spans="2:29" ht="15.6" x14ac:dyDescent="0.3">
      <c r="B50" s="164"/>
      <c r="D50" s="178"/>
      <c r="E50" s="179"/>
      <c r="F50" s="167"/>
      <c r="G50" s="167"/>
      <c r="I50" s="167"/>
      <c r="J50" s="167"/>
      <c r="K50" s="167"/>
      <c r="L50" s="167"/>
      <c r="M50" s="167"/>
      <c r="N50" s="167"/>
      <c r="O50" s="167"/>
      <c r="P50" s="180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</row>
    <row r="51" spans="2:29" ht="15.6" x14ac:dyDescent="0.3">
      <c r="B51" s="164"/>
      <c r="D51" s="166"/>
      <c r="E51" s="172"/>
      <c r="F51" s="181"/>
      <c r="G51" s="181"/>
      <c r="H51" s="166"/>
      <c r="I51" s="172"/>
      <c r="J51" s="172"/>
      <c r="K51" s="172"/>
      <c r="L51" s="172"/>
      <c r="M51" s="172"/>
      <c r="N51" s="172"/>
      <c r="O51" s="172"/>
      <c r="P51" s="170"/>
      <c r="Q51" s="170"/>
      <c r="R51" s="170"/>
      <c r="S51" s="170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</row>
    <row r="52" spans="2:29" ht="15.6" x14ac:dyDescent="0.3">
      <c r="B52" s="164"/>
      <c r="D52" s="166"/>
      <c r="E52" s="167"/>
      <c r="F52" s="181"/>
      <c r="G52" s="181"/>
      <c r="H52" s="166"/>
      <c r="I52" s="165"/>
      <c r="J52" s="165"/>
      <c r="K52" s="165"/>
      <c r="L52" s="165"/>
      <c r="M52" s="165"/>
      <c r="N52" s="165"/>
      <c r="O52" s="165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</row>
    <row r="53" spans="2:29" ht="15.6" x14ac:dyDescent="0.3">
      <c r="D53" s="9"/>
      <c r="E53" s="179"/>
      <c r="F53" s="179"/>
      <c r="G53" s="179"/>
      <c r="I53" s="179"/>
      <c r="J53" s="179"/>
      <c r="K53" s="179"/>
      <c r="L53" s="179"/>
      <c r="M53" s="179"/>
      <c r="N53" s="179"/>
      <c r="O53" s="179"/>
      <c r="P53" s="180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</row>
    <row r="54" spans="2:29" ht="15.6" x14ac:dyDescent="0.3">
      <c r="D54" s="9"/>
      <c r="E54" s="179"/>
      <c r="G54" s="179"/>
      <c r="I54" s="179"/>
      <c r="J54" s="179"/>
      <c r="K54" s="179"/>
      <c r="L54" s="179"/>
      <c r="M54" s="179"/>
      <c r="N54" s="179"/>
      <c r="O54" s="179"/>
      <c r="P54" s="180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</row>
    <row r="55" spans="2:29" ht="15.6" x14ac:dyDescent="0.3">
      <c r="D55" s="9"/>
      <c r="E55" s="179"/>
      <c r="F55" s="179"/>
      <c r="G55" s="179"/>
      <c r="I55" s="179"/>
      <c r="J55" s="179"/>
      <c r="K55" s="179"/>
      <c r="L55" s="179"/>
      <c r="M55" s="179"/>
      <c r="N55" s="179"/>
      <c r="O55" s="179"/>
      <c r="P55" s="180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</row>
    <row r="56" spans="2:29" ht="15.6" x14ac:dyDescent="0.3">
      <c r="B56" s="182"/>
      <c r="D56" s="9"/>
      <c r="E56" s="179"/>
      <c r="F56" s="179"/>
      <c r="G56" s="179"/>
      <c r="I56" s="179"/>
      <c r="J56" s="179"/>
      <c r="K56" s="179"/>
      <c r="L56" s="179"/>
      <c r="M56" s="179"/>
      <c r="N56" s="179"/>
      <c r="O56" s="179"/>
      <c r="P56" s="180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</row>
    <row r="57" spans="2:29" ht="15.6" x14ac:dyDescent="0.3">
      <c r="B57" s="182"/>
      <c r="D57" s="9"/>
      <c r="E57" s="179"/>
      <c r="F57" s="179"/>
      <c r="G57" s="179"/>
      <c r="I57" s="179"/>
      <c r="J57" s="179"/>
      <c r="K57" s="179"/>
      <c r="L57" s="179"/>
      <c r="M57" s="179"/>
      <c r="N57" s="179"/>
      <c r="O57" s="179"/>
      <c r="P57" s="180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</row>
    <row r="58" spans="2:29" ht="15.6" x14ac:dyDescent="0.3">
      <c r="B58" s="164"/>
      <c r="D58" s="9"/>
      <c r="E58" s="179"/>
      <c r="F58" s="179"/>
      <c r="G58" s="179"/>
      <c r="I58" s="179"/>
      <c r="J58" s="179"/>
      <c r="K58" s="179"/>
      <c r="L58" s="179"/>
      <c r="M58" s="179"/>
      <c r="N58" s="179"/>
      <c r="O58" s="179"/>
      <c r="P58" s="180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</row>
    <row r="59" spans="2:29" ht="15.6" x14ac:dyDescent="0.3">
      <c r="B59" s="164"/>
      <c r="D59" s="9"/>
      <c r="E59" s="179"/>
      <c r="F59" s="179"/>
      <c r="G59" s="179"/>
      <c r="I59" s="179"/>
      <c r="J59" s="179"/>
      <c r="K59" s="179"/>
      <c r="L59" s="179"/>
      <c r="M59" s="179"/>
      <c r="N59" s="179"/>
      <c r="O59" s="179"/>
      <c r="P59" s="180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</row>
    <row r="60" spans="2:29" ht="15.6" x14ac:dyDescent="0.3">
      <c r="B60" s="164"/>
      <c r="D60" s="9"/>
      <c r="E60" s="179"/>
      <c r="F60" s="179"/>
      <c r="G60" s="179"/>
      <c r="I60" s="179"/>
      <c r="J60" s="179"/>
      <c r="K60" s="179"/>
      <c r="L60" s="179"/>
      <c r="M60" s="179"/>
      <c r="N60" s="179"/>
      <c r="O60" s="179"/>
      <c r="P60" s="180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</row>
    <row r="61" spans="2:29" ht="15.6" x14ac:dyDescent="0.3">
      <c r="B61" s="182"/>
      <c r="D61" s="9"/>
      <c r="E61" s="179"/>
      <c r="F61" s="179"/>
      <c r="G61" s="179"/>
      <c r="I61" s="179"/>
      <c r="J61" s="179"/>
      <c r="K61" s="179"/>
      <c r="L61" s="179"/>
      <c r="M61" s="179"/>
      <c r="N61" s="179"/>
      <c r="O61" s="179"/>
      <c r="P61" s="180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</row>
    <row r="62" spans="2:29" ht="5.0999999999999996" customHeight="1" x14ac:dyDescent="0.3">
      <c r="B62" s="164"/>
      <c r="D62" s="9"/>
      <c r="E62" s="9"/>
      <c r="F62" s="179"/>
      <c r="G62" s="179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3"/>
      <c r="Y62" s="183"/>
      <c r="Z62" s="183"/>
      <c r="AA62" s="183"/>
      <c r="AB62" s="183"/>
      <c r="AC62" s="183"/>
    </row>
  </sheetData>
  <conditionalFormatting sqref="H11:H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P21 P13:P18 P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P62 P57:P6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 P5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Q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Q56 Q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:R56 R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V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:S56 S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S6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47 T42:T4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47 T4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6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20 V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:U4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:U47 U42:U4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:U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:U6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V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:V4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V47 V42:V4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:V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7:V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X4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X43 X4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X4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X6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Y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:Y4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:Y47 Y42:Y4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8:Y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:Y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A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7:Z4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5:Z47 Z42:Z4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Z5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7:Z6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A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:AA4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A47 AA42:AA4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:AA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7:AA6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B4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2:AB43 AB4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6:AB4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8:AB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7:AB6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C11 AB12:AB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:AC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C4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2:AC43 AC4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:AC4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8:AC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:AC6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Cover</vt:lpstr>
      <vt:lpstr>Operating Model</vt:lpstr>
      <vt:lpstr>DCF&gt;&gt;&gt;</vt:lpstr>
      <vt:lpstr>Consolidated DCF</vt:lpstr>
      <vt:lpstr>North America</vt:lpstr>
      <vt:lpstr>International</vt:lpstr>
      <vt:lpstr>AWS</vt:lpstr>
      <vt:lpstr>WACC</vt:lpstr>
      <vt:lpstr>COMPS</vt:lpstr>
      <vt:lpstr>Shares</vt:lpstr>
      <vt:lpstr>FS&gt;&gt;</vt:lpstr>
      <vt:lpstr>Segment data</vt:lpstr>
      <vt:lpstr>CSF</vt:lpstr>
      <vt:lpstr>IS</vt:lpstr>
      <vt:lpstr>Assumptions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Bhardwaj</dc:creator>
  <cp:lastModifiedBy>Siddhant Bhardwaj</cp:lastModifiedBy>
  <dcterms:created xsi:type="dcterms:W3CDTF">2025-08-02T14:02:56Z</dcterms:created>
  <dcterms:modified xsi:type="dcterms:W3CDTF">2025-09-14T22:14:02Z</dcterms:modified>
</cp:coreProperties>
</file>