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530E5BB4-850B-4067-B05B-BB34C4B05E09}" xr6:coauthVersionLast="47" xr6:coauthVersionMax="47" xr10:uidLastSave="{00000000-0000-0000-0000-000000000000}"/>
  <bookViews>
    <workbookView xWindow="-108" yWindow="-108" windowWidth="23256" windowHeight="12456" activeTab="2" xr2:uid="{61A3660C-8C92-4FCC-8AE0-D0679895B17C}"/>
  </bookViews>
  <sheets>
    <sheet name="Cover" sheetId="7" r:id="rId1"/>
    <sheet name="Summary" sheetId="9" r:id="rId2"/>
    <sheet name="DCF" sheetId="1" r:id="rId3"/>
    <sheet name="Senstivity analysis" sheetId="12" state="hidden" r:id="rId4"/>
    <sheet name="database" sheetId="11" state="hidden" r:id="rId5"/>
    <sheet name="Charts" sheetId="8" state="hidden" r:id="rId6"/>
    <sheet name="WACC" sheetId="5" r:id="rId7"/>
    <sheet name="ESTIMATES" sheetId="4" r:id="rId8"/>
    <sheet name="CFS" sheetId="3" r:id="rId9"/>
    <sheet name="IS" sheetId="2" r:id="rId10"/>
  </sheets>
  <definedNames>
    <definedName name="TGR">DCF!$D$20</definedName>
    <definedName name="WACC">DCF!$D$19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2" l="1"/>
  <c r="E248" i="11"/>
  <c r="D248" i="11"/>
  <c r="C248" i="11"/>
  <c r="B248" i="11"/>
  <c r="E247" i="11"/>
  <c r="D247" i="11"/>
  <c r="C247" i="11"/>
  <c r="B247" i="11"/>
  <c r="E246" i="11"/>
  <c r="D246" i="11"/>
  <c r="C246" i="11"/>
  <c r="B246" i="11"/>
  <c r="E245" i="11"/>
  <c r="D245" i="11"/>
  <c r="C245" i="11"/>
  <c r="B245" i="11"/>
  <c r="E244" i="11"/>
  <c r="D244" i="11"/>
  <c r="C244" i="11"/>
  <c r="B244" i="11"/>
  <c r="E243" i="11"/>
  <c r="D243" i="11"/>
  <c r="C243" i="11"/>
  <c r="B243" i="11"/>
  <c r="E242" i="11"/>
  <c r="D242" i="11"/>
  <c r="C242" i="11"/>
  <c r="B242" i="11"/>
  <c r="E241" i="11"/>
  <c r="D241" i="11"/>
  <c r="C241" i="11"/>
  <c r="B241" i="11"/>
  <c r="E240" i="11"/>
  <c r="D240" i="11"/>
  <c r="C240" i="11"/>
  <c r="B240" i="11"/>
  <c r="E239" i="11"/>
  <c r="D239" i="11"/>
  <c r="C239" i="11"/>
  <c r="B239" i="11"/>
  <c r="E238" i="11"/>
  <c r="D238" i="11"/>
  <c r="C238" i="11"/>
  <c r="B238" i="11"/>
  <c r="E237" i="11"/>
  <c r="D237" i="11"/>
  <c r="C237" i="11"/>
  <c r="B237" i="11"/>
  <c r="E236" i="11"/>
  <c r="D236" i="11"/>
  <c r="C236" i="11"/>
  <c r="B236" i="11"/>
  <c r="E235" i="11"/>
  <c r="D235" i="11"/>
  <c r="C235" i="11"/>
  <c r="B235" i="11"/>
  <c r="E234" i="11"/>
  <c r="D234" i="11"/>
  <c r="C234" i="11"/>
  <c r="B234" i="11"/>
  <c r="E233" i="11"/>
  <c r="D233" i="11"/>
  <c r="C233" i="11"/>
  <c r="B233" i="11"/>
  <c r="E232" i="11"/>
  <c r="D232" i="11"/>
  <c r="C232" i="11"/>
  <c r="B232" i="11"/>
  <c r="E231" i="11"/>
  <c r="D231" i="11"/>
  <c r="C231" i="11"/>
  <c r="B231" i="11"/>
  <c r="E230" i="11"/>
  <c r="D230" i="11"/>
  <c r="C230" i="11"/>
  <c r="B230" i="11"/>
  <c r="E229" i="11"/>
  <c r="D229" i="11"/>
  <c r="C229" i="11"/>
  <c r="B229" i="11"/>
  <c r="E228" i="11"/>
  <c r="D228" i="11"/>
  <c r="C228" i="11"/>
  <c r="B228" i="11"/>
  <c r="E227" i="11"/>
  <c r="D227" i="11"/>
  <c r="C227" i="11"/>
  <c r="B227" i="11"/>
  <c r="E226" i="11"/>
  <c r="D226" i="11"/>
  <c r="C226" i="11"/>
  <c r="B226" i="11"/>
  <c r="E225" i="11"/>
  <c r="D225" i="11"/>
  <c r="C225" i="11"/>
  <c r="B225" i="11"/>
  <c r="E224" i="11"/>
  <c r="D224" i="11"/>
  <c r="C224" i="11"/>
  <c r="B224" i="11"/>
  <c r="E223" i="11"/>
  <c r="D223" i="11"/>
  <c r="C223" i="11"/>
  <c r="B223" i="11"/>
  <c r="E222" i="11"/>
  <c r="D222" i="11"/>
  <c r="C222" i="11"/>
  <c r="B222" i="11"/>
  <c r="E221" i="11"/>
  <c r="D221" i="11"/>
  <c r="C221" i="11"/>
  <c r="B221" i="11"/>
  <c r="E220" i="11"/>
  <c r="D220" i="11"/>
  <c r="C220" i="11"/>
  <c r="B220" i="11"/>
  <c r="E219" i="11"/>
  <c r="D219" i="11"/>
  <c r="C219" i="11"/>
  <c r="B219" i="11"/>
  <c r="E218" i="11"/>
  <c r="D218" i="11"/>
  <c r="C218" i="11"/>
  <c r="B218" i="11"/>
  <c r="E217" i="11"/>
  <c r="D217" i="11"/>
  <c r="C217" i="11"/>
  <c r="B217" i="11"/>
  <c r="E216" i="11"/>
  <c r="D216" i="11"/>
  <c r="C216" i="11"/>
  <c r="B216" i="11"/>
  <c r="E215" i="11"/>
  <c r="D215" i="11"/>
  <c r="C215" i="11"/>
  <c r="B215" i="11"/>
  <c r="E214" i="11"/>
  <c r="D214" i="11"/>
  <c r="C214" i="11"/>
  <c r="B214" i="11"/>
  <c r="E213" i="11"/>
  <c r="D213" i="11"/>
  <c r="C213" i="11"/>
  <c r="B213" i="11"/>
  <c r="E212" i="11"/>
  <c r="D212" i="11"/>
  <c r="C212" i="11"/>
  <c r="B212" i="11"/>
  <c r="E211" i="11"/>
  <c r="D211" i="11"/>
  <c r="C211" i="11"/>
  <c r="B211" i="11"/>
  <c r="E210" i="11"/>
  <c r="D210" i="11"/>
  <c r="C210" i="11"/>
  <c r="B210" i="11"/>
  <c r="E209" i="11"/>
  <c r="D209" i="11"/>
  <c r="C209" i="11"/>
  <c r="B209" i="11"/>
  <c r="E208" i="11"/>
  <c r="D208" i="11"/>
  <c r="C208" i="11"/>
  <c r="B208" i="11"/>
  <c r="E207" i="11"/>
  <c r="D207" i="11"/>
  <c r="C207" i="11"/>
  <c r="B207" i="11"/>
  <c r="E206" i="11"/>
  <c r="D206" i="11"/>
  <c r="C206" i="11"/>
  <c r="B206" i="11"/>
  <c r="E205" i="11"/>
  <c r="D205" i="11"/>
  <c r="C205" i="11"/>
  <c r="B205" i="11"/>
  <c r="E204" i="11"/>
  <c r="D204" i="11"/>
  <c r="C204" i="11"/>
  <c r="B204" i="11"/>
  <c r="E203" i="11"/>
  <c r="D203" i="11"/>
  <c r="C203" i="11"/>
  <c r="B203" i="11"/>
  <c r="E202" i="11"/>
  <c r="D202" i="11"/>
  <c r="C202" i="11"/>
  <c r="B202" i="11"/>
  <c r="E201" i="11"/>
  <c r="D201" i="11"/>
  <c r="C201" i="11"/>
  <c r="B201" i="11"/>
  <c r="E200" i="11"/>
  <c r="D200" i="11"/>
  <c r="C200" i="11"/>
  <c r="B200" i="11"/>
  <c r="E199" i="11"/>
  <c r="D199" i="11"/>
  <c r="C199" i="11"/>
  <c r="B199" i="11"/>
  <c r="E198" i="11"/>
  <c r="D198" i="11"/>
  <c r="C198" i="11"/>
  <c r="B198" i="11"/>
  <c r="E197" i="11"/>
  <c r="D197" i="11"/>
  <c r="C197" i="11"/>
  <c r="B197" i="11"/>
  <c r="E196" i="11"/>
  <c r="D196" i="11"/>
  <c r="C196" i="11"/>
  <c r="B196" i="11"/>
  <c r="E195" i="11"/>
  <c r="D195" i="11"/>
  <c r="C195" i="11"/>
  <c r="B195" i="11"/>
  <c r="E194" i="11"/>
  <c r="D194" i="11"/>
  <c r="C194" i="11"/>
  <c r="B194" i="11"/>
  <c r="E193" i="11"/>
  <c r="D193" i="11"/>
  <c r="C193" i="11"/>
  <c r="B193" i="11"/>
  <c r="E192" i="11"/>
  <c r="D192" i="11"/>
  <c r="C192" i="11"/>
  <c r="B192" i="11"/>
  <c r="E191" i="11"/>
  <c r="D191" i="11"/>
  <c r="C191" i="11"/>
  <c r="B191" i="11"/>
  <c r="E190" i="11"/>
  <c r="D190" i="11"/>
  <c r="C190" i="11"/>
  <c r="B190" i="11"/>
  <c r="E189" i="11"/>
  <c r="D189" i="11"/>
  <c r="C189" i="11"/>
  <c r="B189" i="11"/>
  <c r="E188" i="11"/>
  <c r="D188" i="11"/>
  <c r="C188" i="11"/>
  <c r="B188" i="11"/>
  <c r="E187" i="11"/>
  <c r="D187" i="11"/>
  <c r="C187" i="11"/>
  <c r="B187" i="11"/>
  <c r="E186" i="11"/>
  <c r="D186" i="11"/>
  <c r="C186" i="11"/>
  <c r="B186" i="11"/>
  <c r="E185" i="11"/>
  <c r="D185" i="11"/>
  <c r="C185" i="11"/>
  <c r="B185" i="11"/>
  <c r="E184" i="11"/>
  <c r="D184" i="11"/>
  <c r="C184" i="11"/>
  <c r="B184" i="11"/>
  <c r="E183" i="11"/>
  <c r="D183" i="11"/>
  <c r="C183" i="11"/>
  <c r="B183" i="11"/>
  <c r="E182" i="11"/>
  <c r="D182" i="11"/>
  <c r="C182" i="11"/>
  <c r="B182" i="11"/>
  <c r="E181" i="11"/>
  <c r="D181" i="11"/>
  <c r="C181" i="11"/>
  <c r="B181" i="11"/>
  <c r="E180" i="11"/>
  <c r="D180" i="11"/>
  <c r="C180" i="11"/>
  <c r="B180" i="11"/>
  <c r="E179" i="11"/>
  <c r="D179" i="11"/>
  <c r="C179" i="11"/>
  <c r="B179" i="11"/>
  <c r="E178" i="11"/>
  <c r="D178" i="11"/>
  <c r="C178" i="11"/>
  <c r="B178" i="11"/>
  <c r="E177" i="11"/>
  <c r="D177" i="11"/>
  <c r="C177" i="11"/>
  <c r="B177" i="11"/>
  <c r="E176" i="11"/>
  <c r="D176" i="11"/>
  <c r="C176" i="11"/>
  <c r="B176" i="11"/>
  <c r="E175" i="11"/>
  <c r="D175" i="11"/>
  <c r="C175" i="11"/>
  <c r="B175" i="11"/>
  <c r="E174" i="11"/>
  <c r="D174" i="11"/>
  <c r="C174" i="11"/>
  <c r="B174" i="11"/>
  <c r="E173" i="11"/>
  <c r="D173" i="11"/>
  <c r="C173" i="11"/>
  <c r="B173" i="11"/>
  <c r="E172" i="11"/>
  <c r="D172" i="11"/>
  <c r="C172" i="11"/>
  <c r="B172" i="11"/>
  <c r="E171" i="11"/>
  <c r="D171" i="11"/>
  <c r="C171" i="11"/>
  <c r="B171" i="11"/>
  <c r="E170" i="11"/>
  <c r="D170" i="11"/>
  <c r="C170" i="11"/>
  <c r="B170" i="11"/>
  <c r="E169" i="11"/>
  <c r="D169" i="11"/>
  <c r="C169" i="11"/>
  <c r="B169" i="11"/>
  <c r="E168" i="11"/>
  <c r="D168" i="11"/>
  <c r="C168" i="11"/>
  <c r="B168" i="11"/>
  <c r="E167" i="11"/>
  <c r="D167" i="11"/>
  <c r="C167" i="11"/>
  <c r="B167" i="11"/>
  <c r="E166" i="11"/>
  <c r="D166" i="11"/>
  <c r="C166" i="11"/>
  <c r="B166" i="11"/>
  <c r="E165" i="11"/>
  <c r="D165" i="11"/>
  <c r="C165" i="11"/>
  <c r="B165" i="11"/>
  <c r="E164" i="11"/>
  <c r="D164" i="11"/>
  <c r="C164" i="11"/>
  <c r="B164" i="11"/>
  <c r="E163" i="11"/>
  <c r="D163" i="11"/>
  <c r="C163" i="11"/>
  <c r="B163" i="11"/>
  <c r="E162" i="11"/>
  <c r="D162" i="11"/>
  <c r="C162" i="11"/>
  <c r="B162" i="11"/>
  <c r="E161" i="11"/>
  <c r="D161" i="11"/>
  <c r="C161" i="11"/>
  <c r="B161" i="11"/>
  <c r="E160" i="11"/>
  <c r="D160" i="11"/>
  <c r="C160" i="11"/>
  <c r="B160" i="11"/>
  <c r="E159" i="11"/>
  <c r="D159" i="11"/>
  <c r="C159" i="11"/>
  <c r="B159" i="11"/>
  <c r="E158" i="11"/>
  <c r="D158" i="11"/>
  <c r="C158" i="11"/>
  <c r="B158" i="11"/>
  <c r="E157" i="11"/>
  <c r="D157" i="11"/>
  <c r="C157" i="11"/>
  <c r="B157" i="11"/>
  <c r="E156" i="11"/>
  <c r="D156" i="11"/>
  <c r="C156" i="11"/>
  <c r="B156" i="11"/>
  <c r="E155" i="11"/>
  <c r="D155" i="11"/>
  <c r="C155" i="11"/>
  <c r="B155" i="11"/>
  <c r="E154" i="11"/>
  <c r="D154" i="11"/>
  <c r="C154" i="11"/>
  <c r="B154" i="11"/>
  <c r="E153" i="11"/>
  <c r="D153" i="11"/>
  <c r="C153" i="11"/>
  <c r="B153" i="11"/>
  <c r="E152" i="11"/>
  <c r="D152" i="11"/>
  <c r="C152" i="11"/>
  <c r="B152" i="11"/>
  <c r="E151" i="11"/>
  <c r="D151" i="11"/>
  <c r="C151" i="11"/>
  <c r="B151" i="11"/>
  <c r="E150" i="11"/>
  <c r="D150" i="11"/>
  <c r="C150" i="11"/>
  <c r="B150" i="11"/>
  <c r="E149" i="11"/>
  <c r="D149" i="11"/>
  <c r="C149" i="11"/>
  <c r="B149" i="11"/>
  <c r="E148" i="11"/>
  <c r="D148" i="11"/>
  <c r="C148" i="11"/>
  <c r="B148" i="11"/>
  <c r="E147" i="11"/>
  <c r="D147" i="11"/>
  <c r="C147" i="11"/>
  <c r="B147" i="11"/>
  <c r="E146" i="11"/>
  <c r="D146" i="11"/>
  <c r="C146" i="11"/>
  <c r="B146" i="11"/>
  <c r="E145" i="11"/>
  <c r="D145" i="11"/>
  <c r="C145" i="11"/>
  <c r="B145" i="11"/>
  <c r="E144" i="11"/>
  <c r="D144" i="11"/>
  <c r="C144" i="11"/>
  <c r="B144" i="11"/>
  <c r="E143" i="11"/>
  <c r="D143" i="11"/>
  <c r="C143" i="11"/>
  <c r="B143" i="11"/>
  <c r="E142" i="11"/>
  <c r="D142" i="11"/>
  <c r="C142" i="11"/>
  <c r="B142" i="11"/>
  <c r="E141" i="11"/>
  <c r="D141" i="11"/>
  <c r="C141" i="11"/>
  <c r="B141" i="11"/>
  <c r="E140" i="11"/>
  <c r="D140" i="11"/>
  <c r="C140" i="11"/>
  <c r="B140" i="11"/>
  <c r="E139" i="11"/>
  <c r="D139" i="11"/>
  <c r="C139" i="11"/>
  <c r="B139" i="11"/>
  <c r="E138" i="11"/>
  <c r="D138" i="11"/>
  <c r="C138" i="11"/>
  <c r="B138" i="11"/>
  <c r="E137" i="11"/>
  <c r="D137" i="11"/>
  <c r="C137" i="11"/>
  <c r="B137" i="11"/>
  <c r="E136" i="11"/>
  <c r="D136" i="11"/>
  <c r="C136" i="11"/>
  <c r="B136" i="11"/>
  <c r="E135" i="11"/>
  <c r="D135" i="11"/>
  <c r="C135" i="11"/>
  <c r="B135" i="11"/>
  <c r="E134" i="11"/>
  <c r="D134" i="11"/>
  <c r="C134" i="11"/>
  <c r="B134" i="11"/>
  <c r="E133" i="11"/>
  <c r="D133" i="11"/>
  <c r="C133" i="11"/>
  <c r="B133" i="11"/>
  <c r="E132" i="11"/>
  <c r="D132" i="11"/>
  <c r="C132" i="11"/>
  <c r="B132" i="11"/>
  <c r="E131" i="11"/>
  <c r="D131" i="11"/>
  <c r="C131" i="11"/>
  <c r="B131" i="11"/>
  <c r="E130" i="11"/>
  <c r="D130" i="11"/>
  <c r="C130" i="11"/>
  <c r="B130" i="11"/>
  <c r="E129" i="11"/>
  <c r="D129" i="11"/>
  <c r="C129" i="11"/>
  <c r="B129" i="11"/>
  <c r="E128" i="11"/>
  <c r="D128" i="11"/>
  <c r="C128" i="11"/>
  <c r="B128" i="11"/>
  <c r="E127" i="11"/>
  <c r="D127" i="11"/>
  <c r="C127" i="11"/>
  <c r="B127" i="11"/>
  <c r="E126" i="11"/>
  <c r="D126" i="11"/>
  <c r="C126" i="11"/>
  <c r="B126" i="11"/>
  <c r="E125" i="11"/>
  <c r="D125" i="11"/>
  <c r="C125" i="11"/>
  <c r="B125" i="11"/>
  <c r="E124" i="11"/>
  <c r="D124" i="11"/>
  <c r="C124" i="11"/>
  <c r="B124" i="11"/>
  <c r="E123" i="11"/>
  <c r="D123" i="11"/>
  <c r="C123" i="11"/>
  <c r="B123" i="11"/>
  <c r="E122" i="11"/>
  <c r="D122" i="11"/>
  <c r="C122" i="11"/>
  <c r="B122" i="11"/>
  <c r="E121" i="11"/>
  <c r="D121" i="11"/>
  <c r="C121" i="11"/>
  <c r="B121" i="11"/>
  <c r="E120" i="11"/>
  <c r="D120" i="11"/>
  <c r="C120" i="11"/>
  <c r="B120" i="11"/>
  <c r="E119" i="11"/>
  <c r="D119" i="11"/>
  <c r="C119" i="11"/>
  <c r="B119" i="11"/>
  <c r="E118" i="11"/>
  <c r="D118" i="11"/>
  <c r="C118" i="11"/>
  <c r="B118" i="11"/>
  <c r="E117" i="11"/>
  <c r="D117" i="11"/>
  <c r="C117" i="11"/>
  <c r="B117" i="11"/>
  <c r="E116" i="11"/>
  <c r="D116" i="11"/>
  <c r="C116" i="11"/>
  <c r="B116" i="11"/>
  <c r="E115" i="11"/>
  <c r="D115" i="11"/>
  <c r="C115" i="11"/>
  <c r="B115" i="11"/>
  <c r="E114" i="11"/>
  <c r="D114" i="11"/>
  <c r="C114" i="11"/>
  <c r="B114" i="11"/>
  <c r="E113" i="11"/>
  <c r="D113" i="11"/>
  <c r="C113" i="11"/>
  <c r="B113" i="11"/>
  <c r="E112" i="11"/>
  <c r="D112" i="11"/>
  <c r="C112" i="11"/>
  <c r="B112" i="11"/>
  <c r="E111" i="11"/>
  <c r="D111" i="11"/>
  <c r="C111" i="11"/>
  <c r="B111" i="11"/>
  <c r="E110" i="11"/>
  <c r="D110" i="11"/>
  <c r="C110" i="11"/>
  <c r="B110" i="11"/>
  <c r="E109" i="11"/>
  <c r="D109" i="11"/>
  <c r="C109" i="11"/>
  <c r="B109" i="11"/>
  <c r="E108" i="11"/>
  <c r="D108" i="11"/>
  <c r="C108" i="11"/>
  <c r="B108" i="11"/>
  <c r="E107" i="11"/>
  <c r="D107" i="11"/>
  <c r="C107" i="11"/>
  <c r="B107" i="11"/>
  <c r="E106" i="11"/>
  <c r="D106" i="11"/>
  <c r="C106" i="11"/>
  <c r="B106" i="11"/>
  <c r="E105" i="11"/>
  <c r="D105" i="11"/>
  <c r="C105" i="11"/>
  <c r="B105" i="11"/>
  <c r="E104" i="11"/>
  <c r="D104" i="11"/>
  <c r="C104" i="11"/>
  <c r="B104" i="11"/>
  <c r="E103" i="11"/>
  <c r="D103" i="11"/>
  <c r="C103" i="11"/>
  <c r="B103" i="11"/>
  <c r="E102" i="11"/>
  <c r="D102" i="11"/>
  <c r="C102" i="11"/>
  <c r="B102" i="11"/>
  <c r="E101" i="11"/>
  <c r="D101" i="11"/>
  <c r="C101" i="11"/>
  <c r="B101" i="11"/>
  <c r="E100" i="11"/>
  <c r="D100" i="11"/>
  <c r="C100" i="11"/>
  <c r="B100" i="11"/>
  <c r="E99" i="11"/>
  <c r="D99" i="11"/>
  <c r="C99" i="11"/>
  <c r="B99" i="11"/>
  <c r="E98" i="11"/>
  <c r="D98" i="11"/>
  <c r="C98" i="11"/>
  <c r="B98" i="11"/>
  <c r="E97" i="11"/>
  <c r="D97" i="11"/>
  <c r="C97" i="11"/>
  <c r="B97" i="11"/>
  <c r="E96" i="11"/>
  <c r="D96" i="11"/>
  <c r="C96" i="11"/>
  <c r="B96" i="11"/>
  <c r="E95" i="11"/>
  <c r="D95" i="11"/>
  <c r="C95" i="11"/>
  <c r="B95" i="11"/>
  <c r="E94" i="11"/>
  <c r="D94" i="11"/>
  <c r="C94" i="11"/>
  <c r="B94" i="11"/>
  <c r="E93" i="11"/>
  <c r="D93" i="11"/>
  <c r="C93" i="11"/>
  <c r="B93" i="11"/>
  <c r="E92" i="11"/>
  <c r="D92" i="11"/>
  <c r="C92" i="11"/>
  <c r="B92" i="11"/>
  <c r="E91" i="11"/>
  <c r="D91" i="11"/>
  <c r="C91" i="11"/>
  <c r="B91" i="11"/>
  <c r="E90" i="11"/>
  <c r="D90" i="11"/>
  <c r="C90" i="11"/>
  <c r="B90" i="11"/>
  <c r="E89" i="11"/>
  <c r="D89" i="11"/>
  <c r="C89" i="11"/>
  <c r="B89" i="11"/>
  <c r="E88" i="11"/>
  <c r="D88" i="11"/>
  <c r="C88" i="11"/>
  <c r="B88" i="11"/>
  <c r="E87" i="11"/>
  <c r="D87" i="11"/>
  <c r="C87" i="11"/>
  <c r="B87" i="11"/>
  <c r="E86" i="11"/>
  <c r="D86" i="11"/>
  <c r="C86" i="11"/>
  <c r="B86" i="11"/>
  <c r="E85" i="11"/>
  <c r="D85" i="11"/>
  <c r="C85" i="11"/>
  <c r="B85" i="11"/>
  <c r="E84" i="11"/>
  <c r="D84" i="11"/>
  <c r="C84" i="11"/>
  <c r="B84" i="11"/>
  <c r="E83" i="11"/>
  <c r="D83" i="11"/>
  <c r="C83" i="11"/>
  <c r="B83" i="11"/>
  <c r="E82" i="11"/>
  <c r="D82" i="11"/>
  <c r="C82" i="11"/>
  <c r="B82" i="11"/>
  <c r="E81" i="11"/>
  <c r="D81" i="11"/>
  <c r="C81" i="11"/>
  <c r="B81" i="11"/>
  <c r="E80" i="11"/>
  <c r="D80" i="11"/>
  <c r="C80" i="11"/>
  <c r="B80" i="11"/>
  <c r="E79" i="11"/>
  <c r="D79" i="11"/>
  <c r="C79" i="11"/>
  <c r="B79" i="11"/>
  <c r="E78" i="11"/>
  <c r="D78" i="11"/>
  <c r="C78" i="11"/>
  <c r="B78" i="11"/>
  <c r="E77" i="11"/>
  <c r="D77" i="11"/>
  <c r="C77" i="11"/>
  <c r="B77" i="11"/>
  <c r="E76" i="11"/>
  <c r="D76" i="11"/>
  <c r="C76" i="11"/>
  <c r="B76" i="11"/>
  <c r="E75" i="11"/>
  <c r="D75" i="11"/>
  <c r="C75" i="11"/>
  <c r="B75" i="11"/>
  <c r="E74" i="11"/>
  <c r="D74" i="11"/>
  <c r="C74" i="11"/>
  <c r="B74" i="11"/>
  <c r="E73" i="11"/>
  <c r="D73" i="11"/>
  <c r="C73" i="11"/>
  <c r="B73" i="11"/>
  <c r="E72" i="11"/>
  <c r="D72" i="11"/>
  <c r="C72" i="11"/>
  <c r="B72" i="11"/>
  <c r="E71" i="11"/>
  <c r="D71" i="11"/>
  <c r="C71" i="11"/>
  <c r="B71" i="11"/>
  <c r="E70" i="11"/>
  <c r="D70" i="11"/>
  <c r="C70" i="11"/>
  <c r="B70" i="11"/>
  <c r="E69" i="11"/>
  <c r="D69" i="11"/>
  <c r="C69" i="11"/>
  <c r="B69" i="11"/>
  <c r="E68" i="11"/>
  <c r="D68" i="11"/>
  <c r="C68" i="11"/>
  <c r="B68" i="11"/>
  <c r="E67" i="11"/>
  <c r="D67" i="11"/>
  <c r="C67" i="11"/>
  <c r="B67" i="11"/>
  <c r="E66" i="11"/>
  <c r="D66" i="11"/>
  <c r="C66" i="11"/>
  <c r="B66" i="11"/>
  <c r="E65" i="11"/>
  <c r="D65" i="11"/>
  <c r="C65" i="11"/>
  <c r="B65" i="11"/>
  <c r="E64" i="11"/>
  <c r="D64" i="11"/>
  <c r="C64" i="11"/>
  <c r="B64" i="11"/>
  <c r="E63" i="11"/>
  <c r="D63" i="11"/>
  <c r="C63" i="11"/>
  <c r="B63" i="11"/>
  <c r="E62" i="11"/>
  <c r="D62" i="11"/>
  <c r="C62" i="11"/>
  <c r="B62" i="11"/>
  <c r="E61" i="11"/>
  <c r="D61" i="11"/>
  <c r="C61" i="11"/>
  <c r="B61" i="11"/>
  <c r="E60" i="11"/>
  <c r="D60" i="11"/>
  <c r="C60" i="11"/>
  <c r="B60" i="11"/>
  <c r="E59" i="11"/>
  <c r="D59" i="11"/>
  <c r="C59" i="11"/>
  <c r="B59" i="11"/>
  <c r="E58" i="11"/>
  <c r="D58" i="11"/>
  <c r="C58" i="11"/>
  <c r="B58" i="11"/>
  <c r="E57" i="11"/>
  <c r="D57" i="11"/>
  <c r="C57" i="11"/>
  <c r="B57" i="11"/>
  <c r="E56" i="11"/>
  <c r="D56" i="11"/>
  <c r="C56" i="11"/>
  <c r="B56" i="11"/>
  <c r="E55" i="11"/>
  <c r="D55" i="11"/>
  <c r="C55" i="11"/>
  <c r="B55" i="11"/>
  <c r="E54" i="11"/>
  <c r="D54" i="11"/>
  <c r="C54" i="11"/>
  <c r="B54" i="11"/>
  <c r="E53" i="11"/>
  <c r="D53" i="11"/>
  <c r="C53" i="11"/>
  <c r="B53" i="11"/>
  <c r="E52" i="11"/>
  <c r="D52" i="11"/>
  <c r="C52" i="11"/>
  <c r="B52" i="11"/>
  <c r="E51" i="11"/>
  <c r="D51" i="11"/>
  <c r="C51" i="11"/>
  <c r="B51" i="11"/>
  <c r="E50" i="11"/>
  <c r="D50" i="11"/>
  <c r="C50" i="11"/>
  <c r="B50" i="11"/>
  <c r="E49" i="11"/>
  <c r="D49" i="11"/>
  <c r="C49" i="11"/>
  <c r="B49" i="11"/>
  <c r="E48" i="11"/>
  <c r="D48" i="11"/>
  <c r="C48" i="11"/>
  <c r="B48" i="11"/>
  <c r="E47" i="11"/>
  <c r="D47" i="11"/>
  <c r="C47" i="11"/>
  <c r="B47" i="11"/>
  <c r="E46" i="11"/>
  <c r="D46" i="11"/>
  <c r="C46" i="11"/>
  <c r="B46" i="11"/>
  <c r="E45" i="11"/>
  <c r="D45" i="11"/>
  <c r="C45" i="11"/>
  <c r="B45" i="11"/>
  <c r="E44" i="11"/>
  <c r="D44" i="11"/>
  <c r="C44" i="11"/>
  <c r="B44" i="11"/>
  <c r="E43" i="11"/>
  <c r="D43" i="11"/>
  <c r="C43" i="11"/>
  <c r="B43" i="11"/>
  <c r="E42" i="11"/>
  <c r="D42" i="11"/>
  <c r="C42" i="11"/>
  <c r="B42" i="11"/>
  <c r="E41" i="11"/>
  <c r="D41" i="11"/>
  <c r="C41" i="11"/>
  <c r="B41" i="11"/>
  <c r="E40" i="11"/>
  <c r="D40" i="11"/>
  <c r="C40" i="11"/>
  <c r="B40" i="11"/>
  <c r="E39" i="11"/>
  <c r="D39" i="11"/>
  <c r="C39" i="11"/>
  <c r="B39" i="11"/>
  <c r="E38" i="11"/>
  <c r="D38" i="11"/>
  <c r="C38" i="11"/>
  <c r="B38" i="11"/>
  <c r="E37" i="11"/>
  <c r="D37" i="11"/>
  <c r="C37" i="11"/>
  <c r="B37" i="11"/>
  <c r="E36" i="11"/>
  <c r="D36" i="11"/>
  <c r="C36" i="11"/>
  <c r="B36" i="11"/>
  <c r="E35" i="11"/>
  <c r="D35" i="11"/>
  <c r="C35" i="11"/>
  <c r="B35" i="11"/>
  <c r="E34" i="11"/>
  <c r="D34" i="11"/>
  <c r="C34" i="11"/>
  <c r="B34" i="11"/>
  <c r="E33" i="11"/>
  <c r="D33" i="11"/>
  <c r="C33" i="11"/>
  <c r="B33" i="11"/>
  <c r="E32" i="11"/>
  <c r="D32" i="11"/>
  <c r="C32" i="11"/>
  <c r="B32" i="11"/>
  <c r="E31" i="11"/>
  <c r="D31" i="11"/>
  <c r="C31" i="11"/>
  <c r="B31" i="11"/>
  <c r="E30" i="11"/>
  <c r="D30" i="11"/>
  <c r="C30" i="11"/>
  <c r="B30" i="11"/>
  <c r="E29" i="11"/>
  <c r="D29" i="11"/>
  <c r="C29" i="11"/>
  <c r="B29" i="11"/>
  <c r="E28" i="11"/>
  <c r="D28" i="11"/>
  <c r="C28" i="11"/>
  <c r="B28" i="11"/>
  <c r="E27" i="11"/>
  <c r="D27" i="11"/>
  <c r="C27" i="11"/>
  <c r="B27" i="11"/>
  <c r="E26" i="11"/>
  <c r="D26" i="11"/>
  <c r="C26" i="11"/>
  <c r="B26" i="11"/>
  <c r="E25" i="11"/>
  <c r="D25" i="11"/>
  <c r="C25" i="11"/>
  <c r="B25" i="11"/>
  <c r="E24" i="11"/>
  <c r="D24" i="11"/>
  <c r="C24" i="11"/>
  <c r="B24" i="11"/>
  <c r="E23" i="11"/>
  <c r="D23" i="11"/>
  <c r="C23" i="11"/>
  <c r="B23" i="11"/>
  <c r="E22" i="11"/>
  <c r="D22" i="11"/>
  <c r="C22" i="11"/>
  <c r="B22" i="11"/>
  <c r="E21" i="11"/>
  <c r="D21" i="11"/>
  <c r="C21" i="11"/>
  <c r="B21" i="11"/>
  <c r="E20" i="11"/>
  <c r="D20" i="11"/>
  <c r="C20" i="11"/>
  <c r="B20" i="11"/>
  <c r="E19" i="11"/>
  <c r="D19" i="11"/>
  <c r="C19" i="11"/>
  <c r="B19" i="11"/>
  <c r="E18" i="11"/>
  <c r="D18" i="11"/>
  <c r="C18" i="11"/>
  <c r="B18" i="11"/>
  <c r="E17" i="11"/>
  <c r="D17" i="11"/>
  <c r="C17" i="11"/>
  <c r="B17" i="11"/>
  <c r="E16" i="11"/>
  <c r="D16" i="11"/>
  <c r="C16" i="11"/>
  <c r="B16" i="11"/>
  <c r="E15" i="11"/>
  <c r="D15" i="11"/>
  <c r="C15" i="11"/>
  <c r="B15" i="11"/>
  <c r="E14" i="11"/>
  <c r="D14" i="11"/>
  <c r="C14" i="11"/>
  <c r="B14" i="11"/>
  <c r="E13" i="11"/>
  <c r="D13" i="11"/>
  <c r="C13" i="11"/>
  <c r="B13" i="11"/>
  <c r="E12" i="11"/>
  <c r="D12" i="11"/>
  <c r="C12" i="11"/>
  <c r="B12" i="11"/>
  <c r="E11" i="11"/>
  <c r="D11" i="11"/>
  <c r="C11" i="11"/>
  <c r="B11" i="11"/>
  <c r="E10" i="11"/>
  <c r="D10" i="11"/>
  <c r="C10" i="11"/>
  <c r="B10" i="11"/>
  <c r="E9" i="11"/>
  <c r="D9" i="11"/>
  <c r="C9" i="11"/>
  <c r="B9" i="11"/>
  <c r="E8" i="11"/>
  <c r="D8" i="11"/>
  <c r="C8" i="11"/>
  <c r="B8" i="11"/>
  <c r="E7" i="11"/>
  <c r="D7" i="11"/>
  <c r="C7" i="11"/>
  <c r="B7" i="11"/>
  <c r="E6" i="11"/>
  <c r="D6" i="11"/>
  <c r="C6" i="11"/>
  <c r="B6" i="11"/>
  <c r="E5" i="11"/>
  <c r="D5" i="11"/>
  <c r="C5" i="11"/>
  <c r="B5" i="11"/>
  <c r="E4" i="11"/>
  <c r="D4" i="11"/>
  <c r="C4" i="11"/>
  <c r="B4" i="11"/>
  <c r="E3" i="11"/>
  <c r="D3" i="11"/>
  <c r="C3" i="11"/>
  <c r="B3" i="11"/>
  <c r="E2" i="11"/>
  <c r="D2" i="11"/>
  <c r="C2" i="11"/>
  <c r="B2" i="11"/>
  <c r="R25" i="1"/>
  <c r="Q25" i="1"/>
  <c r="J47" i="1"/>
  <c r="C5" i="9" l="1"/>
  <c r="C4" i="1"/>
  <c r="C5" i="1"/>
  <c r="F4" i="4"/>
  <c r="F5" i="4" s="1"/>
  <c r="E5" i="4"/>
  <c r="D5" i="4"/>
  <c r="D4" i="4"/>
  <c r="E4" i="4" s="1"/>
  <c r="C5" i="4"/>
  <c r="P28" i="1"/>
  <c r="Q28" i="1"/>
  <c r="R28" i="1"/>
  <c r="T28" i="1" l="1"/>
  <c r="S28" i="1"/>
  <c r="C6" i="9" l="1"/>
  <c r="E6" i="9"/>
  <c r="B6" i="9"/>
  <c r="M5" i="9"/>
  <c r="K5" i="9"/>
  <c r="J5" i="9"/>
  <c r="H5" i="9"/>
  <c r="E5" i="9"/>
  <c r="B5" i="9"/>
  <c r="M4" i="9"/>
  <c r="K4" i="9"/>
  <c r="J4" i="9"/>
  <c r="E4" i="9"/>
  <c r="C4" i="9"/>
  <c r="B4" i="9"/>
  <c r="G24" i="1"/>
  <c r="H24" i="1" s="1"/>
  <c r="Q24" i="1"/>
  <c r="R24" i="1" s="1"/>
  <c r="F25" i="1"/>
  <c r="BC7" i="8" s="1"/>
  <c r="G25" i="1"/>
  <c r="H25" i="1"/>
  <c r="H46" i="1" s="1"/>
  <c r="I25" i="1"/>
  <c r="BF7" i="8" s="1"/>
  <c r="J25" i="1"/>
  <c r="BG7" i="8" s="1"/>
  <c r="K25" i="1"/>
  <c r="BH7" i="8" s="1"/>
  <c r="L25" i="1"/>
  <c r="M25" i="1"/>
  <c r="BJ7" i="8" s="1"/>
  <c r="N25" i="1"/>
  <c r="O25" i="1"/>
  <c r="BM6" i="8"/>
  <c r="BL6" i="8"/>
  <c r="BC6" i="8"/>
  <c r="AY6" i="8"/>
  <c r="BC8" i="8"/>
  <c r="AY8" i="8"/>
  <c r="BK7" i="8"/>
  <c r="BD7" i="8"/>
  <c r="AY7" i="8"/>
  <c r="Q45" i="1"/>
  <c r="R45" i="1" s="1"/>
  <c r="S45" i="1" s="1"/>
  <c r="T45" i="1" s="1"/>
  <c r="G45" i="1"/>
  <c r="H45" i="1" s="1"/>
  <c r="I45" i="1" s="1"/>
  <c r="J45" i="1" s="1"/>
  <c r="K45" i="1" s="1"/>
  <c r="L45" i="1" s="1"/>
  <c r="M45" i="1" s="1"/>
  <c r="N45" i="1" s="1"/>
  <c r="T82" i="1"/>
  <c r="D19" i="1"/>
  <c r="D20" i="1"/>
  <c r="E7" i="5"/>
  <c r="E16" i="5"/>
  <c r="E6" i="5"/>
  <c r="E13" i="5"/>
  <c r="T59" i="1"/>
  <c r="S59" i="1"/>
  <c r="R59" i="1"/>
  <c r="Q59" i="1"/>
  <c r="P59" i="1"/>
  <c r="E15" i="5" s="1"/>
  <c r="O32" i="1"/>
  <c r="O31" i="1"/>
  <c r="N31" i="1"/>
  <c r="M31" i="1"/>
  <c r="L31" i="1"/>
  <c r="K31" i="1"/>
  <c r="J31" i="1"/>
  <c r="I31" i="1"/>
  <c r="H31" i="1"/>
  <c r="G31" i="1"/>
  <c r="O28" i="1"/>
  <c r="N28" i="1"/>
  <c r="M28" i="1"/>
  <c r="L28" i="1"/>
  <c r="K28" i="1"/>
  <c r="J28" i="1"/>
  <c r="I28" i="1"/>
  <c r="H28" i="1"/>
  <c r="G28" i="1"/>
  <c r="F28" i="1"/>
  <c r="F52" i="1" s="1"/>
  <c r="O41" i="1"/>
  <c r="O69" i="1" s="1"/>
  <c r="N41" i="1"/>
  <c r="N69" i="1" s="1"/>
  <c r="M41" i="1"/>
  <c r="M69" i="1" s="1"/>
  <c r="L41" i="1"/>
  <c r="L69" i="1" s="1"/>
  <c r="K41" i="1"/>
  <c r="K69" i="1" s="1"/>
  <c r="J41" i="1"/>
  <c r="J69" i="1" s="1"/>
  <c r="I41" i="1"/>
  <c r="I69" i="1" s="1"/>
  <c r="H41" i="1"/>
  <c r="H69" i="1" s="1"/>
  <c r="G41" i="1"/>
  <c r="G69" i="1" s="1"/>
  <c r="F41" i="1"/>
  <c r="F69" i="1" s="1"/>
  <c r="O38" i="1"/>
  <c r="O66" i="1" s="1"/>
  <c r="N38" i="1"/>
  <c r="N66" i="1" s="1"/>
  <c r="M38" i="1"/>
  <c r="M66" i="1" s="1"/>
  <c r="L38" i="1"/>
  <c r="L66" i="1" s="1"/>
  <c r="K38" i="1"/>
  <c r="K66" i="1" s="1"/>
  <c r="J38" i="1"/>
  <c r="J66" i="1" s="1"/>
  <c r="I38" i="1"/>
  <c r="I66" i="1" s="1"/>
  <c r="H38" i="1"/>
  <c r="H66" i="1" s="1"/>
  <c r="G38" i="1"/>
  <c r="G66" i="1" s="1"/>
  <c r="F38" i="1"/>
  <c r="F66" i="1" s="1"/>
  <c r="O35" i="1"/>
  <c r="O63" i="1" s="1"/>
  <c r="N35" i="1"/>
  <c r="N63" i="1" s="1"/>
  <c r="M35" i="1"/>
  <c r="M63" i="1" s="1"/>
  <c r="L35" i="1"/>
  <c r="L63" i="1" s="1"/>
  <c r="K35" i="1"/>
  <c r="K63" i="1" s="1"/>
  <c r="J35" i="1"/>
  <c r="J63" i="1" s="1"/>
  <c r="I35" i="1"/>
  <c r="I63" i="1" s="1"/>
  <c r="H35" i="1"/>
  <c r="H63" i="1" s="1"/>
  <c r="G35" i="1"/>
  <c r="G63" i="1" s="1"/>
  <c r="F35" i="1"/>
  <c r="F63" i="1" s="1"/>
  <c r="F31" i="1"/>
  <c r="N32" i="1"/>
  <c r="M32" i="1"/>
  <c r="L32" i="1"/>
  <c r="K32" i="1"/>
  <c r="J32" i="1"/>
  <c r="I32" i="1"/>
  <c r="H32" i="1"/>
  <c r="G32" i="1"/>
  <c r="F32" i="1"/>
  <c r="O46" i="1"/>
  <c r="L46" i="1"/>
  <c r="Q34" i="1"/>
  <c r="R34" i="1" s="1"/>
  <c r="S34" i="1" s="1"/>
  <c r="T34" i="1" s="1"/>
  <c r="G34" i="1"/>
  <c r="H34" i="1" s="1"/>
  <c r="I34" i="1" s="1"/>
  <c r="J34" i="1" s="1"/>
  <c r="K34" i="1" s="1"/>
  <c r="L34" i="1" s="1"/>
  <c r="M34" i="1" s="1"/>
  <c r="N34" i="1" s="1"/>
  <c r="Q44" i="1"/>
  <c r="R44" i="1" s="1"/>
  <c r="S44" i="1" s="1"/>
  <c r="T44" i="1" s="1"/>
  <c r="N29" i="1" l="1"/>
  <c r="O26" i="1"/>
  <c r="BL8" i="8" s="1"/>
  <c r="G26" i="1"/>
  <c r="BD8" i="8" s="1"/>
  <c r="B16" i="4"/>
  <c r="H59" i="1"/>
  <c r="H22" i="9"/>
  <c r="H100" i="9"/>
  <c r="L52" i="1"/>
  <c r="L29" i="1"/>
  <c r="G58" i="1"/>
  <c r="G21" i="9"/>
  <c r="G99" i="9"/>
  <c r="O58" i="1"/>
  <c r="O21" i="9"/>
  <c r="O99" i="9"/>
  <c r="I59" i="1"/>
  <c r="I22" i="9"/>
  <c r="I100" i="9"/>
  <c r="M59" i="1"/>
  <c r="M22" i="9"/>
  <c r="M100" i="9"/>
  <c r="I52" i="1"/>
  <c r="I29" i="1"/>
  <c r="M52" i="1"/>
  <c r="M29" i="1"/>
  <c r="H58" i="1"/>
  <c r="H21" i="9"/>
  <c r="H99" i="9"/>
  <c r="L58" i="1"/>
  <c r="L21" i="9"/>
  <c r="L99" i="9"/>
  <c r="O59" i="1"/>
  <c r="O22" i="9"/>
  <c r="O100" i="9"/>
  <c r="V26" i="1"/>
  <c r="F59" i="1"/>
  <c r="F22" i="9"/>
  <c r="F100" i="9"/>
  <c r="J59" i="1"/>
  <c r="J22" i="9"/>
  <c r="J100" i="9"/>
  <c r="N59" i="1"/>
  <c r="N22" i="9"/>
  <c r="N100" i="9"/>
  <c r="J52" i="1"/>
  <c r="J29" i="1"/>
  <c r="I58" i="1"/>
  <c r="I21" i="9"/>
  <c r="I99" i="9"/>
  <c r="M58" i="1"/>
  <c r="M21" i="9"/>
  <c r="M99" i="9"/>
  <c r="P25" i="1"/>
  <c r="L59" i="1"/>
  <c r="L100" i="9"/>
  <c r="L22" i="9"/>
  <c r="H52" i="1"/>
  <c r="H29" i="1"/>
  <c r="K58" i="1"/>
  <c r="K21" i="9"/>
  <c r="K99" i="9"/>
  <c r="G59" i="1"/>
  <c r="G22" i="9"/>
  <c r="G100" i="9"/>
  <c r="K59" i="1"/>
  <c r="K22" i="9"/>
  <c r="K100" i="9"/>
  <c r="F58" i="1"/>
  <c r="F21" i="9"/>
  <c r="F99" i="9"/>
  <c r="G52" i="1"/>
  <c r="G29" i="1"/>
  <c r="G53" i="1" s="1"/>
  <c r="K52" i="1"/>
  <c r="K29" i="1"/>
  <c r="O52" i="1"/>
  <c r="O29" i="1"/>
  <c r="J58" i="1"/>
  <c r="J99" i="9"/>
  <c r="J21" i="9"/>
  <c r="N58" i="1"/>
  <c r="N21" i="9"/>
  <c r="N99" i="9"/>
  <c r="L26" i="1"/>
  <c r="BI8" i="8" s="1"/>
  <c r="BI7" i="8"/>
  <c r="K26" i="1"/>
  <c r="BH8" i="8" s="1"/>
  <c r="BE7" i="8"/>
  <c r="BN6" i="8"/>
  <c r="H26" i="1"/>
  <c r="BE8" i="8" s="1"/>
  <c r="BL7" i="8"/>
  <c r="BD6" i="8"/>
  <c r="S24" i="1"/>
  <c r="BO6" i="8"/>
  <c r="BE6" i="8"/>
  <c r="I24" i="1"/>
  <c r="N26" i="1"/>
  <c r="BK8" i="8" s="1"/>
  <c r="J26" i="1"/>
  <c r="BG8" i="8" s="1"/>
  <c r="M26" i="1"/>
  <c r="BJ8" i="8" s="1"/>
  <c r="I26" i="1"/>
  <c r="BF8" i="8" s="1"/>
  <c r="F42" i="1"/>
  <c r="F70" i="1" s="1"/>
  <c r="E18" i="5"/>
  <c r="G39" i="1"/>
  <c r="G67" i="1" s="1"/>
  <c r="I39" i="1"/>
  <c r="I67" i="1" s="1"/>
  <c r="K43" i="1"/>
  <c r="F36" i="1"/>
  <c r="F64" i="1" s="1"/>
  <c r="J36" i="1"/>
  <c r="J64" i="1" s="1"/>
  <c r="J42" i="1"/>
  <c r="J70" i="1" s="1"/>
  <c r="N42" i="1"/>
  <c r="N70" i="1" s="1"/>
  <c r="N36" i="1"/>
  <c r="N64" i="1" s="1"/>
  <c r="K36" i="1"/>
  <c r="K64" i="1" s="1"/>
  <c r="O43" i="1"/>
  <c r="G42" i="1"/>
  <c r="G70" i="1" s="1"/>
  <c r="I53" i="1"/>
  <c r="L43" i="1"/>
  <c r="H36" i="1"/>
  <c r="H64" i="1" s="1"/>
  <c r="L36" i="1"/>
  <c r="L64" i="1" s="1"/>
  <c r="H42" i="1"/>
  <c r="H70" i="1" s="1"/>
  <c r="L42" i="1"/>
  <c r="L70" i="1" s="1"/>
  <c r="N53" i="1"/>
  <c r="G36" i="1"/>
  <c r="G64" i="1" s="1"/>
  <c r="O36" i="1"/>
  <c r="O64" i="1" s="1"/>
  <c r="O42" i="1"/>
  <c r="O70" i="1" s="1"/>
  <c r="I43" i="1"/>
  <c r="M39" i="1"/>
  <c r="M67" i="1" s="1"/>
  <c r="I36" i="1"/>
  <c r="I64" i="1" s="1"/>
  <c r="M36" i="1"/>
  <c r="M64" i="1" s="1"/>
  <c r="G43" i="1"/>
  <c r="M42" i="1"/>
  <c r="M70" i="1" s="1"/>
  <c r="N39" i="1"/>
  <c r="N67" i="1" s="1"/>
  <c r="H43" i="1"/>
  <c r="F39" i="1"/>
  <c r="F67" i="1" s="1"/>
  <c r="K42" i="1"/>
  <c r="K70" i="1" s="1"/>
  <c r="I46" i="1"/>
  <c r="M46" i="1"/>
  <c r="G47" i="1"/>
  <c r="K47" i="1"/>
  <c r="J39" i="1"/>
  <c r="J67" i="1" s="1"/>
  <c r="O39" i="1"/>
  <c r="O67" i="1" s="1"/>
  <c r="M43" i="1"/>
  <c r="F46" i="1"/>
  <c r="J46" i="1"/>
  <c r="N46" i="1"/>
  <c r="N52" i="1"/>
  <c r="F29" i="1"/>
  <c r="F53" i="1" s="1"/>
  <c r="K39" i="1"/>
  <c r="K67" i="1" s="1"/>
  <c r="J43" i="1"/>
  <c r="N43" i="1"/>
  <c r="H39" i="1"/>
  <c r="H67" i="1" s="1"/>
  <c r="L39" i="1"/>
  <c r="L67" i="1" s="1"/>
  <c r="I42" i="1"/>
  <c r="I70" i="1" s="1"/>
  <c r="G46" i="1"/>
  <c r="K46" i="1"/>
  <c r="K53" i="1"/>
  <c r="L53" i="1"/>
  <c r="M53" i="1"/>
  <c r="J53" i="1"/>
  <c r="H53" i="1"/>
  <c r="P75" i="1"/>
  <c r="Q76" i="1" s="1"/>
  <c r="R76" i="1" s="1"/>
  <c r="S76" i="1" s="1"/>
  <c r="T76" i="1" s="1"/>
  <c r="N47" i="1" l="1"/>
  <c r="B2" i="4"/>
  <c r="P29" i="1"/>
  <c r="P55" i="1" s="1"/>
  <c r="P54" i="1" s="1"/>
  <c r="P26" i="1"/>
  <c r="BM8" i="8" s="1"/>
  <c r="C16" i="4"/>
  <c r="BM7" i="8"/>
  <c r="L47" i="1"/>
  <c r="I47" i="1"/>
  <c r="P49" i="1"/>
  <c r="Q49" i="1" s="1"/>
  <c r="H47" i="1"/>
  <c r="M47" i="1"/>
  <c r="BF6" i="8"/>
  <c r="J24" i="1"/>
  <c r="T24" i="1"/>
  <c r="BQ6" i="8" s="1"/>
  <c r="BP6" i="8"/>
  <c r="P64" i="1"/>
  <c r="Q64" i="1" s="1"/>
  <c r="R64" i="1" s="1"/>
  <c r="S64" i="1" s="1"/>
  <c r="T64" i="1" s="1"/>
  <c r="P70" i="1"/>
  <c r="P67" i="1"/>
  <c r="P56" i="1"/>
  <c r="P53" i="1" s="1"/>
  <c r="P11" i="8" s="1"/>
  <c r="O53" i="1"/>
  <c r="O47" i="1"/>
  <c r="P76" i="1"/>
  <c r="Q26" i="1" l="1"/>
  <c r="BN8" i="8" s="1"/>
  <c r="C2" i="4"/>
  <c r="C3" i="4" s="1"/>
  <c r="Q29" i="1"/>
  <c r="Q55" i="1" s="1"/>
  <c r="D16" i="4"/>
  <c r="BN7" i="8"/>
  <c r="P48" i="1"/>
  <c r="P50" i="1"/>
  <c r="R49" i="1"/>
  <c r="Q50" i="1"/>
  <c r="Q48" i="1"/>
  <c r="K24" i="1"/>
  <c r="BG6" i="8"/>
  <c r="P47" i="1"/>
  <c r="Q70" i="1"/>
  <c r="Q67" i="1"/>
  <c r="S25" i="1" l="1"/>
  <c r="T25" i="1" s="1"/>
  <c r="D2" i="4"/>
  <c r="D3" i="4" s="1"/>
  <c r="R29" i="1"/>
  <c r="R55" i="1" s="1"/>
  <c r="R26" i="1"/>
  <c r="BO8" i="8" s="1"/>
  <c r="E16" i="4"/>
  <c r="BO7" i="8"/>
  <c r="Q54" i="1"/>
  <c r="Q53" i="1" s="1"/>
  <c r="Q11" i="8" s="1"/>
  <c r="Q56" i="1"/>
  <c r="P46" i="1"/>
  <c r="S49" i="1"/>
  <c r="R50" i="1"/>
  <c r="R48" i="1"/>
  <c r="L24" i="1"/>
  <c r="BH6" i="8"/>
  <c r="Q47" i="1"/>
  <c r="R70" i="1"/>
  <c r="R67" i="1"/>
  <c r="R54" i="1" l="1"/>
  <c r="R56" i="1"/>
  <c r="R53" i="1" s="1"/>
  <c r="R11" i="8" s="1"/>
  <c r="E2" i="4"/>
  <c r="E3" i="4" s="1"/>
  <c r="S29" i="1"/>
  <c r="S55" i="1" s="1"/>
  <c r="S26" i="1"/>
  <c r="BP8" i="8" s="1"/>
  <c r="BP7" i="8"/>
  <c r="F16" i="4"/>
  <c r="P69" i="1"/>
  <c r="P52" i="1"/>
  <c r="P10" i="8" s="1"/>
  <c r="P66" i="1"/>
  <c r="P63" i="1"/>
  <c r="P7" i="8"/>
  <c r="Q46" i="1"/>
  <c r="T49" i="1"/>
  <c r="S48" i="1"/>
  <c r="S50" i="1"/>
  <c r="M24" i="1"/>
  <c r="BI6" i="8"/>
  <c r="R47" i="1"/>
  <c r="S67" i="1"/>
  <c r="S70" i="1"/>
  <c r="S54" i="1" l="1"/>
  <c r="S56" i="1"/>
  <c r="S53" i="1"/>
  <c r="S11" i="8" s="1"/>
  <c r="F2" i="4"/>
  <c r="F3" i="4" s="1"/>
  <c r="T26" i="1"/>
  <c r="BQ8" i="8" s="1"/>
  <c r="BQ7" i="8"/>
  <c r="T29" i="1"/>
  <c r="T55" i="1" s="1"/>
  <c r="Q63" i="1"/>
  <c r="Q52" i="1"/>
  <c r="Q10" i="8" s="1"/>
  <c r="Q66" i="1"/>
  <c r="R46" i="1"/>
  <c r="Q69" i="1"/>
  <c r="Q7" i="8"/>
  <c r="T50" i="1"/>
  <c r="T48" i="1"/>
  <c r="N24" i="1"/>
  <c r="BK6" i="8" s="1"/>
  <c r="BJ6" i="8"/>
  <c r="S47" i="1"/>
  <c r="P58" i="1"/>
  <c r="P61" i="1" s="1"/>
  <c r="T67" i="1"/>
  <c r="T70" i="1"/>
  <c r="T54" i="1" l="1"/>
  <c r="T56" i="1"/>
  <c r="P72" i="1"/>
  <c r="P73" i="1" s="1"/>
  <c r="R63" i="1"/>
  <c r="R52" i="1"/>
  <c r="R10" i="8" s="1"/>
  <c r="R66" i="1"/>
  <c r="S46" i="1"/>
  <c r="R69" i="1"/>
  <c r="R7" i="8"/>
  <c r="Q58" i="1"/>
  <c r="Q61" i="1" s="1"/>
  <c r="Q72" i="1" l="1"/>
  <c r="Q73" i="1" s="1"/>
  <c r="S52" i="1"/>
  <c r="S10" i="8" s="1"/>
  <c r="S66" i="1"/>
  <c r="S63" i="1"/>
  <c r="S69" i="1"/>
  <c r="S7" i="8"/>
  <c r="R58" i="1"/>
  <c r="R61" i="1" s="1"/>
  <c r="R72" i="1" l="1"/>
  <c r="R73" i="1" s="1"/>
  <c r="S58" i="1"/>
  <c r="S61" i="1" s="1"/>
  <c r="T53" i="1"/>
  <c r="T11" i="8" s="1"/>
  <c r="S72" i="1" l="1"/>
  <c r="S73" i="1" s="1"/>
  <c r="T47" i="1"/>
  <c r="T46" i="1" s="1"/>
  <c r="T7" i="8" s="1"/>
  <c r="T66" i="1" l="1"/>
  <c r="T69" i="1"/>
  <c r="T63" i="1"/>
  <c r="T52" i="1"/>
  <c r="T58" i="1" l="1"/>
  <c r="T61" i="1" s="1"/>
  <c r="T72" i="1" s="1"/>
  <c r="T10" i="8"/>
  <c r="T78" i="1" l="1"/>
  <c r="T79" i="1" s="1"/>
  <c r="T73" i="1"/>
  <c r="T80" i="1" l="1"/>
  <c r="T83" i="1" s="1"/>
  <c r="T86" i="1" s="1"/>
  <c r="H3" i="1" l="1"/>
  <c r="D32" i="12" s="1"/>
  <c r="F113" i="1"/>
  <c r="F96" i="1"/>
  <c r="H5" i="1" l="1"/>
  <c r="H6" i="9" s="1"/>
  <c r="H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59" authorId="0" shapeId="0" xr:uid="{A8AE4500-81B0-4023-A975-E22238B89F2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Q1 2025
Earnings
</t>
        </r>
      </text>
    </comment>
    <comment ref="P64" authorId="0" shapeId="0" xr:uid="{71869F5A-065B-4584-AE24-223EFD038084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67" authorId="0" shapeId="0" xr:uid="{73E564AD-6D4E-4F3D-97D4-CE5E7C336703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</t>
        </r>
      </text>
    </comment>
    <comment ref="P70" authorId="0" shapeId="0" xr:uid="{E7EBFAB7-2BFE-4D47-A350-DCA67D5B8CA2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</t>
        </r>
      </text>
    </comment>
    <comment ref="T81" authorId="0" shapeId="0" xr:uid="{37FD4EC8-F95D-475E-AA18-599251E1644D}">
      <text>
        <r>
          <rPr>
            <b/>
            <sz val="9"/>
            <color indexed="81"/>
            <rFont val="Tahoma"/>
            <charset val="1"/>
          </rPr>
          <t>Siddhant:</t>
        </r>
        <r>
          <rPr>
            <sz val="9"/>
            <color indexed="81"/>
            <rFont val="Tahoma"/>
            <charset val="1"/>
          </rPr>
          <t xml:space="preserve">
Based on Q1 2025 Balance Sheet</t>
        </r>
      </text>
    </comment>
  </commentList>
</comments>
</file>

<file path=xl/sharedStrings.xml><?xml version="1.0" encoding="utf-8"?>
<sst xmlns="http://schemas.openxmlformats.org/spreadsheetml/2006/main" count="401" uniqueCount="207">
  <si>
    <t>Nvidia DCF</t>
  </si>
  <si>
    <t>Ticker</t>
  </si>
  <si>
    <t>NVDA</t>
  </si>
  <si>
    <t>Implied Share Price</t>
  </si>
  <si>
    <t>Low-end</t>
  </si>
  <si>
    <t>Conservative</t>
  </si>
  <si>
    <t>Date</t>
  </si>
  <si>
    <t>Current Price</t>
  </si>
  <si>
    <t>High-end</t>
  </si>
  <si>
    <t>Revenue (3), EBIT(3),  WACC(3), TGR(3)</t>
  </si>
  <si>
    <t>Base</t>
  </si>
  <si>
    <t>Year end</t>
  </si>
  <si>
    <t>Implied Upside/Downside</t>
  </si>
  <si>
    <t>Optimistic</t>
  </si>
  <si>
    <t>Assumption</t>
  </si>
  <si>
    <t>Switches</t>
  </si>
  <si>
    <t xml:space="preserve">Conservative </t>
  </si>
  <si>
    <t>Year</t>
  </si>
  <si>
    <t>Metric</t>
  </si>
  <si>
    <t>Revenue</t>
  </si>
  <si>
    <t>EBIT</t>
  </si>
  <si>
    <t>WACC</t>
  </si>
  <si>
    <t>TGR</t>
  </si>
  <si>
    <t>Valuation</t>
  </si>
  <si>
    <t>growth%</t>
  </si>
  <si>
    <t>-</t>
  </si>
  <si>
    <t xml:space="preserve">% of Sale </t>
  </si>
  <si>
    <t>Taxes</t>
  </si>
  <si>
    <t>Tax rate</t>
  </si>
  <si>
    <t>D&amp;A</t>
  </si>
  <si>
    <t>% of Sales</t>
  </si>
  <si>
    <t>CapEx</t>
  </si>
  <si>
    <t>% of Sale</t>
  </si>
  <si>
    <t>Change In NWC</t>
  </si>
  <si>
    <t>% of change in sales</t>
  </si>
  <si>
    <t>DCF (12/31 CYE) ($ MM)</t>
  </si>
  <si>
    <t>Conservative case</t>
  </si>
  <si>
    <t>Base case</t>
  </si>
  <si>
    <t>Optimistic case</t>
  </si>
  <si>
    <t>`</t>
  </si>
  <si>
    <t>EBIAT</t>
  </si>
  <si>
    <t>Unlevered FCF</t>
  </si>
  <si>
    <t>Present Value of FCF</t>
  </si>
  <si>
    <t>Period</t>
  </si>
  <si>
    <t>Discounted Period</t>
  </si>
  <si>
    <t>Terminal Value</t>
  </si>
  <si>
    <t>Present Value of Terminal Value</t>
  </si>
  <si>
    <t>Enterprise Value</t>
  </si>
  <si>
    <t>(+) Cash</t>
  </si>
  <si>
    <t>(-) Debt</t>
  </si>
  <si>
    <t>Equity Value</t>
  </si>
  <si>
    <t>Diluted Shares</t>
  </si>
  <si>
    <t>Implied Stock Price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</si>
  <si>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</si>
  <si>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</si>
  <si>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</si>
  <si>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</si>
  <si>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</si>
  <si>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</si>
  <si>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</si>
  <si>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</si>
  <si>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</si>
  <si>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</si>
  <si>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</si>
  <si>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</si>
  <si>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</si>
  <si>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</si>
  <si>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</si>
  <si>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</si>
  <si>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</si>
  <si>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</si>
  <si>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</si>
  <si>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</si>
  <si>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Income Satement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</si>
  <si>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</si>
  <si>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</si>
  <si>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</si>
  <si>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</si>
  <si>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</si>
  <si>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</si>
  <si>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</si>
  <si>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</si>
  <si>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Cash Flow From Operating Activities</t>
  </si>
  <si>
    <t>Net Change In Property, Plant, And Equipment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</si>
  <si>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</si>
  <si>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</si>
  <si>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</si>
  <si>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</si>
  <si>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</si>
  <si>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</si>
  <si>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</si>
  <si>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</si>
  <si>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</si>
  <si>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</si>
  <si>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</si>
  <si>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</si>
  <si>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</si>
  <si>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</si>
  <si>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</si>
  <si>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</si>
  <si>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Cashflow Statement of Nvidia</t>
  </si>
  <si>
    <t>Currency  ($)</t>
  </si>
  <si>
    <t>In Millions</t>
  </si>
  <si>
    <t>*</t>
  </si>
  <si>
    <t>FY2026</t>
  </si>
  <si>
    <t>FY2027</t>
  </si>
  <si>
    <t>FY2028</t>
  </si>
  <si>
    <t>FY2029</t>
  </si>
  <si>
    <t>EBIT ($M) - Estimated</t>
  </si>
  <si>
    <t>Revenue ($M)</t>
  </si>
  <si>
    <t>NOTES</t>
  </si>
  <si>
    <t>Market Cap</t>
  </si>
  <si>
    <t xml:space="preserve">% of Equity </t>
  </si>
  <si>
    <t>Cost of equity</t>
  </si>
  <si>
    <t xml:space="preserve">Risk Free Rate </t>
  </si>
  <si>
    <t>CNBC U.S. 10 Year Treasury</t>
  </si>
  <si>
    <t>Beta</t>
  </si>
  <si>
    <t>Debt</t>
  </si>
  <si>
    <t>Based on Q1 2025 B/S (MM, $)</t>
  </si>
  <si>
    <t>% of debt</t>
  </si>
  <si>
    <t xml:space="preserve">Cost of Debt </t>
  </si>
  <si>
    <t>Average of Effective Interest Rate</t>
  </si>
  <si>
    <t>Based on Q1 Tax Rate</t>
  </si>
  <si>
    <t xml:space="preserve">Total </t>
  </si>
  <si>
    <t>Objectice: This model aims to evaluate NVIDIA’s intrinsic equity value through a DCF analysis, showcasing core skills in forecasting, valuation, and Excel modeling.</t>
  </si>
  <si>
    <t>NVIDIA</t>
  </si>
  <si>
    <t>Siddhant Bhardwaj</t>
  </si>
  <si>
    <t>DCF of NVIDIA- Vertical Orientition</t>
  </si>
  <si>
    <t xml:space="preserve"> July 01,2025</t>
  </si>
  <si>
    <t>2024A</t>
  </si>
  <si>
    <t>CHARTS</t>
  </si>
  <si>
    <t>Operating Trends</t>
  </si>
  <si>
    <t xml:space="preserve">Summary of DCF Model on Nvidia (NVDA) </t>
  </si>
  <si>
    <t>'26-29</t>
  </si>
  <si>
    <t>Income Statement ($ MM)</t>
  </si>
  <si>
    <t>Cash Flow  ($ MM)</t>
  </si>
  <si>
    <t>DCF ($ MM)</t>
  </si>
  <si>
    <t>Enterprise Value Senstivty Analysis ($ MM)</t>
  </si>
  <si>
    <t>FY2025</t>
  </si>
  <si>
    <t xml:space="preserve">Metric </t>
  </si>
  <si>
    <t>Change in Net working capital</t>
  </si>
  <si>
    <t>Revenue (1), EBIT (1), WACC (1), TGR(1)</t>
  </si>
  <si>
    <t>'27-'29</t>
  </si>
  <si>
    <t>'25-'26</t>
  </si>
  <si>
    <t>'26</t>
  </si>
  <si>
    <t>Summary Values - Base Case</t>
  </si>
  <si>
    <t>Summary Values - Optimistic Case</t>
  </si>
  <si>
    <t>Summary Values - Conservative Case</t>
  </si>
  <si>
    <t>Revenue (2), EBIT (2), WACC (2), TGR(2)</t>
  </si>
  <si>
    <t>Source - Macrotrend</t>
  </si>
  <si>
    <t>Estimate based on previous year growth rate average ( CAGR )</t>
  </si>
  <si>
    <t>Estimates of 2025 and 2026 are from Tikr and the rest are declining on a linear basis.</t>
  </si>
  <si>
    <t>EBIAT (Earnings before Interest but after Tax) it is also known as NOPAT (Net Operating Profit after Tax)</t>
  </si>
  <si>
    <t>CAGR of the last Five years, from 2019 to 2024, for estimates. Calculation = (130497/10918)^(1/5)-1 = 64%</t>
  </si>
  <si>
    <t>Based on Q1 result of 2025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</si>
  <si>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</si>
  <si>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</si>
  <si>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</si>
  <si>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</si>
  <si>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EV is calculated by adding Present Value of FCF from2025E to 2029E.</t>
  </si>
  <si>
    <t>Estimates of 2025 are based on  5-year CAGR and then declined on a linear basis for the remaining year till 2029</t>
  </si>
  <si>
    <t>Based on Q1 2025 Balance sheet.</t>
  </si>
  <si>
    <t>Based on Q1 of 2025 Balance sheet.</t>
  </si>
  <si>
    <t>Based on Q1 of 2025 Earnings</t>
  </si>
  <si>
    <t>Estimate of 2025E to 2029Et is calculated by taking he average of the last 3 years from (2021A-2024A)</t>
  </si>
  <si>
    <t>TIKR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</si>
  <si>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</si>
  <si>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>Total = Market Cap + Debt ( MM, $)</t>
  </si>
  <si>
    <t>Market  Risk Premium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</si>
  <si>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</si>
  <si>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 *(1-Tax rate)</t>
    </r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</si>
  <si>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</si>
  <si>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 xml:space="preserve">Terminal value </t>
  </si>
  <si>
    <t>Present value of Terminal value</t>
  </si>
  <si>
    <t>Enterpeise value</t>
  </si>
  <si>
    <t>Equity value</t>
  </si>
  <si>
    <t>Other Important Metrics (MM $)</t>
  </si>
  <si>
    <t>(MM $) From TIKR</t>
  </si>
  <si>
    <t>Implied ERP ON July, 2025 From Damodaram</t>
  </si>
  <si>
    <t>Day</t>
  </si>
  <si>
    <t>Month</t>
  </si>
  <si>
    <t>Quarter</t>
  </si>
  <si>
    <t>Close/Last</t>
  </si>
  <si>
    <t>Open</t>
  </si>
  <si>
    <t>High</t>
  </si>
  <si>
    <t>Low</t>
  </si>
  <si>
    <t>Volume</t>
  </si>
  <si>
    <t>52-Week high</t>
  </si>
  <si>
    <t>52-Week low</t>
  </si>
  <si>
    <t>D&amp;A (Depriciation &amp; Amortization)</t>
  </si>
  <si>
    <t>CapEx (Capital Expenditure)</t>
  </si>
  <si>
    <t>Change in NWC (Net Working Capital)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</si>
  <si>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Flow)= EBITDA + D&amp;A - CapEx - Change inNWC</t>
    </r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</si>
  <si>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</si>
  <si>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Black values represents calculations</t>
  </si>
  <si>
    <t>Purple values  represents copied from same sheet.</t>
  </si>
  <si>
    <t>Green values represents copied from another sheet</t>
  </si>
  <si>
    <t>Description:</t>
  </si>
  <si>
    <t>Implied Share price</t>
  </si>
  <si>
    <t>Implied share price</t>
  </si>
  <si>
    <t>Recommendation: BUY/HOLD</t>
  </si>
  <si>
    <r>
      <t xml:space="preserve"> Our DCF model implies a fair value of </t>
    </r>
    <r>
      <rPr>
        <b/>
        <sz val="11"/>
        <color theme="1"/>
        <rFont val="Calibri"/>
        <family val="2"/>
        <scheme val="minor"/>
      </rPr>
      <t>$188.24 per share</t>
    </r>
    <r>
      <rPr>
        <sz val="11"/>
        <color theme="1"/>
        <rFont val="Calibri"/>
        <family val="2"/>
        <scheme val="minor"/>
      </rPr>
      <t xml:space="preserve">, representing an </t>
    </r>
    <r>
      <rPr>
        <b/>
        <sz val="11"/>
        <color theme="1"/>
        <rFont val="Calibri"/>
        <family val="2"/>
        <scheme val="minor"/>
      </rPr>
      <t>8.5% upside</t>
    </r>
    <r>
      <rPr>
        <sz val="11"/>
        <color theme="1"/>
        <rFont val="Calibri"/>
        <family val="2"/>
        <scheme val="minor"/>
      </rPr>
      <t xml:space="preserve"> from the current price of $173.50.</t>
    </r>
  </si>
  <si>
    <r>
      <t xml:space="preserve"> While the company exhibits strong revenue growth prospects and robust free cash flow generation, the </t>
    </r>
    <r>
      <rPr>
        <b/>
        <sz val="11"/>
        <color theme="1"/>
        <rFont val="Calibri"/>
        <family val="2"/>
        <scheme val="minor"/>
      </rPr>
      <t>limited upside</t>
    </r>
    <r>
      <rPr>
        <sz val="11"/>
        <color theme="1"/>
        <rFont val="Calibri"/>
        <family val="2"/>
        <scheme val="minor"/>
      </rPr>
      <t xml:space="preserve"> suggests a </t>
    </r>
    <r>
      <rPr>
        <b/>
        <sz val="11"/>
        <color theme="1"/>
        <rFont val="Calibri"/>
        <family val="2"/>
        <scheme val="minor"/>
      </rPr>
      <t>BUY/Hold</t>
    </r>
    <r>
      <rPr>
        <sz val="11"/>
        <color theme="1"/>
        <rFont val="Calibri"/>
        <family val="2"/>
        <scheme val="minor"/>
      </rPr>
      <t xml:space="preserve"> recommendation until a more attractive entry point or a positive catalyst emerges.</t>
    </r>
  </si>
  <si>
    <t>Senstivity Analysis</t>
  </si>
  <si>
    <t>Implied Share Price Senstivty Analysis ($ MM)</t>
  </si>
  <si>
    <t>Implied Share Price Sensitivity Analysis ($ MM)</t>
  </si>
  <si>
    <t>Enterprise Value Sensitivty Analysis ($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</si>
</sst>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1" formatCode="0%;\(0%\)"/>
    <numFmt numFmtId="172" formatCode="0.0%;\(0.0%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4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3366"/>
      <name val="Calibri"/>
      <family val="2"/>
      <scheme val="minor"/>
    </font>
    <font>
      <b/>
      <sz val="11"/>
      <color rgb="FF003366"/>
      <name val="Calibri"/>
      <family val="2"/>
      <scheme val="minor"/>
    </font>
    <font>
      <sz val="11"/>
      <color rgb="FF8B0000"/>
      <name val="Calibri"/>
      <family val="2"/>
      <scheme val="minor"/>
    </font>
    <font>
      <b/>
      <sz val="11"/>
      <color rgb="FF8B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0" fillId="2" borderId="0" xfId="0" applyFill="1"/>
    <xf numFmtId="0" fontId="5" fillId="2" borderId="1" xfId="0" applyFont="1" applyFill="1" applyBorder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44" fontId="0" fillId="2" borderId="0" xfId="2" applyFont="1" applyFill="1" applyAlignment="1">
      <alignment horizontal="right"/>
    </xf>
    <xf numFmtId="0" fontId="0" fillId="2" borderId="0" xfId="0" applyFill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right"/>
    </xf>
    <xf numFmtId="9" fontId="0" fillId="2" borderId="0" xfId="3" applyFont="1" applyFill="1" applyAlignment="1">
      <alignment horizontal="right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0" fillId="3" borderId="3" xfId="3" applyNumberFormat="1" applyFont="1" applyFill="1" applyBorder="1" applyAlignment="1">
      <alignment horizontal="center"/>
    </xf>
    <xf numFmtId="165" fontId="0" fillId="2" borderId="0" xfId="3" applyNumberFormat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166" fontId="2" fillId="4" borderId="0" xfId="0" applyNumberFormat="1" applyFont="1" applyFill="1" applyAlignment="1">
      <alignment horizontal="right"/>
    </xf>
    <xf numFmtId="167" fontId="2" fillId="4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10" fontId="0" fillId="2" borderId="0" xfId="3" applyNumberFormat="1" applyFont="1" applyFill="1" applyAlignment="1">
      <alignment horizontal="right"/>
    </xf>
    <xf numFmtId="0" fontId="8" fillId="2" borderId="0" xfId="0" applyFont="1" applyFill="1"/>
    <xf numFmtId="0" fontId="7" fillId="2" borderId="0" xfId="0" applyFont="1" applyFill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7" fillId="2" borderId="0" xfId="0" applyFont="1" applyFill="1"/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165" fontId="9" fillId="2" borderId="0" xfId="3" applyNumberFormat="1" applyFont="1" applyFill="1" applyAlignment="1">
      <alignment horizontal="right"/>
    </xf>
    <xf numFmtId="9" fontId="0" fillId="2" borderId="0" xfId="0" applyNumberFormat="1" applyFill="1" applyAlignment="1">
      <alignment horizontal="right"/>
    </xf>
    <xf numFmtId="9" fontId="0" fillId="3" borderId="2" xfId="0" applyNumberFormat="1" applyFill="1" applyBorder="1" applyAlignment="1">
      <alignment horizontal="right"/>
    </xf>
    <xf numFmtId="168" fontId="9" fillId="2" borderId="0" xfId="3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3" applyFont="1" applyFill="1" applyAlignment="1">
      <alignment horizontal="right"/>
    </xf>
    <xf numFmtId="9" fontId="0" fillId="2" borderId="0" xfId="3" applyFont="1" applyFill="1" applyBorder="1" applyAlignment="1">
      <alignment horizontal="right"/>
    </xf>
    <xf numFmtId="0" fontId="9" fillId="2" borderId="0" xfId="0" applyFont="1" applyFill="1" applyAlignment="1">
      <alignment horizontal="center"/>
    </xf>
    <xf numFmtId="169" fontId="0" fillId="2" borderId="0" xfId="0" applyNumberFormat="1" applyFill="1" applyAlignment="1">
      <alignment horizontal="center"/>
    </xf>
    <xf numFmtId="9" fontId="9" fillId="2" borderId="0" xfId="3" applyFont="1" applyFill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169" fontId="0" fillId="2" borderId="5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169" fontId="0" fillId="2" borderId="7" xfId="1" applyNumberFormat="1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169" fontId="0" fillId="2" borderId="9" xfId="0" applyNumberFormat="1" applyFill="1" applyBorder="1" applyAlignment="1">
      <alignment horizontal="center"/>
    </xf>
    <xf numFmtId="169" fontId="0" fillId="2" borderId="0" xfId="0" applyNumberFormat="1" applyFill="1"/>
    <xf numFmtId="169" fontId="0" fillId="2" borderId="0" xfId="1" applyNumberFormat="1" applyFont="1" applyFill="1"/>
    <xf numFmtId="0" fontId="0" fillId="2" borderId="1" xfId="0" applyFill="1" applyBorder="1" applyAlignment="1">
      <alignment horizontal="center"/>
    </xf>
    <xf numFmtId="0" fontId="3" fillId="2" borderId="0" xfId="0" applyFont="1" applyFill="1"/>
    <xf numFmtId="14" fontId="0" fillId="2" borderId="0" xfId="0" applyNumberFormat="1" applyFill="1"/>
    <xf numFmtId="0" fontId="12" fillId="2" borderId="0" xfId="0" applyFont="1" applyFill="1"/>
    <xf numFmtId="9" fontId="7" fillId="2" borderId="0" xfId="3" applyFont="1" applyFill="1" applyAlignment="1">
      <alignment horizontal="right"/>
    </xf>
    <xf numFmtId="14" fontId="0" fillId="2" borderId="0" xfId="0" applyNumberFormat="1" applyFill="1" applyAlignment="1">
      <alignment horizontal="center"/>
    </xf>
    <xf numFmtId="9" fontId="3" fillId="2" borderId="0" xfId="3" applyFont="1" applyFill="1" applyAlignment="1">
      <alignment horizontal="right"/>
    </xf>
    <xf numFmtId="10" fontId="3" fillId="2" borderId="0" xfId="3" applyNumberFormat="1" applyFont="1" applyFill="1" applyAlignment="1">
      <alignment horizontal="right"/>
    </xf>
    <xf numFmtId="0" fontId="0" fillId="2" borderId="11" xfId="0" applyFill="1" applyBorder="1"/>
    <xf numFmtId="9" fontId="0" fillId="3" borderId="2" xfId="3" applyFont="1" applyFill="1" applyBorder="1" applyAlignment="1">
      <alignment horizontal="right"/>
    </xf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0" fontId="0" fillId="2" borderId="0" xfId="0" applyNumberFormat="1" applyFill="1"/>
    <xf numFmtId="10" fontId="0" fillId="2" borderId="0" xfId="3" applyNumberFormat="1" applyFont="1" applyFill="1"/>
    <xf numFmtId="10" fontId="0" fillId="7" borderId="2" xfId="0" applyNumberFormat="1" applyFill="1" applyBorder="1"/>
    <xf numFmtId="43" fontId="0" fillId="7" borderId="2" xfId="1" applyFont="1" applyFill="1" applyBorder="1"/>
    <xf numFmtId="169" fontId="0" fillId="7" borderId="2" xfId="1" applyNumberFormat="1" applyFont="1" applyFill="1" applyBorder="1"/>
    <xf numFmtId="9" fontId="0" fillId="7" borderId="2" xfId="0" applyNumberFormat="1" applyFill="1" applyBorder="1"/>
    <xf numFmtId="0" fontId="0" fillId="2" borderId="0" xfId="0" applyFill="1" applyAlignment="1">
      <alignment vertical="top"/>
    </xf>
    <xf numFmtId="165" fontId="0" fillId="2" borderId="0" xfId="3" applyNumberFormat="1" applyFont="1" applyFill="1"/>
    <xf numFmtId="165" fontId="0" fillId="3" borderId="2" xfId="3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0" fillId="2" borderId="0" xfId="0" applyFill="1" applyAlignment="1">
      <alignment horizontal="left" vertical="top"/>
    </xf>
    <xf numFmtId="0" fontId="16" fillId="2" borderId="0" xfId="0" applyFont="1" applyFill="1"/>
    <xf numFmtId="165" fontId="0" fillId="2" borderId="9" xfId="3" applyNumberFormat="1" applyFont="1" applyFill="1" applyBorder="1"/>
    <xf numFmtId="169" fontId="4" fillId="2" borderId="0" xfId="0" applyNumberFormat="1" applyFont="1" applyFill="1"/>
    <xf numFmtId="1" fontId="0" fillId="7" borderId="10" xfId="0" applyNumberFormat="1" applyFill="1" applyBorder="1"/>
    <xf numFmtId="1" fontId="0" fillId="7" borderId="0" xfId="0" applyNumberFormat="1" applyFill="1"/>
    <xf numFmtId="1" fontId="0" fillId="8" borderId="0" xfId="0" applyNumberFormat="1" applyFill="1"/>
    <xf numFmtId="0" fontId="17" fillId="2" borderId="1" xfId="0" applyFont="1" applyFill="1" applyBorder="1"/>
    <xf numFmtId="9" fontId="0" fillId="2" borderId="0" xfId="3" applyFont="1" applyFill="1"/>
    <xf numFmtId="0" fontId="2" fillId="6" borderId="0" xfId="0" applyFont="1" applyFill="1" applyAlignment="1">
      <alignment horizontal="right"/>
    </xf>
    <xf numFmtId="2" fontId="0" fillId="2" borderId="7" xfId="0" applyNumberFormat="1" applyFill="1" applyBorder="1" applyAlignment="1">
      <alignment horizontal="center"/>
    </xf>
    <xf numFmtId="0" fontId="0" fillId="2" borderId="12" xfId="0" applyFill="1" applyBorder="1"/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3" xfId="0" applyFill="1" applyBorder="1"/>
    <xf numFmtId="169" fontId="0" fillId="2" borderId="13" xfId="0" applyNumberFormat="1" applyFill="1" applyBorder="1"/>
    <xf numFmtId="0" fontId="3" fillId="2" borderId="6" xfId="0" applyFont="1" applyFill="1" applyBorder="1"/>
    <xf numFmtId="169" fontId="3" fillId="2" borderId="12" xfId="0" applyNumberFormat="1" applyFont="1" applyFill="1" applyBorder="1"/>
    <xf numFmtId="169" fontId="0" fillId="2" borderId="13" xfId="1" applyNumberFormat="1" applyFont="1" applyFill="1" applyBorder="1"/>
    <xf numFmtId="0" fontId="0" fillId="2" borderId="14" xfId="0" applyFill="1" applyBorder="1"/>
    <xf numFmtId="169" fontId="0" fillId="2" borderId="15" xfId="1" applyNumberFormat="1" applyFont="1" applyFill="1" applyBorder="1"/>
    <xf numFmtId="0" fontId="3" fillId="2" borderId="11" xfId="0" applyFont="1" applyFill="1" applyBorder="1"/>
    <xf numFmtId="169" fontId="3" fillId="2" borderId="13" xfId="0" applyNumberFormat="1" applyFont="1" applyFill="1" applyBorder="1"/>
    <xf numFmtId="2" fontId="0" fillId="2" borderId="15" xfId="0" applyNumberFormat="1" applyFill="1" applyBorder="1"/>
    <xf numFmtId="0" fontId="18" fillId="2" borderId="0" xfId="0" applyFont="1" applyFill="1"/>
    <xf numFmtId="0" fontId="0" fillId="4" borderId="0" xfId="0" applyFill="1"/>
    <xf numFmtId="0" fontId="4" fillId="4" borderId="0" xfId="0" applyFont="1" applyFill="1"/>
    <xf numFmtId="0" fontId="19" fillId="2" borderId="1" xfId="0" applyFont="1" applyFill="1" applyBorder="1"/>
    <xf numFmtId="0" fontId="20" fillId="2" borderId="0" xfId="0" applyFont="1" applyFill="1" applyAlignment="1">
      <alignment horizontal="center"/>
    </xf>
    <xf numFmtId="0" fontId="21" fillId="4" borderId="0" xfId="0" applyFont="1" applyFill="1"/>
    <xf numFmtId="0" fontId="3" fillId="2" borderId="2" xfId="0" applyFont="1" applyFill="1" applyBorder="1" applyAlignment="1">
      <alignment horizontal="center" vertical="top"/>
    </xf>
    <xf numFmtId="9" fontId="0" fillId="2" borderId="0" xfId="3" applyFont="1" applyFill="1" applyAlignment="1">
      <alignment horizontal="center"/>
    </xf>
    <xf numFmtId="0" fontId="9" fillId="2" borderId="0" xfId="0" applyFont="1" applyFill="1"/>
    <xf numFmtId="165" fontId="22" fillId="2" borderId="0" xfId="3" applyNumberFormat="1" applyFont="1" applyFill="1" applyAlignment="1">
      <alignment horizontal="right"/>
    </xf>
    <xf numFmtId="0" fontId="2" fillId="4" borderId="6" xfId="0" applyFont="1" applyFill="1" applyBorder="1" applyAlignment="1">
      <alignment horizontal="left"/>
    </xf>
    <xf numFmtId="0" fontId="0" fillId="4" borderId="7" xfId="0" applyFill="1" applyBorder="1" applyAlignment="1">
      <alignment horizontal="right"/>
    </xf>
    <xf numFmtId="166" fontId="2" fillId="4" borderId="7" xfId="0" applyNumberFormat="1" applyFont="1" applyFill="1" applyBorder="1" applyAlignment="1">
      <alignment horizontal="right"/>
    </xf>
    <xf numFmtId="167" fontId="2" fillId="4" borderId="7" xfId="0" applyNumberFormat="1" applyFont="1" applyFill="1" applyBorder="1" applyAlignment="1">
      <alignment horizontal="right"/>
    </xf>
    <xf numFmtId="167" fontId="2" fillId="4" borderId="12" xfId="0" applyNumberFormat="1" applyFont="1" applyFill="1" applyBorder="1" applyAlignment="1">
      <alignment horizontal="right"/>
    </xf>
    <xf numFmtId="168" fontId="7" fillId="2" borderId="0" xfId="0" applyNumberFormat="1" applyFont="1" applyFill="1" applyAlignment="1">
      <alignment horizontal="right"/>
    </xf>
    <xf numFmtId="165" fontId="23" fillId="2" borderId="0" xfId="3" applyNumberFormat="1" applyFont="1" applyFill="1" applyBorder="1" applyAlignment="1">
      <alignment horizontal="right"/>
    </xf>
    <xf numFmtId="165" fontId="7" fillId="2" borderId="0" xfId="3" applyNumberFormat="1" applyFont="1" applyFill="1" applyBorder="1" applyAlignment="1">
      <alignment horizontal="right"/>
    </xf>
    <xf numFmtId="9" fontId="7" fillId="2" borderId="0" xfId="3" applyFont="1" applyFill="1" applyBorder="1" applyAlignment="1">
      <alignment horizontal="right"/>
    </xf>
    <xf numFmtId="0" fontId="8" fillId="2" borderId="11" xfId="0" applyFont="1" applyFill="1" applyBorder="1"/>
    <xf numFmtId="0" fontId="8" fillId="2" borderId="14" xfId="0" applyFont="1" applyFill="1" applyBorder="1"/>
    <xf numFmtId="0" fontId="0" fillId="2" borderId="1" xfId="0" applyFill="1" applyBorder="1" applyAlignment="1">
      <alignment horizontal="right"/>
    </xf>
    <xf numFmtId="168" fontId="7" fillId="2" borderId="0" xfId="3" applyNumberFormat="1" applyFont="1" applyFill="1" applyBorder="1" applyAlignment="1">
      <alignment horizontal="right"/>
    </xf>
    <xf numFmtId="168" fontId="24" fillId="2" borderId="0" xfId="0" applyNumberFormat="1" applyFont="1" applyFill="1" applyAlignment="1">
      <alignment horizontal="right"/>
    </xf>
    <xf numFmtId="165" fontId="25" fillId="2" borderId="0" xfId="3" applyNumberFormat="1" applyFont="1" applyFill="1" applyBorder="1" applyAlignment="1">
      <alignment horizontal="right"/>
    </xf>
    <xf numFmtId="165" fontId="24" fillId="2" borderId="0" xfId="3" applyNumberFormat="1" applyFont="1" applyFill="1" applyBorder="1" applyAlignment="1">
      <alignment horizontal="right"/>
    </xf>
    <xf numFmtId="168" fontId="24" fillId="2" borderId="0" xfId="3" applyNumberFormat="1" applyFont="1" applyFill="1" applyBorder="1" applyAlignment="1">
      <alignment horizontal="right"/>
    </xf>
    <xf numFmtId="168" fontId="26" fillId="2" borderId="0" xfId="0" applyNumberFormat="1" applyFont="1" applyFill="1" applyAlignment="1">
      <alignment horizontal="right"/>
    </xf>
    <xf numFmtId="165" fontId="27" fillId="2" borderId="0" xfId="3" applyNumberFormat="1" applyFont="1" applyFill="1" applyBorder="1" applyAlignment="1">
      <alignment horizontal="right"/>
    </xf>
    <xf numFmtId="165" fontId="26" fillId="2" borderId="0" xfId="3" applyNumberFormat="1" applyFont="1" applyFill="1" applyBorder="1" applyAlignment="1">
      <alignment horizontal="right"/>
    </xf>
    <xf numFmtId="9" fontId="26" fillId="2" borderId="0" xfId="3" applyFont="1" applyFill="1" applyBorder="1" applyAlignment="1">
      <alignment horizontal="right"/>
    </xf>
    <xf numFmtId="168" fontId="26" fillId="2" borderId="0" xfId="3" applyNumberFormat="1" applyFont="1" applyFill="1" applyBorder="1" applyAlignment="1">
      <alignment horizontal="right"/>
    </xf>
    <xf numFmtId="9" fontId="26" fillId="2" borderId="1" xfId="3" applyFont="1" applyFill="1" applyBorder="1" applyAlignment="1">
      <alignment horizontal="right"/>
    </xf>
    <xf numFmtId="165" fontId="9" fillId="2" borderId="0" xfId="3" applyNumberFormat="1" applyFont="1" applyFill="1"/>
    <xf numFmtId="9" fontId="24" fillId="2" borderId="0" xfId="3" applyFont="1" applyFill="1" applyBorder="1" applyAlignment="1">
      <alignment horizontal="right"/>
    </xf>
    <xf numFmtId="2" fontId="0" fillId="2" borderId="0" xfId="0" applyNumberFormat="1" applyFill="1"/>
    <xf numFmtId="0" fontId="26" fillId="2" borderId="0" xfId="0" applyFont="1" applyFill="1" applyAlignment="1">
      <alignment horizontal="right"/>
    </xf>
    <xf numFmtId="9" fontId="0" fillId="2" borderId="0" xfId="3" applyFont="1" applyFill="1" applyBorder="1"/>
    <xf numFmtId="9" fontId="0" fillId="2" borderId="1" xfId="3" applyFont="1" applyFill="1" applyBorder="1"/>
    <xf numFmtId="9" fontId="0" fillId="2" borderId="13" xfId="3" applyFont="1" applyFill="1" applyBorder="1"/>
    <xf numFmtId="9" fontId="0" fillId="2" borderId="15" xfId="3" applyFont="1" applyFill="1" applyBorder="1"/>
    <xf numFmtId="0" fontId="2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top"/>
    </xf>
    <xf numFmtId="9" fontId="4" fillId="2" borderId="0" xfId="3" applyFont="1" applyFill="1"/>
    <xf numFmtId="2" fontId="0" fillId="2" borderId="12" xfId="0" applyNumberFormat="1" applyFill="1" applyBorder="1"/>
    <xf numFmtId="169" fontId="0" fillId="2" borderId="0" xfId="1" applyNumberFormat="1" applyFont="1" applyFill="1" applyAlignment="1">
      <alignment horizontal="center"/>
    </xf>
    <xf numFmtId="171" fontId="0" fillId="3" borderId="2" xfId="3" applyNumberFormat="1" applyFont="1" applyFill="1" applyBorder="1" applyAlignment="1">
      <alignment horizontal="center"/>
    </xf>
    <xf numFmtId="172" fontId="0" fillId="3" borderId="2" xfId="3" applyNumberFormat="1" applyFont="1" applyFill="1" applyBorder="1" applyAlignment="1">
      <alignment horizontal="center"/>
    </xf>
    <xf numFmtId="169" fontId="7" fillId="2" borderId="0" xfId="1" applyNumberFormat="1" applyFont="1" applyFill="1" applyBorder="1" applyAlignment="1">
      <alignment horizontal="right"/>
    </xf>
    <xf numFmtId="171" fontId="7" fillId="2" borderId="0" xfId="3" applyNumberFormat="1" applyFont="1" applyFill="1" applyBorder="1" applyAlignment="1">
      <alignment horizontal="right"/>
    </xf>
    <xf numFmtId="171" fontId="1" fillId="2" borderId="0" xfId="3" applyNumberFormat="1" applyFont="1" applyFill="1" applyBorder="1" applyAlignment="1">
      <alignment horizontal="right"/>
    </xf>
    <xf numFmtId="172" fontId="0" fillId="2" borderId="0" xfId="3" applyNumberFormat="1" applyFont="1" applyFill="1" applyBorder="1" applyAlignment="1">
      <alignment horizontal="right"/>
    </xf>
    <xf numFmtId="172" fontId="9" fillId="2" borderId="0" xfId="3" applyNumberFormat="1" applyFont="1" applyFill="1" applyAlignment="1">
      <alignment horizontal="right"/>
    </xf>
    <xf numFmtId="169" fontId="9" fillId="2" borderId="0" xfId="1" applyNumberFormat="1" applyFont="1" applyFill="1" applyAlignment="1">
      <alignment horizontal="right"/>
    </xf>
    <xf numFmtId="14" fontId="0" fillId="0" borderId="0" xfId="0" applyNumberFormat="1"/>
    <xf numFmtId="8" fontId="0" fillId="0" borderId="0" xfId="0" applyNumberFormat="1"/>
    <xf numFmtId="2" fontId="0" fillId="0" borderId="0" xfId="0" applyNumberFormat="1"/>
    <xf numFmtId="0" fontId="0" fillId="2" borderId="0" xfId="0" applyFill="1" applyBorder="1"/>
    <xf numFmtId="169" fontId="26" fillId="2" borderId="12" xfId="0" applyNumberFormat="1" applyFont="1" applyFill="1" applyBorder="1"/>
    <xf numFmtId="169" fontId="26" fillId="2" borderId="13" xfId="0" applyNumberFormat="1" applyFont="1" applyFill="1" applyBorder="1"/>
    <xf numFmtId="169" fontId="7" fillId="2" borderId="12" xfId="0" applyNumberFormat="1" applyFont="1" applyFill="1" applyBorder="1"/>
    <xf numFmtId="169" fontId="7" fillId="2" borderId="13" xfId="0" applyNumberFormat="1" applyFont="1" applyFill="1" applyBorder="1"/>
    <xf numFmtId="169" fontId="24" fillId="2" borderId="12" xfId="0" applyNumberFormat="1" applyFont="1" applyFill="1" applyBorder="1"/>
    <xf numFmtId="169" fontId="24" fillId="2" borderId="13" xfId="0" applyNumberFormat="1" applyFont="1" applyFill="1" applyBorder="1"/>
    <xf numFmtId="0" fontId="24" fillId="2" borderId="15" xfId="0" applyFont="1" applyFill="1" applyBorder="1"/>
    <xf numFmtId="0" fontId="7" fillId="2" borderId="15" xfId="0" applyFont="1" applyFill="1" applyBorder="1"/>
    <xf numFmtId="0" fontId="26" fillId="2" borderId="15" xfId="0" applyFont="1" applyFill="1" applyBorder="1"/>
    <xf numFmtId="44" fontId="0" fillId="2" borderId="0" xfId="0" applyNumberFormat="1" applyFill="1"/>
    <xf numFmtId="2" fontId="4" fillId="2" borderId="0" xfId="0" applyNumberFormat="1" applyFont="1" applyFill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0" xfId="0" applyNumberFormat="1" applyFill="1" applyBorder="1"/>
    <xf numFmtId="2" fontId="0" fillId="2" borderId="0" xfId="0" applyNumberFormat="1" applyFill="1" applyBorder="1"/>
    <xf numFmtId="1" fontId="3" fillId="8" borderId="0" xfId="0" applyNumberFormat="1" applyFont="1" applyFill="1"/>
    <xf numFmtId="2" fontId="3" fillId="7" borderId="0" xfId="0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8B0000"/>
      <color rgb="FF003366"/>
      <color rgb="FF333333"/>
      <color rgb="FF2E7D32"/>
      <color rgb="FF4CAF50"/>
      <color rgb="FFE5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Revenue and Growth% (Base Case) (MM $)</a:t>
            </a:r>
          </a:p>
        </c:rich>
      </c:tx>
      <c:layout>
        <c:manualLayout>
          <c:xMode val="edge"/>
          <c:yMode val="edge"/>
          <c:x val="0.20706233595800522"/>
          <c:y val="3.37842665500145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8B000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8415-4252-AEE0-8F811B44128A}"/>
              </c:ext>
            </c:extLst>
          </c:dPt>
          <c:cat>
            <c:strRef>
              <c:f>Summary!$C$14:$T$14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Summary!$C$15:$T$15</c:f>
              <c:numCache>
                <c:formatCode>General</c:formatCode>
                <c:ptCount val="18"/>
                <c:pt idx="3" formatCode="_ * #,##0_ ;_ * \-#,##0_ ;_ * &quot;-&quot;??_ ;_ @_ ">
                  <c:v>5010</c:v>
                </c:pt>
                <c:pt idx="4" formatCode="_ * #,##0_ ;_ * \-#,##0_ ;_ * &quot;-&quot;??_ ;_ @_ ">
                  <c:v>6910</c:v>
                </c:pt>
                <c:pt idx="5" formatCode="_ * #,##0_ ;_ * \-#,##0_ ;_ * &quot;-&quot;??_ ;_ @_ ">
                  <c:v>9714</c:v>
                </c:pt>
                <c:pt idx="6" formatCode="_ * #,##0_ ;_ * \-#,##0_ ;_ * &quot;-&quot;??_ ;_ @_ ">
                  <c:v>11716</c:v>
                </c:pt>
                <c:pt idx="7" formatCode="_ * #,##0_ ;_ * \-#,##0_ ;_ * &quot;-&quot;??_ ;_ @_ ">
                  <c:v>10918</c:v>
                </c:pt>
                <c:pt idx="8" formatCode="_ * #,##0_ ;_ * \-#,##0_ ;_ * &quot;-&quot;??_ ;_ @_ ">
                  <c:v>16675</c:v>
                </c:pt>
                <c:pt idx="9" formatCode="_ * #,##0_ ;_ * \-#,##0_ ;_ * &quot;-&quot;??_ ;_ @_ ">
                  <c:v>26914</c:v>
                </c:pt>
                <c:pt idx="10" formatCode="_ * #,##0_ ;_ * \-#,##0_ ;_ * &quot;-&quot;??_ ;_ @_ ">
                  <c:v>26974</c:v>
                </c:pt>
                <c:pt idx="11" formatCode="_ * #,##0_ ;_ * \-#,##0_ ;_ * &quot;-&quot;??_ ;_ @_ ">
                  <c:v>60922</c:v>
                </c:pt>
                <c:pt idx="12" formatCode="_ * #,##0_ ;_ * \-#,##0_ ;_ * &quot;-&quot;??_ ;_ @_ ">
                  <c:v>130497</c:v>
                </c:pt>
                <c:pt idx="13" formatCode="_ * #,##0_ ;_ * \-#,##0_ ;_ * &quot;-&quot;??_ ;_ @_ ">
                  <c:v>214334.46702032478</c:v>
                </c:pt>
                <c:pt idx="14" formatCode="_ * #,##0_ ;_ * \-#,##0_ ;_ * &quot;-&quot;??_ ;_ @_ ">
                  <c:v>345148.17055089329</c:v>
                </c:pt>
                <c:pt idx="15" formatCode="_ * #,##0_ ;_ * \-#,##0_ ;_ * &quot;-&quot;??_ ;_ @_ ">
                  <c:v>550534.44512974645</c:v>
                </c:pt>
                <c:pt idx="16" formatCode="_ * #,##0_ ;_ * \-#,##0_ ;_ * &quot;-&quot;??_ ;_ @_ ">
                  <c:v>869949.1853810359</c:v>
                </c:pt>
                <c:pt idx="17" formatCode="_ * #,##0_ ;_ * \-#,##0_ ;_ * &quot;-&quot;??_ ;_ @_ ">
                  <c:v>1362066.8551291046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6-8415-4252-AEE0-8F811B441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Summary!$B$16</c:f>
              <c:strCache>
                <c:ptCount val="1"/>
                <c:pt idx="0">
                  <c:v>growth%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415-4252-AEE0-8F811B44128A}"/>
              </c:ext>
            </c:extLst>
          </c:dPt>
          <c:cat>
            <c:strRef>
              <c:f>Summary!$C$14:$T$14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Summary!$C$16:$T$16</c:f>
              <c:numCache>
                <c:formatCode>General</c:formatCode>
                <c:ptCount val="18"/>
                <c:pt idx="3" formatCode="0.0%">
                  <c:v>0</c:v>
                </c:pt>
                <c:pt idx="4" formatCode="0.0%">
                  <c:v>0.37924151696606789</c:v>
                </c:pt>
                <c:pt idx="5" formatCode="0.0%">
                  <c:v>0.40578871201157751</c:v>
                </c:pt>
                <c:pt idx="6" formatCode="0.0%">
                  <c:v>0.20609429689108505</c:v>
                </c:pt>
                <c:pt idx="7" formatCode="0.0%">
                  <c:v>-6.8111983612154314E-2</c:v>
                </c:pt>
                <c:pt idx="8" formatCode="0.0%">
                  <c:v>0.52729437625938824</c:v>
                </c:pt>
                <c:pt idx="9" formatCode="0.0%">
                  <c:v>0.61403298350824587</c:v>
                </c:pt>
                <c:pt idx="10" formatCode="0.0%">
                  <c:v>2.2293230289069932E-3</c:v>
                </c:pt>
                <c:pt idx="11" formatCode="0.0%">
                  <c:v>1.2585452658115224</c:v>
                </c:pt>
                <c:pt idx="12" formatCode="0.0%">
                  <c:v>1.1420340763599355</c:v>
                </c:pt>
                <c:pt idx="13" formatCode="0.0%">
                  <c:v>0.64244746638102623</c:v>
                </c:pt>
                <c:pt idx="14" formatCode="0.0%">
                  <c:v>0.61032509306197491</c:v>
                </c:pt>
                <c:pt idx="15" formatCode="0.0%">
                  <c:v>0.5950669657354255</c:v>
                </c:pt>
                <c:pt idx="16" formatCode="0.0%">
                  <c:v>0.58019029159203983</c:v>
                </c:pt>
                <c:pt idx="17" formatCode="0.0%">
                  <c:v>0.56568553430223878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415-4252-AEE0-8F811B441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Ebit (MM $)</a:t>
            </a:r>
          </a:p>
        </c:rich>
      </c:tx>
      <c:layout>
        <c:manualLayout>
          <c:xMode val="edge"/>
          <c:yMode val="edge"/>
          <c:x val="0.36261789151356083"/>
          <c:y val="2.91546369203849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4B93-42B0-9D9F-C5C22701F186}"/>
              </c:ext>
            </c:extLst>
          </c:dPt>
          <c:cat>
            <c:strRef>
              <c:f>Summary!$C$14:$T$14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Summary!$C$18:$T$18</c:f>
              <c:numCache>
                <c:formatCode>General</c:formatCode>
                <c:ptCount val="18"/>
                <c:pt idx="3" formatCode="_ * #,##0_ ;_ * \-#,##0_ ;_ * &quot;-&quot;??_ ;_ @_ ">
                  <c:v>747</c:v>
                </c:pt>
                <c:pt idx="4" formatCode="_ * #,##0_ ;_ * \-#,##0_ ;_ * &quot;-&quot;??_ ;_ @_ ">
                  <c:v>1934</c:v>
                </c:pt>
                <c:pt idx="5" formatCode="_ * #,##0_ ;_ * \-#,##0_ ;_ * &quot;-&quot;??_ ;_ @_ ">
                  <c:v>3210</c:v>
                </c:pt>
                <c:pt idx="6" formatCode="_ * #,##0_ ;_ * \-#,##0_ ;_ * &quot;-&quot;??_ ;_ @_ ">
                  <c:v>3804</c:v>
                </c:pt>
                <c:pt idx="7" formatCode="_ * #,##0_ ;_ * \-#,##0_ ;_ * &quot;-&quot;??_ ;_ @_ ">
                  <c:v>2846</c:v>
                </c:pt>
                <c:pt idx="8" formatCode="_ * #,##0_ ;_ * \-#,##0_ ;_ * &quot;-&quot;??_ ;_ @_ ">
                  <c:v>4532</c:v>
                </c:pt>
                <c:pt idx="9" formatCode="_ * #,##0_ ;_ * \-#,##0_ ;_ * &quot;-&quot;??_ ;_ @_ ">
                  <c:v>10041</c:v>
                </c:pt>
                <c:pt idx="10" formatCode="_ * #,##0_ ;_ * \-#,##0_ ;_ * &quot;-&quot;??_ ;_ @_ ">
                  <c:v>4224</c:v>
                </c:pt>
                <c:pt idx="11" formatCode="_ * #,##0_ ;_ * \-#,##0_ ;_ * &quot;-&quot;??_ ;_ @_ ">
                  <c:v>32972</c:v>
                </c:pt>
                <c:pt idx="12" formatCode="_ * #,##0_ ;_ * \-#,##0_ ;_ * &quot;-&quot;??_ ;_ @_ ">
                  <c:v>81453</c:v>
                </c:pt>
                <c:pt idx="13" formatCode="_ * #,##0_ ;_ * \-#,##0_ ;_ * &quot;-&quot;??_ ;_ @_ ">
                  <c:v>125339</c:v>
                </c:pt>
                <c:pt idx="14" formatCode="_ * #,##0_ ;_ * \-#,##0_ ;_ * &quot;-&quot;??_ ;_ @_ ">
                  <c:v>209580.09472718587</c:v>
                </c:pt>
                <c:pt idx="15" formatCode="_ * #,##0_ ;_ * \-#,##0_ ;_ * &quot;-&quot;??_ ;_ @_ ">
                  <c:v>339960.29061868001</c:v>
                </c:pt>
                <c:pt idx="16" formatCode="_ * #,##0_ ;_ * \-#,##0_ ;_ * &quot;-&quot;??_ ;_ @_ ">
                  <c:v>527609.05878454575</c:v>
                </c:pt>
                <c:pt idx="17" formatCode="_ * #,##0_ ;_ * \-#,##0_ ;_ * &quot;-&quot;??_ ;_ @_ ">
                  <c:v>803123.48579728883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6-4B93-42B0-9D9F-C5C22701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Summary!$B$19</c:f>
              <c:strCache>
                <c:ptCount val="1"/>
                <c:pt idx="0">
                  <c:v>% of Sale 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B93-42B0-9D9F-C5C22701F186}"/>
              </c:ext>
            </c:extLst>
          </c:dPt>
          <c:cat>
            <c:strRef>
              <c:f>Summary!$C$14:$T$14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Summary!$C$19:$T$19</c:f>
              <c:numCache>
                <c:formatCode>General</c:formatCode>
                <c:ptCount val="18"/>
                <c:pt idx="3" formatCode="0%">
                  <c:v>0.14910179640718563</c:v>
                </c:pt>
                <c:pt idx="4" formatCode="0%">
                  <c:v>0.38602794411177643</c:v>
                </c:pt>
                <c:pt idx="5" formatCode="0%">
                  <c:v>0.4645441389290883</c:v>
                </c:pt>
                <c:pt idx="6" formatCode="0%">
                  <c:v>0.39159975293390981</c:v>
                </c:pt>
                <c:pt idx="7" formatCode="0%">
                  <c:v>0.24291567087743257</c:v>
                </c:pt>
                <c:pt idx="8" formatCode="0%">
                  <c:v>0.41509433962264153</c:v>
                </c:pt>
                <c:pt idx="9" formatCode="0%">
                  <c:v>0.60215892053973008</c:v>
                </c:pt>
                <c:pt idx="10" formatCode="0%">
                  <c:v>0.15694434123504497</c:v>
                </c:pt>
                <c:pt idx="11" formatCode="0%">
                  <c:v>1.2223622747831244</c:v>
                </c:pt>
                <c:pt idx="12" formatCode="0%">
                  <c:v>1.3370046945274285</c:v>
                </c:pt>
                <c:pt idx="13" formatCode="0.0%">
                  <c:v>0.58478228790012776</c:v>
                </c:pt>
                <c:pt idx="14" formatCode="0.0%">
                  <c:v>0.60721774764928838</c:v>
                </c:pt>
                <c:pt idx="15" formatCode="0.0%">
                  <c:v>0.61750957388063221</c:v>
                </c:pt>
                <c:pt idx="16" formatCode="0.0%">
                  <c:v>0.60648261720419228</c:v>
                </c:pt>
                <c:pt idx="17" formatCode="0.0%">
                  <c:v>0.58963587783740923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4B93-42B0-9D9F-C5C22701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Revenue and Growth% (MM $)</a:t>
            </a:r>
            <a:endParaRPr lang="en-IN" sz="1400" baseline="0"/>
          </a:p>
        </c:rich>
      </c:tx>
      <c:layout>
        <c:manualLayout>
          <c:xMode val="edge"/>
          <c:yMode val="edge"/>
          <c:x val="0.2376178915135608"/>
          <c:y val="4.304352580927384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Summary!$B$53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8B000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85AD-4763-9842-6DE546E5FA67}"/>
              </c:ext>
            </c:extLst>
          </c:dPt>
          <c:cat>
            <c:strRef>
              <c:f>Summary!$C$52:$T$52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Summary!$C$53:$T$53</c:f>
              <c:numCache>
                <c:formatCode>General</c:formatCode>
                <c:ptCount val="18"/>
                <c:pt idx="3" formatCode="_ * #,##0_ ;_ * \-#,##0_ ;_ * &quot;-&quot;??_ ;_ @_ ">
                  <c:v>5010</c:v>
                </c:pt>
                <c:pt idx="4" formatCode="_ * #,##0_ ;_ * \-#,##0_ ;_ * &quot;-&quot;??_ ;_ @_ ">
                  <c:v>6910</c:v>
                </c:pt>
                <c:pt idx="5" formatCode="_ * #,##0_ ;_ * \-#,##0_ ;_ * &quot;-&quot;??_ ;_ @_ ">
                  <c:v>9714</c:v>
                </c:pt>
                <c:pt idx="6" formatCode="_ * #,##0_ ;_ * \-#,##0_ ;_ * &quot;-&quot;??_ ;_ @_ ">
                  <c:v>11716</c:v>
                </c:pt>
                <c:pt idx="7" formatCode="_ * #,##0_ ;_ * \-#,##0_ ;_ * &quot;-&quot;??_ ;_ @_ ">
                  <c:v>10918</c:v>
                </c:pt>
                <c:pt idx="8" formatCode="_ * #,##0_ ;_ * \-#,##0_ ;_ * &quot;-&quot;??_ ;_ @_ ">
                  <c:v>16675</c:v>
                </c:pt>
                <c:pt idx="9" formatCode="_ * #,##0_ ;_ * \-#,##0_ ;_ * &quot;-&quot;??_ ;_ @_ ">
                  <c:v>26914</c:v>
                </c:pt>
                <c:pt idx="10" formatCode="_ * #,##0_ ;_ * \-#,##0_ ;_ * &quot;-&quot;??_ ;_ @_ ">
                  <c:v>26974</c:v>
                </c:pt>
                <c:pt idx="11" formatCode="_ * #,##0_ ;_ * \-#,##0_ ;_ * &quot;-&quot;??_ ;_ @_ ">
                  <c:v>60922</c:v>
                </c:pt>
                <c:pt idx="12" formatCode="_ * #,##0_ ;_ * \-#,##0_ ;_ * &quot;-&quot;??_ ;_ @_ ">
                  <c:v>130497</c:v>
                </c:pt>
                <c:pt idx="13" formatCode="_ * #,##0_ ;_ * \-#,##0_ ;_ * &quot;-&quot;??_ ;_ @_ ">
                  <c:v>231101.96042438972</c:v>
                </c:pt>
                <c:pt idx="14" formatCode="_ * #,##0_ ;_ * \-#,##0_ ;_ * &quot;-&quot;??_ ;_ @_ ">
                  <c:v>400358.7510277743</c:v>
                </c:pt>
                <c:pt idx="15" formatCode="_ * #,##0_ ;_ * \-#,##0_ ;_ * &quot;-&quot;??_ ;_ @_ ">
                  <c:v>662423.04492546886</c:v>
                </c:pt>
                <c:pt idx="16" formatCode="_ * #,##0_ ;_ * \-#,##0_ ;_ * &quot;-&quot;??_ ;_ @_ ">
                  <c:v>1085187.606477323</c:v>
                </c:pt>
                <c:pt idx="17" formatCode="_ * #,##0_ ;_ * \-#,##0_ ;_ * &quot;-&quot;??_ ;_ @_ ">
                  <c:v>1760450.0305644444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6-85AD-4763-9842-6DE546E5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Summary!$B$54</c:f>
              <c:strCache>
                <c:ptCount val="1"/>
                <c:pt idx="0">
                  <c:v>growth%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5AD-4763-9842-6DE546E5FA67}"/>
              </c:ext>
            </c:extLst>
          </c:dPt>
          <c:cat>
            <c:strRef>
              <c:f>Summary!$C$52:$T$52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Summary!$C$54:$T$54</c:f>
              <c:numCache>
                <c:formatCode>General</c:formatCode>
                <c:ptCount val="18"/>
                <c:pt idx="3" formatCode="0.0%">
                  <c:v>0</c:v>
                </c:pt>
                <c:pt idx="4" formatCode="0.0%">
                  <c:v>0.37924151696606789</c:v>
                </c:pt>
                <c:pt idx="5" formatCode="0.0%">
                  <c:v>0.40578871201157751</c:v>
                </c:pt>
                <c:pt idx="6" formatCode="0.0%">
                  <c:v>0.20609429689108505</c:v>
                </c:pt>
                <c:pt idx="7" formatCode="0.0%">
                  <c:v>-6.8111983612154314E-2</c:v>
                </c:pt>
                <c:pt idx="8" formatCode="0.0%">
                  <c:v>0.52729437625938824</c:v>
                </c:pt>
                <c:pt idx="9" formatCode="0.0%">
                  <c:v>0.61403298350824587</c:v>
                </c:pt>
                <c:pt idx="10" formatCode="0.0%">
                  <c:v>2.2293230289069932E-3</c:v>
                </c:pt>
                <c:pt idx="11" formatCode="0.0%">
                  <c:v>1.2585452658115224</c:v>
                </c:pt>
                <c:pt idx="12" formatCode="0.0%">
                  <c:v>1.1420340763599355</c:v>
                </c:pt>
                <c:pt idx="13" formatCode="0.0%">
                  <c:v>0.77093695965723141</c:v>
                </c:pt>
                <c:pt idx="14" formatCode="0.0%">
                  <c:v>0.73239011167436985</c:v>
                </c:pt>
                <c:pt idx="15" formatCode="0.0%">
                  <c:v>0.65457366230896807</c:v>
                </c:pt>
                <c:pt idx="16" formatCode="0.0%">
                  <c:v>0.63820932075124381</c:v>
                </c:pt>
                <c:pt idx="17" formatCode="0.0%">
                  <c:v>0.62225408773246271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5AD-4763-9842-6DE546E5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EBIT (MM $)</a:t>
            </a:r>
          </a:p>
        </c:rich>
      </c:tx>
      <c:layout>
        <c:manualLayout>
          <c:xMode val="edge"/>
          <c:yMode val="edge"/>
          <c:x val="0.36261789151356083"/>
          <c:y val="2.91546369203849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Summary!$B$56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C-6CD4-40F6-9309-BB500E6699E3}"/>
              </c:ext>
            </c:extLst>
          </c:dPt>
          <c:cat>
            <c:strRef>
              <c:f>Summary!$C$52:$T$52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Summary!$C$56:$T$56</c:f>
              <c:numCache>
                <c:formatCode>General</c:formatCode>
                <c:ptCount val="18"/>
                <c:pt idx="3" formatCode="_ * #,##0_ ;_ * \-#,##0_ ;_ * &quot;-&quot;??_ ;_ @_ ">
                  <c:v>747</c:v>
                </c:pt>
                <c:pt idx="4" formatCode="_ * #,##0_ ;_ * \-#,##0_ ;_ * &quot;-&quot;??_ ;_ @_ ">
                  <c:v>1934</c:v>
                </c:pt>
                <c:pt idx="5" formatCode="_ * #,##0_ ;_ * \-#,##0_ ;_ * &quot;-&quot;??_ ;_ @_ ">
                  <c:v>3210</c:v>
                </c:pt>
                <c:pt idx="6" formatCode="_ * #,##0_ ;_ * \-#,##0_ ;_ * &quot;-&quot;??_ ;_ @_ ">
                  <c:v>3804</c:v>
                </c:pt>
                <c:pt idx="7" formatCode="_ * #,##0_ ;_ * \-#,##0_ ;_ * &quot;-&quot;??_ ;_ @_ ">
                  <c:v>2846</c:v>
                </c:pt>
                <c:pt idx="8" formatCode="_ * #,##0_ ;_ * \-#,##0_ ;_ * &quot;-&quot;??_ ;_ @_ ">
                  <c:v>4532</c:v>
                </c:pt>
                <c:pt idx="9" formatCode="_ * #,##0_ ;_ * \-#,##0_ ;_ * &quot;-&quot;??_ ;_ @_ ">
                  <c:v>10041</c:v>
                </c:pt>
                <c:pt idx="10" formatCode="_ * #,##0_ ;_ * \-#,##0_ ;_ * &quot;-&quot;??_ ;_ @_ ">
                  <c:v>4224</c:v>
                </c:pt>
                <c:pt idx="11" formatCode="_ * #,##0_ ;_ * \-#,##0_ ;_ * &quot;-&quot;??_ ;_ @_ ">
                  <c:v>32972</c:v>
                </c:pt>
                <c:pt idx="12" formatCode="_ * #,##0_ ;_ * \-#,##0_ ;_ * &quot;-&quot;??_ ;_ @_ ">
                  <c:v>81453</c:v>
                </c:pt>
                <c:pt idx="13" formatCode="_ * #,##0_ ;_ * \-#,##0_ ;_ * &quot;-&quot;??_ ;_ @_ ">
                  <c:v>141901.54981293838</c:v>
                </c:pt>
                <c:pt idx="14" formatCode="_ * #,##0_ ;_ * \-#,##0_ ;_ * &quot;-&quot;??_ ;_ @_ ">
                  <c:v>255260.18600330572</c:v>
                </c:pt>
                <c:pt idx="15" formatCode="_ * #,##0_ ;_ * \-#,##0_ ;_ * &quot;-&quot;??_ ;_ @_ ">
                  <c:v>449957.8294207009</c:v>
                </c:pt>
                <c:pt idx="16" formatCode="_ * #,##0_ ;_ * \-#,##0_ ;_ * &quot;-&quot;??_ ;_ @_ ">
                  <c:v>723962.16170731199</c:v>
                </c:pt>
                <c:pt idx="17" formatCode="_ * #,##0_ ;_ * \-#,##0_ ;_ * &quot;-&quot;??_ ;_ @_ ">
                  <c:v>1141826.9490768362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D-6CD4-40F6-9309-BB500E669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Summary!$B$57</c:f>
              <c:strCache>
                <c:ptCount val="1"/>
                <c:pt idx="0">
                  <c:v>% of Sale 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6CD4-40F6-9309-BB500E6699E3}"/>
              </c:ext>
            </c:extLst>
          </c:dPt>
          <c:cat>
            <c:strRef>
              <c:f>Summary!$C$52:$T$52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Summary!$C$57:$T$57</c:f>
              <c:numCache>
                <c:formatCode>General</c:formatCode>
                <c:ptCount val="18"/>
                <c:pt idx="3" formatCode="0%">
                  <c:v>0.14910179640718563</c:v>
                </c:pt>
                <c:pt idx="4" formatCode="0%">
                  <c:v>0.38602794411177643</c:v>
                </c:pt>
                <c:pt idx="5" formatCode="0%">
                  <c:v>0.4645441389290883</c:v>
                </c:pt>
                <c:pt idx="6" formatCode="0%">
                  <c:v>0.39159975293390981</c:v>
                </c:pt>
                <c:pt idx="7" formatCode="0%">
                  <c:v>0.24291567087743257</c:v>
                </c:pt>
                <c:pt idx="8" formatCode="0%">
                  <c:v>0.41509433962264153</c:v>
                </c:pt>
                <c:pt idx="9" formatCode="0%">
                  <c:v>0.60215892053973008</c:v>
                </c:pt>
                <c:pt idx="10" formatCode="0%">
                  <c:v>0.15694434123504497</c:v>
                </c:pt>
                <c:pt idx="11" formatCode="0%">
                  <c:v>1.2223622747831244</c:v>
                </c:pt>
                <c:pt idx="12" formatCode="0%">
                  <c:v>1.3370046945274285</c:v>
                </c:pt>
                <c:pt idx="13" formatCode="0.0%">
                  <c:v>0.61402140229513413</c:v>
                </c:pt>
                <c:pt idx="14" formatCode="0.0%">
                  <c:v>0.63757863503175283</c:v>
                </c:pt>
                <c:pt idx="15" formatCode="0.0%">
                  <c:v>0.67926053126869546</c:v>
                </c:pt>
                <c:pt idx="16" formatCode="0.0%">
                  <c:v>0.66713087892461154</c:v>
                </c:pt>
                <c:pt idx="17" formatCode="0.0%">
                  <c:v>0.64859946562115023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6CD4-40F6-9309-BB500E669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Revenue and Growth% (MM $)</a:t>
            </a:r>
            <a:endParaRPr lang="en-IN" sz="1400" baseline="0"/>
          </a:p>
        </c:rich>
      </c:tx>
      <c:layout>
        <c:manualLayout>
          <c:xMode val="edge"/>
          <c:yMode val="edge"/>
          <c:x val="0.2376178915135608"/>
          <c:y val="4.304352580927384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Summary!$B$93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8B000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9577-4127-A404-A58293673845}"/>
              </c:ext>
            </c:extLst>
          </c:dPt>
          <c:cat>
            <c:strRef>
              <c:f>Summary!$C$92:$T$92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Summary!$C$93:$T$93</c:f>
              <c:numCache>
                <c:formatCode>General</c:formatCode>
                <c:ptCount val="18"/>
                <c:pt idx="3" formatCode="_ * #,##0_ ;_ * \-#,##0_ ;_ * &quot;-&quot;??_ ;_ @_ ">
                  <c:v>5010</c:v>
                </c:pt>
                <c:pt idx="4" formatCode="_ * #,##0_ ;_ * \-#,##0_ ;_ * &quot;-&quot;??_ ;_ @_ ">
                  <c:v>6910</c:v>
                </c:pt>
                <c:pt idx="5" formatCode="_ * #,##0_ ;_ * \-#,##0_ ;_ * &quot;-&quot;??_ ;_ @_ ">
                  <c:v>9714</c:v>
                </c:pt>
                <c:pt idx="6" formatCode="_ * #,##0_ ;_ * \-#,##0_ ;_ * &quot;-&quot;??_ ;_ @_ ">
                  <c:v>11716</c:v>
                </c:pt>
                <c:pt idx="7" formatCode="_ * #,##0_ ;_ * \-#,##0_ ;_ * &quot;-&quot;??_ ;_ @_ ">
                  <c:v>10918</c:v>
                </c:pt>
                <c:pt idx="8" formatCode="_ * #,##0_ ;_ * \-#,##0_ ;_ * &quot;-&quot;??_ ;_ @_ ">
                  <c:v>16675</c:v>
                </c:pt>
                <c:pt idx="9" formatCode="_ * #,##0_ ;_ * \-#,##0_ ;_ * &quot;-&quot;??_ ;_ @_ ">
                  <c:v>26914</c:v>
                </c:pt>
                <c:pt idx="10" formatCode="_ * #,##0_ ;_ * \-#,##0_ ;_ * &quot;-&quot;??_ ;_ @_ ">
                  <c:v>26974</c:v>
                </c:pt>
                <c:pt idx="11" formatCode="_ * #,##0_ ;_ * \-#,##0_ ;_ * &quot;-&quot;??_ ;_ @_ ">
                  <c:v>60922</c:v>
                </c:pt>
                <c:pt idx="12" formatCode="_ * #,##0_ ;_ * \-#,##0_ ;_ * &quot;-&quot;??_ ;_ @_ ">
                  <c:v>130497</c:v>
                </c:pt>
                <c:pt idx="13" formatCode="_ * #,##0_ ;_ * \-#,##0_ ;_ * &quot;-&quot;??_ ;_ @_ ">
                  <c:v>197566.97361625984</c:v>
                </c:pt>
                <c:pt idx="14" formatCode="_ * #,##0_ ;_ * \-#,##0_ ;_ * &quot;-&quot;??_ ;_ @_ ">
                  <c:v>294031.03886291309</c:v>
                </c:pt>
                <c:pt idx="15" formatCode="_ * #,##0_ ;_ * \-#,##0_ ;_ * &quot;-&quot;??_ ;_ @_ ">
                  <c:v>451502.38117828284</c:v>
                </c:pt>
                <c:pt idx="16" formatCode="_ * #,##0_ ;_ * \-#,##0_ ;_ * &quot;-&quot;??_ ;_ @_ ">
                  <c:v>687263.94954957825</c:v>
                </c:pt>
                <c:pt idx="17" formatCode="_ * #,##0_ ;_ * \-#,##0_ ;_ * &quot;-&quot;??_ ;_ @_ ">
                  <c:v>1037161.6966064363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6-9577-4127-A404-A58293673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Summary!$B$94</c:f>
              <c:strCache>
                <c:ptCount val="1"/>
                <c:pt idx="0">
                  <c:v>growth%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577-4127-A404-A58293673845}"/>
              </c:ext>
            </c:extLst>
          </c:dPt>
          <c:cat>
            <c:strRef>
              <c:f>Summary!$C$92:$T$92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Summary!$C$94:$T$94</c:f>
              <c:numCache>
                <c:formatCode>General</c:formatCode>
                <c:ptCount val="18"/>
                <c:pt idx="3" formatCode="0.0%">
                  <c:v>0</c:v>
                </c:pt>
                <c:pt idx="4" formatCode="0.0%">
                  <c:v>0.37924151696606789</c:v>
                </c:pt>
                <c:pt idx="5" formatCode="0.0%">
                  <c:v>0.40578871201157751</c:v>
                </c:pt>
                <c:pt idx="6" formatCode="0.0%">
                  <c:v>0.20609429689108505</c:v>
                </c:pt>
                <c:pt idx="7" formatCode="0.0%">
                  <c:v>-6.8111983612154314E-2</c:v>
                </c:pt>
                <c:pt idx="8" formatCode="0.0%">
                  <c:v>0.52729437625938824</c:v>
                </c:pt>
                <c:pt idx="9" formatCode="0.0%">
                  <c:v>0.61403298350824587</c:v>
                </c:pt>
                <c:pt idx="10" formatCode="0.0%">
                  <c:v>2.2293230289069932E-3</c:v>
                </c:pt>
                <c:pt idx="11" formatCode="0.0%">
                  <c:v>1.2585452658115224</c:v>
                </c:pt>
                <c:pt idx="12" formatCode="0.0%">
                  <c:v>1.1420340763599355</c:v>
                </c:pt>
                <c:pt idx="13" formatCode="0.0%">
                  <c:v>0.51395797310482105</c:v>
                </c:pt>
                <c:pt idx="14" formatCode="0.0%">
                  <c:v>0.48826007444957997</c:v>
                </c:pt>
                <c:pt idx="15" formatCode="0.0%">
                  <c:v>0.53556026916188293</c:v>
                </c:pt>
                <c:pt idx="16" formatCode="0.0%">
                  <c:v>0.52217126243283585</c:v>
                </c:pt>
                <c:pt idx="17" formatCode="0.0%">
                  <c:v>0.50911698087201496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9577-4127-A404-A58293673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EBIT (MM $)</a:t>
            </a:r>
          </a:p>
        </c:rich>
      </c:tx>
      <c:layout>
        <c:manualLayout>
          <c:xMode val="edge"/>
          <c:yMode val="edge"/>
          <c:x val="0.36261789151356083"/>
          <c:y val="2.91546369203849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Summary!$B$96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C-A59D-45DD-BEC9-720C69A455A8}"/>
              </c:ext>
            </c:extLst>
          </c:dPt>
          <c:cat>
            <c:strRef>
              <c:f>Summary!$C$92:$T$92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Summary!$C$96:$T$96</c:f>
              <c:numCache>
                <c:formatCode>General</c:formatCode>
                <c:ptCount val="18"/>
                <c:pt idx="3" formatCode="_ * #,##0_ ;_ * \-#,##0_ ;_ * &quot;-&quot;??_ ;_ @_ ">
                  <c:v>747</c:v>
                </c:pt>
                <c:pt idx="4" formatCode="_ * #,##0_ ;_ * \-#,##0_ ;_ * &quot;-&quot;??_ ;_ @_ ">
                  <c:v>1934</c:v>
                </c:pt>
                <c:pt idx="5" formatCode="_ * #,##0_ ;_ * \-#,##0_ ;_ * &quot;-&quot;??_ ;_ @_ ">
                  <c:v>3210</c:v>
                </c:pt>
                <c:pt idx="6" formatCode="_ * #,##0_ ;_ * \-#,##0_ ;_ * &quot;-&quot;??_ ;_ @_ ">
                  <c:v>3804</c:v>
                </c:pt>
                <c:pt idx="7" formatCode="_ * #,##0_ ;_ * \-#,##0_ ;_ * &quot;-&quot;??_ ;_ @_ ">
                  <c:v>2846</c:v>
                </c:pt>
                <c:pt idx="8" formatCode="_ * #,##0_ ;_ * \-#,##0_ ;_ * &quot;-&quot;??_ ;_ @_ ">
                  <c:v>4532</c:v>
                </c:pt>
                <c:pt idx="9" formatCode="_ * #,##0_ ;_ * \-#,##0_ ;_ * &quot;-&quot;??_ ;_ @_ ">
                  <c:v>10041</c:v>
                </c:pt>
                <c:pt idx="10" formatCode="_ * #,##0_ ;_ * \-#,##0_ ;_ * &quot;-&quot;??_ ;_ @_ ">
                  <c:v>4224</c:v>
                </c:pt>
                <c:pt idx="11" formatCode="_ * #,##0_ ;_ * \-#,##0_ ;_ * &quot;-&quot;??_ ;_ @_ ">
                  <c:v>32972</c:v>
                </c:pt>
                <c:pt idx="12" formatCode="_ * #,##0_ ;_ * \-#,##0_ ;_ * &quot;-&quot;??_ ;_ @_ ">
                  <c:v>81453</c:v>
                </c:pt>
                <c:pt idx="13" formatCode="_ * #,##0_ ;_ * \-#,##0_ ;_ * &quot;-&quot;??_ ;_ @_ ">
                  <c:v>109756.98350257958</c:v>
                </c:pt>
                <c:pt idx="14" formatCode="_ * #,##0_ ;_ * \-#,##0_ ;_ * &quot;-&quot;??_ ;_ @_ ">
                  <c:v>169613.82189945254</c:v>
                </c:pt>
                <c:pt idx="15" formatCode="_ * #,##0_ ;_ * \-#,##0_ ;_ * &quot;-&quot;??_ ;_ @_ ">
                  <c:v>250926.33870674297</c:v>
                </c:pt>
                <c:pt idx="16" formatCode="_ * #,##0_ ;_ * \-#,##0_ ;_ * &quot;-&quot;??_ ;_ @_ ">
                  <c:v>375132.27494962636</c:v>
                </c:pt>
                <c:pt idx="17" formatCode="_ * #,##0_ ;_ * \-#,##0_ ;_ * &quot;-&quot;??_ ;_ @_ ">
                  <c:v>550392.97269408556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D-A59D-45DD-BEC9-720C69A45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Summary!$B$97</c:f>
              <c:strCache>
                <c:ptCount val="1"/>
                <c:pt idx="0">
                  <c:v>% of Sale 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59D-45DD-BEC9-720C69A455A8}"/>
              </c:ext>
            </c:extLst>
          </c:dPt>
          <c:cat>
            <c:strRef>
              <c:f>Summary!$C$92:$T$92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Summary!$C$97:$T$97</c:f>
              <c:numCache>
                <c:formatCode>General</c:formatCode>
                <c:ptCount val="18"/>
                <c:pt idx="3" formatCode="0%">
                  <c:v>0.14910179640718563</c:v>
                </c:pt>
                <c:pt idx="4" formatCode="0%">
                  <c:v>0.38602794411177643</c:v>
                </c:pt>
                <c:pt idx="5" formatCode="0%">
                  <c:v>0.4645441389290883</c:v>
                </c:pt>
                <c:pt idx="6" formatCode="0%">
                  <c:v>0.39159975293390981</c:v>
                </c:pt>
                <c:pt idx="7" formatCode="0%">
                  <c:v>0.24291567087743257</c:v>
                </c:pt>
                <c:pt idx="8" formatCode="0%">
                  <c:v>0.41509433962264153</c:v>
                </c:pt>
                <c:pt idx="9" formatCode="0%">
                  <c:v>0.60215892053973008</c:v>
                </c:pt>
                <c:pt idx="10" formatCode="0%">
                  <c:v>0.15694434123504497</c:v>
                </c:pt>
                <c:pt idx="11" formatCode="0%">
                  <c:v>1.2223622747831244</c:v>
                </c:pt>
                <c:pt idx="12" formatCode="0%">
                  <c:v>1.3370046945274285</c:v>
                </c:pt>
                <c:pt idx="13" formatCode="0.0%">
                  <c:v>0.55554317350512139</c:v>
                </c:pt>
                <c:pt idx="14" formatCode="0.0%">
                  <c:v>0.57685686026682392</c:v>
                </c:pt>
                <c:pt idx="15" formatCode="0.0%">
                  <c:v>0.55575861649256897</c:v>
                </c:pt>
                <c:pt idx="16" formatCode="0.0%">
                  <c:v>0.54583435548377301</c:v>
                </c:pt>
                <c:pt idx="17" formatCode="0.0%">
                  <c:v>0.53067229005366834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A59D-45DD-BEC9-720C69A45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Revenue and Growth% (2015A-2029E) (Base Case) </a:t>
            </a:r>
          </a:p>
        </c:rich>
      </c:tx>
      <c:layout>
        <c:manualLayout>
          <c:xMode val="edge"/>
          <c:yMode val="edge"/>
          <c:x val="0.1237289856977286"/>
          <c:y val="2.9154518950437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7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8B000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62FD-4BEB-B813-6649CD1B3152}"/>
              </c:ext>
            </c:extLst>
          </c:dPt>
          <c:cat>
            <c:strRef>
              <c:f>Charts!$C$6:$T$6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Charts!$C$7:$T$7</c:f>
              <c:numCache>
                <c:formatCode>General</c:formatCode>
                <c:ptCount val="18"/>
                <c:pt idx="3" formatCode="_ * #,##0_ ;_ * \-#,##0_ ;_ * &quot;-&quot;??_ ;_ @_ ">
                  <c:v>5010</c:v>
                </c:pt>
                <c:pt idx="4" formatCode="_ * #,##0_ ;_ * \-#,##0_ ;_ * &quot;-&quot;??_ ;_ @_ ">
                  <c:v>6910</c:v>
                </c:pt>
                <c:pt idx="5" formatCode="_ * #,##0_ ;_ * \-#,##0_ ;_ * &quot;-&quot;??_ ;_ @_ ">
                  <c:v>9714</c:v>
                </c:pt>
                <c:pt idx="6" formatCode="_ * #,##0_ ;_ * \-#,##0_ ;_ * &quot;-&quot;??_ ;_ @_ ">
                  <c:v>11716</c:v>
                </c:pt>
                <c:pt idx="7" formatCode="_ * #,##0_ ;_ * \-#,##0_ ;_ * &quot;-&quot;??_ ;_ @_ ">
                  <c:v>10918</c:v>
                </c:pt>
                <c:pt idx="8" formatCode="_ * #,##0_ ;_ * \-#,##0_ ;_ * &quot;-&quot;??_ ;_ @_ ">
                  <c:v>16675</c:v>
                </c:pt>
                <c:pt idx="9" formatCode="_ * #,##0_ ;_ * \-#,##0_ ;_ * &quot;-&quot;??_ ;_ @_ ">
                  <c:v>26914</c:v>
                </c:pt>
                <c:pt idx="10" formatCode="_ * #,##0_ ;_ * \-#,##0_ ;_ * &quot;-&quot;??_ ;_ @_ ">
                  <c:v>26974</c:v>
                </c:pt>
                <c:pt idx="11" formatCode="_ * #,##0_ ;_ * \-#,##0_ ;_ * &quot;-&quot;??_ ;_ @_ ">
                  <c:v>60922</c:v>
                </c:pt>
                <c:pt idx="12" formatCode="_ * #,##0_ ;_ * \-#,##0_ ;_ * &quot;-&quot;??_ ;_ @_ ">
                  <c:v>130497</c:v>
                </c:pt>
                <c:pt idx="13" formatCode="_ * #,##0_ ;_ * \-#,##0_ ;_ * &quot;-&quot;??_ ;_ @_ ">
                  <c:v>214334.46702032478</c:v>
                </c:pt>
                <c:pt idx="14" formatCode="_ * #,##0_ ;_ * \-#,##0_ ;_ * &quot;-&quot;??_ ;_ @_ ">
                  <c:v>345148.17055089329</c:v>
                </c:pt>
                <c:pt idx="15" formatCode="_ * #,##0_ ;_ * \-#,##0_ ;_ * &quot;-&quot;??_ ;_ @_ ">
                  <c:v>550534.44512974645</c:v>
                </c:pt>
                <c:pt idx="16" formatCode="_ * #,##0_ ;_ * \-#,##0_ ;_ * &quot;-&quot;??_ ;_ @_ ">
                  <c:v>869949.1853810359</c:v>
                </c:pt>
                <c:pt idx="17" formatCode="_ * #,##0_ ;_ * \-#,##0_ ;_ * &quot;-&quot;??_ ;_ @_ ">
                  <c:v>1362066.8551291046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0-62FD-4BEB-B813-6649CD1B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Charts!$B$8</c:f>
              <c:strCache>
                <c:ptCount val="1"/>
                <c:pt idx="0">
                  <c:v>growth%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ymbol val="circle"/>
              <c:size val="5"/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2FD-4BEB-B813-6649CD1B3152}"/>
              </c:ext>
            </c:extLst>
          </c:dPt>
          <c:cat>
            <c:strRef>
              <c:f>Charts!$C$6:$T$6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Charts!$C$8:$T$8</c:f>
              <c:numCache>
                <c:formatCode>General</c:formatCode>
                <c:ptCount val="18"/>
                <c:pt idx="3" formatCode="0.00%">
                  <c:v>0</c:v>
                </c:pt>
                <c:pt idx="4" formatCode="0.00%">
                  <c:v>0.37924151696606789</c:v>
                </c:pt>
                <c:pt idx="5" formatCode="0.00%">
                  <c:v>0.40578871201157751</c:v>
                </c:pt>
                <c:pt idx="6" formatCode="0.00%">
                  <c:v>0.20609429689108505</c:v>
                </c:pt>
                <c:pt idx="7" formatCode="0.00%">
                  <c:v>-6.8111983612154314E-2</c:v>
                </c:pt>
                <c:pt idx="8" formatCode="0.00%">
                  <c:v>0.52729437625938824</c:v>
                </c:pt>
                <c:pt idx="9" formatCode="0.00%">
                  <c:v>0.61403298350824587</c:v>
                </c:pt>
                <c:pt idx="10" formatCode="0.00%">
                  <c:v>2.2293230289069932E-3</c:v>
                </c:pt>
                <c:pt idx="11" formatCode="0.00%">
                  <c:v>1.2585452658115224</c:v>
                </c:pt>
                <c:pt idx="12" formatCode="0.00%">
                  <c:v>1.1420340763599355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2FD-4BEB-B813-6649CD1B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EBIT (2015A-2029E) (Base Case)</a:t>
            </a:r>
          </a:p>
        </c:rich>
      </c:tx>
      <c:layout>
        <c:manualLayout>
          <c:xMode val="edge"/>
          <c:yMode val="edge"/>
          <c:x val="0.32987637362637368"/>
          <c:y val="2.83687943262411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Charts!$B$10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>
                <a:alpha val="87000"/>
              </a:srgbClr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0"/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E9B-4943-9F48-C6A2128A43D4}"/>
              </c:ext>
            </c:extLst>
          </c:dPt>
          <c:cat>
            <c:numRef>
              <c:f>Charts!$C$31:$T$31</c:f>
              <c:numCache>
                <c:formatCode>General</c:formatCode>
                <c:ptCount val="18"/>
              </c:numCache>
            </c:numRef>
          </c:cat>
          <c:val>
            <c:numRef>
              <c:f>Charts!$C$10:$T$10</c:f>
              <c:numCache>
                <c:formatCode>General</c:formatCode>
                <c:ptCount val="18"/>
                <c:pt idx="3" formatCode="_ * #,##0_ ;_ * \-#,##0_ ;_ * &quot;-&quot;??_ ;_ @_ ">
                  <c:v>747</c:v>
                </c:pt>
                <c:pt idx="4" formatCode="_ * #,##0_ ;_ * \-#,##0_ ;_ * &quot;-&quot;??_ ;_ @_ ">
                  <c:v>1934</c:v>
                </c:pt>
                <c:pt idx="5" formatCode="_ * #,##0_ ;_ * \-#,##0_ ;_ * &quot;-&quot;??_ ;_ @_ ">
                  <c:v>3210</c:v>
                </c:pt>
                <c:pt idx="6" formatCode="_ * #,##0_ ;_ * \-#,##0_ ;_ * &quot;-&quot;??_ ;_ @_ ">
                  <c:v>3804</c:v>
                </c:pt>
                <c:pt idx="7" formatCode="_ * #,##0_ ;_ * \-#,##0_ ;_ * &quot;-&quot;??_ ;_ @_ ">
                  <c:v>2846</c:v>
                </c:pt>
                <c:pt idx="8" formatCode="_ * #,##0_ ;_ * \-#,##0_ ;_ * &quot;-&quot;??_ ;_ @_ ">
                  <c:v>4532</c:v>
                </c:pt>
                <c:pt idx="9" formatCode="_ * #,##0_ ;_ * \-#,##0_ ;_ * &quot;-&quot;??_ ;_ @_ ">
                  <c:v>10041</c:v>
                </c:pt>
                <c:pt idx="10" formatCode="_ * #,##0_ ;_ * \-#,##0_ ;_ * &quot;-&quot;??_ ;_ @_ ">
                  <c:v>4224</c:v>
                </c:pt>
                <c:pt idx="11" formatCode="_ * #,##0_ ;_ * \-#,##0_ ;_ * &quot;-&quot;??_ ;_ @_ ">
                  <c:v>32972</c:v>
                </c:pt>
                <c:pt idx="12" formatCode="_ * #,##0_ ;_ * \-#,##0_ ;_ * &quot;-&quot;??_ ;_ @_ ">
                  <c:v>81453</c:v>
                </c:pt>
                <c:pt idx="13" formatCode="_(* #,##0_);_(* \(#,##0\);_(* &quot;-&quot;??_);_(@_)">
                  <c:v>125339</c:v>
                </c:pt>
                <c:pt idx="14" formatCode="_(* #,##0_);_(* \(#,##0\);_(* &quot;-&quot;??_);_(@_)">
                  <c:v>209580.09472718587</c:v>
                </c:pt>
                <c:pt idx="15" formatCode="_(* #,##0_);_(* \(#,##0\);_(* &quot;-&quot;??_);_(@_)">
                  <c:v>334294.28577503539</c:v>
                </c:pt>
                <c:pt idx="16" formatCode="_(* #,##0_);_(* \(#,##0\);_(* &quot;-&quot;??_);_(@_)">
                  <c:v>518815.57447147003</c:v>
                </c:pt>
                <c:pt idx="17" formatCode="_(* #,##0_);_(* \(#,##0\);_(* &quot;-&quot;??_);_(@_)">
                  <c:v>789738.09436733415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9B-4943-9F48-C6A2128A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707055"/>
        <c:axId val="1236725775"/>
      </c:barChart>
      <c:lineChart>
        <c:grouping val="standard"/>
        <c:varyColors val="0"/>
        <c:ser>
          <c:idx val="1"/>
          <c:order val="1"/>
          <c:tx>
            <c:strRef>
              <c:f>Charts!$B$11</c:f>
              <c:strCache>
                <c:ptCount val="1"/>
                <c:pt idx="0">
                  <c:v>% of Sale </c:v>
                </c:pt>
              </c:strCache>
            </c:strRef>
          </c:tx>
          <c:spPr>
            <a:ln w="12700" cap="rnd" cmpd="sng">
              <a:solidFill>
                <a:srgbClr val="2E7D32">
                  <a:alpha val="75000"/>
                </a:srgbClr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2E7D32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11"/>
            <c:marker>
              <c:spPr>
                <a:solidFill>
                  <a:srgbClr val="2E7D32"/>
                </a:solidFill>
                <a:ln w="9525" cap="rnd">
                  <a:solidFill>
                    <a:srgbClr val="E53935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 w="25400" prst="hardEdge"/>
                  <a:bevelB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E9B-4943-9F48-C6A2128A43D4}"/>
              </c:ext>
            </c:extLst>
          </c:dPt>
          <c:cat>
            <c:strRef>
              <c:f>Charts!$C$28:$T$28</c:f>
              <c:strCache>
                <c:ptCount val="18"/>
                <c:pt idx="3">
                  <c:v>2015A</c:v>
                </c:pt>
                <c:pt idx="4">
                  <c:v>2016A</c:v>
                </c:pt>
                <c:pt idx="5">
                  <c:v>2017A</c:v>
                </c:pt>
                <c:pt idx="6">
                  <c:v>2018A</c:v>
                </c:pt>
                <c:pt idx="7">
                  <c:v>2019A</c:v>
                </c:pt>
                <c:pt idx="8">
                  <c:v>2020A</c:v>
                </c:pt>
                <c:pt idx="9">
                  <c:v>2021A</c:v>
                </c:pt>
                <c:pt idx="10">
                  <c:v>2022A</c:v>
                </c:pt>
                <c:pt idx="11">
                  <c:v>2023A</c:v>
                </c:pt>
                <c:pt idx="12">
                  <c:v>2024A</c:v>
                </c:pt>
                <c:pt idx="13">
                  <c:v>2025E</c:v>
                </c:pt>
                <c:pt idx="14">
                  <c:v>2026E</c:v>
                </c:pt>
                <c:pt idx="15">
                  <c:v>2027E</c:v>
                </c:pt>
                <c:pt idx="16">
                  <c:v>2028E</c:v>
                </c:pt>
                <c:pt idx="17">
                  <c:v>2029E</c:v>
                </c:pt>
              </c:strCache>
            </c:strRef>
          </c:cat>
          <c:val>
            <c:numRef>
              <c:f>Charts!$C$11:$T$11</c:f>
              <c:numCache>
                <c:formatCode>General</c:formatCode>
                <c:ptCount val="18"/>
                <c:pt idx="3" formatCode="0%">
                  <c:v>0.14910179640718563</c:v>
                </c:pt>
                <c:pt idx="4" formatCode="0%">
                  <c:v>0.38602794411177643</c:v>
                </c:pt>
                <c:pt idx="5" formatCode="0%">
                  <c:v>0.4645441389290883</c:v>
                </c:pt>
                <c:pt idx="6" formatCode="0%">
                  <c:v>0.39159975293390981</c:v>
                </c:pt>
                <c:pt idx="7" formatCode="0%">
                  <c:v>0.24291567087743257</c:v>
                </c:pt>
                <c:pt idx="8" formatCode="0%">
                  <c:v>0.41509433962264153</c:v>
                </c:pt>
                <c:pt idx="9" formatCode="0%">
                  <c:v>0.60215892053973008</c:v>
                </c:pt>
                <c:pt idx="10" formatCode="0%">
                  <c:v>0.15694434123504497</c:v>
                </c:pt>
                <c:pt idx="11" formatCode="0%">
                  <c:v>1.2223622747831244</c:v>
                </c:pt>
                <c:pt idx="12" formatCode="0%">
                  <c:v>1.3370046945274285</c:v>
                </c:pt>
                <c:pt idx="13" formatCode="0%">
                  <c:v>0.58478228790012776</c:v>
                </c:pt>
                <c:pt idx="14" formatCode="0%">
                  <c:v>0.60721774764928838</c:v>
                </c:pt>
                <c:pt idx="15" formatCode="0%">
                  <c:v>0.60721774764928838</c:v>
                </c:pt>
                <c:pt idx="16" formatCode="0%">
                  <c:v>0.59637457358412249</c:v>
                </c:pt>
                <c:pt idx="17" formatCode="0%">
                  <c:v>0.57980861320678578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4E9B-4943-9F48-C6A2128A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12815"/>
        <c:crosses val="autoZero"/>
        <c:crossBetween val="between"/>
      </c:valAx>
      <c:valAx>
        <c:axId val="12367257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07055"/>
        <c:crosses val="max"/>
        <c:crossBetween val="between"/>
      </c:valAx>
      <c:catAx>
        <c:axId val="123670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7257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Estmated</a:t>
            </a:r>
            <a:r>
              <a:rPr lang="en-IN" baseline="0"/>
              <a:t> Unilevered FCF (MM$)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33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3366"/>
                </a:solidFill>
              </a:ln>
              <a:effectLst/>
            </c:spPr>
          </c:marker>
          <c:cat>
            <c:numRef>
              <c:f>Charts!$P$59:$T$59</c:f>
              <c:numCache>
                <c:formatCode>0\E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Charts!$P$60:$T$60</c:f>
              <c:numCache>
                <c:formatCode>_(* #,##0_);_(* \(#,##0\);_(* "-"??_);_(@_)</c:formatCode>
                <c:ptCount val="5"/>
                <c:pt idx="0">
                  <c:v>167791.24351180287</c:v>
                </c:pt>
                <c:pt idx="1">
                  <c:v>209447.13129148845</c:v>
                </c:pt>
                <c:pt idx="2">
                  <c:v>257808.37039959448</c:v>
                </c:pt>
                <c:pt idx="3">
                  <c:v>310363.19763687789</c:v>
                </c:pt>
                <c:pt idx="4">
                  <c:v>367073.86217139853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8-409F-A449-1CC4911A6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9697568"/>
        <c:axId val="1079702368"/>
      </c:lineChart>
      <c:catAx>
        <c:axId val="1079697568"/>
        <c:scaling>
          <c:orientation val="minMax"/>
        </c:scaling>
        <c:delete val="0"/>
        <c:axPos val="b"/>
        <c:numFmt formatCode="0\E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02368"/>
        <c:crosses val="autoZero"/>
        <c:auto val="1"/>
        <c:lblAlgn val="ctr"/>
        <c:lblOffset val="100"/>
        <c:noMultiLvlLbl val="0"/>
      </c:catAx>
      <c:valAx>
        <c:axId val="1079702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9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45720</xdr:colOff>
      <xdr:row>11</xdr:row>
      <xdr:rowOff>99059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5173ED05-7015-4E70-99D7-65185BF7E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365760"/>
          <a:ext cx="3703320" cy="1744979"/>
        </a:xfrm>
        <a:prstGeom prst="rect">
          <a:avLst/>
        </a:prstGeom>
      </xdr:spPr>
    </xdr:pic>
    <xdr:clientData/>
  </xdr:twoCellAnchor>
  <xdr:twoCellAnchor>
    <xdr:from>
      <xdr:col>2</xdr:col>
      <xdr:colOff>220980</xdr:colOff>
      <xdr:row>16</xdr:row>
      <xdr:rowOff>152400</xdr:rowOff>
    </xdr:from>
    <xdr:to>
      <xdr:col>15</xdr:col>
      <xdr:colOff>579120</xdr:colOff>
      <xdr:row>22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9B702EC-0CCA-4B18-A28E-A49F5A13DD07}"/>
            </a:ext>
          </a:extLst>
        </xdr:cNvPr>
        <xdr:cNvSpPr/>
      </xdr:nvSpPr>
      <xdr:spPr>
        <a:xfrm>
          <a:off x="1181100" y="3093720"/>
          <a:ext cx="8282940" cy="107442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This financial model provides a detailed intrinsic valuation of NVIDIA Corporation using the Discounted Cash Flow (DCF) method. The project includes a full 5-year forecast of financial statements, estimation of unlevered free cash flows, and calculation of terminal value using the Gordon Growth Model. A bottom-up WACC was derived based on NVIDIA’s capital structure, beta, and market risk assumptions. The model was built entirely in Excel and incorporates dynamic assumptions, clear financial linkages, and a valuation summary. This project demonstrates proficiency in financial modeling, valuation, and Excel-based analysis, and is designed to mirror the standards used in investment banking and private equity.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22</xdr:row>
      <xdr:rowOff>163830</xdr:rowOff>
    </xdr:from>
    <xdr:to>
      <xdr:col>7</xdr:col>
      <xdr:colOff>632460</xdr:colOff>
      <xdr:row>37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80D6E-322E-A348-4630-EB1D228B0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87630</xdr:rowOff>
    </xdr:from>
    <xdr:to>
      <xdr:col>19</xdr:col>
      <xdr:colOff>548640</xdr:colOff>
      <xdr:row>38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8911FB-8939-F9C9-C1CB-5B2DCCCC6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167640</xdr:colOff>
      <xdr:row>23</xdr:row>
      <xdr:rowOff>175260</xdr:rowOff>
    </xdr:from>
    <xdr:to>
      <xdr:col>8</xdr:col>
      <xdr:colOff>91440</xdr:colOff>
      <xdr:row>25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38DD70C-6659-4D2C-8B1A-9A6C4AA7EEC8}"/>
            </a:ext>
          </a:extLst>
        </xdr:cNvPr>
        <xdr:cNvSpPr/>
      </xdr:nvSpPr>
      <xdr:spPr>
        <a:xfrm>
          <a:off x="4480560" y="252984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19</xdr:col>
      <xdr:colOff>99060</xdr:colOff>
      <xdr:row>24</xdr:row>
      <xdr:rowOff>114300</xdr:rowOff>
    </xdr:from>
    <xdr:to>
      <xdr:col>20</xdr:col>
      <xdr:colOff>22860</xdr:colOff>
      <xdr:row>25</xdr:row>
      <xdr:rowOff>129540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75D7569-9B98-46A9-AB2D-47DD7EEC85C4}"/>
            </a:ext>
          </a:extLst>
        </xdr:cNvPr>
        <xdr:cNvSpPr/>
      </xdr:nvSpPr>
      <xdr:spPr>
        <a:xfrm>
          <a:off x="12458700" y="265176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</xdr:col>
      <xdr:colOff>289560</xdr:colOff>
      <xdr:row>62</xdr:row>
      <xdr:rowOff>80010</xdr:rowOff>
    </xdr:from>
    <xdr:to>
      <xdr:col>8</xdr:col>
      <xdr:colOff>167640</xdr:colOff>
      <xdr:row>77</xdr:row>
      <xdr:rowOff>80010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3EF5A6-645E-2FDC-25C7-14993C89E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160020</xdr:colOff>
      <xdr:row>62</xdr:row>
      <xdr:rowOff>140970</xdr:rowOff>
    </xdr:from>
    <xdr:to>
      <xdr:col>18</xdr:col>
      <xdr:colOff>38100</xdr:colOff>
      <xdr:row>77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1D4E5F-BBE8-5804-2613-5D38BF989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335280</xdr:colOff>
      <xdr:row>63</xdr:row>
      <xdr:rowOff>121920</xdr:rowOff>
    </xdr:from>
    <xdr:to>
      <xdr:col>8</xdr:col>
      <xdr:colOff>259080</xdr:colOff>
      <xdr:row>64</xdr:row>
      <xdr:rowOff>137160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E494908-9D62-403F-819C-4D9304B83923}"/>
            </a:ext>
          </a:extLst>
        </xdr:cNvPr>
        <xdr:cNvSpPr/>
      </xdr:nvSpPr>
      <xdr:spPr>
        <a:xfrm>
          <a:off x="4648200" y="800862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17</xdr:col>
      <xdr:colOff>259080</xdr:colOff>
      <xdr:row>63</xdr:row>
      <xdr:rowOff>175260</xdr:rowOff>
    </xdr:from>
    <xdr:to>
      <xdr:col>18</xdr:col>
      <xdr:colOff>182880</xdr:colOff>
      <xdr:row>65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6FFC330-1DE5-4831-AF46-2971ADB2389E}"/>
            </a:ext>
          </a:extLst>
        </xdr:cNvPr>
        <xdr:cNvSpPr/>
      </xdr:nvSpPr>
      <xdr:spPr>
        <a:xfrm>
          <a:off x="11277600" y="806196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</xdr:col>
      <xdr:colOff>320040</xdr:colOff>
      <xdr:row>102</xdr:row>
      <xdr:rowOff>72390</xdr:rowOff>
    </xdr:from>
    <xdr:to>
      <xdr:col>8</xdr:col>
      <xdr:colOff>198120</xdr:colOff>
      <xdr:row>117</xdr:row>
      <xdr:rowOff>72390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892E87-386F-F70C-DD09-476F6D1BF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289560</xdr:colOff>
      <xdr:row>103</xdr:row>
      <xdr:rowOff>110490</xdr:rowOff>
    </xdr:from>
    <xdr:to>
      <xdr:col>18</xdr:col>
      <xdr:colOff>167640</xdr:colOff>
      <xdr:row>117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842B559-2FB0-77E0-B272-62947395F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411480</xdr:colOff>
      <xdr:row>103</xdr:row>
      <xdr:rowOff>83820</xdr:rowOff>
    </xdr:from>
    <xdr:to>
      <xdr:col>8</xdr:col>
      <xdr:colOff>335280</xdr:colOff>
      <xdr:row>104</xdr:row>
      <xdr:rowOff>99060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4322F6E-EB95-4314-BC11-3A73F38F78BF}"/>
            </a:ext>
          </a:extLst>
        </xdr:cNvPr>
        <xdr:cNvSpPr/>
      </xdr:nvSpPr>
      <xdr:spPr>
        <a:xfrm>
          <a:off x="4724400" y="1313688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17</xdr:col>
      <xdr:colOff>381000</xdr:colOff>
      <xdr:row>104</xdr:row>
      <xdr:rowOff>106680</xdr:rowOff>
    </xdr:from>
    <xdr:to>
      <xdr:col>18</xdr:col>
      <xdr:colOff>304800</xdr:colOff>
      <xdr:row>105</xdr:row>
      <xdr:rowOff>121920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D8604C5-D935-4924-B110-28FDA15EAC1E}"/>
            </a:ext>
          </a:extLst>
        </xdr:cNvPr>
        <xdr:cNvSpPr/>
      </xdr:nvSpPr>
      <xdr:spPr>
        <a:xfrm>
          <a:off x="11399520" y="1334262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1B35E31-15F9-42C7-AB4B-5584BF0A4EDB}"/>
            </a:ext>
          </a:extLst>
        </xdr:cNvPr>
        <xdr:cNvCxnSpPr/>
      </xdr:nvCxnSpPr>
      <xdr:spPr>
        <a:xfrm>
          <a:off x="7078980" y="6172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B6387B3-31B2-4384-874D-2071AB4B5876}"/>
            </a:ext>
          </a:extLst>
        </xdr:cNvPr>
        <xdr:cNvCxnSpPr/>
      </xdr:nvCxnSpPr>
      <xdr:spPr>
        <a:xfrm>
          <a:off x="7086600" y="7924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5</xdr:row>
      <xdr:rowOff>99060</xdr:rowOff>
    </xdr:from>
    <xdr:to>
      <xdr:col>11</xdr:col>
      <xdr:colOff>381000</xdr:colOff>
      <xdr:row>5</xdr:row>
      <xdr:rowOff>99060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532494F-D2C0-41EE-8A4B-C22E98590E8E}"/>
            </a:ext>
          </a:extLst>
        </xdr:cNvPr>
        <xdr:cNvCxnSpPr/>
      </xdr:nvCxnSpPr>
      <xdr:spPr>
        <a:xfrm>
          <a:off x="716280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2</xdr:row>
      <xdr:rowOff>106680</xdr:rowOff>
    </xdr:from>
    <xdr:to>
      <xdr:col>11</xdr:col>
      <xdr:colOff>373380</xdr:colOff>
      <xdr:row>2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098653E-A083-4E38-9386-54D7B40C8E2A}"/>
            </a:ext>
          </a:extLst>
        </xdr:cNvPr>
        <xdr:cNvCxnSpPr/>
      </xdr:nvCxnSpPr>
      <xdr:spPr>
        <a:xfrm>
          <a:off x="7764780" y="80010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3</xdr:row>
      <xdr:rowOff>99060</xdr:rowOff>
    </xdr:from>
    <xdr:to>
      <xdr:col>11</xdr:col>
      <xdr:colOff>381000</xdr:colOff>
      <xdr:row>3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81AED8-DE49-4C69-A6DD-7F4D9D787CAF}"/>
            </a:ext>
          </a:extLst>
        </xdr:cNvPr>
        <xdr:cNvCxnSpPr/>
      </xdr:nvCxnSpPr>
      <xdr:spPr>
        <a:xfrm>
          <a:off x="7772400" y="97536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662940</xdr:colOff>
      <xdr:row>91</xdr:row>
      <xdr:rowOff>83820</xdr:rowOff>
    </xdr:from>
    <xdr:to>
      <xdr:col>9</xdr:col>
      <xdr:colOff>662940</xdr:colOff>
      <xdr:row>94</xdr:row>
      <xdr:rowOff>110490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090DCD-AAC9-ACE5-EEDE-508FE6B5D6D0}"/>
            </a:ext>
          </a:extLst>
        </xdr:cNvPr>
        <xdr:cNvSpPr/>
      </xdr:nvSpPr>
      <xdr:spPr>
        <a:xfrm>
          <a:off x="7018020" y="16725900"/>
          <a:ext cx="2011680" cy="5753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WACC</a:t>
          </a:r>
        </a:p>
        <a:p>
          <a:pPr algn="ctr"/>
          <a:endParaRPr lang="en-IN" sz="1800" b="1"/>
        </a:p>
      </xdr:txBody>
    </xdr:sp>
    <xdr:clientData/>
  </xdr:twoCellAnchor>
  <xdr:twoCellAnchor>
    <xdr:from>
      <xdr:col>3</xdr:col>
      <xdr:colOff>579120</xdr:colOff>
      <xdr:row>95</xdr:row>
      <xdr:rowOff>182880</xdr:rowOff>
    </xdr:from>
    <xdr:to>
      <xdr:col>4</xdr:col>
      <xdr:colOff>556260</xdr:colOff>
      <xdr:row>100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D78567D-C66F-8035-D606-066F7B7DB9C9}"/>
            </a:ext>
          </a:extLst>
        </xdr:cNvPr>
        <xdr:cNvSpPr/>
      </xdr:nvSpPr>
      <xdr:spPr>
        <a:xfrm>
          <a:off x="2240280" y="17647920"/>
          <a:ext cx="647700" cy="8915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TGR</a:t>
          </a:r>
        </a:p>
      </xdr:txBody>
    </xdr:sp>
    <xdr:clientData/>
  </xdr:twoCellAnchor>
  <xdr:twoCellAnchor>
    <xdr:from>
      <xdr:col>6</xdr:col>
      <xdr:colOff>624840</xdr:colOff>
      <xdr:row>107</xdr:row>
      <xdr:rowOff>152400</xdr:rowOff>
    </xdr:from>
    <xdr:to>
      <xdr:col>9</xdr:col>
      <xdr:colOff>624840</xdr:colOff>
      <xdr:row>110</xdr:row>
      <xdr:rowOff>179070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064DB7-FBFB-4643-9E15-08CA575D8A47}"/>
            </a:ext>
          </a:extLst>
        </xdr:cNvPr>
        <xdr:cNvSpPr/>
      </xdr:nvSpPr>
      <xdr:spPr>
        <a:xfrm>
          <a:off x="2956560" y="19956780"/>
          <a:ext cx="2011680" cy="5753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WACC</a:t>
          </a:r>
        </a:p>
        <a:p>
          <a:pPr algn="ctr"/>
          <a:endParaRPr lang="en-IN" sz="1800" b="1"/>
        </a:p>
      </xdr:txBody>
    </xdr:sp>
    <xdr:clientData/>
  </xdr:twoCellAnchor>
  <xdr:twoCellAnchor>
    <xdr:from>
      <xdr:col>3</xdr:col>
      <xdr:colOff>556260</xdr:colOff>
      <xdr:row>112</xdr:row>
      <xdr:rowOff>182880</xdr:rowOff>
    </xdr:from>
    <xdr:to>
      <xdr:col>4</xdr:col>
      <xdr:colOff>533400</xdr:colOff>
      <xdr:row>117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CAA54BE-6592-4B12-91D4-51DAAC5B2AF1}"/>
            </a:ext>
          </a:extLst>
        </xdr:cNvPr>
        <xdr:cNvSpPr/>
      </xdr:nvSpPr>
      <xdr:spPr>
        <a:xfrm>
          <a:off x="830580" y="20947380"/>
          <a:ext cx="647700" cy="8915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TGR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662940</xdr:colOff>
      <xdr:row>10</xdr:row>
      <xdr:rowOff>83820</xdr:rowOff>
    </xdr:from>
    <xdr:to>
      <xdr:col>7</xdr:col>
      <xdr:colOff>662940</xdr:colOff>
      <xdr:row>13</xdr:row>
      <xdr:rowOff>110490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E40FC71-026D-4BE1-9BEE-9C13D6BECAFC}"/>
            </a:ext>
          </a:extLst>
        </xdr:cNvPr>
        <xdr:cNvSpPr/>
      </xdr:nvSpPr>
      <xdr:spPr>
        <a:xfrm>
          <a:off x="4335780" y="16954500"/>
          <a:ext cx="2011680" cy="5753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WACC</a:t>
          </a:r>
        </a:p>
        <a:p>
          <a:pPr algn="ctr"/>
          <a:endParaRPr lang="en-IN" sz="1800" b="1"/>
        </a:p>
      </xdr:txBody>
    </xdr:sp>
    <xdr:clientData/>
  </xdr:twoCellAnchor>
  <xdr:twoCellAnchor>
    <xdr:from>
      <xdr:col>1</xdr:col>
      <xdr:colOff>579120</xdr:colOff>
      <xdr:row>14</xdr:row>
      <xdr:rowOff>182880</xdr:rowOff>
    </xdr:from>
    <xdr:to>
      <xdr:col>2</xdr:col>
      <xdr:colOff>556260</xdr:colOff>
      <xdr:row>19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E3C8D3F-57C5-4AA8-9DD3-DA1A7F89406B}"/>
            </a:ext>
          </a:extLst>
        </xdr:cNvPr>
        <xdr:cNvSpPr/>
      </xdr:nvSpPr>
      <xdr:spPr>
        <a:xfrm>
          <a:off x="2240280" y="17785080"/>
          <a:ext cx="647700" cy="8915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TGR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12</xdr:row>
      <xdr:rowOff>30480</xdr:rowOff>
    </xdr:from>
    <xdr:to>
      <xdr:col>9</xdr:col>
      <xdr:colOff>175260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8521E-14EA-23F9-500C-BF24EEBD6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327660</xdr:colOff>
      <xdr:row>13</xdr:row>
      <xdr:rowOff>30480</xdr:rowOff>
    </xdr:from>
    <xdr:to>
      <xdr:col>9</xdr:col>
      <xdr:colOff>312420</xdr:colOff>
      <xdr:row>14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B632FD-9769-C8F9-2226-33E634DF10FB}"/>
            </a:ext>
          </a:extLst>
        </xdr:cNvPr>
        <xdr:cNvSpPr/>
      </xdr:nvSpPr>
      <xdr:spPr>
        <a:xfrm>
          <a:off x="4930140" y="2567940"/>
          <a:ext cx="594360" cy="1981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xdr:txBody>
    </xdr:sp>
    <xdr:clientData/>
  </xdr:twoCellAnchor>
  <xdr:twoCellAnchor>
    <xdr:from>
      <xdr:col>10</xdr:col>
      <xdr:colOff>365760</xdr:colOff>
      <xdr:row>12</xdr:row>
      <xdr:rowOff>53340</xdr:rowOff>
    </xdr:from>
    <xdr:to>
      <xdr:col>19</xdr:col>
      <xdr:colOff>342900</xdr:colOff>
      <xdr:row>25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D8FEE8-2B09-8C81-CD16-D62700997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</xdr:colOff>
      <xdr:row>61</xdr:row>
      <xdr:rowOff>179070</xdr:rowOff>
    </xdr:from>
    <xdr:to>
      <xdr:col>14</xdr:col>
      <xdr:colOff>358140</xdr:colOff>
      <xdr:row>76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5EEF1-23FF-680B-BEF7-7924D1AC1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0.90624</cdr:x>
      <cdr:y>0.0643</cdr:y>
    </cdr:from>
    <cdr:to>
      <cdr:x>0.99598</cdr:x>
      <cdr:y>0.1234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CB632FD-9769-C8F9-2226-33E634DF10FB}"/>
            </a:ext>
          </a:extLst>
        </cdr:cNvPr>
        <cdr:cNvSpPr/>
      </cdr:nvSpPr>
      <cdr:spPr>
        <a:xfrm xmlns:a="http://schemas.openxmlformats.org/drawingml/2006/main">
          <a:off x="5158468" y="172720"/>
          <a:ext cx="510812" cy="1587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900">
              <a:solidFill>
                <a:schemeClr val="bg2">
                  <a:lumMod val="50000"/>
                </a:schemeClr>
              </a:solidFill>
            </a:rPr>
            <a:t>MM($)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143-24DE-4377-92C2-E6E9F425B186}">
  <sheetPr codeName="Sheet7"/>
  <dimension ref="B16:S30"/>
  <sheetViews>
    <sheetView workbookViewId="0">
      <selection activeCell="O8" sqref="O8"/>
    </sheetView>
  </sheetViews>
  <sheetFormatPr defaultRowHeight="14.4" x14ac:dyDescent="0.3"/>
  <cols>
    <col min="1" max="1" width="5.109375" style="1" customWidth="1"/>
    <col min="2" max="16384" width="8.88671875" style="1"/>
  </cols>
  <sheetData>
    <row r="16" spans="2:2" ht="15.6" x14ac:dyDescent="0.3">
      <c r="B16" s="94" t="s">
        <v>124</v>
      </c>
    </row>
    <row r="18" spans="2:19" ht="15.6" x14ac:dyDescent="0.3">
      <c r="B18" s="94" t="s">
        <v>197</v>
      </c>
    </row>
    <row r="25" spans="2:19" ht="31.2" x14ac:dyDescent="0.6">
      <c r="B25" s="92" t="s">
        <v>125</v>
      </c>
    </row>
    <row r="26" spans="2:19" x14ac:dyDescent="0.3">
      <c r="B26" s="1" t="s">
        <v>126</v>
      </c>
    </row>
    <row r="27" spans="2:19" x14ac:dyDescent="0.3">
      <c r="B27" s="93" t="s">
        <v>128</v>
      </c>
    </row>
    <row r="28" spans="2:19" ht="8.4" customHeight="1" x14ac:dyDescent="0.3"/>
    <row r="29" spans="2:19" ht="15.6" x14ac:dyDescent="0.3">
      <c r="B29" s="94" t="s">
        <v>127</v>
      </c>
    </row>
    <row r="30" spans="2:19" ht="6" customHeight="1" thickBot="1" x14ac:dyDescent="0.35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3D9-4E6B-4066-828B-452313F6EDD5}">
  <dimension ref="A2:W127"/>
  <sheetViews>
    <sheetView workbookViewId="0">
      <selection activeCell="B15" sqref="B15"/>
    </sheetView>
  </sheetViews>
  <sheetFormatPr defaultColWidth="9.77734375" defaultRowHeight="14.4" x14ac:dyDescent="0.3"/>
  <cols>
    <col min="1" max="1" width="4.21875" style="1" customWidth="1"/>
    <col min="2" max="2" width="9.77734375" style="1"/>
    <col min="3" max="3" width="10.5546875" style="1" bestFit="1" customWidth="1"/>
    <col min="4" max="5" width="9.77734375" style="1"/>
    <col min="6" max="6" width="9.77734375" style="1" customWidth="1"/>
    <col min="7" max="7" width="9.77734375" style="1"/>
    <col min="8" max="8" width="10.5546875" style="1" bestFit="1" customWidth="1"/>
    <col min="9" max="15" width="9.77734375" style="1"/>
    <col min="16" max="19" width="9.88671875" style="1" bestFit="1" customWidth="1"/>
    <col min="20" max="20" width="10" style="1" bestFit="1" customWidth="1"/>
    <col min="21" max="16384" width="9.77734375" style="1"/>
  </cols>
  <sheetData>
    <row r="2" spans="1:23" ht="23.4" x14ac:dyDescent="0.45">
      <c r="B2" s="100" t="s">
        <v>132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</row>
    <row r="4" spans="1:23" x14ac:dyDescent="0.3">
      <c r="B4" s="1" t="str">
        <f>DCF!B3</f>
        <v>Ticker</v>
      </c>
      <c r="C4" s="9" t="str">
        <f>DCF!C3</f>
        <v>NVDA</v>
      </c>
      <c r="E4" s="1" t="str">
        <f>DCF!E3</f>
        <v>Implied Share Price</v>
      </c>
      <c r="H4" s="152">
        <f ca="1">DCF!H3</f>
        <v>188.23706262492593</v>
      </c>
      <c r="J4" s="1" t="str">
        <f>DCF!J3</f>
        <v>Low-end</v>
      </c>
      <c r="K4" s="152">
        <f>DCF!K3</f>
        <v>117.96</v>
      </c>
      <c r="M4" s="1" t="str">
        <f>DCF!M3</f>
        <v>Revenue (1), EBIT (1), WACC (1), TGR(1)</v>
      </c>
      <c r="Q4" s="8">
        <v>1</v>
      </c>
      <c r="R4" s="6" t="s">
        <v>5</v>
      </c>
    </row>
    <row r="5" spans="1:23" x14ac:dyDescent="0.3">
      <c r="B5" s="1" t="str">
        <f>DCF!B4</f>
        <v>Date</v>
      </c>
      <c r="C5" s="9">
        <f>DATE(2025,7,25)</f>
        <v>45863</v>
      </c>
      <c r="E5" s="1" t="str">
        <f>DCF!E4</f>
        <v>Current Price</v>
      </c>
      <c r="H5" s="152">
        <f>DCF!H4</f>
        <v>173.5</v>
      </c>
      <c r="J5" s="1" t="str">
        <f>DCF!J4</f>
        <v>High-end</v>
      </c>
      <c r="K5" s="152">
        <f>DCF!K4</f>
        <v>298.08999999999997</v>
      </c>
      <c r="M5" s="1" t="str">
        <f>DCF!M4</f>
        <v>Revenue (3), EBIT(3),  WACC(3), TGR(3)</v>
      </c>
      <c r="Q5" s="8">
        <v>2</v>
      </c>
      <c r="R5" s="6" t="s">
        <v>10</v>
      </c>
    </row>
    <row r="6" spans="1:23" x14ac:dyDescent="0.3">
      <c r="B6" s="1" t="str">
        <f>DCF!B5</f>
        <v>Year end</v>
      </c>
      <c r="C6" s="9">
        <f>DATE(2025,12,31)</f>
        <v>46022</v>
      </c>
      <c r="E6" s="1" t="str">
        <f>DCF!E5</f>
        <v>Implied Upside/Downside</v>
      </c>
      <c r="H6" s="90">
        <f ca="1">DCF!H5</f>
        <v>8.4939842218593187E-2</v>
      </c>
      <c r="J6" s="1" t="s">
        <v>10</v>
      </c>
      <c r="K6" s="152">
        <v>188.24</v>
      </c>
      <c r="M6" s="1" t="s">
        <v>148</v>
      </c>
      <c r="Q6" s="8">
        <v>3</v>
      </c>
      <c r="R6" s="6" t="s">
        <v>13</v>
      </c>
    </row>
    <row r="8" spans="1:23" x14ac:dyDescent="0.3">
      <c r="A8" s="1" t="s">
        <v>103</v>
      </c>
      <c r="B8" s="71" t="s">
        <v>200</v>
      </c>
    </row>
    <row r="9" spans="1:23" x14ac:dyDescent="0.3">
      <c r="A9" s="1" t="s">
        <v>103</v>
      </c>
      <c r="B9" t="s">
        <v>201</v>
      </c>
    </row>
    <row r="10" spans="1:23" x14ac:dyDescent="0.3">
      <c r="A10" s="1" t="s">
        <v>103</v>
      </c>
      <c r="B10" t="s">
        <v>202</v>
      </c>
    </row>
    <row r="13" spans="1:23" ht="18" x14ac:dyDescent="0.35">
      <c r="J13" s="73" t="s">
        <v>145</v>
      </c>
    </row>
    <row r="14" spans="1:23" x14ac:dyDescent="0.3">
      <c r="A14" s="71" t="s">
        <v>103</v>
      </c>
      <c r="B14" s="127" t="s">
        <v>134</v>
      </c>
      <c r="C14" s="128"/>
      <c r="D14" s="128"/>
      <c r="E14" s="129"/>
      <c r="F14" s="129">
        <v>2015</v>
      </c>
      <c r="G14" s="129">
        <v>2016</v>
      </c>
      <c r="H14" s="129">
        <v>2017</v>
      </c>
      <c r="I14" s="129">
        <v>2018</v>
      </c>
      <c r="J14" s="129">
        <v>2019</v>
      </c>
      <c r="K14" s="129">
        <v>2020</v>
      </c>
      <c r="L14" s="129">
        <v>2021</v>
      </c>
      <c r="M14" s="129">
        <v>2022</v>
      </c>
      <c r="N14" s="129">
        <v>2023</v>
      </c>
      <c r="O14" s="130" t="s">
        <v>129</v>
      </c>
      <c r="P14" s="130">
        <v>2025</v>
      </c>
      <c r="Q14" s="130">
        <v>2026</v>
      </c>
      <c r="R14" s="130">
        <v>2027</v>
      </c>
      <c r="S14" s="130">
        <v>2028</v>
      </c>
      <c r="T14" s="131">
        <v>2029</v>
      </c>
    </row>
    <row r="15" spans="1:23" x14ac:dyDescent="0.3">
      <c r="B15" s="78" t="s">
        <v>19</v>
      </c>
      <c r="C15" s="5"/>
      <c r="D15" s="5"/>
      <c r="E15" s="5"/>
      <c r="F15" s="140">
        <v>5010</v>
      </c>
      <c r="G15" s="140">
        <v>6910</v>
      </c>
      <c r="H15" s="140">
        <v>9714</v>
      </c>
      <c r="I15" s="140">
        <v>11716</v>
      </c>
      <c r="J15" s="140">
        <v>10918</v>
      </c>
      <c r="K15" s="140">
        <v>16675</v>
      </c>
      <c r="L15" s="140">
        <v>26914</v>
      </c>
      <c r="M15" s="140">
        <v>26974</v>
      </c>
      <c r="N15" s="140">
        <v>60922</v>
      </c>
      <c r="O15" s="140">
        <v>130497</v>
      </c>
      <c r="P15" s="140">
        <v>214334.46702032478</v>
      </c>
      <c r="Q15" s="140">
        <v>345148.17055089329</v>
      </c>
      <c r="R15" s="140">
        <v>550534.44512974645</v>
      </c>
      <c r="S15" s="140">
        <v>869949.1853810359</v>
      </c>
      <c r="T15" s="140">
        <v>1362066.8551291046</v>
      </c>
      <c r="U15" s="78"/>
    </row>
    <row r="16" spans="1:23" x14ac:dyDescent="0.3">
      <c r="B16" s="78" t="s">
        <v>24</v>
      </c>
      <c r="C16" s="5"/>
      <c r="D16" s="5"/>
      <c r="E16" s="5"/>
      <c r="F16" s="141" t="s">
        <v>25</v>
      </c>
      <c r="G16" s="142">
        <v>0.37924151696606789</v>
      </c>
      <c r="H16" s="142">
        <v>0.40578871201157751</v>
      </c>
      <c r="I16" s="142">
        <v>0.20609429689108505</v>
      </c>
      <c r="J16" s="142">
        <v>-6.8111983612154314E-2</v>
      </c>
      <c r="K16" s="142">
        <v>0.52729437625938824</v>
      </c>
      <c r="L16" s="142">
        <v>0.61403298350824587</v>
      </c>
      <c r="M16" s="142">
        <v>2.2293230289069932E-3</v>
      </c>
      <c r="N16" s="142">
        <v>1.2585452658115224</v>
      </c>
      <c r="O16" s="142">
        <v>1.1420340763599355</v>
      </c>
      <c r="P16" s="142">
        <v>0.64244746638102623</v>
      </c>
      <c r="Q16" s="142">
        <v>0.61032509306197491</v>
      </c>
      <c r="R16" s="142">
        <v>0.5950669657354255</v>
      </c>
      <c r="S16" s="142">
        <v>0.58019029159203983</v>
      </c>
      <c r="T16" s="142">
        <v>0.56568553430223878</v>
      </c>
      <c r="U16" s="78"/>
    </row>
    <row r="17" spans="2:21" x14ac:dyDescent="0.3">
      <c r="B17" s="136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U17" s="78"/>
    </row>
    <row r="18" spans="2:21" x14ac:dyDescent="0.3">
      <c r="B18" s="78" t="s">
        <v>20</v>
      </c>
      <c r="C18" s="5"/>
      <c r="D18" s="5"/>
      <c r="E18" s="5"/>
      <c r="F18" s="143">
        <v>747</v>
      </c>
      <c r="G18" s="143">
        <v>1934</v>
      </c>
      <c r="H18" s="143">
        <v>3210</v>
      </c>
      <c r="I18" s="143">
        <v>3804</v>
      </c>
      <c r="J18" s="143">
        <v>2846</v>
      </c>
      <c r="K18" s="143">
        <v>4532</v>
      </c>
      <c r="L18" s="143">
        <v>10041</v>
      </c>
      <c r="M18" s="143">
        <v>4224</v>
      </c>
      <c r="N18" s="143">
        <v>32972</v>
      </c>
      <c r="O18" s="143">
        <v>81453</v>
      </c>
      <c r="P18" s="140">
        <v>125339</v>
      </c>
      <c r="Q18" s="140">
        <v>209580.09472718587</v>
      </c>
      <c r="R18" s="140">
        <v>339960.29061868001</v>
      </c>
      <c r="S18" s="140">
        <v>527609.05878454575</v>
      </c>
      <c r="T18" s="140">
        <v>803123.48579728883</v>
      </c>
      <c r="U18" s="78"/>
    </row>
    <row r="19" spans="2:21" x14ac:dyDescent="0.3">
      <c r="B19" s="136" t="s">
        <v>26</v>
      </c>
      <c r="C19" s="5"/>
      <c r="D19" s="5"/>
      <c r="E19" s="5"/>
      <c r="F19" s="151">
        <v>0.14910179640718563</v>
      </c>
      <c r="G19" s="151">
        <v>0.38602794411177643</v>
      </c>
      <c r="H19" s="151">
        <v>0.4645441389290883</v>
      </c>
      <c r="I19" s="151">
        <v>0.39159975293390981</v>
      </c>
      <c r="J19" s="151">
        <v>0.24291567087743257</v>
      </c>
      <c r="K19" s="151">
        <v>0.41509433962264153</v>
      </c>
      <c r="L19" s="151">
        <v>0.60215892053973008</v>
      </c>
      <c r="M19" s="151">
        <v>0.15694434123504497</v>
      </c>
      <c r="N19" s="151">
        <v>1.2223622747831244</v>
      </c>
      <c r="O19" s="151">
        <v>1.3370046945274285</v>
      </c>
      <c r="P19" s="142">
        <v>0.58478228790012776</v>
      </c>
      <c r="Q19" s="142">
        <v>0.60721774764928838</v>
      </c>
      <c r="R19" s="142">
        <v>0.61750957388063221</v>
      </c>
      <c r="S19" s="142">
        <v>0.60648261720419228</v>
      </c>
      <c r="T19" s="142">
        <v>0.58963587783740923</v>
      </c>
      <c r="U19" s="78"/>
    </row>
    <row r="20" spans="2:21" x14ac:dyDescent="0.3">
      <c r="B20" s="78"/>
      <c r="C20" s="5"/>
      <c r="D20" s="5"/>
      <c r="E20" s="5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U20" s="78"/>
    </row>
    <row r="21" spans="2:21" x14ac:dyDescent="0.3">
      <c r="B21" s="78" t="s">
        <v>27</v>
      </c>
      <c r="C21" s="5"/>
      <c r="D21" s="5"/>
      <c r="E21" s="5"/>
      <c r="F21" s="143">
        <f>DCF!F31</f>
        <v>129</v>
      </c>
      <c r="G21" s="143">
        <f>DCF!G31</f>
        <v>239</v>
      </c>
      <c r="H21" s="143">
        <f>DCF!H31</f>
        <v>149</v>
      </c>
      <c r="I21" s="143">
        <f>DCF!I31</f>
        <v>-245</v>
      </c>
      <c r="J21" s="143">
        <f>DCF!J31</f>
        <v>174</v>
      </c>
      <c r="K21" s="143">
        <f>DCF!K31</f>
        <v>77</v>
      </c>
      <c r="L21" s="143">
        <f>DCF!L31</f>
        <v>189</v>
      </c>
      <c r="M21" s="143">
        <f>DCF!M31</f>
        <v>-187</v>
      </c>
      <c r="N21" s="143">
        <f>DCF!N31</f>
        <v>4058</v>
      </c>
      <c r="O21" s="143">
        <f>DCF!O31</f>
        <v>11146</v>
      </c>
      <c r="P21" s="140">
        <v>17934.174577818347</v>
      </c>
      <c r="Q21" s="140">
        <v>29987.841030110805</v>
      </c>
      <c r="R21" s="140">
        <v>48643.336882225551</v>
      </c>
      <c r="S21" s="140">
        <v>75493.126393863582</v>
      </c>
      <c r="T21" s="140">
        <v>114915.2043803971</v>
      </c>
      <c r="U21" s="78"/>
    </row>
    <row r="22" spans="2:21" x14ac:dyDescent="0.3">
      <c r="B22" s="137" t="s">
        <v>28</v>
      </c>
      <c r="C22" s="3"/>
      <c r="D22" s="3"/>
      <c r="E22" s="3"/>
      <c r="F22" s="151">
        <f>DCF!F32</f>
        <v>0.17362045760430686</v>
      </c>
      <c r="G22" s="151">
        <f>DCF!G32</f>
        <v>0.12545931758530185</v>
      </c>
      <c r="H22" s="151">
        <f>DCF!H32</f>
        <v>4.6620775969962454E-2</v>
      </c>
      <c r="I22" s="151">
        <f>DCF!I32</f>
        <v>-6.2885010266940447E-2</v>
      </c>
      <c r="J22" s="151">
        <f>DCF!J32</f>
        <v>5.8585858585858588E-2</v>
      </c>
      <c r="K22" s="151">
        <f>DCF!K32</f>
        <v>1.7464277613971423E-2</v>
      </c>
      <c r="L22" s="151">
        <f>DCF!L32</f>
        <v>1.9012171813700834E-2</v>
      </c>
      <c r="M22" s="151">
        <f>DCF!M32</f>
        <v>-4.4726142071274816E-2</v>
      </c>
      <c r="N22" s="151">
        <f>DCF!N32</f>
        <v>0.1199952687917677</v>
      </c>
      <c r="O22" s="151">
        <f>DCF!O32</f>
        <v>0.13264941803727417</v>
      </c>
      <c r="P22" s="142">
        <v>0.1430853491556367</v>
      </c>
      <c r="Q22" s="142">
        <v>0.1430853491556367</v>
      </c>
      <c r="R22" s="142">
        <v>0.1430853491556367</v>
      </c>
      <c r="S22" s="142">
        <v>0.1430853491556367</v>
      </c>
      <c r="T22" s="142">
        <v>0.1430853491556367</v>
      </c>
      <c r="U22" s="78"/>
    </row>
    <row r="23" spans="2:21" x14ac:dyDescent="0.3"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41" spans="2:7" x14ac:dyDescent="0.3">
      <c r="B41" s="40" t="s">
        <v>176</v>
      </c>
      <c r="C41" s="118"/>
      <c r="D41" s="118"/>
      <c r="E41" s="118"/>
      <c r="F41" s="118"/>
    </row>
    <row r="42" spans="2:7" x14ac:dyDescent="0.3">
      <c r="B42" s="60" t="s">
        <v>172</v>
      </c>
      <c r="C42" s="61"/>
      <c r="D42" s="61"/>
      <c r="E42" s="61"/>
      <c r="F42" s="180">
        <v>5739605.9775872966</v>
      </c>
    </row>
    <row r="43" spans="2:7" x14ac:dyDescent="0.3">
      <c r="B43" s="78" t="s">
        <v>173</v>
      </c>
      <c r="C43" s="175"/>
      <c r="D43" s="175"/>
      <c r="E43" s="175"/>
      <c r="F43" s="181">
        <v>3582559.002469508</v>
      </c>
      <c r="G43" s="175"/>
    </row>
    <row r="44" spans="2:7" x14ac:dyDescent="0.3">
      <c r="B44" s="78" t="s">
        <v>174</v>
      </c>
      <c r="C44" s="175"/>
      <c r="D44" s="175"/>
      <c r="E44" s="175"/>
      <c r="F44" s="181">
        <v>4625932.3482620521</v>
      </c>
    </row>
    <row r="45" spans="2:7" x14ac:dyDescent="0.3">
      <c r="B45" s="78" t="s">
        <v>175</v>
      </c>
      <c r="C45" s="175"/>
      <c r="D45" s="175"/>
      <c r="E45" s="175"/>
      <c r="F45" s="181">
        <v>4632702.3482620521</v>
      </c>
    </row>
    <row r="46" spans="2:7" x14ac:dyDescent="0.3">
      <c r="B46" s="112" t="s">
        <v>198</v>
      </c>
      <c r="C46" s="3"/>
      <c r="D46" s="3"/>
      <c r="E46" s="3"/>
      <c r="F46" s="182">
        <v>188.24</v>
      </c>
    </row>
    <row r="47" spans="2:7" x14ac:dyDescent="0.3">
      <c r="F47" s="175"/>
    </row>
    <row r="51" spans="1:21" ht="18" x14ac:dyDescent="0.35">
      <c r="J51" s="73" t="s">
        <v>146</v>
      </c>
    </row>
    <row r="52" spans="1:21" x14ac:dyDescent="0.3">
      <c r="A52" s="71" t="s">
        <v>103</v>
      </c>
      <c r="B52" s="127" t="s">
        <v>134</v>
      </c>
      <c r="C52" s="128"/>
      <c r="D52" s="128"/>
      <c r="E52" s="128"/>
      <c r="F52" s="129">
        <v>2015</v>
      </c>
      <c r="G52" s="129">
        <v>2016</v>
      </c>
      <c r="H52" s="129">
        <v>2017</v>
      </c>
      <c r="I52" s="129">
        <v>2018</v>
      </c>
      <c r="J52" s="129">
        <v>2019</v>
      </c>
      <c r="K52" s="129">
        <v>2020</v>
      </c>
      <c r="L52" s="129">
        <v>2021</v>
      </c>
      <c r="M52" s="129">
        <v>2022</v>
      </c>
      <c r="N52" s="129">
        <v>2023</v>
      </c>
      <c r="O52" s="130" t="s">
        <v>129</v>
      </c>
      <c r="P52" s="130">
        <v>2025</v>
      </c>
      <c r="Q52" s="130">
        <v>2026</v>
      </c>
      <c r="R52" s="130">
        <v>2027</v>
      </c>
      <c r="S52" s="130">
        <v>2028</v>
      </c>
      <c r="T52" s="131">
        <v>2029</v>
      </c>
    </row>
    <row r="53" spans="1:21" x14ac:dyDescent="0.3">
      <c r="B53" s="78" t="s">
        <v>19</v>
      </c>
      <c r="F53" s="132">
        <v>5010</v>
      </c>
      <c r="G53" s="132">
        <v>6910</v>
      </c>
      <c r="H53" s="132">
        <v>9714</v>
      </c>
      <c r="I53" s="132">
        <v>11716</v>
      </c>
      <c r="J53" s="132">
        <v>10918</v>
      </c>
      <c r="K53" s="132">
        <v>16675</v>
      </c>
      <c r="L53" s="132">
        <v>26914</v>
      </c>
      <c r="M53" s="132">
        <v>26974</v>
      </c>
      <c r="N53" s="132">
        <v>60922</v>
      </c>
      <c r="O53" s="132">
        <v>130497</v>
      </c>
      <c r="P53" s="132">
        <v>231101.96042438972</v>
      </c>
      <c r="Q53" s="132">
        <v>400358.7510277743</v>
      </c>
      <c r="R53" s="132">
        <v>662423.04492546886</v>
      </c>
      <c r="S53" s="132">
        <v>1085187.606477323</v>
      </c>
      <c r="T53" s="132">
        <v>1760450.0305644444</v>
      </c>
      <c r="U53" s="78"/>
    </row>
    <row r="54" spans="1:21" x14ac:dyDescent="0.3">
      <c r="B54" s="78" t="s">
        <v>24</v>
      </c>
      <c r="F54" s="133" t="s">
        <v>25</v>
      </c>
      <c r="G54" s="134">
        <v>0.37924151696606789</v>
      </c>
      <c r="H54" s="134">
        <v>0.40578871201157751</v>
      </c>
      <c r="I54" s="134">
        <v>0.20609429689108505</v>
      </c>
      <c r="J54" s="134">
        <v>-6.8111983612154314E-2</v>
      </c>
      <c r="K54" s="134">
        <v>0.52729437625938824</v>
      </c>
      <c r="L54" s="134">
        <v>0.61403298350824587</v>
      </c>
      <c r="M54" s="134">
        <v>2.2293230289069932E-3</v>
      </c>
      <c r="N54" s="134">
        <v>1.2585452658115224</v>
      </c>
      <c r="O54" s="134">
        <v>1.1420340763599355</v>
      </c>
      <c r="P54" s="134">
        <v>0.77093695965723141</v>
      </c>
      <c r="Q54" s="134">
        <v>0.73239011167436985</v>
      </c>
      <c r="R54" s="134">
        <v>0.65457366230896807</v>
      </c>
      <c r="S54" s="134">
        <v>0.63820932075124381</v>
      </c>
      <c r="T54" s="134">
        <v>0.62225408773246271</v>
      </c>
      <c r="U54" s="78"/>
    </row>
    <row r="55" spans="1:21" x14ac:dyDescent="0.3">
      <c r="B55" s="136"/>
      <c r="F55" s="43"/>
      <c r="G55" s="43"/>
      <c r="H55" s="43"/>
      <c r="I55" s="43"/>
      <c r="J55" s="43"/>
      <c r="K55" s="43"/>
      <c r="L55" s="43"/>
      <c r="M55" s="43"/>
      <c r="N55" s="43"/>
      <c r="O55" s="43"/>
      <c r="U55" s="78"/>
    </row>
    <row r="56" spans="1:21" x14ac:dyDescent="0.3">
      <c r="B56" s="78" t="s">
        <v>20</v>
      </c>
      <c r="F56" s="139">
        <v>747</v>
      </c>
      <c r="G56" s="139">
        <v>1934</v>
      </c>
      <c r="H56" s="139">
        <v>3210</v>
      </c>
      <c r="I56" s="139">
        <v>3804</v>
      </c>
      <c r="J56" s="139">
        <v>2846</v>
      </c>
      <c r="K56" s="139">
        <v>4532</v>
      </c>
      <c r="L56" s="139">
        <v>10041</v>
      </c>
      <c r="M56" s="139">
        <v>4224</v>
      </c>
      <c r="N56" s="139">
        <v>32972</v>
      </c>
      <c r="O56" s="139">
        <v>81453</v>
      </c>
      <c r="P56" s="132">
        <v>141901.54981293838</v>
      </c>
      <c r="Q56" s="132">
        <v>255260.18600330572</v>
      </c>
      <c r="R56" s="132">
        <v>449957.8294207009</v>
      </c>
      <c r="S56" s="132">
        <v>723962.16170731199</v>
      </c>
      <c r="T56" s="132">
        <v>1141826.9490768362</v>
      </c>
      <c r="U56" s="78"/>
    </row>
    <row r="57" spans="1:21" x14ac:dyDescent="0.3">
      <c r="A57" s="107"/>
      <c r="B57" s="38" t="s">
        <v>26</v>
      </c>
      <c r="F57" s="135">
        <v>0.14910179640718563</v>
      </c>
      <c r="G57" s="135">
        <v>0.38602794411177643</v>
      </c>
      <c r="H57" s="135">
        <v>0.4645441389290883</v>
      </c>
      <c r="I57" s="135">
        <v>0.39159975293390981</v>
      </c>
      <c r="J57" s="135">
        <v>0.24291567087743257</v>
      </c>
      <c r="K57" s="135">
        <v>0.41509433962264153</v>
      </c>
      <c r="L57" s="135">
        <v>0.60215892053973008</v>
      </c>
      <c r="M57" s="135">
        <v>0.15694434123504497</v>
      </c>
      <c r="N57" s="135">
        <v>1.2223622747831244</v>
      </c>
      <c r="O57" s="135">
        <v>1.3370046945274285</v>
      </c>
      <c r="P57" s="134">
        <v>0.61402140229513413</v>
      </c>
      <c r="Q57" s="134">
        <v>0.63757863503175283</v>
      </c>
      <c r="R57" s="134">
        <v>0.67926053126869546</v>
      </c>
      <c r="S57" s="134">
        <v>0.66713087892461154</v>
      </c>
      <c r="T57" s="134">
        <v>0.64859946562115023</v>
      </c>
      <c r="U57" s="78"/>
    </row>
    <row r="58" spans="1:21" x14ac:dyDescent="0.3">
      <c r="B58" s="78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U58" s="78"/>
    </row>
    <row r="59" spans="1:21" x14ac:dyDescent="0.3">
      <c r="B59" s="78" t="s">
        <v>27</v>
      </c>
      <c r="F59" s="139">
        <v>129</v>
      </c>
      <c r="G59" s="139">
        <v>239</v>
      </c>
      <c r="H59" s="139">
        <v>149</v>
      </c>
      <c r="I59" s="139">
        <v>-245</v>
      </c>
      <c r="J59" s="139">
        <v>174</v>
      </c>
      <c r="K59" s="139">
        <v>77</v>
      </c>
      <c r="L59" s="139">
        <v>189</v>
      </c>
      <c r="M59" s="139">
        <v>-187</v>
      </c>
      <c r="N59" s="139">
        <v>4058</v>
      </c>
      <c r="O59" s="139">
        <v>11146</v>
      </c>
      <c r="P59" s="132">
        <v>20304.032800710262</v>
      </c>
      <c r="Q59" s="132">
        <v>36523.992839815764</v>
      </c>
      <c r="R59" s="132">
        <v>64382.373127973406</v>
      </c>
      <c r="S59" s="132">
        <v>103588.37868336025</v>
      </c>
      <c r="T59" s="132">
        <v>163378.70768397453</v>
      </c>
      <c r="U59" s="78"/>
    </row>
    <row r="60" spans="1:21" x14ac:dyDescent="0.3">
      <c r="B60" s="136" t="s">
        <v>28</v>
      </c>
      <c r="F60" s="135">
        <v>0.17362045760430686</v>
      </c>
      <c r="G60" s="135">
        <v>0.12545931758530185</v>
      </c>
      <c r="H60" s="135">
        <v>4.6620775969962454E-2</v>
      </c>
      <c r="I60" s="135">
        <v>-6.2885010266940447E-2</v>
      </c>
      <c r="J60" s="135">
        <v>5.8585858585858588E-2</v>
      </c>
      <c r="K60" s="135">
        <v>1.7464277613971423E-2</v>
      </c>
      <c r="L60" s="135">
        <v>1.9012171813700834E-2</v>
      </c>
      <c r="M60" s="135">
        <v>-4.4726142071274816E-2</v>
      </c>
      <c r="N60" s="135">
        <v>0.1199952687917677</v>
      </c>
      <c r="O60" s="135">
        <v>0.13264941803727417</v>
      </c>
      <c r="P60" s="134">
        <v>0.1430853491556367</v>
      </c>
      <c r="Q60" s="134">
        <v>0.1430853491556367</v>
      </c>
      <c r="R60" s="134">
        <v>0.1430853491556367</v>
      </c>
      <c r="S60" s="134">
        <v>0.1430853491556367</v>
      </c>
      <c r="T60" s="134">
        <v>0.1430853491556367</v>
      </c>
      <c r="U60" s="78"/>
    </row>
    <row r="61" spans="1:21" x14ac:dyDescent="0.3"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</row>
    <row r="80" ht="3" customHeight="1" x14ac:dyDescent="0.3"/>
    <row r="82" spans="1:21" x14ac:dyDescent="0.3">
      <c r="A82" s="1" t="s">
        <v>103</v>
      </c>
      <c r="B82" s="40" t="s">
        <v>176</v>
      </c>
      <c r="C82" s="118"/>
      <c r="D82" s="118"/>
      <c r="E82" s="118"/>
      <c r="F82" s="118"/>
    </row>
    <row r="83" spans="1:21" ht="1.2" customHeight="1" x14ac:dyDescent="0.3">
      <c r="B83" s="159"/>
      <c r="C83" s="159"/>
      <c r="D83" s="159"/>
      <c r="E83" s="159"/>
      <c r="F83" s="159"/>
    </row>
    <row r="84" spans="1:21" x14ac:dyDescent="0.3">
      <c r="B84" s="60" t="s">
        <v>172</v>
      </c>
      <c r="C84" s="61"/>
      <c r="D84" s="61"/>
      <c r="E84" s="61"/>
      <c r="F84" s="178">
        <v>9268375.7702510133</v>
      </c>
    </row>
    <row r="85" spans="1:21" x14ac:dyDescent="0.3">
      <c r="B85" s="78" t="s">
        <v>173</v>
      </c>
      <c r="C85" s="175"/>
      <c r="D85" s="175"/>
      <c r="E85" s="175"/>
      <c r="F85" s="179">
        <v>5893388.3823775779</v>
      </c>
      <c r="G85" s="175"/>
    </row>
    <row r="86" spans="1:21" x14ac:dyDescent="0.3">
      <c r="B86" s="78" t="s">
        <v>174</v>
      </c>
      <c r="C86" s="175"/>
      <c r="D86" s="175"/>
      <c r="E86" s="175"/>
      <c r="F86" s="179">
        <v>7329437.2713639978</v>
      </c>
    </row>
    <row r="87" spans="1:21" x14ac:dyDescent="0.3">
      <c r="B87" s="78" t="s">
        <v>175</v>
      </c>
      <c r="C87" s="175"/>
      <c r="D87" s="175"/>
      <c r="E87" s="175"/>
      <c r="F87" s="179">
        <v>7336207.2713639978</v>
      </c>
    </row>
    <row r="88" spans="1:21" x14ac:dyDescent="0.3">
      <c r="B88" s="112" t="s">
        <v>199</v>
      </c>
      <c r="C88" s="3"/>
      <c r="D88" s="3"/>
      <c r="E88" s="3"/>
      <c r="F88" s="183">
        <v>298.10000000000002</v>
      </c>
    </row>
    <row r="91" spans="1:21" ht="18" x14ac:dyDescent="0.35">
      <c r="J91" s="73" t="s">
        <v>147</v>
      </c>
    </row>
    <row r="92" spans="1:21" x14ac:dyDescent="0.3">
      <c r="B92" s="127" t="s">
        <v>134</v>
      </c>
      <c r="C92" s="128"/>
      <c r="D92" s="128"/>
      <c r="E92" s="128"/>
      <c r="F92" s="129">
        <v>2015</v>
      </c>
      <c r="G92" s="129">
        <v>2016</v>
      </c>
      <c r="H92" s="129">
        <v>2017</v>
      </c>
      <c r="I92" s="129">
        <v>2018</v>
      </c>
      <c r="J92" s="129">
        <v>2019</v>
      </c>
      <c r="K92" s="129">
        <v>2020</v>
      </c>
      <c r="L92" s="129">
        <v>2021</v>
      </c>
      <c r="M92" s="129">
        <v>2022</v>
      </c>
      <c r="N92" s="129">
        <v>2023</v>
      </c>
      <c r="O92" s="130" t="s">
        <v>129</v>
      </c>
      <c r="P92" s="130">
        <v>2025</v>
      </c>
      <c r="Q92" s="130">
        <v>2026</v>
      </c>
      <c r="R92" s="130">
        <v>2027</v>
      </c>
      <c r="S92" s="130">
        <v>2028</v>
      </c>
      <c r="T92" s="131">
        <v>2029</v>
      </c>
    </row>
    <row r="93" spans="1:21" x14ac:dyDescent="0.3">
      <c r="B93" s="78" t="s">
        <v>19</v>
      </c>
      <c r="F93" s="144">
        <v>5010</v>
      </c>
      <c r="G93" s="144">
        <v>6910</v>
      </c>
      <c r="H93" s="144">
        <v>9714</v>
      </c>
      <c r="I93" s="144">
        <v>11716</v>
      </c>
      <c r="J93" s="144">
        <v>10918</v>
      </c>
      <c r="K93" s="144">
        <v>16675</v>
      </c>
      <c r="L93" s="144">
        <v>26914</v>
      </c>
      <c r="M93" s="144">
        <v>26974</v>
      </c>
      <c r="N93" s="144">
        <v>60922</v>
      </c>
      <c r="O93" s="144">
        <v>130497</v>
      </c>
      <c r="P93" s="144">
        <v>197566.97361625984</v>
      </c>
      <c r="Q93" s="144">
        <v>294031.03886291309</v>
      </c>
      <c r="R93" s="144">
        <v>451502.38117828284</v>
      </c>
      <c r="S93" s="144">
        <v>687263.94954957825</v>
      </c>
      <c r="T93" s="144">
        <v>1037161.6966064363</v>
      </c>
      <c r="U93" s="78"/>
    </row>
    <row r="94" spans="1:21" x14ac:dyDescent="0.3">
      <c r="B94" s="78" t="s">
        <v>24</v>
      </c>
      <c r="F94" s="145" t="s">
        <v>25</v>
      </c>
      <c r="G94" s="146">
        <v>0.37924151696606789</v>
      </c>
      <c r="H94" s="146">
        <v>0.40578871201157751</v>
      </c>
      <c r="I94" s="146">
        <v>0.20609429689108505</v>
      </c>
      <c r="J94" s="146">
        <v>-6.8111983612154314E-2</v>
      </c>
      <c r="K94" s="146">
        <v>0.52729437625938824</v>
      </c>
      <c r="L94" s="146">
        <v>0.61403298350824587</v>
      </c>
      <c r="M94" s="146">
        <v>2.2293230289069932E-3</v>
      </c>
      <c r="N94" s="146">
        <v>1.2585452658115224</v>
      </c>
      <c r="O94" s="146">
        <v>1.1420340763599355</v>
      </c>
      <c r="P94" s="146">
        <v>0.51395797310482105</v>
      </c>
      <c r="Q94" s="146">
        <v>0.48826007444957997</v>
      </c>
      <c r="R94" s="146">
        <v>0.53556026916188293</v>
      </c>
      <c r="S94" s="146">
        <v>0.52217126243283585</v>
      </c>
      <c r="T94" s="146">
        <v>0.50911698087201496</v>
      </c>
      <c r="U94" s="78"/>
    </row>
    <row r="95" spans="1:21" x14ac:dyDescent="0.3">
      <c r="B95" s="136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U95" s="78"/>
    </row>
    <row r="96" spans="1:21" x14ac:dyDescent="0.3">
      <c r="B96" s="78" t="s">
        <v>20</v>
      </c>
      <c r="F96" s="148">
        <v>747</v>
      </c>
      <c r="G96" s="148">
        <v>1934</v>
      </c>
      <c r="H96" s="148">
        <v>3210</v>
      </c>
      <c r="I96" s="148">
        <v>3804</v>
      </c>
      <c r="J96" s="148">
        <v>2846</v>
      </c>
      <c r="K96" s="148">
        <v>4532</v>
      </c>
      <c r="L96" s="148">
        <v>10041</v>
      </c>
      <c r="M96" s="148">
        <v>4224</v>
      </c>
      <c r="N96" s="148">
        <v>32972</v>
      </c>
      <c r="O96" s="148">
        <v>81453</v>
      </c>
      <c r="P96" s="144">
        <v>109756.98350257958</v>
      </c>
      <c r="Q96" s="144">
        <v>169613.82189945254</v>
      </c>
      <c r="R96" s="144">
        <v>250926.33870674297</v>
      </c>
      <c r="S96" s="144">
        <v>375132.27494962636</v>
      </c>
      <c r="T96" s="144">
        <v>550392.97269408556</v>
      </c>
      <c r="U96" s="78"/>
    </row>
    <row r="97" spans="2:21" x14ac:dyDescent="0.3">
      <c r="B97" s="136" t="s">
        <v>26</v>
      </c>
      <c r="F97" s="147">
        <v>0.14910179640718563</v>
      </c>
      <c r="G97" s="147">
        <v>0.38602794411177643</v>
      </c>
      <c r="H97" s="147">
        <v>0.4645441389290883</v>
      </c>
      <c r="I97" s="147">
        <v>0.39159975293390981</v>
      </c>
      <c r="J97" s="147">
        <v>0.24291567087743257</v>
      </c>
      <c r="K97" s="147">
        <v>0.41509433962264153</v>
      </c>
      <c r="L97" s="147">
        <v>0.60215892053973008</v>
      </c>
      <c r="M97" s="147">
        <v>0.15694434123504497</v>
      </c>
      <c r="N97" s="147">
        <v>1.2223622747831244</v>
      </c>
      <c r="O97" s="147">
        <v>1.3370046945274285</v>
      </c>
      <c r="P97" s="146">
        <v>0.55554317350512139</v>
      </c>
      <c r="Q97" s="146">
        <v>0.57685686026682392</v>
      </c>
      <c r="R97" s="146">
        <v>0.55575861649256897</v>
      </c>
      <c r="S97" s="146">
        <v>0.54583435548377301</v>
      </c>
      <c r="T97" s="146">
        <v>0.53067229005366834</v>
      </c>
      <c r="U97" s="78"/>
    </row>
    <row r="98" spans="2:21" x14ac:dyDescent="0.3">
      <c r="B98" s="7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U98" s="78"/>
    </row>
    <row r="99" spans="2:21" x14ac:dyDescent="0.3">
      <c r="B99" s="78" t="s">
        <v>27</v>
      </c>
      <c r="C99" s="5" t="s">
        <v>39</v>
      </c>
      <c r="D99" s="5"/>
      <c r="E99" s="5"/>
      <c r="F99" s="153">
        <f>DCF!F31</f>
        <v>129</v>
      </c>
      <c r="G99" s="153">
        <f>DCF!G31</f>
        <v>239</v>
      </c>
      <c r="H99" s="153">
        <f>DCF!H31</f>
        <v>149</v>
      </c>
      <c r="I99" s="153">
        <f>DCF!I31</f>
        <v>-245</v>
      </c>
      <c r="J99" s="153">
        <f>DCF!J31</f>
        <v>174</v>
      </c>
      <c r="K99" s="153">
        <f>DCF!K31</f>
        <v>77</v>
      </c>
      <c r="L99" s="153">
        <f>DCF!L31</f>
        <v>189</v>
      </c>
      <c r="M99" s="153">
        <f>DCF!M31</f>
        <v>-187</v>
      </c>
      <c r="N99" s="153">
        <f>DCF!N31</f>
        <v>4058</v>
      </c>
      <c r="O99" s="153">
        <f>DCF!O31</f>
        <v>11146</v>
      </c>
      <c r="P99" s="144">
        <v>15704.616306736056</v>
      </c>
      <c r="Q99" s="144">
        <v>24269.252928105143</v>
      </c>
      <c r="R99" s="144">
        <v>35903.882786199872</v>
      </c>
      <c r="S99" s="144">
        <v>53675.932540715592</v>
      </c>
      <c r="T99" s="144">
        <v>78753.170670742053</v>
      </c>
      <c r="U99" s="78"/>
    </row>
    <row r="100" spans="2:21" x14ac:dyDescent="0.3">
      <c r="B100" s="137" t="s">
        <v>28</v>
      </c>
      <c r="C100" s="138"/>
      <c r="D100" s="138"/>
      <c r="E100" s="138"/>
      <c r="F100" s="149">
        <f>DCF!F32</f>
        <v>0.17362045760430686</v>
      </c>
      <c r="G100" s="149">
        <f>DCF!G32</f>
        <v>0.12545931758530185</v>
      </c>
      <c r="H100" s="149">
        <f>DCF!H32</f>
        <v>4.6620775969962454E-2</v>
      </c>
      <c r="I100" s="149">
        <f>DCF!I32</f>
        <v>-6.2885010266940447E-2</v>
      </c>
      <c r="J100" s="149">
        <f>DCF!J32</f>
        <v>5.8585858585858588E-2</v>
      </c>
      <c r="K100" s="149">
        <f>DCF!K32</f>
        <v>1.7464277613971423E-2</v>
      </c>
      <c r="L100" s="149">
        <f>DCF!L32</f>
        <v>1.9012171813700834E-2</v>
      </c>
      <c r="M100" s="149">
        <f>DCF!M32</f>
        <v>-4.4726142071274816E-2</v>
      </c>
      <c r="N100" s="149">
        <f>DCF!N32</f>
        <v>0.1199952687917677</v>
      </c>
      <c r="O100" s="149">
        <f>DCF!O32</f>
        <v>0.13264941803727417</v>
      </c>
      <c r="P100" s="146">
        <v>0.1430853491556367</v>
      </c>
      <c r="Q100" s="146">
        <v>0.1430853491556367</v>
      </c>
      <c r="R100" s="146">
        <v>0.1430853491556367</v>
      </c>
      <c r="S100" s="146">
        <v>0.1430853491556367</v>
      </c>
      <c r="T100" s="146">
        <v>0.1430853491556367</v>
      </c>
      <c r="U100" s="78"/>
    </row>
    <row r="101" spans="2:21" x14ac:dyDescent="0.3">
      <c r="P101" s="61"/>
      <c r="Q101" s="61"/>
      <c r="R101" s="61"/>
      <c r="S101" s="61"/>
      <c r="T101" s="61"/>
    </row>
    <row r="121" spans="1:7" x14ac:dyDescent="0.3">
      <c r="A121" s="1" t="s">
        <v>103</v>
      </c>
      <c r="B121" s="40" t="s">
        <v>176</v>
      </c>
      <c r="C121" s="118"/>
      <c r="D121" s="118"/>
      <c r="E121" s="118"/>
      <c r="F121" s="118"/>
    </row>
    <row r="122" spans="1:7" ht="1.8" customHeight="1" x14ac:dyDescent="0.3">
      <c r="B122" s="159"/>
      <c r="C122" s="159"/>
      <c r="D122" s="159"/>
      <c r="E122" s="159"/>
      <c r="F122" s="159"/>
    </row>
    <row r="123" spans="1:7" x14ac:dyDescent="0.3">
      <c r="B123" s="60" t="s">
        <v>172</v>
      </c>
      <c r="C123" s="61"/>
      <c r="D123" s="61"/>
      <c r="E123" s="61"/>
      <c r="F123" s="176">
        <v>3503200.9196009883</v>
      </c>
    </row>
    <row r="124" spans="1:7" x14ac:dyDescent="0.3">
      <c r="B124" s="78" t="s">
        <v>173</v>
      </c>
      <c r="C124" s="175"/>
      <c r="D124" s="175"/>
      <c r="E124" s="175"/>
      <c r="F124" s="177">
        <v>2151142.1031609015</v>
      </c>
      <c r="G124" s="175"/>
    </row>
    <row r="125" spans="1:7" x14ac:dyDescent="0.3">
      <c r="B125" s="78" t="s">
        <v>174</v>
      </c>
      <c r="C125" s="175"/>
      <c r="D125" s="175"/>
      <c r="E125" s="175"/>
      <c r="F125" s="177">
        <v>2896273.4066650588</v>
      </c>
    </row>
    <row r="126" spans="1:7" x14ac:dyDescent="0.3">
      <c r="B126" s="78" t="s">
        <v>175</v>
      </c>
      <c r="C126" s="175"/>
      <c r="D126" s="175"/>
      <c r="E126" s="175"/>
      <c r="F126" s="177">
        <v>2903043.4066650588</v>
      </c>
    </row>
    <row r="127" spans="1:7" x14ac:dyDescent="0.3">
      <c r="B127" s="112" t="s">
        <v>199</v>
      </c>
      <c r="C127" s="3"/>
      <c r="D127" s="3"/>
      <c r="E127" s="3"/>
      <c r="F127" s="184">
        <v>117.96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3530-9122-4A7B-A08C-3814094E3290}">
  <sheetPr codeName="Sheet1"/>
  <dimension ref="A1:W119"/>
  <sheetViews>
    <sheetView tabSelected="1" topLeftCell="A97" zoomScaleNormal="100" workbookViewId="0">
      <selection activeCell="D109" sqref="D109"/>
    </sheetView>
  </sheetViews>
  <sheetFormatPr defaultRowHeight="14.4" x14ac:dyDescent="0.3"/>
  <cols>
    <col min="1" max="1" width="4" style="1" customWidth="1"/>
    <col min="2" max="2" width="9.77734375" style="1" customWidth="1"/>
    <col min="3" max="3" width="10.44140625" style="1" customWidth="1"/>
    <col min="4" max="19" width="9.77734375" style="1" customWidth="1"/>
    <col min="20" max="20" width="10.44140625" style="1" bestFit="1" customWidth="1"/>
    <col min="21" max="21" width="3.88671875" style="1" customWidth="1"/>
    <col min="22" max="31" width="9.77734375" style="1" customWidth="1"/>
    <col min="32" max="16384" width="8.88671875" style="1"/>
  </cols>
  <sheetData>
    <row r="1" spans="1:22" ht="25.8" x14ac:dyDescent="0.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2" x14ac:dyDescent="0.3">
      <c r="B3" s="1" t="s">
        <v>1</v>
      </c>
      <c r="C3" s="4" t="s">
        <v>2</v>
      </c>
      <c r="D3" s="5"/>
      <c r="E3" s="6" t="s">
        <v>3</v>
      </c>
      <c r="F3" s="5"/>
      <c r="G3" s="6"/>
      <c r="H3" s="7">
        <f ca="1">T86</f>
        <v>188.23706262492593</v>
      </c>
      <c r="J3" s="6" t="s">
        <v>4</v>
      </c>
      <c r="K3" s="7">
        <v>117.96</v>
      </c>
      <c r="M3" s="1" t="s">
        <v>141</v>
      </c>
      <c r="N3" s="5"/>
      <c r="O3" s="5"/>
      <c r="P3" s="6"/>
      <c r="Q3" s="8">
        <v>1</v>
      </c>
      <c r="R3" s="6" t="s">
        <v>5</v>
      </c>
    </row>
    <row r="4" spans="1:22" x14ac:dyDescent="0.3">
      <c r="B4" s="1" t="s">
        <v>6</v>
      </c>
      <c r="C4" s="9">
        <f>DATE(2025,7,25)</f>
        <v>45863</v>
      </c>
      <c r="D4" s="5"/>
      <c r="E4" s="6" t="s">
        <v>7</v>
      </c>
      <c r="F4" s="5"/>
      <c r="G4" s="6"/>
      <c r="H4" s="10">
        <v>173.5</v>
      </c>
      <c r="J4" s="6" t="s">
        <v>8</v>
      </c>
      <c r="K4" s="7">
        <v>298.08999999999997</v>
      </c>
      <c r="M4" s="6" t="s">
        <v>9</v>
      </c>
      <c r="N4" s="5"/>
      <c r="O4" s="5"/>
      <c r="P4" s="6"/>
      <c r="Q4" s="8">
        <v>2</v>
      </c>
      <c r="R4" s="6" t="s">
        <v>10</v>
      </c>
    </row>
    <row r="5" spans="1:22" x14ac:dyDescent="0.3">
      <c r="B5" s="1" t="s">
        <v>11</v>
      </c>
      <c r="C5" s="9">
        <f>DATE(2025,12,31)</f>
        <v>46022</v>
      </c>
      <c r="D5" s="5"/>
      <c r="E5" s="6" t="s">
        <v>12</v>
      </c>
      <c r="F5" s="5"/>
      <c r="G5" s="6"/>
      <c r="H5" s="11">
        <f ca="1">H3/H4-1</f>
        <v>8.4939842218593187E-2</v>
      </c>
      <c r="J5" s="5"/>
      <c r="K5" s="6"/>
      <c r="L5" s="6"/>
      <c r="M5" s="5"/>
      <c r="N5" s="6"/>
      <c r="O5" s="5"/>
      <c r="P5" s="5"/>
      <c r="Q5" s="8">
        <v>3</v>
      </c>
      <c r="R5" s="6" t="s">
        <v>13</v>
      </c>
    </row>
    <row r="6" spans="1:22" x14ac:dyDescent="0.3">
      <c r="C6" s="5"/>
      <c r="D6" s="5"/>
      <c r="E6" s="5"/>
      <c r="F6" s="6"/>
      <c r="G6" s="5"/>
      <c r="H6" s="6"/>
      <c r="I6" s="11"/>
      <c r="J6" s="5"/>
      <c r="K6" s="6"/>
      <c r="L6" s="6"/>
      <c r="M6" s="5"/>
      <c r="N6" s="6"/>
      <c r="O6" s="5"/>
      <c r="P6" s="5"/>
      <c r="Q6" s="6"/>
      <c r="R6" s="6"/>
      <c r="S6" s="8"/>
      <c r="T6" s="6"/>
    </row>
    <row r="7" spans="1:22" x14ac:dyDescent="0.3">
      <c r="C7" s="5"/>
      <c r="D7" s="5"/>
      <c r="E7" s="5"/>
      <c r="F7" s="5"/>
      <c r="G7" s="5"/>
      <c r="H7" s="6"/>
      <c r="I7" s="5"/>
      <c r="J7" s="5"/>
      <c r="K7" s="6"/>
      <c r="L7" s="6"/>
      <c r="M7" s="5"/>
      <c r="N7" s="6"/>
      <c r="O7" s="5"/>
      <c r="P7" s="5"/>
      <c r="Q7" s="6"/>
      <c r="R7" s="6"/>
      <c r="S7" s="5"/>
      <c r="T7" s="6"/>
    </row>
    <row r="8" spans="1:22" ht="18" x14ac:dyDescent="0.35">
      <c r="A8" s="117" t="s">
        <v>103</v>
      </c>
      <c r="B8" s="12" t="s">
        <v>14</v>
      </c>
      <c r="C8" s="13"/>
      <c r="D8" s="13"/>
      <c r="E8" s="13"/>
      <c r="F8" s="13"/>
      <c r="G8" s="13"/>
      <c r="H8" s="14"/>
      <c r="I8" s="13"/>
      <c r="J8" s="13"/>
      <c r="K8" s="14"/>
      <c r="L8" s="14"/>
      <c r="M8" s="13"/>
      <c r="N8" s="14"/>
      <c r="O8" s="13"/>
      <c r="P8" s="13"/>
      <c r="Q8" s="14"/>
      <c r="R8" s="14"/>
      <c r="S8" s="13"/>
      <c r="T8" s="14"/>
      <c r="U8" s="1" t="s">
        <v>103</v>
      </c>
      <c r="V8" s="71" t="s">
        <v>110</v>
      </c>
    </row>
    <row r="9" spans="1:22" ht="2.4" customHeight="1" x14ac:dyDescent="0.3">
      <c r="B9" s="15"/>
      <c r="C9" s="16"/>
      <c r="D9" s="16"/>
      <c r="E9" s="16"/>
      <c r="F9" s="16"/>
      <c r="G9" s="16"/>
      <c r="H9" s="17"/>
      <c r="I9" s="16"/>
      <c r="J9" s="16"/>
      <c r="K9" s="17"/>
      <c r="L9" s="17"/>
      <c r="M9" s="16"/>
      <c r="N9" s="17"/>
      <c r="O9" s="16"/>
      <c r="P9" s="16"/>
      <c r="Q9" s="17"/>
      <c r="R9" s="17"/>
      <c r="S9" s="16"/>
      <c r="T9" s="17"/>
    </row>
    <row r="10" spans="1:22" x14ac:dyDescent="0.3">
      <c r="B10" s="18" t="s">
        <v>15</v>
      </c>
      <c r="C10" s="19"/>
      <c r="D10" s="19"/>
      <c r="E10" s="16"/>
      <c r="F10" s="20" t="s">
        <v>16</v>
      </c>
      <c r="G10" s="19"/>
      <c r="H10" s="19"/>
      <c r="I10" s="21"/>
      <c r="K10" s="20" t="s">
        <v>10</v>
      </c>
      <c r="L10" s="21"/>
      <c r="M10" s="21"/>
      <c r="N10" s="21"/>
      <c r="P10" s="20" t="s">
        <v>13</v>
      </c>
      <c r="Q10" s="19"/>
      <c r="R10" s="19"/>
      <c r="S10" s="21"/>
    </row>
    <row r="11" spans="1:22" x14ac:dyDescent="0.3">
      <c r="B11" s="22" t="s">
        <v>14</v>
      </c>
      <c r="C11" s="8"/>
      <c r="D11" s="23"/>
      <c r="E11" s="23"/>
      <c r="F11" s="22" t="s">
        <v>14</v>
      </c>
      <c r="G11" s="8"/>
      <c r="H11" s="24" t="s">
        <v>17</v>
      </c>
      <c r="I11" s="24" t="s">
        <v>18</v>
      </c>
      <c r="K11" s="22" t="s">
        <v>14</v>
      </c>
      <c r="L11" s="8"/>
      <c r="M11" s="24" t="s">
        <v>17</v>
      </c>
      <c r="N11" s="24" t="s">
        <v>18</v>
      </c>
      <c r="P11" s="22" t="s">
        <v>14</v>
      </c>
      <c r="Q11" s="8"/>
      <c r="R11" s="24" t="s">
        <v>17</v>
      </c>
      <c r="S11" s="24" t="s">
        <v>18</v>
      </c>
    </row>
    <row r="12" spans="1:22" x14ac:dyDescent="0.3">
      <c r="B12" s="8" t="s">
        <v>19</v>
      </c>
      <c r="C12" s="8"/>
      <c r="D12" s="25">
        <v>2</v>
      </c>
      <c r="E12" s="8"/>
      <c r="F12" s="8" t="s">
        <v>19</v>
      </c>
      <c r="G12" s="8"/>
      <c r="H12" s="26" t="s">
        <v>143</v>
      </c>
      <c r="I12" s="164">
        <v>-0.2</v>
      </c>
      <c r="K12" s="8" t="s">
        <v>19</v>
      </c>
      <c r="L12" s="8"/>
      <c r="M12" s="26" t="s">
        <v>144</v>
      </c>
      <c r="N12" s="164">
        <v>-0.05</v>
      </c>
      <c r="P12" s="8" t="s">
        <v>19</v>
      </c>
      <c r="Q12" s="8"/>
      <c r="R12" s="26" t="s">
        <v>143</v>
      </c>
      <c r="S12" s="28">
        <v>0.2</v>
      </c>
    </row>
    <row r="13" spans="1:22" x14ac:dyDescent="0.3">
      <c r="B13" s="8" t="s">
        <v>20</v>
      </c>
      <c r="C13" s="8"/>
      <c r="D13" s="25">
        <v>2</v>
      </c>
      <c r="E13" s="8"/>
      <c r="F13" s="8" t="s">
        <v>19</v>
      </c>
      <c r="G13" s="8"/>
      <c r="H13" s="26" t="s">
        <v>142</v>
      </c>
      <c r="I13" s="164">
        <v>-0.1</v>
      </c>
      <c r="K13" s="8" t="s">
        <v>19</v>
      </c>
      <c r="L13" s="8"/>
      <c r="M13" s="26" t="s">
        <v>142</v>
      </c>
      <c r="N13" s="165">
        <v>-2.5000000000000001E-2</v>
      </c>
      <c r="P13" s="8" t="s">
        <v>19</v>
      </c>
      <c r="Q13" s="8"/>
      <c r="R13" s="26" t="s">
        <v>142</v>
      </c>
      <c r="S13" s="28">
        <v>0.1</v>
      </c>
    </row>
    <row r="14" spans="1:22" x14ac:dyDescent="0.3">
      <c r="B14" s="8" t="s">
        <v>21</v>
      </c>
      <c r="C14" s="8"/>
      <c r="D14" s="25">
        <v>2</v>
      </c>
      <c r="E14" s="8"/>
      <c r="F14" s="8" t="s">
        <v>20</v>
      </c>
      <c r="G14" s="8"/>
      <c r="H14" s="26" t="s">
        <v>143</v>
      </c>
      <c r="I14" s="164">
        <v>-0.05</v>
      </c>
      <c r="K14" s="8" t="s">
        <v>20</v>
      </c>
      <c r="L14" s="8"/>
      <c r="M14" s="26" t="s">
        <v>133</v>
      </c>
      <c r="N14" s="27">
        <v>0</v>
      </c>
      <c r="P14" s="8" t="s">
        <v>20</v>
      </c>
      <c r="Q14" s="8"/>
      <c r="R14" s="26" t="s">
        <v>143</v>
      </c>
      <c r="S14" s="28">
        <v>0.05</v>
      </c>
    </row>
    <row r="15" spans="1:22" x14ac:dyDescent="0.3">
      <c r="B15" s="8" t="s">
        <v>22</v>
      </c>
      <c r="C15" s="8"/>
      <c r="D15" s="25">
        <v>2</v>
      </c>
      <c r="E15" s="124"/>
      <c r="F15" s="8" t="s">
        <v>20</v>
      </c>
      <c r="G15" s="8"/>
      <c r="H15" s="26" t="s">
        <v>142</v>
      </c>
      <c r="I15" s="164">
        <v>-0.1</v>
      </c>
      <c r="K15" s="30" t="s">
        <v>20</v>
      </c>
      <c r="L15" s="8"/>
      <c r="M15" s="8"/>
      <c r="N15" s="8"/>
      <c r="P15" s="8" t="s">
        <v>20</v>
      </c>
      <c r="Q15" s="8"/>
      <c r="R15" s="26" t="s">
        <v>142</v>
      </c>
      <c r="S15" s="28">
        <v>0.1</v>
      </c>
    </row>
    <row r="16" spans="1:22" x14ac:dyDescent="0.3">
      <c r="B16" s="8"/>
      <c r="C16" s="8"/>
      <c r="D16" s="8"/>
      <c r="E16" s="8"/>
      <c r="F16" s="24"/>
      <c r="G16" s="8"/>
      <c r="H16" s="8"/>
      <c r="I16" s="24"/>
      <c r="K16" s="24"/>
      <c r="L16" s="8"/>
      <c r="M16" s="8"/>
      <c r="N16" s="24"/>
      <c r="P16" s="24"/>
      <c r="Q16" s="8"/>
      <c r="R16" s="8"/>
      <c r="S16" s="24"/>
    </row>
    <row r="17" spans="1:23" x14ac:dyDescent="0.3">
      <c r="B17" s="8"/>
      <c r="C17" s="8"/>
      <c r="D17" s="8"/>
      <c r="E17" s="8"/>
      <c r="F17" s="24"/>
      <c r="G17" s="8"/>
      <c r="H17" s="8"/>
      <c r="I17" s="24"/>
      <c r="K17" s="24"/>
      <c r="L17" s="8"/>
      <c r="M17" s="8"/>
      <c r="N17" s="24"/>
      <c r="P17" s="24"/>
      <c r="Q17" s="8"/>
      <c r="R17" s="8"/>
      <c r="S17" s="24"/>
    </row>
    <row r="18" spans="1:23" x14ac:dyDescent="0.3">
      <c r="B18" s="24" t="s">
        <v>23</v>
      </c>
      <c r="C18" s="8"/>
      <c r="D18" s="24" t="s">
        <v>18</v>
      </c>
      <c r="E18" s="24"/>
      <c r="F18" s="24" t="s">
        <v>23</v>
      </c>
      <c r="G18" s="8"/>
      <c r="H18" s="8"/>
      <c r="I18" s="24" t="s">
        <v>18</v>
      </c>
      <c r="K18" s="24" t="s">
        <v>23</v>
      </c>
      <c r="L18" s="8"/>
      <c r="M18" s="8"/>
      <c r="N18" s="24" t="s">
        <v>18</v>
      </c>
      <c r="P18" s="24" t="s">
        <v>23</v>
      </c>
      <c r="Q18" s="8"/>
      <c r="R18" s="8"/>
      <c r="S18" s="24" t="s">
        <v>18</v>
      </c>
    </row>
    <row r="19" spans="1:23" x14ac:dyDescent="0.3">
      <c r="B19" s="8" t="s">
        <v>21</v>
      </c>
      <c r="C19" s="8"/>
      <c r="D19" s="31">
        <f>CHOOSE(D14,I19,N19,S19)</f>
        <v>0.1273</v>
      </c>
      <c r="E19" s="32"/>
      <c r="F19" s="8" t="s">
        <v>21</v>
      </c>
      <c r="G19" s="8"/>
      <c r="H19" s="8"/>
      <c r="I19" s="91">
        <v>0.13200000000000001</v>
      </c>
      <c r="K19" s="8" t="s">
        <v>21</v>
      </c>
      <c r="L19" s="8"/>
      <c r="M19" s="8"/>
      <c r="N19" s="27">
        <v>0.1273</v>
      </c>
      <c r="P19" s="8" t="s">
        <v>21</v>
      </c>
      <c r="Q19" s="8"/>
      <c r="R19" s="8"/>
      <c r="S19" s="27">
        <v>0.122</v>
      </c>
    </row>
    <row r="20" spans="1:23" x14ac:dyDescent="0.3">
      <c r="B20" s="8" t="s">
        <v>22</v>
      </c>
      <c r="C20" s="8"/>
      <c r="D20" s="91">
        <f>CHOOSE(D15,I20,N20,S20)</f>
        <v>2.5000000000000001E-2</v>
      </c>
      <c r="E20" s="32"/>
      <c r="F20" s="8" t="s">
        <v>22</v>
      </c>
      <c r="G20" s="8"/>
      <c r="H20" s="8"/>
      <c r="I20" s="28">
        <v>0.02</v>
      </c>
      <c r="K20" s="8" t="s">
        <v>22</v>
      </c>
      <c r="L20" s="8"/>
      <c r="M20" s="8"/>
      <c r="N20" s="29">
        <v>2.5000000000000001E-2</v>
      </c>
      <c r="P20" s="8" t="s">
        <v>22</v>
      </c>
      <c r="Q20" s="8"/>
      <c r="R20" s="8"/>
      <c r="S20" s="28">
        <v>0.03</v>
      </c>
    </row>
    <row r="21" spans="1:23" x14ac:dyDescent="0.3">
      <c r="C21" s="5"/>
      <c r="D21" s="5"/>
      <c r="E21" s="5"/>
      <c r="F21" s="5"/>
      <c r="G21" s="5"/>
      <c r="H21" s="6"/>
      <c r="I21" s="5"/>
      <c r="J21" s="5"/>
      <c r="K21" s="6"/>
      <c r="L21" s="6"/>
      <c r="M21" s="5"/>
      <c r="N21" s="6"/>
      <c r="O21" s="5"/>
      <c r="P21" s="5"/>
      <c r="Q21" s="6"/>
      <c r="R21" s="6"/>
      <c r="S21" s="5"/>
      <c r="T21" s="6"/>
    </row>
    <row r="24" spans="1:23" ht="18" x14ac:dyDescent="0.35">
      <c r="A24" s="117" t="s">
        <v>103</v>
      </c>
      <c r="B24" s="33" t="s">
        <v>134</v>
      </c>
      <c r="C24" s="13"/>
      <c r="D24" s="13"/>
      <c r="E24" s="13"/>
      <c r="F24" s="34">
        <v>2015</v>
      </c>
      <c r="G24" s="34">
        <f>F24+1</f>
        <v>2016</v>
      </c>
      <c r="H24" s="34">
        <f t="shared" ref="H24:N24" si="0">G24+1</f>
        <v>2017</v>
      </c>
      <c r="I24" s="34">
        <f t="shared" si="0"/>
        <v>2018</v>
      </c>
      <c r="J24" s="34">
        <f t="shared" si="0"/>
        <v>2019</v>
      </c>
      <c r="K24" s="34">
        <f t="shared" si="0"/>
        <v>2020</v>
      </c>
      <c r="L24" s="34">
        <f t="shared" si="0"/>
        <v>2021</v>
      </c>
      <c r="M24" s="34">
        <f t="shared" si="0"/>
        <v>2022</v>
      </c>
      <c r="N24" s="34">
        <f t="shared" si="0"/>
        <v>2023</v>
      </c>
      <c r="O24" s="35" t="s">
        <v>129</v>
      </c>
      <c r="P24" s="35">
        <v>2025</v>
      </c>
      <c r="Q24" s="35">
        <f>P24+1</f>
        <v>2026</v>
      </c>
      <c r="R24" s="35">
        <f t="shared" ref="R24:T24" si="1">Q24+1</f>
        <v>2027</v>
      </c>
      <c r="S24" s="35">
        <f t="shared" si="1"/>
        <v>2028</v>
      </c>
      <c r="T24" s="35">
        <f t="shared" si="1"/>
        <v>2029</v>
      </c>
    </row>
    <row r="25" spans="1:23" x14ac:dyDescent="0.3">
      <c r="B25" s="1" t="s">
        <v>19</v>
      </c>
      <c r="C25" s="5"/>
      <c r="D25" s="5"/>
      <c r="E25" s="5"/>
      <c r="F25" s="36">
        <f>IS!D4</f>
        <v>5010</v>
      </c>
      <c r="G25" s="36">
        <f>IS!E4</f>
        <v>6910</v>
      </c>
      <c r="H25" s="36">
        <f>IS!F4</f>
        <v>9714</v>
      </c>
      <c r="I25" s="36">
        <f>IS!G4</f>
        <v>11716</v>
      </c>
      <c r="J25" s="36">
        <f>IS!H4</f>
        <v>10918</v>
      </c>
      <c r="K25" s="36">
        <f>IS!I4</f>
        <v>16675</v>
      </c>
      <c r="L25" s="36">
        <f>IS!J4</f>
        <v>26914</v>
      </c>
      <c r="M25" s="36">
        <f>IS!K4</f>
        <v>26974</v>
      </c>
      <c r="N25" s="36">
        <f>IS!L4</f>
        <v>60922</v>
      </c>
      <c r="O25" s="36">
        <f>IS!M4</f>
        <v>130497</v>
      </c>
      <c r="P25" s="36">
        <f>O25*(1+V26)</f>
        <v>214334.46702032478</v>
      </c>
      <c r="Q25" s="36">
        <f>P25*(1+30%)</f>
        <v>278634.80712642224</v>
      </c>
      <c r="R25" s="36">
        <f>Q25*(1+20%)</f>
        <v>334361.76855170669</v>
      </c>
      <c r="S25" s="36">
        <f>R25*(1+12%)</f>
        <v>374485.1807779115</v>
      </c>
      <c r="T25" s="36">
        <f>S25*(1+8%)</f>
        <v>404443.99524014443</v>
      </c>
      <c r="U25" s="1" t="s">
        <v>103</v>
      </c>
      <c r="V25" s="1" t="s">
        <v>160</v>
      </c>
    </row>
    <row r="26" spans="1:23" x14ac:dyDescent="0.3">
      <c r="B26" s="1" t="s">
        <v>24</v>
      </c>
      <c r="C26" s="5"/>
      <c r="D26" s="5"/>
      <c r="E26" s="5"/>
      <c r="F26" s="77" t="s">
        <v>25</v>
      </c>
      <c r="G26" s="37">
        <f>G25/F25-1</f>
        <v>0.37924151696606789</v>
      </c>
      <c r="H26" s="37">
        <f t="shared" ref="H26:O26" si="2">H25/G25-1</f>
        <v>0.40578871201157751</v>
      </c>
      <c r="I26" s="37">
        <f t="shared" si="2"/>
        <v>0.20609429689108505</v>
      </c>
      <c r="J26" s="169">
        <f t="shared" si="2"/>
        <v>-6.8111983612154314E-2</v>
      </c>
      <c r="K26" s="37">
        <f t="shared" si="2"/>
        <v>0.52729437625938824</v>
      </c>
      <c r="L26" s="37">
        <f t="shared" si="2"/>
        <v>0.61403298350824587</v>
      </c>
      <c r="M26" s="37">
        <f t="shared" si="2"/>
        <v>2.2293230289069932E-3</v>
      </c>
      <c r="N26" s="37">
        <f t="shared" si="2"/>
        <v>1.2585452658115224</v>
      </c>
      <c r="O26" s="37">
        <f t="shared" si="2"/>
        <v>1.1420340763599355</v>
      </c>
      <c r="P26" s="37">
        <f>P25/O25-1</f>
        <v>0.64244746638102623</v>
      </c>
      <c r="Q26" s="37">
        <f>Q25/P25-1</f>
        <v>0.30000000000000004</v>
      </c>
      <c r="R26" s="37">
        <f t="shared" ref="R26:T26" si="3">R25/Q25-1</f>
        <v>0.19999999999999996</v>
      </c>
      <c r="S26" s="37">
        <f t="shared" si="3"/>
        <v>0.12000000000000011</v>
      </c>
      <c r="T26" s="37">
        <f t="shared" si="3"/>
        <v>8.0000000000000071E-2</v>
      </c>
      <c r="U26" s="1" t="s">
        <v>103</v>
      </c>
      <c r="V26" s="124">
        <f>(O25/J25)^(1/5)-1</f>
        <v>0.64244746638102623</v>
      </c>
      <c r="W26" s="6" t="s">
        <v>153</v>
      </c>
    </row>
    <row r="27" spans="1:23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</row>
    <row r="28" spans="1:23" x14ac:dyDescent="0.3">
      <c r="B28" s="1" t="s">
        <v>20</v>
      </c>
      <c r="C28" s="5"/>
      <c r="D28" s="5"/>
      <c r="E28" s="5"/>
      <c r="F28" s="36">
        <f>IS!D21</f>
        <v>747</v>
      </c>
      <c r="G28" s="36">
        <f>IS!E21</f>
        <v>1934</v>
      </c>
      <c r="H28" s="36">
        <f>IS!F21</f>
        <v>3210</v>
      </c>
      <c r="I28" s="36">
        <f>IS!G21</f>
        <v>3804</v>
      </c>
      <c r="J28" s="36">
        <f>IS!H21</f>
        <v>2846</v>
      </c>
      <c r="K28" s="36">
        <f>IS!I21</f>
        <v>4532</v>
      </c>
      <c r="L28" s="36">
        <f>IS!J21</f>
        <v>10041</v>
      </c>
      <c r="M28" s="36">
        <f>IS!K21</f>
        <v>4224</v>
      </c>
      <c r="N28" s="36">
        <f>IS!L21</f>
        <v>32972</v>
      </c>
      <c r="O28" s="36">
        <f>IS!M21</f>
        <v>81453</v>
      </c>
      <c r="P28" s="36">
        <f>ESTIMATES!B4</f>
        <v>125339</v>
      </c>
      <c r="Q28" s="36">
        <f>ESTIMATES!C4</f>
        <v>169192</v>
      </c>
      <c r="R28" s="36">
        <f>ESTIMATES!D4</f>
        <v>203030.39999999999</v>
      </c>
      <c r="S28" s="36">
        <f>ESTIMATES!E4</f>
        <v>223333.44</v>
      </c>
      <c r="T28" s="36">
        <f>ESTIMATES!F4</f>
        <v>234500.11200000002</v>
      </c>
      <c r="U28" s="1" t="s">
        <v>103</v>
      </c>
      <c r="V28" s="1" t="s">
        <v>151</v>
      </c>
    </row>
    <row r="29" spans="1:23" x14ac:dyDescent="0.3">
      <c r="B29" s="38" t="s">
        <v>26</v>
      </c>
      <c r="C29" s="5"/>
      <c r="D29" s="5"/>
      <c r="E29" s="5"/>
      <c r="F29" s="11">
        <f>F28/F25</f>
        <v>0.14910179640718563</v>
      </c>
      <c r="G29" s="11">
        <f t="shared" ref="G29:Q29" si="4">G28/G25</f>
        <v>0.27988422575976846</v>
      </c>
      <c r="H29" s="11">
        <f t="shared" si="4"/>
        <v>0.33045089561457691</v>
      </c>
      <c r="I29" s="11">
        <f t="shared" si="4"/>
        <v>0.32468419255718678</v>
      </c>
      <c r="J29" s="11">
        <f t="shared" si="4"/>
        <v>0.2606704524638212</v>
      </c>
      <c r="K29" s="11">
        <f t="shared" si="4"/>
        <v>0.27178410794602698</v>
      </c>
      <c r="L29" s="11">
        <f t="shared" si="4"/>
        <v>0.37307720888756779</v>
      </c>
      <c r="M29" s="11">
        <f t="shared" si="4"/>
        <v>0.1565952398606065</v>
      </c>
      <c r="N29" s="11">
        <f t="shared" si="4"/>
        <v>0.54121663766783756</v>
      </c>
      <c r="O29" s="11">
        <f t="shared" si="4"/>
        <v>0.62417526839697468</v>
      </c>
      <c r="P29" s="11">
        <f t="shared" si="4"/>
        <v>0.58478228790012776</v>
      </c>
      <c r="Q29" s="11">
        <f t="shared" si="4"/>
        <v>0.60721774764928838</v>
      </c>
      <c r="R29" s="11">
        <f t="shared" ref="R29" si="5">R28/R25</f>
        <v>0.60721774764928838</v>
      </c>
      <c r="S29" s="11">
        <f t="shared" ref="S29" si="6">S28/S25</f>
        <v>0.59637457358412249</v>
      </c>
      <c r="T29" s="11">
        <f t="shared" ref="T29" si="7">T28/T25</f>
        <v>0.57980861320678578</v>
      </c>
      <c r="U29" s="1" t="s">
        <v>103</v>
      </c>
      <c r="V29" s="42" t="s">
        <v>196</v>
      </c>
    </row>
    <row r="30" spans="1:23" x14ac:dyDescent="0.3"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  <c r="O30" s="5"/>
      <c r="P30" s="11"/>
      <c r="Q30" s="5"/>
      <c r="R30" s="5"/>
      <c r="S30" s="8"/>
      <c r="U30" s="1" t="s">
        <v>103</v>
      </c>
      <c r="V30" s="1" t="s">
        <v>194</v>
      </c>
    </row>
    <row r="31" spans="1:23" x14ac:dyDescent="0.3">
      <c r="B31" s="1" t="s">
        <v>27</v>
      </c>
      <c r="C31" s="5"/>
      <c r="D31" s="5"/>
      <c r="E31" s="5"/>
      <c r="F31" s="39">
        <f>IS!D14</f>
        <v>129</v>
      </c>
      <c r="G31" s="39">
        <f>IS!E14</f>
        <v>239</v>
      </c>
      <c r="H31" s="39">
        <f>IS!F14</f>
        <v>149</v>
      </c>
      <c r="I31" s="166">
        <f>IS!G14</f>
        <v>-245</v>
      </c>
      <c r="J31" s="39">
        <f>IS!H14</f>
        <v>174</v>
      </c>
      <c r="K31" s="39">
        <f>IS!I14</f>
        <v>77</v>
      </c>
      <c r="L31" s="39">
        <f>IS!J14</f>
        <v>189</v>
      </c>
      <c r="M31" s="166">
        <f>IS!K14</f>
        <v>-187</v>
      </c>
      <c r="N31" s="39">
        <f>IS!L14</f>
        <v>4058</v>
      </c>
      <c r="O31" s="39">
        <f>IS!M14</f>
        <v>11146</v>
      </c>
      <c r="P31" s="5"/>
      <c r="Q31" s="5"/>
      <c r="R31" s="5"/>
      <c r="S31" s="8"/>
      <c r="V31" s="125" t="s">
        <v>195</v>
      </c>
    </row>
    <row r="32" spans="1:23" x14ac:dyDescent="0.3">
      <c r="B32" s="38" t="s">
        <v>28</v>
      </c>
      <c r="C32" s="5"/>
      <c r="D32" s="5"/>
      <c r="E32" s="5"/>
      <c r="F32" s="74">
        <f>IS!D14/IS!D13</f>
        <v>0.17362045760430686</v>
      </c>
      <c r="G32" s="74">
        <f>IS!E14/IS!E13</f>
        <v>0.12545931758530185</v>
      </c>
      <c r="H32" s="74">
        <f>IS!F14/IS!F13</f>
        <v>4.6620775969962454E-2</v>
      </c>
      <c r="I32" s="167">
        <f>IS!G14/IS!G13</f>
        <v>-6.2885010266940447E-2</v>
      </c>
      <c r="J32" s="74">
        <f>IS!H14/IS!H13</f>
        <v>5.8585858585858588E-2</v>
      </c>
      <c r="K32" s="74">
        <f>IS!I14/IS!I13</f>
        <v>1.7464277613971423E-2</v>
      </c>
      <c r="L32" s="74">
        <f>IS!J14/IS!J13</f>
        <v>1.9012171813700834E-2</v>
      </c>
      <c r="M32" s="167">
        <f>IS!K14/IS!K13</f>
        <v>-4.4726142071274816E-2</v>
      </c>
      <c r="N32" s="74">
        <f>IS!L14/IS!L13</f>
        <v>0.1199952687917677</v>
      </c>
      <c r="O32" s="74">
        <f>IS!M14/IS!M13</f>
        <v>0.13264941803727417</v>
      </c>
      <c r="P32" s="5"/>
      <c r="Q32" s="5"/>
      <c r="R32" s="5"/>
      <c r="S32" s="8"/>
    </row>
    <row r="33" spans="1:22" x14ac:dyDescent="0.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8"/>
      <c r="V33" s="101"/>
    </row>
    <row r="34" spans="1:22" ht="18" x14ac:dyDescent="0.35">
      <c r="A34" s="117" t="s">
        <v>103</v>
      </c>
      <c r="B34" s="40" t="s">
        <v>135</v>
      </c>
      <c r="C34" s="41"/>
      <c r="D34" s="41"/>
      <c r="E34" s="41"/>
      <c r="F34" s="34">
        <v>2015</v>
      </c>
      <c r="G34" s="34">
        <f>F34+1</f>
        <v>2016</v>
      </c>
      <c r="H34" s="34">
        <f t="shared" ref="H34" si="8">G34+1</f>
        <v>2017</v>
      </c>
      <c r="I34" s="34">
        <f t="shared" ref="I34" si="9">H34+1</f>
        <v>2018</v>
      </c>
      <c r="J34" s="34">
        <f t="shared" ref="J34" si="10">I34+1</f>
        <v>2019</v>
      </c>
      <c r="K34" s="34">
        <f t="shared" ref="K34" si="11">J34+1</f>
        <v>2020</v>
      </c>
      <c r="L34" s="34">
        <f t="shared" ref="L34" si="12">K34+1</f>
        <v>2021</v>
      </c>
      <c r="M34" s="34">
        <f t="shared" ref="M34" si="13">L34+1</f>
        <v>2022</v>
      </c>
      <c r="N34" s="34">
        <f t="shared" ref="N34" si="14">M34+1</f>
        <v>2023</v>
      </c>
      <c r="O34" s="35" t="s">
        <v>129</v>
      </c>
      <c r="P34" s="35">
        <v>2025</v>
      </c>
      <c r="Q34" s="35">
        <f>P34+1</f>
        <v>2026</v>
      </c>
      <c r="R34" s="35">
        <f t="shared" ref="R34:T34" si="15">Q34+1</f>
        <v>2027</v>
      </c>
      <c r="S34" s="35">
        <f t="shared" si="15"/>
        <v>2028</v>
      </c>
      <c r="T34" s="35">
        <f t="shared" si="15"/>
        <v>2029</v>
      </c>
    </row>
    <row r="35" spans="1:22" x14ac:dyDescent="0.3">
      <c r="B35" s="1" t="s">
        <v>29</v>
      </c>
      <c r="C35" s="5"/>
      <c r="D35" s="5"/>
      <c r="E35" s="5"/>
      <c r="F35" s="39">
        <f>CFS!C7</f>
        <v>226</v>
      </c>
      <c r="G35" s="39">
        <f>CFS!D7</f>
        <v>187</v>
      </c>
      <c r="H35" s="39">
        <f>CFS!E7</f>
        <v>199</v>
      </c>
      <c r="I35" s="39">
        <f>CFS!F7</f>
        <v>262</v>
      </c>
      <c r="J35" s="39">
        <f>CFS!G7</f>
        <v>381</v>
      </c>
      <c r="K35" s="39">
        <f>CFS!H7</f>
        <v>1098</v>
      </c>
      <c r="L35" s="39">
        <f>CFS!I7</f>
        <v>1174</v>
      </c>
      <c r="M35" s="39">
        <f>CFS!J7</f>
        <v>1544</v>
      </c>
      <c r="N35" s="39">
        <f>CFS!K7</f>
        <v>1508</v>
      </c>
      <c r="O35" s="39">
        <f>CFS!L7</f>
        <v>1864</v>
      </c>
      <c r="P35" s="5"/>
      <c r="Q35" s="5"/>
      <c r="R35" s="5"/>
      <c r="S35" s="8"/>
      <c r="U35" s="1" t="s">
        <v>103</v>
      </c>
      <c r="V35" s="1" t="s">
        <v>189</v>
      </c>
    </row>
    <row r="36" spans="1:22" x14ac:dyDescent="0.3">
      <c r="B36" s="38" t="s">
        <v>30</v>
      </c>
      <c r="C36" s="5"/>
      <c r="D36" s="5"/>
      <c r="E36" s="5"/>
      <c r="F36" s="11">
        <f>F35/F25</f>
        <v>4.5109780439121755E-2</v>
      </c>
      <c r="G36" s="11">
        <f t="shared" ref="G36:O36" si="16">G35/G25</f>
        <v>2.7062228654124457E-2</v>
      </c>
      <c r="H36" s="11">
        <f t="shared" si="16"/>
        <v>2.0485896644018942E-2</v>
      </c>
      <c r="I36" s="11">
        <f t="shared" si="16"/>
        <v>2.2362581085694777E-2</v>
      </c>
      <c r="J36" s="11">
        <f t="shared" si="16"/>
        <v>3.4896501190694269E-2</v>
      </c>
      <c r="K36" s="11">
        <f t="shared" si="16"/>
        <v>6.5847076461769113E-2</v>
      </c>
      <c r="L36" s="11">
        <f t="shared" si="16"/>
        <v>4.362042059894479E-2</v>
      </c>
      <c r="M36" s="11">
        <f t="shared" si="16"/>
        <v>5.7240305479350488E-2</v>
      </c>
      <c r="N36" s="11">
        <f t="shared" si="16"/>
        <v>2.4752962804898065E-2</v>
      </c>
      <c r="O36" s="11">
        <f t="shared" si="16"/>
        <v>1.4283853268657517E-2</v>
      </c>
      <c r="P36" s="5"/>
      <c r="Q36" s="5"/>
      <c r="R36" s="5"/>
      <c r="S36" s="8"/>
    </row>
    <row r="37" spans="1:22" x14ac:dyDescent="0.3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</row>
    <row r="38" spans="1:22" x14ac:dyDescent="0.3">
      <c r="B38" s="1" t="s">
        <v>31</v>
      </c>
      <c r="C38" s="5"/>
      <c r="D38" s="5"/>
      <c r="E38" s="5"/>
      <c r="F38" s="42">
        <f>-CFS!C16</f>
        <v>79</v>
      </c>
      <c r="G38" s="42">
        <f>-CFS!D16</f>
        <v>169</v>
      </c>
      <c r="H38" s="42">
        <f>-CFS!E16</f>
        <v>591</v>
      </c>
      <c r="I38" s="42">
        <f>-CFS!F16</f>
        <v>600</v>
      </c>
      <c r="J38" s="42">
        <f>-CFS!G16</f>
        <v>489</v>
      </c>
      <c r="K38" s="42">
        <f>-CFS!H16</f>
        <v>1128</v>
      </c>
      <c r="L38" s="42">
        <f>-CFS!I16</f>
        <v>976</v>
      </c>
      <c r="M38" s="42">
        <f>-CFS!J16</f>
        <v>1833</v>
      </c>
      <c r="N38" s="42">
        <f>-CFS!K16</f>
        <v>1069</v>
      </c>
      <c r="O38" s="42">
        <f>-CFS!L16</f>
        <v>3236</v>
      </c>
      <c r="P38" s="5"/>
      <c r="Q38" s="5"/>
      <c r="R38" s="5"/>
      <c r="S38" s="8"/>
      <c r="U38" s="1" t="s">
        <v>103</v>
      </c>
      <c r="V38" s="1" t="s">
        <v>190</v>
      </c>
    </row>
    <row r="39" spans="1:22" x14ac:dyDescent="0.3">
      <c r="B39" s="38" t="s">
        <v>32</v>
      </c>
      <c r="C39" s="5"/>
      <c r="D39" s="5"/>
      <c r="E39" s="5"/>
      <c r="F39" s="11">
        <f>F38/F25</f>
        <v>1.5768463073852296E-2</v>
      </c>
      <c r="G39" s="11">
        <f t="shared" ref="G39:O39" si="17">G38/G25</f>
        <v>2.4457308248914615E-2</v>
      </c>
      <c r="H39" s="11">
        <f t="shared" si="17"/>
        <v>6.0840024706609021E-2</v>
      </c>
      <c r="I39" s="11">
        <f t="shared" si="17"/>
        <v>5.1212017753499491E-2</v>
      </c>
      <c r="J39" s="11">
        <f t="shared" si="17"/>
        <v>4.478842278805642E-2</v>
      </c>
      <c r="K39" s="11">
        <f t="shared" si="17"/>
        <v>6.7646176911544231E-2</v>
      </c>
      <c r="L39" s="11">
        <f t="shared" si="17"/>
        <v>3.6263654603552055E-2</v>
      </c>
      <c r="M39" s="11">
        <f t="shared" si="17"/>
        <v>6.7954326388373995E-2</v>
      </c>
      <c r="N39" s="11">
        <f t="shared" si="17"/>
        <v>1.7547027346442992E-2</v>
      </c>
      <c r="O39" s="11">
        <f t="shared" si="17"/>
        <v>2.4797504923484832E-2</v>
      </c>
      <c r="P39" s="5"/>
      <c r="Q39" s="5"/>
      <c r="R39" s="5"/>
      <c r="S39" s="8"/>
    </row>
    <row r="40" spans="1:22" x14ac:dyDescent="0.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8"/>
    </row>
    <row r="41" spans="1:22" x14ac:dyDescent="0.3">
      <c r="B41" s="1" t="s">
        <v>33</v>
      </c>
      <c r="C41" s="5"/>
      <c r="D41" s="5"/>
      <c r="E41" s="5"/>
      <c r="F41" s="39">
        <f>-CFS!C14</f>
        <v>51</v>
      </c>
      <c r="G41" s="39">
        <f>-CFS!D14</f>
        <v>679</v>
      </c>
      <c r="H41" s="166">
        <f>-CFS!E14</f>
        <v>-185</v>
      </c>
      <c r="I41" s="39">
        <f>-CFS!F14</f>
        <v>857</v>
      </c>
      <c r="J41" s="166">
        <f>-CFS!G14</f>
        <v>-717</v>
      </c>
      <c r="K41" s="39">
        <f>-CFS!H14</f>
        <v>703</v>
      </c>
      <c r="L41" s="39">
        <f>-CFS!I14</f>
        <v>3363</v>
      </c>
      <c r="M41" s="39">
        <f>-CFS!J14</f>
        <v>2207</v>
      </c>
      <c r="N41" s="39">
        <f>-CFS!K14</f>
        <v>3722</v>
      </c>
      <c r="O41" s="39">
        <f>-CFS!L14</f>
        <v>9383</v>
      </c>
      <c r="P41" s="5"/>
      <c r="Q41" s="5"/>
      <c r="R41" s="5"/>
      <c r="S41" s="8"/>
      <c r="U41" s="1" t="s">
        <v>103</v>
      </c>
      <c r="V41" s="1" t="s">
        <v>191</v>
      </c>
    </row>
    <row r="42" spans="1:22" x14ac:dyDescent="0.3">
      <c r="B42" s="38" t="s">
        <v>26</v>
      </c>
      <c r="C42" s="5"/>
      <c r="D42" s="5"/>
      <c r="E42" s="5"/>
      <c r="F42" s="11">
        <f>F41/F25</f>
        <v>1.0179640718562874E-2</v>
      </c>
      <c r="G42" s="11">
        <f t="shared" ref="G42:O42" si="18">G41/G25</f>
        <v>9.8263386396526778E-2</v>
      </c>
      <c r="H42" s="168">
        <f t="shared" si="18"/>
        <v>-1.9044677784640723E-2</v>
      </c>
      <c r="I42" s="11">
        <f t="shared" si="18"/>
        <v>7.3147832024581763E-2</v>
      </c>
      <c r="J42" s="168">
        <f t="shared" si="18"/>
        <v>-6.5671368382487633E-2</v>
      </c>
      <c r="K42" s="11">
        <f t="shared" si="18"/>
        <v>4.2158920539730138E-2</v>
      </c>
      <c r="L42" s="11">
        <f t="shared" si="18"/>
        <v>0.12495355577023111</v>
      </c>
      <c r="M42" s="11">
        <f t="shared" si="18"/>
        <v>8.181952991769853E-2</v>
      </c>
      <c r="N42" s="11">
        <f t="shared" si="18"/>
        <v>6.1094514296969896E-2</v>
      </c>
      <c r="O42" s="11">
        <f t="shared" si="18"/>
        <v>7.1902036062131691E-2</v>
      </c>
      <c r="P42" s="5"/>
      <c r="Q42" s="5"/>
      <c r="R42" s="5"/>
      <c r="S42" s="8"/>
    </row>
    <row r="43" spans="1:22" x14ac:dyDescent="0.3">
      <c r="B43" s="38" t="s">
        <v>34</v>
      </c>
      <c r="C43" s="5"/>
      <c r="D43" s="5"/>
      <c r="E43" s="5"/>
      <c r="F43" s="76" t="s">
        <v>25</v>
      </c>
      <c r="G43" s="11">
        <f>G41/(G25-F25)</f>
        <v>0.35736842105263156</v>
      </c>
      <c r="H43" s="168">
        <f t="shared" ref="H43:O43" si="19">H41/(H25-G25)</f>
        <v>-6.5977175463623389E-2</v>
      </c>
      <c r="I43" s="11">
        <f t="shared" si="19"/>
        <v>0.42807192807192807</v>
      </c>
      <c r="J43" s="11">
        <f t="shared" si="19"/>
        <v>0.89849624060150379</v>
      </c>
      <c r="K43" s="11">
        <f t="shared" si="19"/>
        <v>0.12211221122112212</v>
      </c>
      <c r="L43" s="11">
        <f t="shared" si="19"/>
        <v>0.32845004394960448</v>
      </c>
      <c r="M43" s="11">
        <f t="shared" si="19"/>
        <v>36.783333333333331</v>
      </c>
      <c r="N43" s="11">
        <f t="shared" si="19"/>
        <v>0.10963827029574644</v>
      </c>
      <c r="O43" s="11">
        <f t="shared" si="19"/>
        <v>0.13486166007905137</v>
      </c>
      <c r="P43" s="5"/>
      <c r="Q43" s="5"/>
      <c r="R43" s="5"/>
      <c r="S43" s="8"/>
    </row>
    <row r="44" spans="1:22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121">
        <v>1</v>
      </c>
      <c r="Q44" s="121">
        <f>P44+1</f>
        <v>2</v>
      </c>
      <c r="R44" s="121">
        <f>Q44+1</f>
        <v>3</v>
      </c>
      <c r="S44" s="121">
        <f>R44+1</f>
        <v>4</v>
      </c>
      <c r="T44" s="121">
        <f>S44+1</f>
        <v>5</v>
      </c>
    </row>
    <row r="45" spans="1:22" ht="18" x14ac:dyDescent="0.35">
      <c r="A45" s="117" t="s">
        <v>103</v>
      </c>
      <c r="B45" s="40" t="s">
        <v>136</v>
      </c>
      <c r="C45" s="41"/>
      <c r="D45" s="41"/>
      <c r="E45" s="41"/>
      <c r="F45" s="34">
        <v>2015</v>
      </c>
      <c r="G45" s="34">
        <f>F45+1</f>
        <v>2016</v>
      </c>
      <c r="H45" s="34">
        <f t="shared" ref="H45" si="20">G45+1</f>
        <v>2017</v>
      </c>
      <c r="I45" s="34">
        <f t="shared" ref="I45" si="21">H45+1</f>
        <v>2018</v>
      </c>
      <c r="J45" s="34">
        <f t="shared" ref="J45" si="22">I45+1</f>
        <v>2019</v>
      </c>
      <c r="K45" s="34">
        <f t="shared" ref="K45" si="23">J45+1</f>
        <v>2020</v>
      </c>
      <c r="L45" s="34">
        <f t="shared" ref="L45" si="24">K45+1</f>
        <v>2021</v>
      </c>
      <c r="M45" s="34">
        <f t="shared" ref="M45" si="25">L45+1</f>
        <v>2022</v>
      </c>
      <c r="N45" s="34">
        <f t="shared" ref="N45" si="26">M45+1</f>
        <v>2023</v>
      </c>
      <c r="O45" s="35" t="s">
        <v>129</v>
      </c>
      <c r="P45" s="35">
        <v>2025</v>
      </c>
      <c r="Q45" s="35">
        <f>P45+1</f>
        <v>2026</v>
      </c>
      <c r="R45" s="35">
        <f t="shared" ref="R45" si="27">Q45+1</f>
        <v>2027</v>
      </c>
      <c r="S45" s="35">
        <f t="shared" ref="S45" si="28">R45+1</f>
        <v>2028</v>
      </c>
      <c r="T45" s="35">
        <f t="shared" ref="T45" si="29">S45+1</f>
        <v>2029</v>
      </c>
    </row>
    <row r="46" spans="1:22" x14ac:dyDescent="0.3">
      <c r="B46" s="1" t="s">
        <v>19</v>
      </c>
      <c r="C46" s="5"/>
      <c r="D46" s="5"/>
      <c r="E46" s="5"/>
      <c r="F46" s="43">
        <f>F25</f>
        <v>5010</v>
      </c>
      <c r="G46" s="43">
        <f t="shared" ref="G46:O46" si="30">G25</f>
        <v>6910</v>
      </c>
      <c r="H46" s="43">
        <f t="shared" si="30"/>
        <v>9714</v>
      </c>
      <c r="I46" s="43">
        <f t="shared" si="30"/>
        <v>11716</v>
      </c>
      <c r="J46" s="43">
        <f t="shared" si="30"/>
        <v>10918</v>
      </c>
      <c r="K46" s="43">
        <f t="shared" si="30"/>
        <v>16675</v>
      </c>
      <c r="L46" s="43">
        <f t="shared" si="30"/>
        <v>26914</v>
      </c>
      <c r="M46" s="43">
        <f t="shared" si="30"/>
        <v>26974</v>
      </c>
      <c r="N46" s="43">
        <f t="shared" si="30"/>
        <v>60922</v>
      </c>
      <c r="O46" s="43">
        <f t="shared" si="30"/>
        <v>130497</v>
      </c>
      <c r="P46" s="44">
        <f ca="1">O46*(1+P47)</f>
        <v>214334.46702032478</v>
      </c>
      <c r="Q46" s="44">
        <f t="shared" ref="Q46:T46" ca="1" si="31">P46*(1+Q47)</f>
        <v>345148.17055089329</v>
      </c>
      <c r="R46" s="44">
        <f t="shared" ca="1" si="31"/>
        <v>550534.44512974645</v>
      </c>
      <c r="S46" s="44">
        <f t="shared" ca="1" si="31"/>
        <v>869949.1853810359</v>
      </c>
      <c r="T46" s="44">
        <f t="shared" ca="1" si="31"/>
        <v>1362066.8551291046</v>
      </c>
      <c r="V46" s="150"/>
    </row>
    <row r="47" spans="1:22" x14ac:dyDescent="0.3">
      <c r="B47" s="1" t="s">
        <v>24</v>
      </c>
      <c r="C47" s="5"/>
      <c r="D47" s="5"/>
      <c r="E47" s="5"/>
      <c r="F47" s="126" t="s">
        <v>25</v>
      </c>
      <c r="G47" s="46">
        <f>G26</f>
        <v>0.37924151696606789</v>
      </c>
      <c r="H47" s="46">
        <f t="shared" ref="H47:O47" si="32">H26</f>
        <v>0.40578871201157751</v>
      </c>
      <c r="I47" s="46">
        <f t="shared" si="32"/>
        <v>0.20609429689108505</v>
      </c>
      <c r="J47" s="170">
        <f>J26</f>
        <v>-6.8111983612154314E-2</v>
      </c>
      <c r="K47" s="46">
        <f t="shared" si="32"/>
        <v>0.52729437625938824</v>
      </c>
      <c r="L47" s="46">
        <f t="shared" si="32"/>
        <v>0.61403298350824587</v>
      </c>
      <c r="M47" s="46">
        <f t="shared" si="32"/>
        <v>2.2293230289069932E-3</v>
      </c>
      <c r="N47" s="46">
        <f t="shared" si="32"/>
        <v>1.2585452658115224</v>
      </c>
      <c r="O47" s="46">
        <f t="shared" si="32"/>
        <v>1.1420340763599355</v>
      </c>
      <c r="P47" s="11">
        <f ca="1">OFFSET(P47,$D$12,0)</f>
        <v>0.64244746638102623</v>
      </c>
      <c r="Q47" s="11">
        <f t="shared" ref="Q47:T47" ca="1" si="33">OFFSET(Q47,$D$12,0)</f>
        <v>0.61032509306197491</v>
      </c>
      <c r="R47" s="11">
        <f t="shared" ca="1" si="33"/>
        <v>0.5950669657354255</v>
      </c>
      <c r="S47" s="11">
        <f t="shared" ca="1" si="33"/>
        <v>0.58019029159203983</v>
      </c>
      <c r="T47" s="11">
        <f t="shared" ca="1" si="33"/>
        <v>0.56568553430223878</v>
      </c>
      <c r="V47" s="90"/>
    </row>
    <row r="48" spans="1:22" x14ac:dyDescent="0.3">
      <c r="B48" s="38" t="s">
        <v>36</v>
      </c>
      <c r="C48" s="5"/>
      <c r="D48" s="5"/>
      <c r="E48" s="5"/>
      <c r="F48" s="5"/>
      <c r="G48" s="5"/>
      <c r="H48" s="47"/>
      <c r="I48" s="5"/>
      <c r="J48" s="5"/>
      <c r="K48" s="5"/>
      <c r="L48" s="5"/>
      <c r="M48" s="5"/>
      <c r="N48" s="5"/>
      <c r="P48" s="48">
        <f>P49*(1+$I$12)</f>
        <v>0.51395797310482105</v>
      </c>
      <c r="Q48" s="48">
        <f>Q49*(1+$I$12)</f>
        <v>0.48826007444957997</v>
      </c>
      <c r="R48" s="48">
        <f t="shared" ref="R48:T48" si="34">R49*(1+$I$13)</f>
        <v>0.53556026916188293</v>
      </c>
      <c r="S48" s="48">
        <f t="shared" si="34"/>
        <v>0.52217126243283585</v>
      </c>
      <c r="T48" s="48">
        <f t="shared" si="34"/>
        <v>0.50911698087201496</v>
      </c>
    </row>
    <row r="49" spans="2:22" x14ac:dyDescent="0.3">
      <c r="B49" s="38" t="s">
        <v>37</v>
      </c>
      <c r="C49" s="5"/>
      <c r="D49" s="5"/>
      <c r="E49" s="5"/>
      <c r="F49" s="5"/>
      <c r="G49" s="5"/>
      <c r="H49" s="47"/>
      <c r="I49" s="5"/>
      <c r="J49" s="5"/>
      <c r="K49" s="5"/>
      <c r="L49" s="5"/>
      <c r="M49" s="5"/>
      <c r="N49" s="5"/>
      <c r="P49" s="48">
        <f>P26</f>
        <v>0.64244746638102623</v>
      </c>
      <c r="Q49" s="48">
        <f>P49*(1+$N$12)</f>
        <v>0.61032509306197491</v>
      </c>
      <c r="R49" s="48">
        <f>Q49*(1+$N$13)</f>
        <v>0.5950669657354255</v>
      </c>
      <c r="S49" s="48">
        <f>R49*(1+$N$13)</f>
        <v>0.58019029159203983</v>
      </c>
      <c r="T49" s="48">
        <f>S49*(1+$N$13)</f>
        <v>0.56568553430223878</v>
      </c>
    </row>
    <row r="50" spans="2:22" x14ac:dyDescent="0.3">
      <c r="B50" s="38" t="s">
        <v>38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48">
        <f>P49*(1+$S$12)</f>
        <v>0.77093695965723141</v>
      </c>
      <c r="Q50" s="48">
        <f>Q49*(1+$S$12)</f>
        <v>0.73239011167436985</v>
      </c>
      <c r="R50" s="48">
        <f t="shared" ref="R50:T50" si="35">R49*(1+$S$13)</f>
        <v>0.65457366230896807</v>
      </c>
      <c r="S50" s="48">
        <f t="shared" si="35"/>
        <v>0.63820932075124381</v>
      </c>
      <c r="T50" s="48">
        <f t="shared" si="35"/>
        <v>0.62225408773246271</v>
      </c>
    </row>
    <row r="51" spans="2:22" x14ac:dyDescent="0.3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5"/>
      <c r="Q51" s="5"/>
      <c r="R51" s="5"/>
      <c r="S51" s="5"/>
      <c r="T51" s="8"/>
    </row>
    <row r="52" spans="2:22" x14ac:dyDescent="0.3">
      <c r="B52" s="1" t="s">
        <v>20</v>
      </c>
      <c r="C52" s="5"/>
      <c r="D52" s="5"/>
      <c r="E52" s="5"/>
      <c r="F52" s="49">
        <f>F28</f>
        <v>747</v>
      </c>
      <c r="G52" s="49">
        <f>G28</f>
        <v>1934</v>
      </c>
      <c r="H52" s="49">
        <f t="shared" ref="H52:O52" si="36">H28</f>
        <v>3210</v>
      </c>
      <c r="I52" s="49">
        <f t="shared" si="36"/>
        <v>3804</v>
      </c>
      <c r="J52" s="49">
        <f t="shared" si="36"/>
        <v>2846</v>
      </c>
      <c r="K52" s="49">
        <f t="shared" si="36"/>
        <v>4532</v>
      </c>
      <c r="L52" s="49">
        <f t="shared" si="36"/>
        <v>10041</v>
      </c>
      <c r="M52" s="49">
        <f t="shared" si="36"/>
        <v>4224</v>
      </c>
      <c r="N52" s="49">
        <f t="shared" si="36"/>
        <v>32972</v>
      </c>
      <c r="O52" s="49">
        <f t="shared" si="36"/>
        <v>81453</v>
      </c>
      <c r="P52" s="50">
        <f ca="1">P46*P53</f>
        <v>125339</v>
      </c>
      <c r="Q52" s="50">
        <f t="shared" ref="Q52:T52" ca="1" si="37">Q46*Q53</f>
        <v>209580.09472718587</v>
      </c>
      <c r="R52" s="50">
        <f t="shared" ca="1" si="37"/>
        <v>334294.28577503539</v>
      </c>
      <c r="S52" s="50">
        <f t="shared" ca="1" si="37"/>
        <v>518815.57447147003</v>
      </c>
      <c r="T52" s="50">
        <f t="shared" ca="1" si="37"/>
        <v>789738.09436733415</v>
      </c>
    </row>
    <row r="53" spans="2:22" x14ac:dyDescent="0.3">
      <c r="B53" s="38" t="s">
        <v>26</v>
      </c>
      <c r="C53" s="5"/>
      <c r="D53" s="5"/>
      <c r="E53" s="5"/>
      <c r="F53" s="51">
        <f>F29</f>
        <v>0.14910179640718563</v>
      </c>
      <c r="G53" s="51">
        <f t="shared" ref="G53:O53" si="38">G29</f>
        <v>0.27988422575976846</v>
      </c>
      <c r="H53" s="51">
        <f t="shared" si="38"/>
        <v>0.33045089561457691</v>
      </c>
      <c r="I53" s="51">
        <f t="shared" si="38"/>
        <v>0.32468419255718678</v>
      </c>
      <c r="J53" s="51">
        <f t="shared" si="38"/>
        <v>0.2606704524638212</v>
      </c>
      <c r="K53" s="51">
        <f t="shared" si="38"/>
        <v>0.27178410794602698</v>
      </c>
      <c r="L53" s="51">
        <f t="shared" si="38"/>
        <v>0.37307720888756779</v>
      </c>
      <c r="M53" s="51">
        <f t="shared" si="38"/>
        <v>0.1565952398606065</v>
      </c>
      <c r="N53" s="51">
        <f t="shared" si="38"/>
        <v>0.54121663766783756</v>
      </c>
      <c r="O53" s="51">
        <f t="shared" si="38"/>
        <v>0.62417526839697468</v>
      </c>
      <c r="P53" s="52">
        <f ca="1">OFFSET(P53,$D$13,0)</f>
        <v>0.58478228790012776</v>
      </c>
      <c r="Q53" s="52">
        <f t="shared" ref="Q53:T53" ca="1" si="39">OFFSET(Q53,$D$13,0)</f>
        <v>0.60721774764928838</v>
      </c>
      <c r="R53" s="52">
        <f t="shared" ca="1" si="39"/>
        <v>0.60721774764928838</v>
      </c>
      <c r="S53" s="52">
        <f t="shared" ca="1" si="39"/>
        <v>0.59637457358412249</v>
      </c>
      <c r="T53" s="52">
        <f t="shared" ca="1" si="39"/>
        <v>0.57980861320678578</v>
      </c>
    </row>
    <row r="54" spans="2:22" x14ac:dyDescent="0.3">
      <c r="B54" s="38" t="s">
        <v>36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48">
        <f>P55*(1+I14)</f>
        <v>0.55554317350512139</v>
      </c>
      <c r="Q54" s="48">
        <f>Q55*(1+$I$14)</f>
        <v>0.57685686026682392</v>
      </c>
      <c r="R54" s="48">
        <f t="shared" ref="R54:T54" si="40">R55*(1+$I$15)</f>
        <v>0.54649597288435958</v>
      </c>
      <c r="S54" s="48">
        <f t="shared" si="40"/>
        <v>0.5367371162257103</v>
      </c>
      <c r="T54" s="48">
        <f t="shared" si="40"/>
        <v>0.52182775188610719</v>
      </c>
    </row>
    <row r="55" spans="2:22" x14ac:dyDescent="0.3">
      <c r="B55" s="38" t="s">
        <v>37</v>
      </c>
      <c r="C55" s="5"/>
      <c r="D55" s="5"/>
      <c r="E55" s="5"/>
      <c r="F55" s="8"/>
      <c r="G55" s="8"/>
      <c r="H55" s="8"/>
      <c r="I55" s="8"/>
      <c r="J55" s="8"/>
      <c r="K55" s="8"/>
      <c r="L55" s="8"/>
      <c r="M55" s="8"/>
      <c r="N55" s="8"/>
      <c r="P55" s="48">
        <f>P29</f>
        <v>0.58478228790012776</v>
      </c>
      <c r="Q55" s="48">
        <f t="shared" ref="Q55:T55" si="41">Q29</f>
        <v>0.60721774764928838</v>
      </c>
      <c r="R55" s="48">
        <f t="shared" si="41"/>
        <v>0.60721774764928838</v>
      </c>
      <c r="S55" s="48">
        <f t="shared" si="41"/>
        <v>0.59637457358412249</v>
      </c>
      <c r="T55" s="48">
        <f t="shared" si="41"/>
        <v>0.57980861320678578</v>
      </c>
    </row>
    <row r="56" spans="2:22" x14ac:dyDescent="0.3">
      <c r="B56" s="38" t="s">
        <v>38</v>
      </c>
      <c r="C56" s="5"/>
      <c r="D56" s="5"/>
      <c r="E56" s="5"/>
      <c r="F56" s="8"/>
      <c r="G56" s="8"/>
      <c r="H56" s="8"/>
      <c r="I56" s="8"/>
      <c r="J56" s="8"/>
      <c r="K56" s="8"/>
      <c r="L56" s="8"/>
      <c r="M56" s="8"/>
      <c r="N56" s="8"/>
      <c r="P56" s="48">
        <f>P55*(1+$S$14)</f>
        <v>0.61402140229513413</v>
      </c>
      <c r="Q56" s="48">
        <f>Q55*(1+$S$14)</f>
        <v>0.63757863503175283</v>
      </c>
      <c r="R56" s="48">
        <f t="shared" ref="R56:T56" si="42">R55*(1+$S$15)</f>
        <v>0.66793952241421728</v>
      </c>
      <c r="S56" s="48">
        <f t="shared" si="42"/>
        <v>0.6560120309425348</v>
      </c>
      <c r="T56" s="48">
        <f t="shared" si="42"/>
        <v>0.63778947452746437</v>
      </c>
    </row>
    <row r="57" spans="2:22" x14ac:dyDescent="0.3">
      <c r="B57" s="38"/>
      <c r="C57" s="5"/>
      <c r="D57" s="5"/>
      <c r="E57" s="5"/>
      <c r="F57" s="8"/>
      <c r="G57" s="8"/>
      <c r="H57" s="8"/>
      <c r="I57" s="8"/>
      <c r="J57" s="8"/>
      <c r="K57" s="8"/>
      <c r="L57" s="8"/>
      <c r="M57" s="8"/>
      <c r="N57" s="8"/>
      <c r="P57" s="5"/>
      <c r="Q57" s="5"/>
      <c r="R57" s="5"/>
      <c r="S57" s="5"/>
      <c r="T57" s="8"/>
    </row>
    <row r="58" spans="2:22" x14ac:dyDescent="0.3">
      <c r="B58" s="1" t="s">
        <v>27</v>
      </c>
      <c r="C58" s="5" t="s">
        <v>39</v>
      </c>
      <c r="D58" s="5"/>
      <c r="E58" s="5"/>
      <c r="F58" s="45">
        <f>F31</f>
        <v>129</v>
      </c>
      <c r="G58" s="45">
        <f t="shared" ref="G58:O58" si="43">G31</f>
        <v>239</v>
      </c>
      <c r="H58" s="45">
        <f t="shared" si="43"/>
        <v>149</v>
      </c>
      <c r="I58" s="171">
        <f t="shared" si="43"/>
        <v>-245</v>
      </c>
      <c r="J58" s="171">
        <f t="shared" si="43"/>
        <v>174</v>
      </c>
      <c r="K58" s="45">
        <f t="shared" si="43"/>
        <v>77</v>
      </c>
      <c r="L58" s="45">
        <f t="shared" si="43"/>
        <v>189</v>
      </c>
      <c r="M58" s="171">
        <f t="shared" si="43"/>
        <v>-187</v>
      </c>
      <c r="N58" s="45">
        <f t="shared" si="43"/>
        <v>4058</v>
      </c>
      <c r="O58" s="45">
        <f t="shared" si="43"/>
        <v>11146</v>
      </c>
      <c r="P58" s="50">
        <f ca="1">P52*P59</f>
        <v>17934.174577818347</v>
      </c>
      <c r="Q58" s="50">
        <f ca="1">Q52*Q59</f>
        <v>29987.841030110805</v>
      </c>
      <c r="R58" s="50">
        <f ca="1">R52*R59</f>
        <v>47832.61460085513</v>
      </c>
      <c r="S58" s="50">
        <f ca="1">S52*S59</f>
        <v>74234.907620632526</v>
      </c>
      <c r="T58" s="50">
        <f ca="1">T52*T59</f>
        <v>112999.95097405717</v>
      </c>
    </row>
    <row r="59" spans="2:22" x14ac:dyDescent="0.3">
      <c r="B59" s="38" t="s">
        <v>28</v>
      </c>
      <c r="C59" s="5"/>
      <c r="D59" s="5"/>
      <c r="E59" s="5"/>
      <c r="F59" s="51">
        <f>F32</f>
        <v>0.17362045760430686</v>
      </c>
      <c r="G59" s="51">
        <f t="shared" ref="G59:O59" si="44">G32</f>
        <v>0.12545931758530185</v>
      </c>
      <c r="H59" s="51">
        <f t="shared" si="44"/>
        <v>4.6620775969962454E-2</v>
      </c>
      <c r="I59" s="170">
        <f t="shared" si="44"/>
        <v>-6.2885010266940447E-2</v>
      </c>
      <c r="J59" s="170">
        <f t="shared" si="44"/>
        <v>5.8585858585858588E-2</v>
      </c>
      <c r="K59" s="51">
        <f t="shared" si="44"/>
        <v>1.7464277613971423E-2</v>
      </c>
      <c r="L59" s="51">
        <f t="shared" si="44"/>
        <v>1.9012171813700834E-2</v>
      </c>
      <c r="M59" s="170">
        <f t="shared" si="44"/>
        <v>-4.4726142071274816E-2</v>
      </c>
      <c r="N59" s="51">
        <f t="shared" si="44"/>
        <v>0.1199952687917677</v>
      </c>
      <c r="O59" s="51">
        <f t="shared" si="44"/>
        <v>0.13264941803727417</v>
      </c>
      <c r="P59" s="79">
        <f>3135/21910</f>
        <v>0.1430853491556367</v>
      </c>
      <c r="Q59" s="79">
        <f t="shared" ref="Q59:T59" si="45">3135/21910</f>
        <v>0.1430853491556367</v>
      </c>
      <c r="R59" s="79">
        <f t="shared" si="45"/>
        <v>0.1430853491556367</v>
      </c>
      <c r="S59" s="79">
        <f t="shared" si="45"/>
        <v>0.1430853491556367</v>
      </c>
      <c r="T59" s="79">
        <f t="shared" si="45"/>
        <v>0.1430853491556367</v>
      </c>
      <c r="U59" s="1" t="s">
        <v>103</v>
      </c>
      <c r="V59" s="1" t="s">
        <v>163</v>
      </c>
    </row>
    <row r="60" spans="2:22" x14ac:dyDescent="0.3">
      <c r="F60" s="8"/>
      <c r="G60" s="8"/>
      <c r="H60" s="8"/>
      <c r="I60" s="8"/>
      <c r="J60" s="8"/>
      <c r="K60" s="8"/>
      <c r="L60" s="8"/>
      <c r="M60" s="8"/>
      <c r="N60" s="8"/>
      <c r="P60" s="8"/>
      <c r="Q60" s="8"/>
      <c r="R60" s="8"/>
      <c r="S60" s="8"/>
      <c r="T60" s="8"/>
    </row>
    <row r="61" spans="2:22" x14ac:dyDescent="0.3">
      <c r="B61" s="56" t="s">
        <v>40</v>
      </c>
      <c r="C61" s="57"/>
      <c r="D61" s="57"/>
      <c r="E61" s="57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9">
        <f ca="1">P52-P58</f>
        <v>107404.82542218166</v>
      </c>
      <c r="Q61" s="59">
        <f ca="1">Q52-Q58</f>
        <v>179592.25369707507</v>
      </c>
      <c r="R61" s="59">
        <f ca="1">R52-R58</f>
        <v>286461.67117418023</v>
      </c>
      <c r="S61" s="59">
        <f ca="1">S52-S58</f>
        <v>444580.66685083753</v>
      </c>
      <c r="T61" s="59">
        <f ca="1">T52-T58</f>
        <v>676738.14339327696</v>
      </c>
      <c r="U61" s="78" t="s">
        <v>103</v>
      </c>
      <c r="V61" s="1" t="s">
        <v>152</v>
      </c>
    </row>
    <row r="62" spans="2:22" x14ac:dyDescent="0.3">
      <c r="F62" s="8"/>
      <c r="G62" s="8"/>
      <c r="H62" s="8"/>
      <c r="I62" s="8"/>
      <c r="J62" s="8"/>
      <c r="K62" s="8"/>
      <c r="L62" s="8"/>
      <c r="M62" s="8"/>
      <c r="N62" s="8"/>
      <c r="P62" s="8"/>
      <c r="Q62" s="8"/>
      <c r="R62" s="8"/>
      <c r="S62" s="8"/>
    </row>
    <row r="63" spans="2:22" x14ac:dyDescent="0.3">
      <c r="B63" s="1" t="s">
        <v>29</v>
      </c>
      <c r="F63" s="53">
        <f>F35</f>
        <v>226</v>
      </c>
      <c r="G63" s="53">
        <f t="shared" ref="G63:O63" si="46">G35</f>
        <v>187</v>
      </c>
      <c r="H63" s="53">
        <f t="shared" si="46"/>
        <v>199</v>
      </c>
      <c r="I63" s="53">
        <f t="shared" si="46"/>
        <v>262</v>
      </c>
      <c r="J63" s="53">
        <f t="shared" si="46"/>
        <v>381</v>
      </c>
      <c r="K63" s="53">
        <f t="shared" si="46"/>
        <v>1098</v>
      </c>
      <c r="L63" s="53">
        <f t="shared" si="46"/>
        <v>1174</v>
      </c>
      <c r="M63" s="53">
        <f t="shared" si="46"/>
        <v>1544</v>
      </c>
      <c r="N63" s="53">
        <f t="shared" si="46"/>
        <v>1508</v>
      </c>
      <c r="O63" s="53">
        <f t="shared" si="46"/>
        <v>1864</v>
      </c>
      <c r="P63" s="54">
        <f ca="1">P64*P46</f>
        <v>6878.5018447643806</v>
      </c>
      <c r="Q63" s="54">
        <f t="shared" ref="Q63:T63" ca="1" si="47">Q64*Q46</f>
        <v>11076.624123297168</v>
      </c>
      <c r="R63" s="54">
        <f t="shared" ca="1" si="47"/>
        <v>17667.957230939428</v>
      </c>
      <c r="S63" s="54">
        <f t="shared" ca="1" si="47"/>
        <v>27918.734488593866</v>
      </c>
      <c r="T63" s="54">
        <f t="shared" ca="1" si="47"/>
        <v>43711.958724816424</v>
      </c>
    </row>
    <row r="64" spans="2:22" x14ac:dyDescent="0.3">
      <c r="B64" s="38" t="s">
        <v>30</v>
      </c>
      <c r="F64" s="55">
        <f>F36</f>
        <v>4.5109780439121755E-2</v>
      </c>
      <c r="G64" s="55">
        <f t="shared" ref="G64:O64" si="48">G36</f>
        <v>2.7062228654124457E-2</v>
      </c>
      <c r="H64" s="55">
        <f t="shared" si="48"/>
        <v>2.0485896644018942E-2</v>
      </c>
      <c r="I64" s="55">
        <f t="shared" si="48"/>
        <v>2.2362581085694777E-2</v>
      </c>
      <c r="J64" s="55">
        <f t="shared" si="48"/>
        <v>3.4896501190694269E-2</v>
      </c>
      <c r="K64" s="55">
        <f t="shared" si="48"/>
        <v>6.5847076461769113E-2</v>
      </c>
      <c r="L64" s="55">
        <f t="shared" si="48"/>
        <v>4.362042059894479E-2</v>
      </c>
      <c r="M64" s="55">
        <f t="shared" si="48"/>
        <v>5.7240305479350488E-2</v>
      </c>
      <c r="N64" s="55">
        <f t="shared" si="48"/>
        <v>2.4752962804898065E-2</v>
      </c>
      <c r="O64" s="55">
        <f t="shared" si="48"/>
        <v>1.4283853268657517E-2</v>
      </c>
      <c r="P64" s="28">
        <f>AVERAGE(M64:O64)</f>
        <v>3.2092373850968685E-2</v>
      </c>
      <c r="Q64" s="28">
        <f>P64</f>
        <v>3.2092373850968685E-2</v>
      </c>
      <c r="R64" s="28">
        <f t="shared" ref="R64:T64" si="49">Q64</f>
        <v>3.2092373850968685E-2</v>
      </c>
      <c r="S64" s="28">
        <f t="shared" si="49"/>
        <v>3.2092373850968685E-2</v>
      </c>
      <c r="T64" s="28">
        <f t="shared" si="49"/>
        <v>3.2092373850968685E-2</v>
      </c>
      <c r="U64" s="1" t="s">
        <v>103</v>
      </c>
      <c r="V64" s="1" t="s">
        <v>164</v>
      </c>
    </row>
    <row r="65" spans="2:22" x14ac:dyDescent="0.3">
      <c r="F65" s="53"/>
      <c r="G65" s="53"/>
      <c r="H65" s="53"/>
      <c r="I65" s="53"/>
      <c r="J65" s="53"/>
      <c r="K65" s="53"/>
      <c r="L65" s="53"/>
      <c r="M65" s="53"/>
      <c r="N65" s="53"/>
      <c r="P65" s="8"/>
      <c r="Q65" s="8"/>
      <c r="R65" s="8"/>
      <c r="S65" s="8"/>
    </row>
    <row r="66" spans="2:22" x14ac:dyDescent="0.3">
      <c r="B66" s="1" t="s">
        <v>31</v>
      </c>
      <c r="F66" s="53">
        <f>F38</f>
        <v>79</v>
      </c>
      <c r="G66" s="53">
        <f t="shared" ref="G66:O67" si="50">G38</f>
        <v>169</v>
      </c>
      <c r="H66" s="53">
        <f t="shared" si="50"/>
        <v>591</v>
      </c>
      <c r="I66" s="53">
        <f t="shared" si="50"/>
        <v>600</v>
      </c>
      <c r="J66" s="53">
        <f t="shared" si="50"/>
        <v>489</v>
      </c>
      <c r="K66" s="53">
        <f t="shared" si="50"/>
        <v>1128</v>
      </c>
      <c r="L66" s="53">
        <f t="shared" si="50"/>
        <v>976</v>
      </c>
      <c r="M66" s="53">
        <f t="shared" si="50"/>
        <v>1833</v>
      </c>
      <c r="N66" s="53">
        <f t="shared" si="50"/>
        <v>1069</v>
      </c>
      <c r="O66" s="53">
        <f t="shared" si="50"/>
        <v>3236</v>
      </c>
      <c r="P66" s="54">
        <f ca="1">P67*P46</f>
        <v>7880.2823611590848</v>
      </c>
      <c r="Q66" s="54">
        <f t="shared" ref="Q66:T66" ca="1" si="51">Q67*Q46</f>
        <v>12689.816426588142</v>
      </c>
      <c r="R66" s="54">
        <f t="shared" ca="1" si="51"/>
        <v>20241.106983297508</v>
      </c>
      <c r="S66" s="54">
        <f t="shared" ca="1" si="51"/>
        <v>31984.800746082561</v>
      </c>
      <c r="T66" s="54">
        <f t="shared" ca="1" si="51"/>
        <v>50078.139845680918</v>
      </c>
    </row>
    <row r="67" spans="2:22" x14ac:dyDescent="0.3">
      <c r="B67" s="38" t="s">
        <v>32</v>
      </c>
      <c r="F67" s="55">
        <f>F39</f>
        <v>1.5768463073852296E-2</v>
      </c>
      <c r="G67" s="55">
        <f t="shared" si="50"/>
        <v>2.4457308248914615E-2</v>
      </c>
      <c r="H67" s="55">
        <f t="shared" si="50"/>
        <v>6.0840024706609021E-2</v>
      </c>
      <c r="I67" s="55">
        <f t="shared" si="50"/>
        <v>5.1212017753499491E-2</v>
      </c>
      <c r="J67" s="55">
        <f t="shared" si="50"/>
        <v>4.478842278805642E-2</v>
      </c>
      <c r="K67" s="55">
        <f t="shared" si="50"/>
        <v>6.7646176911544231E-2</v>
      </c>
      <c r="L67" s="55">
        <f t="shared" si="50"/>
        <v>3.6263654603552055E-2</v>
      </c>
      <c r="M67" s="55">
        <f t="shared" si="50"/>
        <v>6.7954326388373995E-2</v>
      </c>
      <c r="N67" s="55">
        <f t="shared" si="50"/>
        <v>1.7547027346442992E-2</v>
      </c>
      <c r="O67" s="55">
        <f t="shared" si="50"/>
        <v>2.4797504923484832E-2</v>
      </c>
      <c r="P67" s="28">
        <f>AVERAGE(M67:O67)</f>
        <v>3.6766286219433938E-2</v>
      </c>
      <c r="Q67" s="28">
        <f t="shared" ref="Q67:T67" si="52">P67</f>
        <v>3.6766286219433938E-2</v>
      </c>
      <c r="R67" s="28">
        <f t="shared" si="52"/>
        <v>3.6766286219433938E-2</v>
      </c>
      <c r="S67" s="28">
        <f t="shared" si="52"/>
        <v>3.6766286219433938E-2</v>
      </c>
      <c r="T67" s="28">
        <f t="shared" si="52"/>
        <v>3.6766286219433938E-2</v>
      </c>
      <c r="U67" s="1" t="s">
        <v>103</v>
      </c>
      <c r="V67" s="1" t="s">
        <v>164</v>
      </c>
    </row>
    <row r="68" spans="2:22" x14ac:dyDescent="0.3">
      <c r="F68" s="53"/>
      <c r="G68" s="53"/>
      <c r="H68" s="53"/>
      <c r="I68" s="53"/>
      <c r="J68" s="53"/>
      <c r="K68" s="53"/>
      <c r="L68" s="53"/>
      <c r="M68" s="53"/>
      <c r="N68" s="53"/>
      <c r="P68" s="8"/>
      <c r="Q68" s="8"/>
      <c r="R68" s="8"/>
      <c r="S68" s="8"/>
    </row>
    <row r="69" spans="2:22" x14ac:dyDescent="0.3">
      <c r="B69" s="1" t="s">
        <v>33</v>
      </c>
      <c r="F69" s="53">
        <f>F41</f>
        <v>51</v>
      </c>
      <c r="G69" s="53">
        <f t="shared" ref="G69:O70" si="53">G41</f>
        <v>679</v>
      </c>
      <c r="H69" s="171">
        <f t="shared" si="53"/>
        <v>-185</v>
      </c>
      <c r="I69" s="53">
        <f t="shared" si="53"/>
        <v>857</v>
      </c>
      <c r="J69" s="171">
        <f t="shared" si="53"/>
        <v>-717</v>
      </c>
      <c r="K69" s="53">
        <f t="shared" si="53"/>
        <v>703</v>
      </c>
      <c r="L69" s="53">
        <f t="shared" si="53"/>
        <v>3363</v>
      </c>
      <c r="M69" s="53">
        <f t="shared" si="53"/>
        <v>2207</v>
      </c>
      <c r="N69" s="53">
        <f t="shared" si="53"/>
        <v>3722</v>
      </c>
      <c r="O69" s="53">
        <f t="shared" si="53"/>
        <v>9383</v>
      </c>
      <c r="P69" s="54">
        <f ca="1">P70*P46</f>
        <v>15347.496691174418</v>
      </c>
      <c r="Q69" s="54">
        <f t="shared" ref="Q69:T69" ca="1" si="54">Q70*Q46</f>
        <v>24714.459037483797</v>
      </c>
      <c r="R69" s="54">
        <f t="shared" ca="1" si="54"/>
        <v>39421.217186711736</v>
      </c>
      <c r="S69" s="54">
        <f t="shared" ca="1" si="54"/>
        <v>62293.024681183153</v>
      </c>
      <c r="T69" s="54">
        <f t="shared" ca="1" si="54"/>
        <v>97531.287631260799</v>
      </c>
    </row>
    <row r="70" spans="2:22" x14ac:dyDescent="0.3">
      <c r="B70" s="38" t="s">
        <v>26</v>
      </c>
      <c r="F70" s="55">
        <f>F42</f>
        <v>1.0179640718562874E-2</v>
      </c>
      <c r="G70" s="55">
        <f t="shared" si="53"/>
        <v>9.8263386396526778E-2</v>
      </c>
      <c r="H70" s="170">
        <f t="shared" si="53"/>
        <v>-1.9044677784640723E-2</v>
      </c>
      <c r="I70" s="55">
        <f t="shared" si="53"/>
        <v>7.3147832024581763E-2</v>
      </c>
      <c r="J70" s="170">
        <f t="shared" si="53"/>
        <v>-6.5671368382487633E-2</v>
      </c>
      <c r="K70" s="55">
        <f t="shared" si="53"/>
        <v>4.2158920539730138E-2</v>
      </c>
      <c r="L70" s="55">
        <f t="shared" si="53"/>
        <v>0.12495355577023111</v>
      </c>
      <c r="M70" s="55">
        <f t="shared" si="53"/>
        <v>8.181952991769853E-2</v>
      </c>
      <c r="N70" s="55">
        <f t="shared" si="53"/>
        <v>6.1094514296969896E-2</v>
      </c>
      <c r="O70" s="55">
        <f t="shared" si="53"/>
        <v>7.1902036062131691E-2</v>
      </c>
      <c r="P70" s="28">
        <f>AVERAGE(M70:O70)</f>
        <v>7.1605360092266701E-2</v>
      </c>
      <c r="Q70" s="28">
        <f t="shared" ref="Q70:T70" si="55">P70</f>
        <v>7.1605360092266701E-2</v>
      </c>
      <c r="R70" s="28">
        <f t="shared" si="55"/>
        <v>7.1605360092266701E-2</v>
      </c>
      <c r="S70" s="28">
        <f t="shared" si="55"/>
        <v>7.1605360092266701E-2</v>
      </c>
      <c r="T70" s="28">
        <f t="shared" si="55"/>
        <v>7.1605360092266701E-2</v>
      </c>
      <c r="U70" s="1" t="s">
        <v>103</v>
      </c>
      <c r="V70" s="1" t="s">
        <v>164</v>
      </c>
    </row>
    <row r="71" spans="2:22" x14ac:dyDescent="0.3">
      <c r="F71" s="8"/>
      <c r="G71" s="8"/>
      <c r="H71" s="8"/>
      <c r="I71" s="8"/>
      <c r="J71" s="8"/>
      <c r="K71" s="8"/>
      <c r="L71" s="8"/>
      <c r="M71" s="8"/>
      <c r="N71" s="8"/>
      <c r="P71" s="8"/>
      <c r="Q71" s="8"/>
      <c r="R71" s="8"/>
      <c r="S71" s="8"/>
    </row>
    <row r="72" spans="2:22" x14ac:dyDescent="0.3">
      <c r="B72" s="60" t="s">
        <v>41</v>
      </c>
      <c r="C72" s="61"/>
      <c r="D72" s="61"/>
      <c r="E72" s="61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3">
        <f ca="1">P61+P63-P66-P69</f>
        <v>91055.548214612543</v>
      </c>
      <c r="Q72" s="63">
        <f t="shared" ref="Q72:T72" ca="1" si="56">Q61+Q63-Q66-Q69</f>
        <v>153264.60235630031</v>
      </c>
      <c r="R72" s="63">
        <f t="shared" ca="1" si="56"/>
        <v>244467.30423511041</v>
      </c>
      <c r="S72" s="63">
        <f t="shared" ca="1" si="56"/>
        <v>378221.57591216569</v>
      </c>
      <c r="T72" s="63">
        <f t="shared" ca="1" si="56"/>
        <v>572840.67464115168</v>
      </c>
      <c r="U72" s="78" t="s">
        <v>103</v>
      </c>
      <c r="V72" s="1" t="s">
        <v>192</v>
      </c>
    </row>
    <row r="73" spans="2:22" ht="15" thickBot="1" x14ac:dyDescent="0.35">
      <c r="B73" s="64" t="s">
        <v>42</v>
      </c>
      <c r="C73" s="65"/>
      <c r="D73" s="65"/>
      <c r="E73" s="65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>
        <f ca="1">P72/(1+WACC)^P76</f>
        <v>88721.972151022914</v>
      </c>
      <c r="Q73" s="67">
        <f ca="1">Q72/(1+WACC)^Q76</f>
        <v>137047.66996989792</v>
      </c>
      <c r="R73" s="67">
        <f ca="1">R72/(1+WACC)^R76</f>
        <v>193914.85061651294</v>
      </c>
      <c r="S73" s="67">
        <f ca="1">S72/(1+WACC)^S76</f>
        <v>266131.98871108069</v>
      </c>
      <c r="T73" s="67">
        <f ca="1">T72/(1+WACC)^T76</f>
        <v>357556.86434402992</v>
      </c>
      <c r="U73" s="78" t="s">
        <v>103</v>
      </c>
      <c r="V73" s="1" t="s">
        <v>193</v>
      </c>
    </row>
    <row r="74" spans="2:22" x14ac:dyDescent="0.3">
      <c r="F74" s="8"/>
      <c r="G74" s="8"/>
      <c r="H74" s="8"/>
      <c r="I74" s="8"/>
      <c r="J74" s="8"/>
      <c r="K74" s="8"/>
      <c r="L74" s="8"/>
      <c r="M74" s="8"/>
      <c r="N74" s="8"/>
      <c r="P74" s="8"/>
      <c r="Q74" s="8"/>
      <c r="R74" s="8"/>
      <c r="S74" s="8"/>
    </row>
    <row r="75" spans="2:22" x14ac:dyDescent="0.3">
      <c r="B75" s="60" t="s">
        <v>43</v>
      </c>
      <c r="C75" s="61"/>
      <c r="D75" s="61"/>
      <c r="E75" s="61"/>
      <c r="F75" s="62"/>
      <c r="G75" s="62"/>
      <c r="H75" s="62"/>
      <c r="I75" s="62"/>
      <c r="J75" s="62"/>
      <c r="K75" s="62"/>
      <c r="L75" s="62"/>
      <c r="M75" s="62"/>
      <c r="N75" s="62"/>
      <c r="O75" s="61"/>
      <c r="P75" s="103">
        <f>YEARFRAC(C4,C5)</f>
        <v>0.43333333333333335</v>
      </c>
      <c r="Q75" s="103"/>
      <c r="R75" s="103"/>
      <c r="S75" s="103"/>
      <c r="T75" s="162"/>
    </row>
    <row r="76" spans="2:22" x14ac:dyDescent="0.3">
      <c r="B76" s="78" t="s">
        <v>44</v>
      </c>
      <c r="F76" s="8"/>
      <c r="G76" s="8"/>
      <c r="H76" s="8"/>
      <c r="I76" s="8"/>
      <c r="J76" s="8"/>
      <c r="K76" s="8"/>
      <c r="L76" s="8"/>
      <c r="M76" s="8"/>
      <c r="N76" s="8"/>
      <c r="P76" s="105">
        <f>P75/2</f>
        <v>0.21666666666666667</v>
      </c>
      <c r="Q76" s="105">
        <f>P75+0.5</f>
        <v>0.93333333333333335</v>
      </c>
      <c r="R76" s="105">
        <f>Q76+1</f>
        <v>1.9333333333333333</v>
      </c>
      <c r="S76" s="105">
        <f t="shared" ref="S76:T76" si="57">R76+1</f>
        <v>2.9333333333333336</v>
      </c>
      <c r="T76" s="106">
        <f t="shared" si="57"/>
        <v>3.9333333333333336</v>
      </c>
    </row>
    <row r="77" spans="2:22" x14ac:dyDescent="0.3">
      <c r="B77" s="78"/>
      <c r="F77" s="8"/>
      <c r="G77" s="8"/>
      <c r="H77" s="8"/>
      <c r="I77" s="8"/>
      <c r="J77" s="8"/>
      <c r="K77" s="8"/>
      <c r="L77" s="8"/>
      <c r="M77" s="8"/>
      <c r="N77" s="8"/>
      <c r="P77" s="8"/>
      <c r="Q77" s="8"/>
      <c r="R77" s="8"/>
      <c r="S77" s="8"/>
      <c r="T77" s="107"/>
    </row>
    <row r="78" spans="2:22" x14ac:dyDescent="0.3">
      <c r="B78" s="78" t="s">
        <v>45</v>
      </c>
      <c r="F78" s="8"/>
      <c r="G78" s="8"/>
      <c r="H78" s="8"/>
      <c r="I78" s="8"/>
      <c r="J78" s="8"/>
      <c r="K78" s="8"/>
      <c r="L78" s="8"/>
      <c r="M78" s="8"/>
      <c r="N78" s="8"/>
      <c r="P78" s="8"/>
      <c r="Q78" s="8"/>
      <c r="R78" s="8"/>
      <c r="S78" s="8"/>
      <c r="T78" s="108">
        <f ca="1">(T72*(1+TGR))/(WACC-TGR)</f>
        <v>5739605.9775872966</v>
      </c>
      <c r="U78" s="1" t="s">
        <v>103</v>
      </c>
      <c r="V78" s="1" t="s">
        <v>156</v>
      </c>
    </row>
    <row r="79" spans="2:22" x14ac:dyDescent="0.3">
      <c r="B79" s="78" t="s">
        <v>46</v>
      </c>
      <c r="F79" s="8"/>
      <c r="G79" s="8"/>
      <c r="H79" s="8"/>
      <c r="I79" s="8"/>
      <c r="J79" s="8"/>
      <c r="K79" s="8"/>
      <c r="L79" s="8"/>
      <c r="M79" s="8"/>
      <c r="N79" s="8"/>
      <c r="P79" s="8"/>
      <c r="Q79" s="8"/>
      <c r="R79" s="8"/>
      <c r="S79" s="8"/>
      <c r="T79" s="108">
        <f ca="1">T78/(1+WACC)^T76</f>
        <v>3582559.002469508</v>
      </c>
      <c r="U79" s="1" t="s">
        <v>103</v>
      </c>
      <c r="V79" s="1" t="s">
        <v>155</v>
      </c>
    </row>
    <row r="80" spans="2:22" x14ac:dyDescent="0.3">
      <c r="B80" s="109" t="s">
        <v>47</v>
      </c>
      <c r="C80" s="61"/>
      <c r="D80" s="61"/>
      <c r="E80" s="61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110">
        <f ca="1">SUM(P73,Q73,R73,S73,T73,T79)</f>
        <v>4625932.3482620521</v>
      </c>
      <c r="U80" s="1" t="s">
        <v>103</v>
      </c>
      <c r="V80" s="1" t="s">
        <v>159</v>
      </c>
    </row>
    <row r="81" spans="1:22" x14ac:dyDescent="0.3">
      <c r="B81" s="78" t="s">
        <v>48</v>
      </c>
      <c r="F81" s="8"/>
      <c r="G81" s="8"/>
      <c r="H81" s="8"/>
      <c r="I81" s="8"/>
      <c r="J81" s="8"/>
      <c r="K81" s="8"/>
      <c r="L81" s="8"/>
      <c r="M81" s="8"/>
      <c r="N81" s="8"/>
      <c r="P81" s="8"/>
      <c r="Q81" s="8"/>
      <c r="R81" s="8"/>
      <c r="S81" s="8"/>
      <c r="T81" s="111">
        <v>15234</v>
      </c>
      <c r="U81" s="1" t="s">
        <v>103</v>
      </c>
      <c r="V81" s="1" t="s">
        <v>162</v>
      </c>
    </row>
    <row r="82" spans="1:22" x14ac:dyDescent="0.3">
      <c r="B82" s="112" t="s">
        <v>49</v>
      </c>
      <c r="C82" s="3"/>
      <c r="D82" s="3"/>
      <c r="E82" s="3"/>
      <c r="F82" s="70"/>
      <c r="G82" s="70"/>
      <c r="H82" s="70"/>
      <c r="I82" s="70"/>
      <c r="J82" s="70"/>
      <c r="K82" s="70"/>
      <c r="L82" s="70"/>
      <c r="M82" s="70"/>
      <c r="N82" s="70"/>
      <c r="P82" s="70"/>
      <c r="Q82" s="70"/>
      <c r="R82" s="70"/>
      <c r="S82" s="70"/>
      <c r="T82" s="113">
        <f>WACC!E12</f>
        <v>8464</v>
      </c>
      <c r="U82" s="1" t="s">
        <v>103</v>
      </c>
      <c r="V82" s="89" t="s">
        <v>161</v>
      </c>
    </row>
    <row r="83" spans="1:22" x14ac:dyDescent="0.3">
      <c r="B83" s="114" t="s">
        <v>50</v>
      </c>
      <c r="F83" s="8"/>
      <c r="G83" s="8"/>
      <c r="H83" s="8"/>
      <c r="I83" s="8"/>
      <c r="J83" s="8"/>
      <c r="K83" s="8"/>
      <c r="L83" s="8"/>
      <c r="M83" s="8"/>
      <c r="N83" s="8"/>
      <c r="O83" s="62"/>
      <c r="P83" s="8"/>
      <c r="Q83" s="8"/>
      <c r="R83" s="8"/>
      <c r="S83" s="8"/>
      <c r="T83" s="115">
        <f ca="1">T80+T81-T82</f>
        <v>4632702.3482620521</v>
      </c>
      <c r="U83" s="1" t="s">
        <v>103</v>
      </c>
      <c r="V83" s="1" t="s">
        <v>157</v>
      </c>
    </row>
    <row r="84" spans="1:22" x14ac:dyDescent="0.3">
      <c r="B84" s="78"/>
      <c r="F84" s="8"/>
      <c r="G84" s="8"/>
      <c r="H84" s="8"/>
      <c r="I84" s="8"/>
      <c r="J84" s="8"/>
      <c r="K84" s="8"/>
      <c r="L84" s="8"/>
      <c r="M84" s="8"/>
      <c r="N84" s="8"/>
      <c r="P84" s="8"/>
      <c r="Q84" s="8"/>
      <c r="R84" s="8"/>
      <c r="S84" s="8"/>
      <c r="T84" s="107"/>
    </row>
    <row r="85" spans="1:22" x14ac:dyDescent="0.3">
      <c r="B85" s="78" t="s">
        <v>51</v>
      </c>
      <c r="F85" s="8"/>
      <c r="G85" s="8"/>
      <c r="H85" s="8"/>
      <c r="I85" s="8"/>
      <c r="J85" s="8"/>
      <c r="K85" s="8"/>
      <c r="L85" s="8"/>
      <c r="M85" s="8"/>
      <c r="N85" s="8"/>
      <c r="P85" s="8"/>
      <c r="Q85" s="8"/>
      <c r="R85" s="8"/>
      <c r="S85" s="8"/>
      <c r="T85" s="111">
        <v>24611</v>
      </c>
      <c r="U85" s="1" t="s">
        <v>103</v>
      </c>
      <c r="V85" s="1" t="s">
        <v>154</v>
      </c>
    </row>
    <row r="86" spans="1:22" x14ac:dyDescent="0.3">
      <c r="B86" s="112" t="s">
        <v>52</v>
      </c>
      <c r="C86" s="3"/>
      <c r="D86" s="3"/>
      <c r="E86" s="3"/>
      <c r="F86" s="70"/>
      <c r="G86" s="70"/>
      <c r="H86" s="70"/>
      <c r="I86" s="70"/>
      <c r="J86" s="70"/>
      <c r="K86" s="70"/>
      <c r="L86" s="70"/>
      <c r="M86" s="70"/>
      <c r="N86" s="70"/>
      <c r="O86" s="3"/>
      <c r="P86" s="70"/>
      <c r="Q86" s="70"/>
      <c r="R86" s="70"/>
      <c r="S86" s="70"/>
      <c r="T86" s="116">
        <f ca="1">T83/T85</f>
        <v>188.23706262492593</v>
      </c>
      <c r="U86" s="1" t="s">
        <v>103</v>
      </c>
      <c r="V86" s="1" t="s">
        <v>158</v>
      </c>
    </row>
    <row r="90" spans="1:22" ht="18" x14ac:dyDescent="0.35">
      <c r="A90" s="117" t="s">
        <v>103</v>
      </c>
      <c r="B90" s="122" t="s">
        <v>206</v>
      </c>
      <c r="C90" s="119"/>
      <c r="D90" s="119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</row>
    <row r="96" spans="1:22" ht="15" thickBot="1" x14ac:dyDescent="0.35">
      <c r="D96" s="71"/>
      <c r="F96" s="96">
        <f ca="1">T80</f>
        <v>4625932.3482620521</v>
      </c>
      <c r="G96" s="95">
        <v>0.10730000000000001</v>
      </c>
      <c r="H96" s="95">
        <v>0.1173</v>
      </c>
      <c r="I96" s="95">
        <v>0.1273</v>
      </c>
      <c r="J96" s="95">
        <v>0.13730000000000001</v>
      </c>
      <c r="K96" s="95">
        <v>0.14729999999999999</v>
      </c>
    </row>
    <row r="97" spans="1:20" x14ac:dyDescent="0.3">
      <c r="F97" s="90">
        <v>5.0000000000000001E-3</v>
      </c>
      <c r="G97" s="97">
        <f t="dataTable" ref="G97:K101" dt2D="1" dtr="1" r1="D19" r2="D20" ca="1"/>
        <v>4862181.729645336</v>
      </c>
      <c r="H97" s="98">
        <v>4381858.1681435741</v>
      </c>
      <c r="I97" s="98">
        <v>3981596.1476384159</v>
      </c>
      <c r="J97" s="98">
        <v>3643184.8304200107</v>
      </c>
      <c r="K97" s="98">
        <v>3353534.9371151328</v>
      </c>
    </row>
    <row r="98" spans="1:20" x14ac:dyDescent="0.3">
      <c r="F98" s="90">
        <v>1.4999999999999999E-2</v>
      </c>
      <c r="G98" s="97">
        <v>5312077.2128825132</v>
      </c>
      <c r="H98" s="98">
        <v>4742005.6488741972</v>
      </c>
      <c r="I98" s="98">
        <v>4275076.0822946839</v>
      </c>
      <c r="J98" s="98">
        <v>3885928.2309065796</v>
      </c>
      <c r="K98" s="98">
        <v>3556872.0199840823</v>
      </c>
    </row>
    <row r="99" spans="1:20" x14ac:dyDescent="0.3">
      <c r="F99" s="90">
        <v>2.5000000000000001E-2</v>
      </c>
      <c r="G99" s="97">
        <v>5871303.3117301855</v>
      </c>
      <c r="H99" s="98">
        <v>5180191.5869679032</v>
      </c>
      <c r="I99" s="191">
        <v>4625932.3482620521</v>
      </c>
      <c r="J99" s="98">
        <v>4171902.8692358164</v>
      </c>
      <c r="K99" s="98">
        <v>3793461.2832077253</v>
      </c>
    </row>
    <row r="100" spans="1:20" x14ac:dyDescent="0.3">
      <c r="F100" s="90">
        <v>3.5000000000000003E-2</v>
      </c>
      <c r="G100" s="97">
        <v>6585225.4268566035</v>
      </c>
      <c r="H100" s="98">
        <v>5724862.5646955576</v>
      </c>
      <c r="I100" s="98">
        <v>5052813.8072884381</v>
      </c>
      <c r="J100" s="98">
        <v>4513786.5277662706</v>
      </c>
      <c r="K100" s="98">
        <v>4072185.7669520518</v>
      </c>
    </row>
    <row r="101" spans="1:20" x14ac:dyDescent="0.3">
      <c r="F101" s="90">
        <v>4.4999999999999998E-2</v>
      </c>
      <c r="G101" s="97">
        <v>7528336.0219593998</v>
      </c>
      <c r="H101" s="98">
        <v>6420203.2458056901</v>
      </c>
      <c r="I101" s="98">
        <v>5583433.1664427426</v>
      </c>
      <c r="J101" s="98">
        <v>4929751.1523921667</v>
      </c>
      <c r="K101" s="98">
        <v>4405401.8408712242</v>
      </c>
    </row>
    <row r="106" spans="1:20" ht="18" x14ac:dyDescent="0.35">
      <c r="A106" s="117" t="s">
        <v>103</v>
      </c>
      <c r="B106" s="122" t="s">
        <v>205</v>
      </c>
      <c r="C106" s="119"/>
      <c r="D106" s="119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</row>
    <row r="113" spans="1:11" ht="15" thickBot="1" x14ac:dyDescent="0.35">
      <c r="F113" s="186">
        <f ca="1">T86</f>
        <v>188.23706262492593</v>
      </c>
      <c r="G113" s="90">
        <v>0.10730000000000001</v>
      </c>
      <c r="H113" s="90">
        <v>0.1173</v>
      </c>
      <c r="I113" s="90">
        <v>0.1273</v>
      </c>
      <c r="J113" s="90">
        <v>0.13730000000000001</v>
      </c>
      <c r="K113" s="90">
        <v>0.14729999999999999</v>
      </c>
    </row>
    <row r="114" spans="1:11" x14ac:dyDescent="0.3">
      <c r="F114" s="90">
        <v>5.0000000000000001E-3</v>
      </c>
      <c r="G114" s="187">
        <f t="dataTable" ref="G114:K118" dt2D="1" dtr="1" r1="D19" r2="D20" ca="1"/>
        <v>197.83640362623771</v>
      </c>
      <c r="H114" s="188">
        <v>178.31978254209801</v>
      </c>
      <c r="I114" s="188">
        <v>162.05624101574156</v>
      </c>
      <c r="J114" s="188">
        <v>148.30583196213118</v>
      </c>
      <c r="K114" s="188">
        <v>136.5367086715344</v>
      </c>
    </row>
    <row r="115" spans="1:11" x14ac:dyDescent="0.3">
      <c r="F115" s="90">
        <v>1.4999999999999999E-2</v>
      </c>
      <c r="G115" s="189">
        <v>216.11666380409221</v>
      </c>
      <c r="H115" s="190">
        <v>192.95338055642588</v>
      </c>
      <c r="I115" s="190">
        <v>173.98098745661224</v>
      </c>
      <c r="J115" s="190">
        <v>158.1690394907391</v>
      </c>
      <c r="K115" s="190">
        <v>144.79874933907936</v>
      </c>
    </row>
    <row r="116" spans="1:11" x14ac:dyDescent="0.3">
      <c r="F116" s="90">
        <v>2.5000000000000001E-2</v>
      </c>
      <c r="G116" s="189">
        <v>238.83927153428084</v>
      </c>
      <c r="H116" s="190">
        <v>210.75785571362005</v>
      </c>
      <c r="I116" s="192">
        <v>188.23706262492593</v>
      </c>
      <c r="J116" s="190">
        <v>169.78882894786139</v>
      </c>
      <c r="K116" s="190">
        <v>154.41190050009041</v>
      </c>
    </row>
    <row r="117" spans="1:11" x14ac:dyDescent="0.3">
      <c r="F117" s="90">
        <v>3.5000000000000003E-2</v>
      </c>
      <c r="G117" s="189">
        <v>267.84752455636112</v>
      </c>
      <c r="H117" s="190">
        <v>232.88905630391116</v>
      </c>
      <c r="I117" s="190">
        <v>205.58221150251669</v>
      </c>
      <c r="J117" s="190">
        <v>183.68032699875138</v>
      </c>
      <c r="K117" s="190">
        <v>165.73709995335631</v>
      </c>
    </row>
    <row r="118" spans="1:11" x14ac:dyDescent="0.3">
      <c r="F118" s="90">
        <v>4.4999999999999998E-2</v>
      </c>
      <c r="G118" s="189">
        <v>306.16821835599529</v>
      </c>
      <c r="H118" s="190">
        <v>261.14230408377108</v>
      </c>
      <c r="I118" s="190">
        <v>227.14246338802741</v>
      </c>
      <c r="J118" s="190">
        <v>200.58190046695245</v>
      </c>
      <c r="K118" s="190">
        <v>179.27641464675244</v>
      </c>
    </row>
    <row r="119" spans="1:11" x14ac:dyDescent="0.3">
      <c r="A119" s="175"/>
      <c r="D119" s="175"/>
      <c r="E119" s="175"/>
      <c r="F119" s="175"/>
      <c r="G119" s="175"/>
      <c r="H119" s="175"/>
      <c r="I119" s="175"/>
      <c r="J119" s="175"/>
      <c r="K119" s="175"/>
    </row>
  </sheetData>
  <conditionalFormatting sqref="F97:K101 G96:K9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4:K118 G113:K1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D12:D15" xr:uid="{69A1BB1F-8AD0-479C-98A4-2361926B98CA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C52E-371C-4DE8-BBB7-44D561912CC0}">
  <dimension ref="A2:T37"/>
  <sheetViews>
    <sheetView workbookViewId="0">
      <selection activeCell="D33" sqref="D33:D37"/>
    </sheetView>
  </sheetViews>
  <sheetFormatPr defaultRowHeight="14.4" x14ac:dyDescent="0.3"/>
  <cols>
    <col min="1" max="1" width="3.44140625" style="1" customWidth="1"/>
    <col min="2" max="16384" width="8.88671875" style="1"/>
  </cols>
  <sheetData>
    <row r="2" spans="1:20" ht="23.4" x14ac:dyDescent="0.45">
      <c r="B2" s="100" t="s">
        <v>203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7" spans="1:20" ht="18" x14ac:dyDescent="0.35">
      <c r="A7" s="117" t="s">
        <v>103</v>
      </c>
      <c r="B7" s="122" t="s">
        <v>137</v>
      </c>
      <c r="C7" s="119"/>
      <c r="D7" s="119"/>
      <c r="E7" s="118"/>
      <c r="F7" s="118"/>
      <c r="G7" s="118"/>
      <c r="H7" s="118"/>
      <c r="I7" s="118"/>
      <c r="J7" s="118"/>
    </row>
    <row r="13" spans="1:20" x14ac:dyDescent="0.3">
      <c r="L13" s="175"/>
      <c r="M13" s="175"/>
    </row>
    <row r="14" spans="1:20" x14ac:dyDescent="0.3">
      <c r="L14" s="175"/>
      <c r="M14" s="175"/>
    </row>
    <row r="15" spans="1:20" ht="15" thickBot="1" x14ac:dyDescent="0.35">
      <c r="B15" s="71"/>
      <c r="D15" s="96">
        <f>T1</f>
        <v>0</v>
      </c>
      <c r="E15" s="95">
        <v>0.10730000000000001</v>
      </c>
      <c r="F15" s="95">
        <v>0.1173</v>
      </c>
      <c r="G15" s="95">
        <v>0.1273</v>
      </c>
      <c r="H15" s="95">
        <v>0.13730000000000001</v>
      </c>
      <c r="I15" s="95">
        <v>0.14729999999999999</v>
      </c>
      <c r="L15" s="175"/>
      <c r="M15" s="175"/>
    </row>
    <row r="16" spans="1:20" x14ac:dyDescent="0.3">
      <c r="D16" s="90">
        <v>5.0000000000000001E-3</v>
      </c>
      <c r="E16" s="97">
        <v>4862181.729645336</v>
      </c>
      <c r="F16" s="98">
        <v>4381858.1681435741</v>
      </c>
      <c r="G16" s="98">
        <v>3981596.1476384159</v>
      </c>
      <c r="H16" s="98">
        <v>3643184.8304200107</v>
      </c>
      <c r="I16" s="98">
        <v>3353534.9371151328</v>
      </c>
      <c r="L16" s="175"/>
      <c r="M16" s="175"/>
    </row>
    <row r="17" spans="1:13" x14ac:dyDescent="0.3">
      <c r="D17" s="90">
        <v>1.4999999999999999E-2</v>
      </c>
      <c r="E17" s="97">
        <v>5312077.2128825132</v>
      </c>
      <c r="F17" s="98">
        <v>4742005.6488741972</v>
      </c>
      <c r="G17" s="98">
        <v>4275076.0822946839</v>
      </c>
      <c r="H17" s="98">
        <v>3885928.2309065796</v>
      </c>
      <c r="I17" s="98">
        <v>3556872.0199840823</v>
      </c>
      <c r="L17" s="175"/>
      <c r="M17" s="175"/>
    </row>
    <row r="18" spans="1:13" x14ac:dyDescent="0.3">
      <c r="D18" s="90">
        <v>2.5000000000000001E-2</v>
      </c>
      <c r="E18" s="97">
        <v>5871303.3117301855</v>
      </c>
      <c r="F18" s="98">
        <v>5180191.5869679032</v>
      </c>
      <c r="G18" s="99">
        <v>4625932.3482620521</v>
      </c>
      <c r="H18" s="98">
        <v>4171902.8692358164</v>
      </c>
      <c r="I18" s="98">
        <v>3793461.2832077253</v>
      </c>
      <c r="L18" s="175"/>
      <c r="M18" s="175"/>
    </row>
    <row r="19" spans="1:13" x14ac:dyDescent="0.3">
      <c r="D19" s="90">
        <v>3.5000000000000003E-2</v>
      </c>
      <c r="E19" s="97">
        <v>6585225.4268566035</v>
      </c>
      <c r="F19" s="98">
        <v>5724862.5646955576</v>
      </c>
      <c r="G19" s="98">
        <v>5052813.8072884381</v>
      </c>
      <c r="H19" s="98">
        <v>4513786.5277662706</v>
      </c>
      <c r="I19" s="98">
        <v>4072185.7669520518</v>
      </c>
      <c r="L19" s="175"/>
      <c r="M19" s="175"/>
    </row>
    <row r="20" spans="1:13" x14ac:dyDescent="0.3">
      <c r="D20" s="90">
        <v>4.4999999999999998E-2</v>
      </c>
      <c r="E20" s="97">
        <v>7528336.0219593998</v>
      </c>
      <c r="F20" s="98">
        <v>6420203.2458056901</v>
      </c>
      <c r="G20" s="98">
        <v>5583433.1664427426</v>
      </c>
      <c r="H20" s="98">
        <v>4929751.1523921667</v>
      </c>
      <c r="I20" s="98">
        <v>4405401.8408712242</v>
      </c>
    </row>
    <row r="24" spans="1:13" ht="18" x14ac:dyDescent="0.35">
      <c r="A24" s="117" t="s">
        <v>103</v>
      </c>
      <c r="B24" s="122" t="s">
        <v>204</v>
      </c>
      <c r="C24" s="119"/>
      <c r="D24" s="119"/>
      <c r="E24" s="118"/>
      <c r="F24" s="118"/>
      <c r="G24" s="118"/>
      <c r="H24" s="118"/>
      <c r="I24" s="118"/>
      <c r="J24" s="118"/>
    </row>
    <row r="32" spans="1:13" x14ac:dyDescent="0.3">
      <c r="D32" s="185">
        <f ca="1">DCF!H3</f>
        <v>188.23706262492593</v>
      </c>
      <c r="E32" s="90">
        <v>0.10730000000000001</v>
      </c>
      <c r="F32" s="90">
        <v>0.1173</v>
      </c>
      <c r="G32" s="90">
        <v>0.1273</v>
      </c>
      <c r="H32" s="90">
        <v>0.13730000000000001</v>
      </c>
      <c r="I32" s="90">
        <v>0.14729999999999999</v>
      </c>
    </row>
    <row r="33" spans="4:4" x14ac:dyDescent="0.3">
      <c r="D33" s="90">
        <v>5.0000000000000001E-3</v>
      </c>
    </row>
    <row r="34" spans="4:4" x14ac:dyDescent="0.3">
      <c r="D34" s="90">
        <v>1.4999999999999999E-2</v>
      </c>
    </row>
    <row r="35" spans="4:4" x14ac:dyDescent="0.3">
      <c r="D35" s="90">
        <v>2.5000000000000001E-2</v>
      </c>
    </row>
    <row r="36" spans="4:4" x14ac:dyDescent="0.3">
      <c r="D36" s="90">
        <v>3.5000000000000003E-2</v>
      </c>
    </row>
    <row r="37" spans="4:4" x14ac:dyDescent="0.3">
      <c r="D37" s="90">
        <v>4.4999999999999998E-2</v>
      </c>
    </row>
  </sheetData>
  <conditionalFormatting sqref="D16:I20 E15:I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4663-4A69-4017-8F85-77E94A344E1E}">
  <dimension ref="A1:L248"/>
  <sheetViews>
    <sheetView workbookViewId="0"/>
  </sheetViews>
  <sheetFormatPr defaultRowHeight="14.4" x14ac:dyDescent="0.3"/>
  <cols>
    <col min="1" max="1" width="10.5546875" bestFit="1" customWidth="1"/>
    <col min="2" max="2" width="10.44140625" bestFit="1" customWidth="1"/>
    <col min="3" max="3" width="9.77734375" bestFit="1" customWidth="1"/>
    <col min="4" max="4" width="5" bestFit="1" customWidth="1"/>
    <col min="5" max="5" width="7.33203125" bestFit="1" customWidth="1"/>
    <col min="6" max="6" width="9.5546875" bestFit="1" customWidth="1"/>
    <col min="7" max="9" width="8.109375" bestFit="1" customWidth="1"/>
    <col min="10" max="10" width="12.5546875" bestFit="1" customWidth="1"/>
    <col min="11" max="11" width="12.109375" bestFit="1" customWidth="1"/>
    <col min="12" max="12" width="11.77734375" bestFit="1" customWidth="1"/>
  </cols>
  <sheetData>
    <row r="1" spans="1:12" x14ac:dyDescent="0.3">
      <c r="A1" t="s">
        <v>6</v>
      </c>
      <c r="B1" t="s">
        <v>179</v>
      </c>
      <c r="C1" t="s">
        <v>180</v>
      </c>
      <c r="D1" t="s">
        <v>17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s="173" t="s">
        <v>187</v>
      </c>
      <c r="L1" t="s">
        <v>188</v>
      </c>
    </row>
    <row r="2" spans="1:12" x14ac:dyDescent="0.3">
      <c r="A2" s="172">
        <v>45863</v>
      </c>
      <c r="B2" s="172" t="str">
        <f t="shared" ref="B2:B65" si="0">TEXT(A2,"dddd")</f>
        <v>Friday</v>
      </c>
      <c r="C2" s="172" t="str">
        <f t="shared" ref="C2:C65" si="1">TEXT(A2,"mmmm")</f>
        <v>July</v>
      </c>
      <c r="D2" s="172" t="str">
        <f t="shared" ref="D2:D65" si="2">TEXT(A2,"yyyy")</f>
        <v>2025</v>
      </c>
      <c r="E2" s="172" t="str">
        <f t="shared" ref="E2:E65" si="3">"Q"&amp;ROUNDUP(MONTH(A3)/3,0)</f>
        <v>Q3</v>
      </c>
      <c r="F2" s="173">
        <v>173.5</v>
      </c>
      <c r="G2" s="173">
        <v>173.61</v>
      </c>
      <c r="H2" s="173">
        <v>174.72</v>
      </c>
      <c r="I2" s="173">
        <v>172.96</v>
      </c>
      <c r="J2" s="174">
        <v>122316800</v>
      </c>
      <c r="K2" s="173">
        <v>174.72</v>
      </c>
      <c r="L2" s="173">
        <v>86.62</v>
      </c>
    </row>
    <row r="3" spans="1:12" x14ac:dyDescent="0.3">
      <c r="A3" s="172">
        <v>45862</v>
      </c>
      <c r="B3" s="172" t="str">
        <f t="shared" si="0"/>
        <v>Thursday</v>
      </c>
      <c r="C3" s="172" t="str">
        <f t="shared" si="1"/>
        <v>July</v>
      </c>
      <c r="D3" s="172" t="str">
        <f t="shared" si="2"/>
        <v>2025</v>
      </c>
      <c r="E3" s="172" t="str">
        <f t="shared" si="3"/>
        <v>Q3</v>
      </c>
      <c r="F3" s="173">
        <v>173.74</v>
      </c>
      <c r="G3" s="173">
        <v>172.44</v>
      </c>
      <c r="H3" s="173">
        <v>173.83</v>
      </c>
      <c r="I3" s="173">
        <v>171.3</v>
      </c>
      <c r="J3" s="174">
        <v>128984600</v>
      </c>
      <c r="K3" s="173">
        <v>174.25</v>
      </c>
      <c r="L3">
        <v>86.62</v>
      </c>
    </row>
    <row r="4" spans="1:12" x14ac:dyDescent="0.3">
      <c r="A4" s="172">
        <v>45861</v>
      </c>
      <c r="B4" s="172" t="str">
        <f t="shared" si="0"/>
        <v>Wednesday</v>
      </c>
      <c r="C4" s="172" t="str">
        <f t="shared" si="1"/>
        <v>July</v>
      </c>
      <c r="D4" s="172" t="str">
        <f t="shared" si="2"/>
        <v>2025</v>
      </c>
      <c r="E4" s="172" t="str">
        <f t="shared" si="3"/>
        <v>Q3</v>
      </c>
      <c r="F4" s="173">
        <v>170.78</v>
      </c>
      <c r="G4" s="173">
        <v>169.53</v>
      </c>
      <c r="H4" s="173">
        <v>171.26</v>
      </c>
      <c r="I4" s="173">
        <v>167.97</v>
      </c>
      <c r="J4" s="174">
        <v>154082200</v>
      </c>
      <c r="K4" s="173">
        <v>174.25</v>
      </c>
      <c r="L4">
        <v>86.62</v>
      </c>
    </row>
    <row r="5" spans="1:12" x14ac:dyDescent="0.3">
      <c r="A5" s="172">
        <v>45860</v>
      </c>
      <c r="B5" s="172" t="str">
        <f t="shared" si="0"/>
        <v>Tuesday</v>
      </c>
      <c r="C5" s="172" t="str">
        <f t="shared" si="1"/>
        <v>July</v>
      </c>
      <c r="D5" s="172" t="str">
        <f t="shared" si="2"/>
        <v>2025</v>
      </c>
      <c r="E5" s="172" t="str">
        <f t="shared" si="3"/>
        <v>Q3</v>
      </c>
      <c r="F5" s="173">
        <v>167.03</v>
      </c>
      <c r="G5" s="173">
        <v>171.34</v>
      </c>
      <c r="H5" s="173">
        <v>171.39</v>
      </c>
      <c r="I5" s="173">
        <v>164.58</v>
      </c>
      <c r="J5" s="174">
        <v>193114300</v>
      </c>
      <c r="K5" s="173">
        <v>174.25</v>
      </c>
      <c r="L5">
        <v>86.62</v>
      </c>
    </row>
    <row r="6" spans="1:12" x14ac:dyDescent="0.3">
      <c r="A6" s="172">
        <v>45859</v>
      </c>
      <c r="B6" s="172" t="str">
        <f t="shared" si="0"/>
        <v>Monday</v>
      </c>
      <c r="C6" s="172" t="str">
        <f t="shared" si="1"/>
        <v>July</v>
      </c>
      <c r="D6" s="172" t="str">
        <f t="shared" si="2"/>
        <v>2025</v>
      </c>
      <c r="E6" s="172" t="str">
        <f t="shared" si="3"/>
        <v>Q3</v>
      </c>
      <c r="F6" s="173">
        <v>171.38</v>
      </c>
      <c r="G6" s="173">
        <v>172.75</v>
      </c>
      <c r="H6" s="173">
        <v>173.38</v>
      </c>
      <c r="I6" s="173">
        <v>171</v>
      </c>
      <c r="J6" s="174">
        <v>123126100</v>
      </c>
      <c r="K6" s="173">
        <v>174.25</v>
      </c>
      <c r="L6">
        <v>86.62</v>
      </c>
    </row>
    <row r="7" spans="1:12" x14ac:dyDescent="0.3">
      <c r="A7" s="172">
        <v>45856</v>
      </c>
      <c r="B7" s="172" t="str">
        <f t="shared" si="0"/>
        <v>Friday</v>
      </c>
      <c r="C7" s="172" t="str">
        <f t="shared" si="1"/>
        <v>July</v>
      </c>
      <c r="D7" s="172" t="str">
        <f t="shared" si="2"/>
        <v>2025</v>
      </c>
      <c r="E7" s="172" t="str">
        <f t="shared" si="3"/>
        <v>Q3</v>
      </c>
      <c r="F7" s="173">
        <v>172.41</v>
      </c>
      <c r="G7" s="173">
        <v>173.64</v>
      </c>
      <c r="H7" s="173">
        <v>174.25</v>
      </c>
      <c r="I7" s="173">
        <v>171.26</v>
      </c>
      <c r="J7" s="174">
        <v>146456400</v>
      </c>
      <c r="K7" s="173">
        <v>174.25</v>
      </c>
      <c r="L7">
        <v>86.62</v>
      </c>
    </row>
    <row r="8" spans="1:12" x14ac:dyDescent="0.3">
      <c r="A8" s="172">
        <v>45855</v>
      </c>
      <c r="B8" s="172" t="str">
        <f t="shared" si="0"/>
        <v>Thursday</v>
      </c>
      <c r="C8" s="172" t="str">
        <f t="shared" si="1"/>
        <v>July</v>
      </c>
      <c r="D8" s="172" t="str">
        <f t="shared" si="2"/>
        <v>2025</v>
      </c>
      <c r="E8" s="172" t="str">
        <f t="shared" si="3"/>
        <v>Q3</v>
      </c>
      <c r="F8" s="173">
        <v>173</v>
      </c>
      <c r="G8" s="173">
        <v>172.02</v>
      </c>
      <c r="H8" s="173">
        <v>174.16</v>
      </c>
      <c r="I8" s="173">
        <v>170.83</v>
      </c>
      <c r="J8" s="174">
        <v>160841100</v>
      </c>
      <c r="K8" s="173">
        <v>174.16</v>
      </c>
      <c r="L8">
        <v>86.62</v>
      </c>
    </row>
    <row r="9" spans="1:12" x14ac:dyDescent="0.3">
      <c r="A9" s="172">
        <v>45854</v>
      </c>
      <c r="B9" s="172" t="str">
        <f t="shared" si="0"/>
        <v>Wednesday</v>
      </c>
      <c r="C9" s="172" t="str">
        <f t="shared" si="1"/>
        <v>July</v>
      </c>
      <c r="D9" s="172" t="str">
        <f t="shared" si="2"/>
        <v>2025</v>
      </c>
      <c r="E9" s="172" t="str">
        <f t="shared" si="3"/>
        <v>Q3</v>
      </c>
      <c r="F9" s="173">
        <v>171.37</v>
      </c>
      <c r="G9" s="173">
        <v>171.06</v>
      </c>
      <c r="H9" s="173">
        <v>171.75</v>
      </c>
      <c r="I9" s="173">
        <v>168.9</v>
      </c>
      <c r="J9" s="174">
        <v>158831500</v>
      </c>
      <c r="K9" s="173">
        <v>172.4</v>
      </c>
      <c r="L9">
        <v>86.62</v>
      </c>
    </row>
    <row r="10" spans="1:12" x14ac:dyDescent="0.3">
      <c r="A10" s="172">
        <v>45853</v>
      </c>
      <c r="B10" s="172" t="str">
        <f t="shared" si="0"/>
        <v>Tuesday</v>
      </c>
      <c r="C10" s="172" t="str">
        <f t="shared" si="1"/>
        <v>July</v>
      </c>
      <c r="D10" s="172" t="str">
        <f t="shared" si="2"/>
        <v>2025</v>
      </c>
      <c r="E10" s="172" t="str">
        <f t="shared" si="3"/>
        <v>Q3</v>
      </c>
      <c r="F10" s="173">
        <v>170.7</v>
      </c>
      <c r="G10" s="173">
        <v>171.19</v>
      </c>
      <c r="H10" s="173">
        <v>172.4</v>
      </c>
      <c r="I10" s="173">
        <v>169.19499999999999</v>
      </c>
      <c r="J10" s="174">
        <v>230627400</v>
      </c>
      <c r="K10" s="173">
        <v>172.4</v>
      </c>
      <c r="L10">
        <v>86.62</v>
      </c>
    </row>
    <row r="11" spans="1:12" x14ac:dyDescent="0.3">
      <c r="A11" s="172">
        <v>45852</v>
      </c>
      <c r="B11" s="172" t="str">
        <f t="shared" si="0"/>
        <v>Monday</v>
      </c>
      <c r="C11" s="172" t="str">
        <f t="shared" si="1"/>
        <v>July</v>
      </c>
      <c r="D11" s="172" t="str">
        <f t="shared" si="2"/>
        <v>2025</v>
      </c>
      <c r="E11" s="172" t="str">
        <f t="shared" si="3"/>
        <v>Q3</v>
      </c>
      <c r="F11" s="173">
        <v>164.07</v>
      </c>
      <c r="G11" s="173">
        <v>165.37</v>
      </c>
      <c r="H11" s="173">
        <v>165.49</v>
      </c>
      <c r="I11" s="173">
        <v>162.02000000000001</v>
      </c>
      <c r="J11" s="174">
        <v>136975800</v>
      </c>
      <c r="K11" s="173">
        <v>167.89</v>
      </c>
      <c r="L11">
        <v>86.62</v>
      </c>
    </row>
    <row r="12" spans="1:12" x14ac:dyDescent="0.3">
      <c r="A12" s="172">
        <v>45849</v>
      </c>
      <c r="B12" s="172" t="str">
        <f t="shared" si="0"/>
        <v>Friday</v>
      </c>
      <c r="C12" s="172" t="str">
        <f t="shared" si="1"/>
        <v>July</v>
      </c>
      <c r="D12" s="172" t="str">
        <f t="shared" si="2"/>
        <v>2025</v>
      </c>
      <c r="E12" s="172" t="str">
        <f t="shared" si="3"/>
        <v>Q3</v>
      </c>
      <c r="F12" s="173">
        <v>164.92</v>
      </c>
      <c r="G12" s="173">
        <v>163.715</v>
      </c>
      <c r="H12" s="173">
        <v>167.89</v>
      </c>
      <c r="I12" s="173">
        <v>163.47</v>
      </c>
      <c r="J12" s="174">
        <v>193633300</v>
      </c>
      <c r="K12" s="173">
        <v>167.89</v>
      </c>
      <c r="L12">
        <v>86.62</v>
      </c>
    </row>
    <row r="13" spans="1:12" x14ac:dyDescent="0.3">
      <c r="A13" s="172">
        <v>45848</v>
      </c>
      <c r="B13" s="172" t="str">
        <f t="shared" si="0"/>
        <v>Thursday</v>
      </c>
      <c r="C13" s="172" t="str">
        <f t="shared" si="1"/>
        <v>July</v>
      </c>
      <c r="D13" s="172" t="str">
        <f t="shared" si="2"/>
        <v>2025</v>
      </c>
      <c r="E13" s="172" t="str">
        <f t="shared" si="3"/>
        <v>Q3</v>
      </c>
      <c r="F13" s="173">
        <v>164.1</v>
      </c>
      <c r="G13" s="173">
        <v>164.32</v>
      </c>
      <c r="H13" s="173">
        <v>164.5</v>
      </c>
      <c r="I13" s="173">
        <v>161.61000000000001</v>
      </c>
      <c r="J13" s="174">
        <v>167704100</v>
      </c>
      <c r="K13" s="173">
        <v>164.5</v>
      </c>
      <c r="L13">
        <v>86.62</v>
      </c>
    </row>
    <row r="14" spans="1:12" x14ac:dyDescent="0.3">
      <c r="A14" s="172">
        <v>45847</v>
      </c>
      <c r="B14" s="172" t="str">
        <f t="shared" si="0"/>
        <v>Wednesday</v>
      </c>
      <c r="C14" s="172" t="str">
        <f t="shared" si="1"/>
        <v>July</v>
      </c>
      <c r="D14" s="172" t="str">
        <f t="shared" si="2"/>
        <v>2025</v>
      </c>
      <c r="E14" s="172" t="str">
        <f t="shared" si="3"/>
        <v>Q3</v>
      </c>
      <c r="F14" s="173">
        <v>162.88</v>
      </c>
      <c r="G14" s="173">
        <v>161.22</v>
      </c>
      <c r="H14" s="173">
        <v>164.42</v>
      </c>
      <c r="I14" s="173">
        <v>161.16</v>
      </c>
      <c r="J14" s="174">
        <v>183656400</v>
      </c>
      <c r="K14" s="173">
        <v>164.42</v>
      </c>
      <c r="L14">
        <v>86.62</v>
      </c>
    </row>
    <row r="15" spans="1:12" x14ac:dyDescent="0.3">
      <c r="A15" s="172">
        <v>45846</v>
      </c>
      <c r="B15" s="172" t="str">
        <f t="shared" si="0"/>
        <v>Tuesday</v>
      </c>
      <c r="C15" s="172" t="str">
        <f t="shared" si="1"/>
        <v>July</v>
      </c>
      <c r="D15" s="172" t="str">
        <f t="shared" si="2"/>
        <v>2025</v>
      </c>
      <c r="E15" s="172" t="str">
        <f t="shared" si="3"/>
        <v>Q3</v>
      </c>
      <c r="F15" s="173">
        <v>160</v>
      </c>
      <c r="G15" s="173">
        <v>159.33000000000001</v>
      </c>
      <c r="H15" s="173">
        <v>160.22</v>
      </c>
      <c r="I15" s="173">
        <v>158.38999999999999</v>
      </c>
      <c r="J15" s="174">
        <v>138133000</v>
      </c>
      <c r="K15" s="173">
        <v>160.97999999999999</v>
      </c>
      <c r="L15">
        <v>86.62</v>
      </c>
    </row>
    <row r="16" spans="1:12" x14ac:dyDescent="0.3">
      <c r="A16" s="172">
        <v>45845</v>
      </c>
      <c r="B16" s="172" t="str">
        <f t="shared" si="0"/>
        <v>Monday</v>
      </c>
      <c r="C16" s="172" t="str">
        <f t="shared" si="1"/>
        <v>July</v>
      </c>
      <c r="D16" s="172" t="str">
        <f t="shared" si="2"/>
        <v>2025</v>
      </c>
      <c r="E16" s="172" t="str">
        <f t="shared" si="3"/>
        <v>Q3</v>
      </c>
      <c r="F16" s="173">
        <v>158.24</v>
      </c>
      <c r="G16" s="173">
        <v>158.19999999999999</v>
      </c>
      <c r="H16" s="173">
        <v>159.31</v>
      </c>
      <c r="I16" s="173">
        <v>157.34200000000001</v>
      </c>
      <c r="J16" s="174">
        <v>140139000</v>
      </c>
      <c r="K16" s="173">
        <v>160.97999999999999</v>
      </c>
      <c r="L16">
        <v>86.62</v>
      </c>
    </row>
    <row r="17" spans="1:12" x14ac:dyDescent="0.3">
      <c r="A17" s="172">
        <v>45841</v>
      </c>
      <c r="B17" s="172" t="str">
        <f t="shared" si="0"/>
        <v>Thursday</v>
      </c>
      <c r="C17" s="172" t="str">
        <f t="shared" si="1"/>
        <v>July</v>
      </c>
      <c r="D17" s="172" t="str">
        <f t="shared" si="2"/>
        <v>2025</v>
      </c>
      <c r="E17" s="172" t="str">
        <f t="shared" si="3"/>
        <v>Q3</v>
      </c>
      <c r="F17" s="173">
        <v>159.34</v>
      </c>
      <c r="G17" s="173">
        <v>158.37</v>
      </c>
      <c r="H17" s="173">
        <v>160.97999999999999</v>
      </c>
      <c r="I17" s="173">
        <v>157.77000000000001</v>
      </c>
      <c r="J17" s="174">
        <v>143716100</v>
      </c>
      <c r="K17" s="173">
        <v>160.97999999999999</v>
      </c>
      <c r="L17">
        <v>86.62</v>
      </c>
    </row>
    <row r="18" spans="1:12" x14ac:dyDescent="0.3">
      <c r="A18" s="172">
        <v>45840</v>
      </c>
      <c r="B18" s="172" t="str">
        <f t="shared" si="0"/>
        <v>Wednesday</v>
      </c>
      <c r="C18" s="172" t="str">
        <f t="shared" si="1"/>
        <v>July</v>
      </c>
      <c r="D18" s="172" t="str">
        <f t="shared" si="2"/>
        <v>2025</v>
      </c>
      <c r="E18" s="172" t="str">
        <f t="shared" si="3"/>
        <v>Q3</v>
      </c>
      <c r="F18" s="173">
        <v>157.25</v>
      </c>
      <c r="G18" s="173">
        <v>152.97999999999999</v>
      </c>
      <c r="H18" s="173">
        <v>157.6</v>
      </c>
      <c r="I18" s="173">
        <v>152.97</v>
      </c>
      <c r="J18" s="174">
        <v>171224100</v>
      </c>
      <c r="K18" s="173">
        <v>158.71</v>
      </c>
      <c r="L18">
        <v>86.62</v>
      </c>
    </row>
    <row r="19" spans="1:12" x14ac:dyDescent="0.3">
      <c r="A19" s="172">
        <v>45839</v>
      </c>
      <c r="B19" s="172" t="str">
        <f t="shared" si="0"/>
        <v>Tuesday</v>
      </c>
      <c r="C19" s="172" t="str">
        <f t="shared" si="1"/>
        <v>July</v>
      </c>
      <c r="D19" s="172" t="str">
        <f t="shared" si="2"/>
        <v>2025</v>
      </c>
      <c r="E19" s="172" t="str">
        <f t="shared" si="3"/>
        <v>Q2</v>
      </c>
      <c r="F19" s="173">
        <v>153.30000000000001</v>
      </c>
      <c r="G19" s="173">
        <v>156.29</v>
      </c>
      <c r="H19" s="173">
        <v>157.19999999999999</v>
      </c>
      <c r="I19" s="173">
        <v>151.49</v>
      </c>
      <c r="J19" s="174">
        <v>213143600</v>
      </c>
      <c r="K19" s="173">
        <v>158.71</v>
      </c>
      <c r="L19">
        <v>86.62</v>
      </c>
    </row>
    <row r="20" spans="1:12" x14ac:dyDescent="0.3">
      <c r="A20" s="172">
        <v>45838</v>
      </c>
      <c r="B20" s="172" t="str">
        <f t="shared" si="0"/>
        <v>Monday</v>
      </c>
      <c r="C20" s="172" t="str">
        <f t="shared" si="1"/>
        <v>June</v>
      </c>
      <c r="D20" s="172" t="str">
        <f t="shared" si="2"/>
        <v>2025</v>
      </c>
      <c r="E20" s="172" t="str">
        <f t="shared" si="3"/>
        <v>Q2</v>
      </c>
      <c r="F20" s="173">
        <v>157.99</v>
      </c>
      <c r="G20" s="173">
        <v>158.4</v>
      </c>
      <c r="H20" s="173">
        <v>158.66</v>
      </c>
      <c r="I20" s="173">
        <v>155.96</v>
      </c>
      <c r="J20" s="174">
        <v>194580300</v>
      </c>
      <c r="K20" s="173">
        <v>158.71</v>
      </c>
      <c r="L20">
        <v>86.62</v>
      </c>
    </row>
    <row r="21" spans="1:12" x14ac:dyDescent="0.3">
      <c r="A21" s="172">
        <v>45835</v>
      </c>
      <c r="B21" s="172" t="str">
        <f t="shared" si="0"/>
        <v>Friday</v>
      </c>
      <c r="C21" s="172" t="str">
        <f t="shared" si="1"/>
        <v>June</v>
      </c>
      <c r="D21" s="172" t="str">
        <f t="shared" si="2"/>
        <v>2025</v>
      </c>
      <c r="E21" s="172" t="str">
        <f t="shared" si="3"/>
        <v>Q2</v>
      </c>
      <c r="F21" s="173">
        <v>157.75</v>
      </c>
      <c r="G21" s="173">
        <v>156.04</v>
      </c>
      <c r="H21" s="173">
        <v>158.71</v>
      </c>
      <c r="I21" s="173">
        <v>155.255</v>
      </c>
      <c r="J21" s="174">
        <v>263234500</v>
      </c>
      <c r="K21" s="173">
        <v>158.71</v>
      </c>
      <c r="L21">
        <v>86.62</v>
      </c>
    </row>
    <row r="22" spans="1:12" x14ac:dyDescent="0.3">
      <c r="A22" s="172">
        <v>45834</v>
      </c>
      <c r="B22" s="172" t="str">
        <f t="shared" si="0"/>
        <v>Thursday</v>
      </c>
      <c r="C22" s="172" t="str">
        <f t="shared" si="1"/>
        <v>June</v>
      </c>
      <c r="D22" s="172" t="str">
        <f t="shared" si="2"/>
        <v>2025</v>
      </c>
      <c r="E22" s="172" t="str">
        <f t="shared" si="3"/>
        <v>Q2</v>
      </c>
      <c r="F22" s="173">
        <v>155.02000000000001</v>
      </c>
      <c r="G22" s="173">
        <v>155.97499999999999</v>
      </c>
      <c r="H22" s="173">
        <v>156.715</v>
      </c>
      <c r="I22" s="173">
        <v>154</v>
      </c>
      <c r="J22" s="174">
        <v>198145700</v>
      </c>
      <c r="K22" s="173">
        <v>156.715</v>
      </c>
      <c r="L22">
        <v>86.62</v>
      </c>
    </row>
    <row r="23" spans="1:12" x14ac:dyDescent="0.3">
      <c r="A23" s="172">
        <v>45833</v>
      </c>
      <c r="B23" s="172" t="str">
        <f t="shared" si="0"/>
        <v>Wednesday</v>
      </c>
      <c r="C23" s="172" t="str">
        <f t="shared" si="1"/>
        <v>June</v>
      </c>
      <c r="D23" s="172" t="str">
        <f t="shared" si="2"/>
        <v>2025</v>
      </c>
      <c r="E23" s="172" t="str">
        <f t="shared" si="3"/>
        <v>Q2</v>
      </c>
      <c r="F23" s="173">
        <v>154.31</v>
      </c>
      <c r="G23" s="173">
        <v>149.27000000000001</v>
      </c>
      <c r="H23" s="173">
        <v>154.44999999999999</v>
      </c>
      <c r="I23" s="173">
        <v>149.26</v>
      </c>
      <c r="J23" s="174">
        <v>269146500</v>
      </c>
      <c r="K23" s="173">
        <v>154.44999999999999</v>
      </c>
      <c r="L23">
        <v>86.62</v>
      </c>
    </row>
    <row r="24" spans="1:12" x14ac:dyDescent="0.3">
      <c r="A24" s="172">
        <v>45832</v>
      </c>
      <c r="B24" s="172" t="str">
        <f t="shared" si="0"/>
        <v>Tuesday</v>
      </c>
      <c r="C24" s="172" t="str">
        <f t="shared" si="1"/>
        <v>June</v>
      </c>
      <c r="D24" s="172" t="str">
        <f t="shared" si="2"/>
        <v>2025</v>
      </c>
      <c r="E24" s="172" t="str">
        <f t="shared" si="3"/>
        <v>Q2</v>
      </c>
      <c r="F24" s="173">
        <v>147.9</v>
      </c>
      <c r="G24" s="173">
        <v>145.56</v>
      </c>
      <c r="H24" s="173">
        <v>147.96</v>
      </c>
      <c r="I24" s="173">
        <v>145.5</v>
      </c>
      <c r="J24" s="174">
        <v>187566100</v>
      </c>
      <c r="K24" s="173">
        <v>153.13</v>
      </c>
      <c r="L24">
        <v>86.62</v>
      </c>
    </row>
    <row r="25" spans="1:12" x14ac:dyDescent="0.3">
      <c r="A25" s="172">
        <v>45831</v>
      </c>
      <c r="B25" s="172" t="str">
        <f t="shared" si="0"/>
        <v>Monday</v>
      </c>
      <c r="C25" s="172" t="str">
        <f t="shared" si="1"/>
        <v>June</v>
      </c>
      <c r="D25" s="172" t="str">
        <f t="shared" si="2"/>
        <v>2025</v>
      </c>
      <c r="E25" s="172" t="str">
        <f t="shared" si="3"/>
        <v>Q2</v>
      </c>
      <c r="F25" s="173">
        <v>144.16999999999999</v>
      </c>
      <c r="G25" s="173">
        <v>142.5</v>
      </c>
      <c r="H25" s="173">
        <v>144.78</v>
      </c>
      <c r="I25" s="173">
        <v>142.03</v>
      </c>
      <c r="J25" s="174">
        <v>154308900</v>
      </c>
      <c r="K25" s="173">
        <v>153.13</v>
      </c>
      <c r="L25">
        <v>86.62</v>
      </c>
    </row>
    <row r="26" spans="1:12" x14ac:dyDescent="0.3">
      <c r="A26" s="172">
        <v>45828</v>
      </c>
      <c r="B26" s="172" t="str">
        <f t="shared" si="0"/>
        <v>Friday</v>
      </c>
      <c r="C26" s="172" t="str">
        <f t="shared" si="1"/>
        <v>June</v>
      </c>
      <c r="D26" s="172" t="str">
        <f t="shared" si="2"/>
        <v>2025</v>
      </c>
      <c r="E26" s="172" t="str">
        <f t="shared" si="3"/>
        <v>Q2</v>
      </c>
      <c r="F26" s="173">
        <v>143.85</v>
      </c>
      <c r="G26" s="173">
        <v>145.44999999999999</v>
      </c>
      <c r="H26" s="173">
        <v>146.19999999999999</v>
      </c>
      <c r="I26" s="173">
        <v>142.65</v>
      </c>
      <c r="J26" s="174">
        <v>242956200</v>
      </c>
      <c r="K26" s="173">
        <v>153.13</v>
      </c>
      <c r="L26">
        <v>86.62</v>
      </c>
    </row>
    <row r="27" spans="1:12" x14ac:dyDescent="0.3">
      <c r="A27" s="172">
        <v>45826</v>
      </c>
      <c r="B27" s="172" t="str">
        <f t="shared" si="0"/>
        <v>Wednesday</v>
      </c>
      <c r="C27" s="172" t="str">
        <f t="shared" si="1"/>
        <v>June</v>
      </c>
      <c r="D27" s="172" t="str">
        <f t="shared" si="2"/>
        <v>2025</v>
      </c>
      <c r="E27" s="172" t="str">
        <f t="shared" si="3"/>
        <v>Q2</v>
      </c>
      <c r="F27" s="173">
        <v>145.47999999999999</v>
      </c>
      <c r="G27" s="173">
        <v>144.005</v>
      </c>
      <c r="H27" s="173">
        <v>145.65</v>
      </c>
      <c r="I27" s="173">
        <v>143.12</v>
      </c>
      <c r="J27" s="174">
        <v>161494100</v>
      </c>
      <c r="K27" s="173">
        <v>153.13</v>
      </c>
      <c r="L27">
        <v>86.62</v>
      </c>
    </row>
    <row r="28" spans="1:12" x14ac:dyDescent="0.3">
      <c r="A28" s="172">
        <v>45825</v>
      </c>
      <c r="B28" s="172" t="str">
        <f t="shared" si="0"/>
        <v>Tuesday</v>
      </c>
      <c r="C28" s="172" t="str">
        <f t="shared" si="1"/>
        <v>June</v>
      </c>
      <c r="D28" s="172" t="str">
        <f t="shared" si="2"/>
        <v>2025</v>
      </c>
      <c r="E28" s="172" t="str">
        <f t="shared" si="3"/>
        <v>Q2</v>
      </c>
      <c r="F28" s="173">
        <v>144.12</v>
      </c>
      <c r="G28" s="173">
        <v>144.49</v>
      </c>
      <c r="H28" s="173">
        <v>145.22</v>
      </c>
      <c r="I28" s="173">
        <v>143.78</v>
      </c>
      <c r="J28" s="174">
        <v>139108000</v>
      </c>
      <c r="K28" s="173">
        <v>153.13</v>
      </c>
      <c r="L28">
        <v>86.62</v>
      </c>
    </row>
    <row r="29" spans="1:12" x14ac:dyDescent="0.3">
      <c r="A29" s="172">
        <v>45824</v>
      </c>
      <c r="B29" s="172" t="str">
        <f t="shared" si="0"/>
        <v>Monday</v>
      </c>
      <c r="C29" s="172" t="str">
        <f t="shared" si="1"/>
        <v>June</v>
      </c>
      <c r="D29" s="172" t="str">
        <f t="shared" si="2"/>
        <v>2025</v>
      </c>
      <c r="E29" s="172" t="str">
        <f t="shared" si="3"/>
        <v>Q2</v>
      </c>
      <c r="F29" s="173">
        <v>144.69</v>
      </c>
      <c r="G29" s="173">
        <v>143.345</v>
      </c>
      <c r="H29" s="173">
        <v>146.17500000000001</v>
      </c>
      <c r="I29" s="173">
        <v>143.20009999999999</v>
      </c>
      <c r="J29" s="174">
        <v>183133700</v>
      </c>
      <c r="K29" s="173">
        <v>153.13</v>
      </c>
      <c r="L29">
        <v>86.62</v>
      </c>
    </row>
    <row r="30" spans="1:12" x14ac:dyDescent="0.3">
      <c r="A30" s="172">
        <v>45821</v>
      </c>
      <c r="B30" s="172" t="str">
        <f t="shared" si="0"/>
        <v>Friday</v>
      </c>
      <c r="C30" s="172" t="str">
        <f t="shared" si="1"/>
        <v>June</v>
      </c>
      <c r="D30" s="172" t="str">
        <f t="shared" si="2"/>
        <v>2025</v>
      </c>
      <c r="E30" s="172" t="str">
        <f t="shared" si="3"/>
        <v>Q2</v>
      </c>
      <c r="F30" s="173">
        <v>141.97</v>
      </c>
      <c r="G30" s="173">
        <v>142.47999999999999</v>
      </c>
      <c r="H30" s="173">
        <v>143.58000000000001</v>
      </c>
      <c r="I30" s="173">
        <v>140.85499999999999</v>
      </c>
      <c r="J30" s="174">
        <v>180820600</v>
      </c>
      <c r="K30" s="173">
        <v>153.13</v>
      </c>
      <c r="L30">
        <v>86.62</v>
      </c>
    </row>
    <row r="31" spans="1:12" x14ac:dyDescent="0.3">
      <c r="A31" s="172">
        <v>45820</v>
      </c>
      <c r="B31" s="172" t="str">
        <f t="shared" si="0"/>
        <v>Thursday</v>
      </c>
      <c r="C31" s="172" t="str">
        <f t="shared" si="1"/>
        <v>June</v>
      </c>
      <c r="D31" s="172" t="str">
        <f t="shared" si="2"/>
        <v>2025</v>
      </c>
      <c r="E31" s="172" t="str">
        <f t="shared" si="3"/>
        <v>Q2</v>
      </c>
      <c r="F31" s="173">
        <v>145</v>
      </c>
      <c r="G31" s="173">
        <v>141.97</v>
      </c>
      <c r="H31" s="173">
        <v>145</v>
      </c>
      <c r="I31" s="173">
        <v>141.85</v>
      </c>
      <c r="J31" s="174">
        <v>162365000</v>
      </c>
      <c r="K31" s="173">
        <v>153.13</v>
      </c>
      <c r="L31">
        <v>86.62</v>
      </c>
    </row>
    <row r="32" spans="1:12" x14ac:dyDescent="0.3">
      <c r="A32" s="172">
        <v>45819</v>
      </c>
      <c r="B32" s="172" t="str">
        <f t="shared" si="0"/>
        <v>Wednesday</v>
      </c>
      <c r="C32" s="172" t="str">
        <f t="shared" si="1"/>
        <v>June</v>
      </c>
      <c r="D32" s="172" t="str">
        <f t="shared" si="2"/>
        <v>2025</v>
      </c>
      <c r="E32" s="172" t="str">
        <f t="shared" si="3"/>
        <v>Q2</v>
      </c>
      <c r="F32" s="173">
        <v>142.83000000000001</v>
      </c>
      <c r="G32" s="173">
        <v>144.61000000000001</v>
      </c>
      <c r="H32" s="173">
        <v>144.99</v>
      </c>
      <c r="I32" s="173">
        <v>141.87</v>
      </c>
      <c r="J32" s="174">
        <v>167694000</v>
      </c>
      <c r="K32" s="173">
        <v>153.13</v>
      </c>
      <c r="L32">
        <v>86.62</v>
      </c>
    </row>
    <row r="33" spans="1:12" x14ac:dyDescent="0.3">
      <c r="A33" s="172">
        <v>45818</v>
      </c>
      <c r="B33" s="172" t="str">
        <f t="shared" si="0"/>
        <v>Tuesday</v>
      </c>
      <c r="C33" s="172" t="str">
        <f t="shared" si="1"/>
        <v>June</v>
      </c>
      <c r="D33" s="172" t="str">
        <f t="shared" si="2"/>
        <v>2025</v>
      </c>
      <c r="E33" s="172" t="str">
        <f t="shared" si="3"/>
        <v>Q2</v>
      </c>
      <c r="F33" s="173">
        <v>143.96</v>
      </c>
      <c r="G33" s="173">
        <v>142.69</v>
      </c>
      <c r="H33" s="173">
        <v>144.29</v>
      </c>
      <c r="I33" s="173">
        <v>141.52500000000001</v>
      </c>
      <c r="J33" s="174">
        <v>155881900</v>
      </c>
      <c r="K33" s="173">
        <v>153.13</v>
      </c>
      <c r="L33">
        <v>86.62</v>
      </c>
    </row>
    <row r="34" spans="1:12" x14ac:dyDescent="0.3">
      <c r="A34" s="172">
        <v>45817</v>
      </c>
      <c r="B34" s="172" t="str">
        <f t="shared" si="0"/>
        <v>Monday</v>
      </c>
      <c r="C34" s="172" t="str">
        <f t="shared" si="1"/>
        <v>June</v>
      </c>
      <c r="D34" s="172" t="str">
        <f t="shared" si="2"/>
        <v>2025</v>
      </c>
      <c r="E34" s="172" t="str">
        <f t="shared" si="3"/>
        <v>Q2</v>
      </c>
      <c r="F34" s="173">
        <v>142.63</v>
      </c>
      <c r="G34" s="173">
        <v>143.19</v>
      </c>
      <c r="H34" s="173">
        <v>145</v>
      </c>
      <c r="I34" s="173">
        <v>141.94</v>
      </c>
      <c r="J34" s="174">
        <v>185114500</v>
      </c>
      <c r="K34" s="173">
        <v>153.13</v>
      </c>
      <c r="L34">
        <v>86.62</v>
      </c>
    </row>
    <row r="35" spans="1:12" x14ac:dyDescent="0.3">
      <c r="A35" s="172">
        <v>45814</v>
      </c>
      <c r="B35" s="172" t="str">
        <f t="shared" si="0"/>
        <v>Friday</v>
      </c>
      <c r="C35" s="172" t="str">
        <f t="shared" si="1"/>
        <v>June</v>
      </c>
      <c r="D35" s="172" t="str">
        <f t="shared" si="2"/>
        <v>2025</v>
      </c>
      <c r="E35" s="172" t="str">
        <f t="shared" si="3"/>
        <v>Q2</v>
      </c>
      <c r="F35" s="173">
        <v>141.72</v>
      </c>
      <c r="G35" s="173">
        <v>142.51</v>
      </c>
      <c r="H35" s="173">
        <v>143.27000000000001</v>
      </c>
      <c r="I35" s="173">
        <v>141.51</v>
      </c>
      <c r="J35" s="174">
        <v>153986200</v>
      </c>
      <c r="K35" s="173">
        <v>153.13</v>
      </c>
      <c r="L35">
        <v>86.62</v>
      </c>
    </row>
    <row r="36" spans="1:12" x14ac:dyDescent="0.3">
      <c r="A36" s="172">
        <v>45813</v>
      </c>
      <c r="B36" s="172" t="str">
        <f t="shared" si="0"/>
        <v>Thursday</v>
      </c>
      <c r="C36" s="172" t="str">
        <f t="shared" si="1"/>
        <v>June</v>
      </c>
      <c r="D36" s="172" t="str">
        <f t="shared" si="2"/>
        <v>2025</v>
      </c>
      <c r="E36" s="172" t="str">
        <f t="shared" si="3"/>
        <v>Q2</v>
      </c>
      <c r="F36" s="173">
        <v>139.99</v>
      </c>
      <c r="G36" s="173">
        <v>142.16999999999999</v>
      </c>
      <c r="H36" s="173">
        <v>144</v>
      </c>
      <c r="I36" s="173">
        <v>138.83000000000001</v>
      </c>
      <c r="J36" s="174">
        <v>232410800</v>
      </c>
      <c r="K36" s="173">
        <v>153.13</v>
      </c>
      <c r="L36">
        <v>86.62</v>
      </c>
    </row>
    <row r="37" spans="1:12" x14ac:dyDescent="0.3">
      <c r="A37" s="172">
        <v>45812</v>
      </c>
      <c r="B37" s="172" t="str">
        <f t="shared" si="0"/>
        <v>Wednesday</v>
      </c>
      <c r="C37" s="172" t="str">
        <f t="shared" si="1"/>
        <v>June</v>
      </c>
      <c r="D37" s="172" t="str">
        <f t="shared" si="2"/>
        <v>2025</v>
      </c>
      <c r="E37" s="172" t="str">
        <f t="shared" si="3"/>
        <v>Q2</v>
      </c>
      <c r="F37" s="173">
        <v>141.91999999999999</v>
      </c>
      <c r="G37" s="173">
        <v>142.19</v>
      </c>
      <c r="H37" s="173">
        <v>142.38999999999999</v>
      </c>
      <c r="I37" s="173">
        <v>139.54499999999999</v>
      </c>
      <c r="J37" s="174">
        <v>167120800</v>
      </c>
      <c r="K37" s="173">
        <v>153.13</v>
      </c>
      <c r="L37">
        <v>86.62</v>
      </c>
    </row>
    <row r="38" spans="1:12" x14ac:dyDescent="0.3">
      <c r="A38" s="172">
        <v>45811</v>
      </c>
      <c r="B38" s="172" t="str">
        <f t="shared" si="0"/>
        <v>Tuesday</v>
      </c>
      <c r="C38" s="172" t="str">
        <f t="shared" si="1"/>
        <v>June</v>
      </c>
      <c r="D38" s="172" t="str">
        <f t="shared" si="2"/>
        <v>2025</v>
      </c>
      <c r="E38" s="172" t="str">
        <f t="shared" si="3"/>
        <v>Q2</v>
      </c>
      <c r="F38" s="173">
        <v>141.22</v>
      </c>
      <c r="G38" s="173">
        <v>138.78</v>
      </c>
      <c r="H38" s="173">
        <v>142</v>
      </c>
      <c r="I38" s="173">
        <v>137.94999999999999</v>
      </c>
      <c r="J38" s="174">
        <v>225578800</v>
      </c>
      <c r="K38" s="173">
        <v>153.13</v>
      </c>
      <c r="L38">
        <v>86.62</v>
      </c>
    </row>
    <row r="39" spans="1:12" x14ac:dyDescent="0.3">
      <c r="A39" s="172">
        <v>45810</v>
      </c>
      <c r="B39" s="172" t="str">
        <f t="shared" si="0"/>
        <v>Monday</v>
      </c>
      <c r="C39" s="172" t="str">
        <f t="shared" si="1"/>
        <v>June</v>
      </c>
      <c r="D39" s="172" t="str">
        <f t="shared" si="2"/>
        <v>2025</v>
      </c>
      <c r="E39" s="172" t="str">
        <f t="shared" si="3"/>
        <v>Q2</v>
      </c>
      <c r="F39" s="173">
        <v>137.38</v>
      </c>
      <c r="G39" s="173">
        <v>135.49</v>
      </c>
      <c r="H39" s="173">
        <v>138.12</v>
      </c>
      <c r="I39" s="173">
        <v>135.4</v>
      </c>
      <c r="J39" s="174">
        <v>197663100</v>
      </c>
      <c r="K39" s="173">
        <v>153.13</v>
      </c>
      <c r="L39">
        <v>86.62</v>
      </c>
    </row>
    <row r="40" spans="1:12" x14ac:dyDescent="0.3">
      <c r="A40" s="172">
        <v>45807</v>
      </c>
      <c r="B40" s="172" t="str">
        <f t="shared" si="0"/>
        <v>Friday</v>
      </c>
      <c r="C40" s="172" t="str">
        <f t="shared" si="1"/>
        <v>May</v>
      </c>
      <c r="D40" s="172" t="str">
        <f t="shared" si="2"/>
        <v>2025</v>
      </c>
      <c r="E40" s="172" t="str">
        <f t="shared" si="3"/>
        <v>Q2</v>
      </c>
      <c r="F40" s="173">
        <v>135.13</v>
      </c>
      <c r="G40" s="173">
        <v>138.715</v>
      </c>
      <c r="H40" s="173">
        <v>139.62</v>
      </c>
      <c r="I40" s="173">
        <v>132.91999999999999</v>
      </c>
      <c r="J40" s="174">
        <v>333170900</v>
      </c>
      <c r="K40" s="173">
        <v>153.13</v>
      </c>
      <c r="L40">
        <v>86.62</v>
      </c>
    </row>
    <row r="41" spans="1:12" x14ac:dyDescent="0.3">
      <c r="A41" s="172">
        <v>45806</v>
      </c>
      <c r="B41" s="172" t="str">
        <f t="shared" si="0"/>
        <v>Thursday</v>
      </c>
      <c r="C41" s="172" t="str">
        <f t="shared" si="1"/>
        <v>May</v>
      </c>
      <c r="D41" s="172" t="str">
        <f t="shared" si="2"/>
        <v>2025</v>
      </c>
      <c r="E41" s="172" t="str">
        <f t="shared" si="3"/>
        <v>Q2</v>
      </c>
      <c r="F41" s="173">
        <v>139.19</v>
      </c>
      <c r="G41" s="173">
        <v>142.245</v>
      </c>
      <c r="H41" s="173">
        <v>143.49</v>
      </c>
      <c r="I41" s="173">
        <v>137.91</v>
      </c>
      <c r="J41" s="174">
        <v>370615200</v>
      </c>
      <c r="K41" s="173">
        <v>153.13</v>
      </c>
      <c r="L41">
        <v>86.62</v>
      </c>
    </row>
    <row r="42" spans="1:12" x14ac:dyDescent="0.3">
      <c r="A42" s="172">
        <v>45805</v>
      </c>
      <c r="B42" s="172" t="str">
        <f t="shared" si="0"/>
        <v>Wednesday</v>
      </c>
      <c r="C42" s="172" t="str">
        <f t="shared" si="1"/>
        <v>May</v>
      </c>
      <c r="D42" s="172" t="str">
        <f t="shared" si="2"/>
        <v>2025</v>
      </c>
      <c r="E42" s="172" t="str">
        <f t="shared" si="3"/>
        <v>Q2</v>
      </c>
      <c r="F42" s="173">
        <v>134.81</v>
      </c>
      <c r="G42" s="173">
        <v>136.02500000000001</v>
      </c>
      <c r="H42" s="173">
        <v>137.25</v>
      </c>
      <c r="I42" s="173">
        <v>134.79</v>
      </c>
      <c r="J42" s="174">
        <v>304021100</v>
      </c>
      <c r="K42" s="173">
        <v>153.13</v>
      </c>
      <c r="L42">
        <v>86.62</v>
      </c>
    </row>
    <row r="43" spans="1:12" x14ac:dyDescent="0.3">
      <c r="A43" s="172">
        <v>45804</v>
      </c>
      <c r="B43" s="172" t="str">
        <f t="shared" si="0"/>
        <v>Tuesday</v>
      </c>
      <c r="C43" s="172" t="str">
        <f t="shared" si="1"/>
        <v>May</v>
      </c>
      <c r="D43" s="172" t="str">
        <f t="shared" si="2"/>
        <v>2025</v>
      </c>
      <c r="E43" s="172" t="str">
        <f t="shared" si="3"/>
        <v>Q2</v>
      </c>
      <c r="F43" s="173">
        <v>135.5</v>
      </c>
      <c r="G43" s="173">
        <v>134.15</v>
      </c>
      <c r="H43" s="173">
        <v>135.66</v>
      </c>
      <c r="I43" s="173">
        <v>133.31</v>
      </c>
      <c r="J43" s="174">
        <v>192953600</v>
      </c>
      <c r="K43" s="173">
        <v>153.13</v>
      </c>
      <c r="L43">
        <v>86.62</v>
      </c>
    </row>
    <row r="44" spans="1:12" x14ac:dyDescent="0.3">
      <c r="A44" s="172">
        <v>45800</v>
      </c>
      <c r="B44" s="172" t="str">
        <f t="shared" si="0"/>
        <v>Friday</v>
      </c>
      <c r="C44" s="172" t="str">
        <f t="shared" si="1"/>
        <v>May</v>
      </c>
      <c r="D44" s="172" t="str">
        <f t="shared" si="2"/>
        <v>2025</v>
      </c>
      <c r="E44" s="172" t="str">
        <f t="shared" si="3"/>
        <v>Q2</v>
      </c>
      <c r="F44" s="173">
        <v>131.29</v>
      </c>
      <c r="G44" s="173">
        <v>130</v>
      </c>
      <c r="H44" s="173">
        <v>132.68</v>
      </c>
      <c r="I44" s="173">
        <v>129.16</v>
      </c>
      <c r="J44" s="174">
        <v>198821300</v>
      </c>
      <c r="K44" s="173">
        <v>153.13</v>
      </c>
      <c r="L44">
        <v>86.62</v>
      </c>
    </row>
    <row r="45" spans="1:12" x14ac:dyDescent="0.3">
      <c r="A45" s="172">
        <v>45799</v>
      </c>
      <c r="B45" s="172" t="str">
        <f t="shared" si="0"/>
        <v>Thursday</v>
      </c>
      <c r="C45" s="172" t="str">
        <f t="shared" si="1"/>
        <v>May</v>
      </c>
      <c r="D45" s="172" t="str">
        <f t="shared" si="2"/>
        <v>2025</v>
      </c>
      <c r="E45" s="172" t="str">
        <f t="shared" si="3"/>
        <v>Q2</v>
      </c>
      <c r="F45" s="173">
        <v>132.83000000000001</v>
      </c>
      <c r="G45" s="173">
        <v>132.22999999999999</v>
      </c>
      <c r="H45" s="173">
        <v>134.25</v>
      </c>
      <c r="I45" s="173">
        <v>131.55000000000001</v>
      </c>
      <c r="J45" s="174">
        <v>187344000</v>
      </c>
      <c r="K45" s="173">
        <v>153.13</v>
      </c>
      <c r="L45">
        <v>86.62</v>
      </c>
    </row>
    <row r="46" spans="1:12" x14ac:dyDescent="0.3">
      <c r="A46" s="172">
        <v>45798</v>
      </c>
      <c r="B46" s="172" t="str">
        <f t="shared" si="0"/>
        <v>Wednesday</v>
      </c>
      <c r="C46" s="172" t="str">
        <f t="shared" si="1"/>
        <v>May</v>
      </c>
      <c r="D46" s="172" t="str">
        <f t="shared" si="2"/>
        <v>2025</v>
      </c>
      <c r="E46" s="172" t="str">
        <f t="shared" si="3"/>
        <v>Q2</v>
      </c>
      <c r="F46" s="173">
        <v>131.80000000000001</v>
      </c>
      <c r="G46" s="173">
        <v>133.06</v>
      </c>
      <c r="H46" s="173">
        <v>137.4</v>
      </c>
      <c r="I46" s="173">
        <v>130.59</v>
      </c>
      <c r="J46" s="174">
        <v>270608700</v>
      </c>
      <c r="K46" s="173">
        <v>153.13</v>
      </c>
      <c r="L46">
        <v>86.62</v>
      </c>
    </row>
    <row r="47" spans="1:12" x14ac:dyDescent="0.3">
      <c r="A47" s="172">
        <v>45797</v>
      </c>
      <c r="B47" s="172" t="str">
        <f t="shared" si="0"/>
        <v>Tuesday</v>
      </c>
      <c r="C47" s="172" t="str">
        <f t="shared" si="1"/>
        <v>May</v>
      </c>
      <c r="D47" s="172" t="str">
        <f t="shared" si="2"/>
        <v>2025</v>
      </c>
      <c r="E47" s="172" t="str">
        <f t="shared" si="3"/>
        <v>Q2</v>
      </c>
      <c r="F47" s="173">
        <v>134.38</v>
      </c>
      <c r="G47" s="173">
        <v>134.29</v>
      </c>
      <c r="H47" s="173">
        <v>134.58000000000001</v>
      </c>
      <c r="I47" s="173">
        <v>132.62</v>
      </c>
      <c r="J47" s="174">
        <v>161514200</v>
      </c>
      <c r="K47" s="173">
        <v>153.13</v>
      </c>
      <c r="L47">
        <v>86.62</v>
      </c>
    </row>
    <row r="48" spans="1:12" x14ac:dyDescent="0.3">
      <c r="A48" s="172">
        <v>45796</v>
      </c>
      <c r="B48" s="172" t="str">
        <f t="shared" si="0"/>
        <v>Monday</v>
      </c>
      <c r="C48" s="172" t="str">
        <f t="shared" si="1"/>
        <v>May</v>
      </c>
      <c r="D48" s="172" t="str">
        <f t="shared" si="2"/>
        <v>2025</v>
      </c>
      <c r="E48" s="172" t="str">
        <f t="shared" si="3"/>
        <v>Q2</v>
      </c>
      <c r="F48" s="173">
        <v>135.57</v>
      </c>
      <c r="G48" s="173">
        <v>132.38999999999999</v>
      </c>
      <c r="H48" s="173">
        <v>135.87</v>
      </c>
      <c r="I48" s="173">
        <v>132.38999999999999</v>
      </c>
      <c r="J48" s="174">
        <v>193154600</v>
      </c>
      <c r="K48" s="173">
        <v>153.13</v>
      </c>
      <c r="L48">
        <v>86.62</v>
      </c>
    </row>
    <row r="49" spans="1:12" x14ac:dyDescent="0.3">
      <c r="A49" s="172">
        <v>45793</v>
      </c>
      <c r="B49" s="172" t="str">
        <f t="shared" si="0"/>
        <v>Friday</v>
      </c>
      <c r="C49" s="172" t="str">
        <f t="shared" si="1"/>
        <v>May</v>
      </c>
      <c r="D49" s="172" t="str">
        <f t="shared" si="2"/>
        <v>2025</v>
      </c>
      <c r="E49" s="172" t="str">
        <f t="shared" si="3"/>
        <v>Q2</v>
      </c>
      <c r="F49" s="173">
        <v>135.4</v>
      </c>
      <c r="G49" s="173">
        <v>136.22</v>
      </c>
      <c r="H49" s="173">
        <v>136.35</v>
      </c>
      <c r="I49" s="173">
        <v>133.46</v>
      </c>
      <c r="J49" s="174">
        <v>226542500</v>
      </c>
      <c r="K49" s="173">
        <v>153.13</v>
      </c>
      <c r="L49">
        <v>86.62</v>
      </c>
    </row>
    <row r="50" spans="1:12" x14ac:dyDescent="0.3">
      <c r="A50" s="172">
        <v>45792</v>
      </c>
      <c r="B50" s="172" t="str">
        <f t="shared" si="0"/>
        <v>Thursday</v>
      </c>
      <c r="C50" s="172" t="str">
        <f t="shared" si="1"/>
        <v>May</v>
      </c>
      <c r="D50" s="172" t="str">
        <f t="shared" si="2"/>
        <v>2025</v>
      </c>
      <c r="E50" s="172" t="str">
        <f t="shared" si="3"/>
        <v>Q2</v>
      </c>
      <c r="F50" s="173">
        <v>134.83000000000001</v>
      </c>
      <c r="G50" s="173">
        <v>134.29499999999999</v>
      </c>
      <c r="H50" s="173">
        <v>136.30000000000001</v>
      </c>
      <c r="I50" s="173">
        <v>132.66</v>
      </c>
      <c r="J50" s="174">
        <v>226632600</v>
      </c>
      <c r="K50" s="173">
        <v>153.13</v>
      </c>
      <c r="L50">
        <v>86.62</v>
      </c>
    </row>
    <row r="51" spans="1:12" x14ac:dyDescent="0.3">
      <c r="A51" s="172">
        <v>45791</v>
      </c>
      <c r="B51" s="172" t="str">
        <f t="shared" si="0"/>
        <v>Wednesday</v>
      </c>
      <c r="C51" s="172" t="str">
        <f t="shared" si="1"/>
        <v>May</v>
      </c>
      <c r="D51" s="172" t="str">
        <f t="shared" si="2"/>
        <v>2025</v>
      </c>
      <c r="E51" s="172" t="str">
        <f t="shared" si="3"/>
        <v>Q2</v>
      </c>
      <c r="F51" s="173">
        <v>135.34</v>
      </c>
      <c r="G51" s="173">
        <v>133.19499999999999</v>
      </c>
      <c r="H51" s="173">
        <v>135.435</v>
      </c>
      <c r="I51" s="173">
        <v>131.68</v>
      </c>
      <c r="J51" s="174">
        <v>281180800</v>
      </c>
      <c r="K51" s="173">
        <v>153.13</v>
      </c>
      <c r="L51">
        <v>86.62</v>
      </c>
    </row>
    <row r="52" spans="1:12" x14ac:dyDescent="0.3">
      <c r="A52" s="172">
        <v>45790</v>
      </c>
      <c r="B52" s="172" t="str">
        <f t="shared" si="0"/>
        <v>Tuesday</v>
      </c>
      <c r="C52" s="172" t="str">
        <f t="shared" si="1"/>
        <v>May</v>
      </c>
      <c r="D52" s="172" t="str">
        <f t="shared" si="2"/>
        <v>2025</v>
      </c>
      <c r="E52" s="172" t="str">
        <f t="shared" si="3"/>
        <v>Q2</v>
      </c>
      <c r="F52" s="173">
        <v>129.93</v>
      </c>
      <c r="G52" s="173">
        <v>124.98</v>
      </c>
      <c r="H52" s="173">
        <v>131.21889999999999</v>
      </c>
      <c r="I52" s="173">
        <v>124.47</v>
      </c>
      <c r="J52" s="174">
        <v>330430100</v>
      </c>
      <c r="K52" s="173">
        <v>153.13</v>
      </c>
      <c r="L52">
        <v>86.62</v>
      </c>
    </row>
    <row r="53" spans="1:12" x14ac:dyDescent="0.3">
      <c r="A53" s="172">
        <v>45789</v>
      </c>
      <c r="B53" s="172" t="str">
        <f t="shared" si="0"/>
        <v>Monday</v>
      </c>
      <c r="C53" s="172" t="str">
        <f t="shared" si="1"/>
        <v>May</v>
      </c>
      <c r="D53" s="172" t="str">
        <f t="shared" si="2"/>
        <v>2025</v>
      </c>
      <c r="E53" s="172" t="str">
        <f t="shared" si="3"/>
        <v>Q2</v>
      </c>
      <c r="F53" s="173">
        <v>123</v>
      </c>
      <c r="G53" s="173">
        <v>121.97</v>
      </c>
      <c r="H53" s="173">
        <v>123</v>
      </c>
      <c r="I53" s="173">
        <v>120.28</v>
      </c>
      <c r="J53" s="174">
        <v>225023300</v>
      </c>
      <c r="K53" s="173">
        <v>153.13</v>
      </c>
      <c r="L53">
        <v>86.62</v>
      </c>
    </row>
    <row r="54" spans="1:12" x14ac:dyDescent="0.3">
      <c r="A54" s="172">
        <v>45786</v>
      </c>
      <c r="B54" s="172" t="str">
        <f t="shared" si="0"/>
        <v>Friday</v>
      </c>
      <c r="C54" s="172" t="str">
        <f t="shared" si="1"/>
        <v>May</v>
      </c>
      <c r="D54" s="172" t="str">
        <f t="shared" si="2"/>
        <v>2025</v>
      </c>
      <c r="E54" s="172" t="str">
        <f t="shared" si="3"/>
        <v>Q2</v>
      </c>
      <c r="F54" s="173">
        <v>116.65</v>
      </c>
      <c r="G54" s="173">
        <v>117.35</v>
      </c>
      <c r="H54" s="173">
        <v>118.23</v>
      </c>
      <c r="I54" s="173">
        <v>115.21</v>
      </c>
      <c r="J54" s="174">
        <v>132972200</v>
      </c>
      <c r="K54" s="173">
        <v>153.13</v>
      </c>
      <c r="L54">
        <v>86.62</v>
      </c>
    </row>
    <row r="55" spans="1:12" x14ac:dyDescent="0.3">
      <c r="A55" s="172">
        <v>45785</v>
      </c>
      <c r="B55" s="172" t="str">
        <f t="shared" si="0"/>
        <v>Thursday</v>
      </c>
      <c r="C55" s="172" t="str">
        <f t="shared" si="1"/>
        <v>May</v>
      </c>
      <c r="D55" s="172" t="str">
        <f t="shared" si="2"/>
        <v>2025</v>
      </c>
      <c r="E55" s="172" t="str">
        <f t="shared" si="3"/>
        <v>Q2</v>
      </c>
      <c r="F55" s="173">
        <v>117.37</v>
      </c>
      <c r="G55" s="173">
        <v>118.25</v>
      </c>
      <c r="H55" s="173">
        <v>118.68</v>
      </c>
      <c r="I55" s="173">
        <v>115.85</v>
      </c>
      <c r="J55" s="174">
        <v>198428100</v>
      </c>
      <c r="K55" s="173">
        <v>153.13</v>
      </c>
      <c r="L55">
        <v>86.62</v>
      </c>
    </row>
    <row r="56" spans="1:12" x14ac:dyDescent="0.3">
      <c r="A56" s="172">
        <v>45784</v>
      </c>
      <c r="B56" s="172" t="str">
        <f t="shared" si="0"/>
        <v>Wednesday</v>
      </c>
      <c r="C56" s="172" t="str">
        <f t="shared" si="1"/>
        <v>May</v>
      </c>
      <c r="D56" s="172" t="str">
        <f t="shared" si="2"/>
        <v>2025</v>
      </c>
      <c r="E56" s="172" t="str">
        <f t="shared" si="3"/>
        <v>Q2</v>
      </c>
      <c r="F56" s="173">
        <v>117.06</v>
      </c>
      <c r="G56" s="173">
        <v>113.045</v>
      </c>
      <c r="H56" s="173">
        <v>117.68</v>
      </c>
      <c r="I56" s="173">
        <v>112.2818</v>
      </c>
      <c r="J56" s="174">
        <v>207827800</v>
      </c>
      <c r="K56" s="173">
        <v>153.13</v>
      </c>
      <c r="L56">
        <v>86.62</v>
      </c>
    </row>
    <row r="57" spans="1:12" x14ac:dyDescent="0.3">
      <c r="A57" s="172">
        <v>45783</v>
      </c>
      <c r="B57" s="172" t="str">
        <f t="shared" si="0"/>
        <v>Tuesday</v>
      </c>
      <c r="C57" s="172" t="str">
        <f t="shared" si="1"/>
        <v>May</v>
      </c>
      <c r="D57" s="172" t="str">
        <f t="shared" si="2"/>
        <v>2025</v>
      </c>
      <c r="E57" s="172" t="str">
        <f t="shared" si="3"/>
        <v>Q2</v>
      </c>
      <c r="F57" s="173">
        <v>113.54</v>
      </c>
      <c r="G57" s="173">
        <v>111.48</v>
      </c>
      <c r="H57" s="173">
        <v>114.74</v>
      </c>
      <c r="I57" s="173">
        <v>110.822</v>
      </c>
      <c r="J57" s="174">
        <v>158525600</v>
      </c>
      <c r="K57" s="173">
        <v>153.13</v>
      </c>
      <c r="L57">
        <v>86.62</v>
      </c>
    </row>
    <row r="58" spans="1:12" x14ac:dyDescent="0.3">
      <c r="A58" s="172">
        <v>45782</v>
      </c>
      <c r="B58" s="172" t="str">
        <f t="shared" si="0"/>
        <v>Monday</v>
      </c>
      <c r="C58" s="172" t="str">
        <f t="shared" si="1"/>
        <v>May</v>
      </c>
      <c r="D58" s="172" t="str">
        <f t="shared" si="2"/>
        <v>2025</v>
      </c>
      <c r="E58" s="172" t="str">
        <f t="shared" si="3"/>
        <v>Q2</v>
      </c>
      <c r="F58" s="173">
        <v>113.82</v>
      </c>
      <c r="G58" s="173">
        <v>112.905</v>
      </c>
      <c r="H58" s="173">
        <v>114.66500000000001</v>
      </c>
      <c r="I58" s="173">
        <v>112.66</v>
      </c>
      <c r="J58" s="174">
        <v>133163200</v>
      </c>
      <c r="K58" s="173">
        <v>153.13</v>
      </c>
      <c r="L58">
        <v>86.62</v>
      </c>
    </row>
    <row r="59" spans="1:12" x14ac:dyDescent="0.3">
      <c r="A59" s="172">
        <v>45779</v>
      </c>
      <c r="B59" s="172" t="str">
        <f t="shared" si="0"/>
        <v>Friday</v>
      </c>
      <c r="C59" s="172" t="str">
        <f t="shared" si="1"/>
        <v>May</v>
      </c>
      <c r="D59" s="172" t="str">
        <f t="shared" si="2"/>
        <v>2025</v>
      </c>
      <c r="E59" s="172" t="str">
        <f t="shared" si="3"/>
        <v>Q2</v>
      </c>
      <c r="F59" s="173">
        <v>114.5</v>
      </c>
      <c r="G59" s="173">
        <v>114.18</v>
      </c>
      <c r="H59" s="173">
        <v>115.4</v>
      </c>
      <c r="I59" s="173">
        <v>113.37</v>
      </c>
      <c r="J59" s="174">
        <v>190194800</v>
      </c>
      <c r="K59" s="173">
        <v>153.13</v>
      </c>
      <c r="L59">
        <v>86.62</v>
      </c>
    </row>
    <row r="60" spans="1:12" x14ac:dyDescent="0.3">
      <c r="A60" s="172">
        <v>45778</v>
      </c>
      <c r="B60" s="172" t="str">
        <f t="shared" si="0"/>
        <v>Thursday</v>
      </c>
      <c r="C60" s="172" t="str">
        <f t="shared" si="1"/>
        <v>May</v>
      </c>
      <c r="D60" s="172" t="str">
        <f t="shared" si="2"/>
        <v>2025</v>
      </c>
      <c r="E60" s="172" t="str">
        <f t="shared" si="3"/>
        <v>Q2</v>
      </c>
      <c r="F60" s="173">
        <v>111.61</v>
      </c>
      <c r="G60" s="173">
        <v>113.08</v>
      </c>
      <c r="H60" s="173">
        <v>114.94</v>
      </c>
      <c r="I60" s="173">
        <v>111.3</v>
      </c>
      <c r="J60" s="174">
        <v>236121500</v>
      </c>
      <c r="K60" s="173">
        <v>153.13</v>
      </c>
      <c r="L60">
        <v>86.62</v>
      </c>
    </row>
    <row r="61" spans="1:12" x14ac:dyDescent="0.3">
      <c r="A61" s="172">
        <v>45777</v>
      </c>
      <c r="B61" s="172" t="str">
        <f t="shared" si="0"/>
        <v>Wednesday</v>
      </c>
      <c r="C61" s="172" t="str">
        <f t="shared" si="1"/>
        <v>April</v>
      </c>
      <c r="D61" s="172" t="str">
        <f t="shared" si="2"/>
        <v>2025</v>
      </c>
      <c r="E61" s="172" t="str">
        <f t="shared" si="3"/>
        <v>Q2</v>
      </c>
      <c r="F61" s="173">
        <v>108.92</v>
      </c>
      <c r="G61" s="173">
        <v>104.47</v>
      </c>
      <c r="H61" s="173">
        <v>108.92</v>
      </c>
      <c r="I61" s="173">
        <v>104.08</v>
      </c>
      <c r="J61" s="174">
        <v>235044600</v>
      </c>
      <c r="K61" s="173">
        <v>153.13</v>
      </c>
      <c r="L61">
        <v>86.62</v>
      </c>
    </row>
    <row r="62" spans="1:12" x14ac:dyDescent="0.3">
      <c r="A62" s="172">
        <v>45776</v>
      </c>
      <c r="B62" s="172" t="str">
        <f t="shared" si="0"/>
        <v>Tuesday</v>
      </c>
      <c r="C62" s="172" t="str">
        <f t="shared" si="1"/>
        <v>April</v>
      </c>
      <c r="D62" s="172" t="str">
        <f t="shared" si="2"/>
        <v>2025</v>
      </c>
      <c r="E62" s="172" t="str">
        <f t="shared" si="3"/>
        <v>Q2</v>
      </c>
      <c r="F62" s="173">
        <v>109.02</v>
      </c>
      <c r="G62" s="173">
        <v>107.67</v>
      </c>
      <c r="H62" s="173">
        <v>110.1999</v>
      </c>
      <c r="I62" s="173">
        <v>107.44</v>
      </c>
      <c r="J62" s="174">
        <v>170444300</v>
      </c>
      <c r="K62" s="173">
        <v>153.13</v>
      </c>
      <c r="L62">
        <v>86.62</v>
      </c>
    </row>
    <row r="63" spans="1:12" x14ac:dyDescent="0.3">
      <c r="A63" s="172">
        <v>45775</v>
      </c>
      <c r="B63" s="172" t="str">
        <f t="shared" si="0"/>
        <v>Monday</v>
      </c>
      <c r="C63" s="172" t="str">
        <f t="shared" si="1"/>
        <v>April</v>
      </c>
      <c r="D63" s="172" t="str">
        <f t="shared" si="2"/>
        <v>2025</v>
      </c>
      <c r="E63" s="172" t="str">
        <f t="shared" si="3"/>
        <v>Q2</v>
      </c>
      <c r="F63" s="173">
        <v>108.73</v>
      </c>
      <c r="G63" s="173">
        <v>109.69</v>
      </c>
      <c r="H63" s="173">
        <v>110.3699</v>
      </c>
      <c r="I63" s="173">
        <v>106.02</v>
      </c>
      <c r="J63" s="174">
        <v>207708500</v>
      </c>
      <c r="K63" s="173">
        <v>153.13</v>
      </c>
      <c r="L63">
        <v>86.62</v>
      </c>
    </row>
    <row r="64" spans="1:12" x14ac:dyDescent="0.3">
      <c r="A64" s="172">
        <v>45772</v>
      </c>
      <c r="B64" s="172" t="str">
        <f t="shared" si="0"/>
        <v>Friday</v>
      </c>
      <c r="C64" s="172" t="str">
        <f t="shared" si="1"/>
        <v>April</v>
      </c>
      <c r="D64" s="172" t="str">
        <f t="shared" si="2"/>
        <v>2025</v>
      </c>
      <c r="E64" s="172" t="str">
        <f t="shared" si="3"/>
        <v>Q2</v>
      </c>
      <c r="F64" s="173">
        <v>111.01</v>
      </c>
      <c r="G64" s="173">
        <v>106.85</v>
      </c>
      <c r="H64" s="173">
        <v>111.92</v>
      </c>
      <c r="I64" s="173">
        <v>105.73</v>
      </c>
      <c r="J64" s="174">
        <v>251064700</v>
      </c>
      <c r="K64" s="173">
        <v>153.13</v>
      </c>
      <c r="L64">
        <v>86.62</v>
      </c>
    </row>
    <row r="65" spans="1:12" x14ac:dyDescent="0.3">
      <c r="A65" s="172">
        <v>45771</v>
      </c>
      <c r="B65" s="172" t="str">
        <f t="shared" si="0"/>
        <v>Thursday</v>
      </c>
      <c r="C65" s="172" t="str">
        <f t="shared" si="1"/>
        <v>April</v>
      </c>
      <c r="D65" s="172" t="str">
        <f t="shared" si="2"/>
        <v>2025</v>
      </c>
      <c r="E65" s="172" t="str">
        <f t="shared" si="3"/>
        <v>Q2</v>
      </c>
      <c r="F65" s="173">
        <v>106.43</v>
      </c>
      <c r="G65" s="173">
        <v>103.47499999999999</v>
      </c>
      <c r="H65" s="173">
        <v>106.54</v>
      </c>
      <c r="I65" s="173">
        <v>103.11</v>
      </c>
      <c r="J65" s="174">
        <v>220815000</v>
      </c>
      <c r="K65" s="173">
        <v>153.13</v>
      </c>
      <c r="L65">
        <v>86.62</v>
      </c>
    </row>
    <row r="66" spans="1:12" x14ac:dyDescent="0.3">
      <c r="A66" s="172">
        <v>45770</v>
      </c>
      <c r="B66" s="172" t="str">
        <f t="shared" ref="B66:B129" si="4">TEXT(A66,"dddd")</f>
        <v>Wednesday</v>
      </c>
      <c r="C66" s="172" t="str">
        <f t="shared" ref="C66:C129" si="5">TEXT(A66,"mmmm")</f>
        <v>April</v>
      </c>
      <c r="D66" s="172" t="str">
        <f t="shared" ref="D66:D129" si="6">TEXT(A66,"yyyy")</f>
        <v>2025</v>
      </c>
      <c r="E66" s="172" t="str">
        <f t="shared" ref="E66:E129" si="7">"Q"&amp;ROUNDUP(MONTH(A67)/3,0)</f>
        <v>Q2</v>
      </c>
      <c r="F66" s="173">
        <v>102.71</v>
      </c>
      <c r="G66" s="173">
        <v>104.52</v>
      </c>
      <c r="H66" s="173">
        <v>104.8</v>
      </c>
      <c r="I66" s="173">
        <v>102.02</v>
      </c>
      <c r="J66" s="174">
        <v>247526000</v>
      </c>
      <c r="K66" s="173">
        <v>153.13</v>
      </c>
      <c r="L66">
        <v>86.62</v>
      </c>
    </row>
    <row r="67" spans="1:12" x14ac:dyDescent="0.3">
      <c r="A67" s="172">
        <v>45769</v>
      </c>
      <c r="B67" s="172" t="str">
        <f t="shared" si="4"/>
        <v>Tuesday</v>
      </c>
      <c r="C67" s="172" t="str">
        <f t="shared" si="5"/>
        <v>April</v>
      </c>
      <c r="D67" s="172" t="str">
        <f t="shared" si="6"/>
        <v>2025</v>
      </c>
      <c r="E67" s="172" t="str">
        <f t="shared" si="7"/>
        <v>Q2</v>
      </c>
      <c r="F67" s="173">
        <v>98.89</v>
      </c>
      <c r="G67" s="173">
        <v>98.78</v>
      </c>
      <c r="H67" s="173">
        <v>99.811000000000007</v>
      </c>
      <c r="I67" s="173">
        <v>97.28</v>
      </c>
      <c r="J67" s="174">
        <v>241004800</v>
      </c>
      <c r="K67" s="173">
        <v>153.13</v>
      </c>
      <c r="L67">
        <v>86.62</v>
      </c>
    </row>
    <row r="68" spans="1:12" x14ac:dyDescent="0.3">
      <c r="A68" s="172">
        <v>45768</v>
      </c>
      <c r="B68" s="172" t="str">
        <f t="shared" si="4"/>
        <v>Monday</v>
      </c>
      <c r="C68" s="172" t="str">
        <f t="shared" si="5"/>
        <v>April</v>
      </c>
      <c r="D68" s="172" t="str">
        <f t="shared" si="6"/>
        <v>2025</v>
      </c>
      <c r="E68" s="172" t="str">
        <f t="shared" si="7"/>
        <v>Q2</v>
      </c>
      <c r="F68" s="173">
        <v>96.91</v>
      </c>
      <c r="G68" s="173">
        <v>98.77</v>
      </c>
      <c r="H68" s="173">
        <v>99.44</v>
      </c>
      <c r="I68" s="173">
        <v>95.04</v>
      </c>
      <c r="J68" s="174">
        <v>288501100</v>
      </c>
      <c r="K68" s="173">
        <v>153.13</v>
      </c>
      <c r="L68">
        <v>86.62</v>
      </c>
    </row>
    <row r="69" spans="1:12" x14ac:dyDescent="0.3">
      <c r="A69" s="172">
        <v>45764</v>
      </c>
      <c r="B69" s="172" t="str">
        <f t="shared" si="4"/>
        <v>Thursday</v>
      </c>
      <c r="C69" s="172" t="str">
        <f t="shared" si="5"/>
        <v>April</v>
      </c>
      <c r="D69" s="172" t="str">
        <f t="shared" si="6"/>
        <v>2025</v>
      </c>
      <c r="E69" s="172" t="str">
        <f t="shared" si="7"/>
        <v>Q2</v>
      </c>
      <c r="F69" s="173">
        <v>101.49</v>
      </c>
      <c r="G69" s="173">
        <v>104.45</v>
      </c>
      <c r="H69" s="173">
        <v>104.47</v>
      </c>
      <c r="I69" s="173">
        <v>100.05</v>
      </c>
      <c r="J69" s="174">
        <v>292517500</v>
      </c>
      <c r="K69" s="173">
        <v>153.13</v>
      </c>
      <c r="L69">
        <v>86.62</v>
      </c>
    </row>
    <row r="70" spans="1:12" x14ac:dyDescent="0.3">
      <c r="A70" s="172">
        <v>45763</v>
      </c>
      <c r="B70" s="172" t="str">
        <f t="shared" si="4"/>
        <v>Wednesday</v>
      </c>
      <c r="C70" s="172" t="str">
        <f t="shared" si="5"/>
        <v>April</v>
      </c>
      <c r="D70" s="172" t="str">
        <f t="shared" si="6"/>
        <v>2025</v>
      </c>
      <c r="E70" s="172" t="str">
        <f t="shared" si="7"/>
        <v>Q2</v>
      </c>
      <c r="F70" s="173">
        <v>104.49</v>
      </c>
      <c r="G70" s="173">
        <v>104.55</v>
      </c>
      <c r="H70" s="173">
        <v>106.79</v>
      </c>
      <c r="I70" s="173">
        <v>100.45</v>
      </c>
      <c r="J70" s="174">
        <v>397016900</v>
      </c>
      <c r="K70" s="173">
        <v>153.13</v>
      </c>
      <c r="L70">
        <v>86.62</v>
      </c>
    </row>
    <row r="71" spans="1:12" x14ac:dyDescent="0.3">
      <c r="A71" s="172">
        <v>45762</v>
      </c>
      <c r="B71" s="172" t="str">
        <f t="shared" si="4"/>
        <v>Tuesday</v>
      </c>
      <c r="C71" s="172" t="str">
        <f t="shared" si="5"/>
        <v>April</v>
      </c>
      <c r="D71" s="172" t="str">
        <f t="shared" si="6"/>
        <v>2025</v>
      </c>
      <c r="E71" s="172" t="str">
        <f t="shared" si="7"/>
        <v>Q2</v>
      </c>
      <c r="F71" s="173">
        <v>112.2</v>
      </c>
      <c r="G71" s="173">
        <v>110.97</v>
      </c>
      <c r="H71" s="173">
        <v>113.61499999999999</v>
      </c>
      <c r="I71" s="173">
        <v>110.5</v>
      </c>
      <c r="J71" s="174">
        <v>228966900</v>
      </c>
      <c r="K71" s="173">
        <v>153.13</v>
      </c>
      <c r="L71">
        <v>86.62</v>
      </c>
    </row>
    <row r="72" spans="1:12" x14ac:dyDescent="0.3">
      <c r="A72" s="172">
        <v>45761</v>
      </c>
      <c r="B72" s="172" t="str">
        <f t="shared" si="4"/>
        <v>Monday</v>
      </c>
      <c r="C72" s="172" t="str">
        <f t="shared" si="5"/>
        <v>April</v>
      </c>
      <c r="D72" s="172" t="str">
        <f t="shared" si="6"/>
        <v>2025</v>
      </c>
      <c r="E72" s="172" t="str">
        <f t="shared" si="7"/>
        <v>Q2</v>
      </c>
      <c r="F72" s="173">
        <v>110.71</v>
      </c>
      <c r="G72" s="173">
        <v>114.11</v>
      </c>
      <c r="H72" s="173">
        <v>114.29</v>
      </c>
      <c r="I72" s="173">
        <v>109.07</v>
      </c>
      <c r="J72" s="174">
        <v>264705000</v>
      </c>
      <c r="K72" s="173">
        <v>153.13</v>
      </c>
      <c r="L72">
        <v>86.62</v>
      </c>
    </row>
    <row r="73" spans="1:12" x14ac:dyDescent="0.3">
      <c r="A73" s="172">
        <v>45758</v>
      </c>
      <c r="B73" s="172" t="str">
        <f t="shared" si="4"/>
        <v>Friday</v>
      </c>
      <c r="C73" s="172" t="str">
        <f t="shared" si="5"/>
        <v>April</v>
      </c>
      <c r="D73" s="172" t="str">
        <f t="shared" si="6"/>
        <v>2025</v>
      </c>
      <c r="E73" s="172" t="str">
        <f t="shared" si="7"/>
        <v>Q2</v>
      </c>
      <c r="F73" s="173">
        <v>110.93</v>
      </c>
      <c r="G73" s="173">
        <v>108.5</v>
      </c>
      <c r="H73" s="173">
        <v>111.54989999999999</v>
      </c>
      <c r="I73" s="173">
        <v>107.48</v>
      </c>
      <c r="J73" s="174">
        <v>313417300</v>
      </c>
      <c r="K73" s="173">
        <v>153.13</v>
      </c>
      <c r="L73">
        <v>86.62</v>
      </c>
    </row>
    <row r="74" spans="1:12" x14ac:dyDescent="0.3">
      <c r="A74" s="172">
        <v>45757</v>
      </c>
      <c r="B74" s="172" t="str">
        <f t="shared" si="4"/>
        <v>Thursday</v>
      </c>
      <c r="C74" s="172" t="str">
        <f t="shared" si="5"/>
        <v>April</v>
      </c>
      <c r="D74" s="172" t="str">
        <f t="shared" si="6"/>
        <v>2025</v>
      </c>
      <c r="E74" s="172" t="str">
        <f t="shared" si="7"/>
        <v>Q2</v>
      </c>
      <c r="F74" s="173">
        <v>107.57</v>
      </c>
      <c r="G74" s="173">
        <v>109.37</v>
      </c>
      <c r="H74" s="173">
        <v>110.86</v>
      </c>
      <c r="I74" s="173">
        <v>99.15</v>
      </c>
      <c r="J74" s="174">
        <v>437812400</v>
      </c>
      <c r="K74" s="173">
        <v>153.13</v>
      </c>
      <c r="L74">
        <v>86.62</v>
      </c>
    </row>
    <row r="75" spans="1:12" x14ac:dyDescent="0.3">
      <c r="A75" s="172">
        <v>45756</v>
      </c>
      <c r="B75" s="172" t="str">
        <f t="shared" si="4"/>
        <v>Wednesday</v>
      </c>
      <c r="C75" s="172" t="str">
        <f t="shared" si="5"/>
        <v>April</v>
      </c>
      <c r="D75" s="172" t="str">
        <f t="shared" si="6"/>
        <v>2025</v>
      </c>
      <c r="E75" s="172" t="str">
        <f t="shared" si="7"/>
        <v>Q2</v>
      </c>
      <c r="F75" s="173">
        <v>114.33</v>
      </c>
      <c r="G75" s="173">
        <v>98.89</v>
      </c>
      <c r="H75" s="173">
        <v>115.1</v>
      </c>
      <c r="I75" s="173">
        <v>97.530100000000004</v>
      </c>
      <c r="J75" s="174">
        <v>612918300</v>
      </c>
      <c r="K75" s="173">
        <v>153.13</v>
      </c>
      <c r="L75">
        <v>86.62</v>
      </c>
    </row>
    <row r="76" spans="1:12" x14ac:dyDescent="0.3">
      <c r="A76" s="172">
        <v>45755</v>
      </c>
      <c r="B76" s="172" t="str">
        <f t="shared" si="4"/>
        <v>Tuesday</v>
      </c>
      <c r="C76" s="172" t="str">
        <f t="shared" si="5"/>
        <v>April</v>
      </c>
      <c r="D76" s="172" t="str">
        <f t="shared" si="6"/>
        <v>2025</v>
      </c>
      <c r="E76" s="172" t="str">
        <f t="shared" si="7"/>
        <v>Q2</v>
      </c>
      <c r="F76" s="173">
        <v>96.3</v>
      </c>
      <c r="G76" s="173">
        <v>103.80500000000001</v>
      </c>
      <c r="H76" s="173">
        <v>105.85</v>
      </c>
      <c r="I76" s="173">
        <v>94.46</v>
      </c>
      <c r="J76" s="174">
        <v>476243400</v>
      </c>
      <c r="K76" s="173">
        <v>153.13</v>
      </c>
      <c r="L76">
        <v>86.62</v>
      </c>
    </row>
    <row r="77" spans="1:12" x14ac:dyDescent="0.3">
      <c r="A77" s="172">
        <v>45754</v>
      </c>
      <c r="B77" s="172" t="str">
        <f t="shared" si="4"/>
        <v>Monday</v>
      </c>
      <c r="C77" s="172" t="str">
        <f t="shared" si="5"/>
        <v>April</v>
      </c>
      <c r="D77" s="172" t="str">
        <f t="shared" si="6"/>
        <v>2025</v>
      </c>
      <c r="E77" s="172" t="str">
        <f t="shared" si="7"/>
        <v>Q2</v>
      </c>
      <c r="F77" s="173">
        <v>97.64</v>
      </c>
      <c r="G77" s="173">
        <v>87.46</v>
      </c>
      <c r="H77" s="173">
        <v>101.75</v>
      </c>
      <c r="I77" s="173">
        <v>86.62</v>
      </c>
      <c r="J77" s="174">
        <v>611041300</v>
      </c>
      <c r="K77" s="173">
        <v>153.13</v>
      </c>
      <c r="L77">
        <v>86.62</v>
      </c>
    </row>
    <row r="78" spans="1:12" x14ac:dyDescent="0.3">
      <c r="A78" s="172">
        <v>45751</v>
      </c>
      <c r="B78" s="172" t="str">
        <f t="shared" si="4"/>
        <v>Friday</v>
      </c>
      <c r="C78" s="172" t="str">
        <f t="shared" si="5"/>
        <v>April</v>
      </c>
      <c r="D78" s="172" t="str">
        <f t="shared" si="6"/>
        <v>2025</v>
      </c>
      <c r="E78" s="172" t="str">
        <f t="shared" si="7"/>
        <v>Q2</v>
      </c>
      <c r="F78" s="173">
        <v>94.31</v>
      </c>
      <c r="G78" s="173">
        <v>98.91</v>
      </c>
      <c r="H78" s="173">
        <v>100.13</v>
      </c>
      <c r="I78" s="173">
        <v>92.11</v>
      </c>
      <c r="J78" s="174">
        <v>532273800</v>
      </c>
      <c r="K78" s="173">
        <v>153.13</v>
      </c>
      <c r="L78">
        <v>90.69</v>
      </c>
    </row>
    <row r="79" spans="1:12" x14ac:dyDescent="0.3">
      <c r="A79" s="172">
        <v>45750</v>
      </c>
      <c r="B79" s="172" t="str">
        <f t="shared" si="4"/>
        <v>Thursday</v>
      </c>
      <c r="C79" s="172" t="str">
        <f t="shared" si="5"/>
        <v>April</v>
      </c>
      <c r="D79" s="172" t="str">
        <f t="shared" si="6"/>
        <v>2025</v>
      </c>
      <c r="E79" s="172" t="str">
        <f t="shared" si="7"/>
        <v>Q2</v>
      </c>
      <c r="F79" s="173">
        <v>101.8</v>
      </c>
      <c r="G79" s="173">
        <v>103.51</v>
      </c>
      <c r="H79" s="173">
        <v>105.63</v>
      </c>
      <c r="I79" s="173">
        <v>101.6</v>
      </c>
      <c r="J79" s="174">
        <v>338769400</v>
      </c>
      <c r="K79" s="173">
        <v>153.13</v>
      </c>
      <c r="L79">
        <v>90.69</v>
      </c>
    </row>
    <row r="80" spans="1:12" x14ac:dyDescent="0.3">
      <c r="A80" s="172">
        <v>45749</v>
      </c>
      <c r="B80" s="172" t="str">
        <f t="shared" si="4"/>
        <v>Wednesday</v>
      </c>
      <c r="C80" s="172" t="str">
        <f t="shared" si="5"/>
        <v>April</v>
      </c>
      <c r="D80" s="172" t="str">
        <f t="shared" si="6"/>
        <v>2025</v>
      </c>
      <c r="E80" s="172" t="str">
        <f t="shared" si="7"/>
        <v>Q2</v>
      </c>
      <c r="F80" s="173">
        <v>110.42</v>
      </c>
      <c r="G80" s="173">
        <v>107.29</v>
      </c>
      <c r="H80" s="173">
        <v>111.98</v>
      </c>
      <c r="I80" s="173">
        <v>106.79</v>
      </c>
      <c r="J80" s="174">
        <v>220601200</v>
      </c>
      <c r="K80" s="173">
        <v>153.13</v>
      </c>
      <c r="L80">
        <v>90.69</v>
      </c>
    </row>
    <row r="81" spans="1:12" x14ac:dyDescent="0.3">
      <c r="A81" s="172">
        <v>45748</v>
      </c>
      <c r="B81" s="172" t="str">
        <f t="shared" si="4"/>
        <v>Tuesday</v>
      </c>
      <c r="C81" s="172" t="str">
        <f t="shared" si="5"/>
        <v>April</v>
      </c>
      <c r="D81" s="172" t="str">
        <f t="shared" si="6"/>
        <v>2025</v>
      </c>
      <c r="E81" s="172" t="str">
        <f t="shared" si="7"/>
        <v>Q1</v>
      </c>
      <c r="F81" s="173">
        <v>110.15</v>
      </c>
      <c r="G81" s="173">
        <v>108.515</v>
      </c>
      <c r="H81" s="173">
        <v>110.2</v>
      </c>
      <c r="I81" s="173">
        <v>106.47</v>
      </c>
      <c r="J81" s="174">
        <v>222614000</v>
      </c>
      <c r="K81" s="173">
        <v>153.13</v>
      </c>
      <c r="L81">
        <v>90.69</v>
      </c>
    </row>
    <row r="82" spans="1:12" x14ac:dyDescent="0.3">
      <c r="A82" s="172">
        <v>45747</v>
      </c>
      <c r="B82" s="172" t="str">
        <f t="shared" si="4"/>
        <v>Monday</v>
      </c>
      <c r="C82" s="172" t="str">
        <f t="shared" si="5"/>
        <v>March</v>
      </c>
      <c r="D82" s="172" t="str">
        <f t="shared" si="6"/>
        <v>2025</v>
      </c>
      <c r="E82" s="172" t="str">
        <f t="shared" si="7"/>
        <v>Q1</v>
      </c>
      <c r="F82" s="173">
        <v>108.38</v>
      </c>
      <c r="G82" s="173">
        <v>105.13</v>
      </c>
      <c r="H82" s="173">
        <v>110.955</v>
      </c>
      <c r="I82" s="173">
        <v>103.65</v>
      </c>
      <c r="J82" s="174">
        <v>299212700</v>
      </c>
      <c r="K82" s="173">
        <v>153.13</v>
      </c>
      <c r="L82">
        <v>90.69</v>
      </c>
    </row>
    <row r="83" spans="1:12" x14ac:dyDescent="0.3">
      <c r="A83" s="172">
        <v>45744</v>
      </c>
      <c r="B83" s="172" t="str">
        <f t="shared" si="4"/>
        <v>Friday</v>
      </c>
      <c r="C83" s="172" t="str">
        <f t="shared" si="5"/>
        <v>March</v>
      </c>
      <c r="D83" s="172" t="str">
        <f t="shared" si="6"/>
        <v>2025</v>
      </c>
      <c r="E83" s="172" t="str">
        <f t="shared" si="7"/>
        <v>Q1</v>
      </c>
      <c r="F83" s="173">
        <v>109.67</v>
      </c>
      <c r="G83" s="173">
        <v>111.485</v>
      </c>
      <c r="H83" s="173">
        <v>112.87</v>
      </c>
      <c r="I83" s="173">
        <v>109.0701</v>
      </c>
      <c r="J83" s="174">
        <v>229872500</v>
      </c>
      <c r="K83" s="173">
        <v>153.13</v>
      </c>
      <c r="L83">
        <v>90.69</v>
      </c>
    </row>
    <row r="84" spans="1:12" x14ac:dyDescent="0.3">
      <c r="A84" s="172">
        <v>45743</v>
      </c>
      <c r="B84" s="172" t="str">
        <f t="shared" si="4"/>
        <v>Thursday</v>
      </c>
      <c r="C84" s="172" t="str">
        <f t="shared" si="5"/>
        <v>March</v>
      </c>
      <c r="D84" s="172" t="str">
        <f t="shared" si="6"/>
        <v>2025</v>
      </c>
      <c r="E84" s="172" t="str">
        <f t="shared" si="7"/>
        <v>Q1</v>
      </c>
      <c r="F84" s="173">
        <v>111.43</v>
      </c>
      <c r="G84" s="173">
        <v>111.35</v>
      </c>
      <c r="H84" s="173">
        <v>114.45</v>
      </c>
      <c r="I84" s="173">
        <v>110.66</v>
      </c>
      <c r="J84" s="174">
        <v>236902100</v>
      </c>
      <c r="K84" s="173">
        <v>153.13</v>
      </c>
      <c r="L84">
        <v>90.69</v>
      </c>
    </row>
    <row r="85" spans="1:12" x14ac:dyDescent="0.3">
      <c r="A85" s="172">
        <v>45742</v>
      </c>
      <c r="B85" s="172" t="str">
        <f t="shared" si="4"/>
        <v>Wednesday</v>
      </c>
      <c r="C85" s="172" t="str">
        <f t="shared" si="5"/>
        <v>March</v>
      </c>
      <c r="D85" s="172" t="str">
        <f t="shared" si="6"/>
        <v>2025</v>
      </c>
      <c r="E85" s="172" t="str">
        <f t="shared" si="7"/>
        <v>Q1</v>
      </c>
      <c r="F85" s="173">
        <v>113.76</v>
      </c>
      <c r="G85" s="173">
        <v>118.73</v>
      </c>
      <c r="H85" s="173">
        <v>118.84</v>
      </c>
      <c r="I85" s="173">
        <v>112.71</v>
      </c>
      <c r="J85" s="174">
        <v>296431700</v>
      </c>
      <c r="K85" s="173">
        <v>153.13</v>
      </c>
      <c r="L85">
        <v>90.69</v>
      </c>
    </row>
    <row r="86" spans="1:12" x14ac:dyDescent="0.3">
      <c r="A86" s="172">
        <v>45741</v>
      </c>
      <c r="B86" s="172" t="str">
        <f t="shared" si="4"/>
        <v>Tuesday</v>
      </c>
      <c r="C86" s="172" t="str">
        <f t="shared" si="5"/>
        <v>March</v>
      </c>
      <c r="D86" s="172" t="str">
        <f t="shared" si="6"/>
        <v>2025</v>
      </c>
      <c r="E86" s="172" t="str">
        <f t="shared" si="7"/>
        <v>Q1</v>
      </c>
      <c r="F86" s="173">
        <v>120.69</v>
      </c>
      <c r="G86" s="173">
        <v>120.545</v>
      </c>
      <c r="H86" s="173">
        <v>121.29</v>
      </c>
      <c r="I86" s="173">
        <v>118.92</v>
      </c>
      <c r="J86" s="174">
        <v>167447200</v>
      </c>
      <c r="K86" s="173">
        <v>153.13</v>
      </c>
      <c r="L86">
        <v>90.69</v>
      </c>
    </row>
    <row r="87" spans="1:12" x14ac:dyDescent="0.3">
      <c r="A87" s="172">
        <v>45740</v>
      </c>
      <c r="B87" s="172" t="str">
        <f t="shared" si="4"/>
        <v>Monday</v>
      </c>
      <c r="C87" s="172" t="str">
        <f t="shared" si="5"/>
        <v>March</v>
      </c>
      <c r="D87" s="172" t="str">
        <f t="shared" si="6"/>
        <v>2025</v>
      </c>
      <c r="E87" s="172" t="str">
        <f t="shared" si="7"/>
        <v>Q1</v>
      </c>
      <c r="F87" s="173">
        <v>121.41</v>
      </c>
      <c r="G87" s="173">
        <v>119.88</v>
      </c>
      <c r="H87" s="173">
        <v>122.22</v>
      </c>
      <c r="I87" s="173">
        <v>119.34</v>
      </c>
      <c r="J87" s="174">
        <v>228452500</v>
      </c>
      <c r="K87" s="173">
        <v>153.13</v>
      </c>
      <c r="L87">
        <v>90.69</v>
      </c>
    </row>
    <row r="88" spans="1:12" x14ac:dyDescent="0.3">
      <c r="A88" s="172">
        <v>45737</v>
      </c>
      <c r="B88" s="172" t="str">
        <f t="shared" si="4"/>
        <v>Friday</v>
      </c>
      <c r="C88" s="172" t="str">
        <f t="shared" si="5"/>
        <v>March</v>
      </c>
      <c r="D88" s="172" t="str">
        <f t="shared" si="6"/>
        <v>2025</v>
      </c>
      <c r="E88" s="172" t="str">
        <f t="shared" si="7"/>
        <v>Q1</v>
      </c>
      <c r="F88" s="173">
        <v>117.7</v>
      </c>
      <c r="G88" s="173">
        <v>116.94</v>
      </c>
      <c r="H88" s="173">
        <v>117.99</v>
      </c>
      <c r="I88" s="173">
        <v>115.42</v>
      </c>
      <c r="J88" s="174">
        <v>266498500</v>
      </c>
      <c r="K88" s="173">
        <v>153.13</v>
      </c>
      <c r="L88">
        <v>90.69</v>
      </c>
    </row>
    <row r="89" spans="1:12" x14ac:dyDescent="0.3">
      <c r="A89" s="172">
        <v>45736</v>
      </c>
      <c r="B89" s="172" t="str">
        <f t="shared" si="4"/>
        <v>Thursday</v>
      </c>
      <c r="C89" s="172" t="str">
        <f t="shared" si="5"/>
        <v>March</v>
      </c>
      <c r="D89" s="172" t="str">
        <f t="shared" si="6"/>
        <v>2025</v>
      </c>
      <c r="E89" s="172" t="str">
        <f t="shared" si="7"/>
        <v>Q1</v>
      </c>
      <c r="F89" s="173">
        <v>118.53</v>
      </c>
      <c r="G89" s="173">
        <v>116.55</v>
      </c>
      <c r="H89" s="173">
        <v>120.2</v>
      </c>
      <c r="I89" s="173">
        <v>116.47</v>
      </c>
      <c r="J89" s="174">
        <v>248829700</v>
      </c>
      <c r="K89" s="173">
        <v>153.13</v>
      </c>
      <c r="L89">
        <v>90.69</v>
      </c>
    </row>
    <row r="90" spans="1:12" x14ac:dyDescent="0.3">
      <c r="A90" s="172">
        <v>45735</v>
      </c>
      <c r="B90" s="172" t="str">
        <f t="shared" si="4"/>
        <v>Wednesday</v>
      </c>
      <c r="C90" s="172" t="str">
        <f t="shared" si="5"/>
        <v>March</v>
      </c>
      <c r="D90" s="172" t="str">
        <f t="shared" si="6"/>
        <v>2025</v>
      </c>
      <c r="E90" s="172" t="str">
        <f t="shared" si="7"/>
        <v>Q1</v>
      </c>
      <c r="F90" s="173">
        <v>117.52</v>
      </c>
      <c r="G90" s="173">
        <v>117.27</v>
      </c>
      <c r="H90" s="173">
        <v>120.44499999999999</v>
      </c>
      <c r="I90" s="173">
        <v>115.68</v>
      </c>
      <c r="J90" s="174">
        <v>273426200</v>
      </c>
      <c r="K90" s="173">
        <v>153.13</v>
      </c>
      <c r="L90">
        <v>90.69</v>
      </c>
    </row>
    <row r="91" spans="1:12" x14ac:dyDescent="0.3">
      <c r="A91" s="172">
        <v>45734</v>
      </c>
      <c r="B91" s="172" t="str">
        <f t="shared" si="4"/>
        <v>Tuesday</v>
      </c>
      <c r="C91" s="172" t="str">
        <f t="shared" si="5"/>
        <v>March</v>
      </c>
      <c r="D91" s="172" t="str">
        <f t="shared" si="6"/>
        <v>2025</v>
      </c>
      <c r="E91" s="172" t="str">
        <f t="shared" si="7"/>
        <v>Q1</v>
      </c>
      <c r="F91" s="173">
        <v>115.43</v>
      </c>
      <c r="G91" s="173">
        <v>118</v>
      </c>
      <c r="H91" s="173">
        <v>119.02</v>
      </c>
      <c r="I91" s="173">
        <v>114.54</v>
      </c>
      <c r="J91" s="174">
        <v>299686900</v>
      </c>
      <c r="K91" s="173">
        <v>153.13</v>
      </c>
      <c r="L91">
        <v>90.69</v>
      </c>
    </row>
    <row r="92" spans="1:12" x14ac:dyDescent="0.3">
      <c r="A92" s="172">
        <v>45733</v>
      </c>
      <c r="B92" s="172" t="str">
        <f t="shared" si="4"/>
        <v>Monday</v>
      </c>
      <c r="C92" s="172" t="str">
        <f t="shared" si="5"/>
        <v>March</v>
      </c>
      <c r="D92" s="172" t="str">
        <f t="shared" si="6"/>
        <v>2025</v>
      </c>
      <c r="E92" s="172" t="str">
        <f t="shared" si="7"/>
        <v>Q1</v>
      </c>
      <c r="F92" s="173">
        <v>119.53</v>
      </c>
      <c r="G92" s="173">
        <v>122.74</v>
      </c>
      <c r="H92" s="173">
        <v>122.89</v>
      </c>
      <c r="I92" s="173">
        <v>118.03</v>
      </c>
      <c r="J92" s="174">
        <v>255501500</v>
      </c>
      <c r="K92" s="173">
        <v>153.13</v>
      </c>
      <c r="L92">
        <v>90.69</v>
      </c>
    </row>
    <row r="93" spans="1:12" x14ac:dyDescent="0.3">
      <c r="A93" s="172">
        <v>45730</v>
      </c>
      <c r="B93" s="172" t="str">
        <f t="shared" si="4"/>
        <v>Friday</v>
      </c>
      <c r="C93" s="172" t="str">
        <f t="shared" si="5"/>
        <v>March</v>
      </c>
      <c r="D93" s="172" t="str">
        <f t="shared" si="6"/>
        <v>2025</v>
      </c>
      <c r="E93" s="172" t="str">
        <f t="shared" si="7"/>
        <v>Q1</v>
      </c>
      <c r="F93" s="173">
        <v>121.67</v>
      </c>
      <c r="G93" s="173">
        <v>118.61</v>
      </c>
      <c r="H93" s="173">
        <v>121.88</v>
      </c>
      <c r="I93" s="173">
        <v>118.15</v>
      </c>
      <c r="J93" s="174">
        <v>277593500</v>
      </c>
      <c r="K93" s="173">
        <v>153.13</v>
      </c>
      <c r="L93">
        <v>90.69</v>
      </c>
    </row>
    <row r="94" spans="1:12" x14ac:dyDescent="0.3">
      <c r="A94" s="172">
        <v>45729</v>
      </c>
      <c r="B94" s="172" t="str">
        <f t="shared" si="4"/>
        <v>Thursday</v>
      </c>
      <c r="C94" s="172" t="str">
        <f t="shared" si="5"/>
        <v>March</v>
      </c>
      <c r="D94" s="172" t="str">
        <f t="shared" si="6"/>
        <v>2025</v>
      </c>
      <c r="E94" s="172" t="str">
        <f t="shared" si="7"/>
        <v>Q1</v>
      </c>
      <c r="F94" s="173">
        <v>115.58</v>
      </c>
      <c r="G94" s="173">
        <v>117.03</v>
      </c>
      <c r="H94" s="173">
        <v>117.76</v>
      </c>
      <c r="I94" s="173">
        <v>113.79</v>
      </c>
      <c r="J94" s="174">
        <v>299033100</v>
      </c>
      <c r="K94" s="173">
        <v>153.13</v>
      </c>
      <c r="L94">
        <v>90.69</v>
      </c>
    </row>
    <row r="95" spans="1:12" x14ac:dyDescent="0.3">
      <c r="A95" s="172">
        <v>45728</v>
      </c>
      <c r="B95" s="172" t="str">
        <f t="shared" si="4"/>
        <v>Wednesday</v>
      </c>
      <c r="C95" s="172" t="str">
        <f t="shared" si="5"/>
        <v>March</v>
      </c>
      <c r="D95" s="172" t="str">
        <f t="shared" si="6"/>
        <v>2025</v>
      </c>
      <c r="E95" s="172" t="str">
        <f t="shared" si="7"/>
        <v>Q1</v>
      </c>
      <c r="F95" s="173">
        <v>115.74</v>
      </c>
      <c r="G95" s="173">
        <v>114.12</v>
      </c>
      <c r="H95" s="173">
        <v>116.76</v>
      </c>
      <c r="I95" s="173">
        <v>112.88</v>
      </c>
      <c r="J95" s="174">
        <v>323857500</v>
      </c>
      <c r="K95" s="173">
        <v>153.13</v>
      </c>
      <c r="L95">
        <v>90.69</v>
      </c>
    </row>
    <row r="96" spans="1:12" x14ac:dyDescent="0.3">
      <c r="A96" s="172">
        <v>45727</v>
      </c>
      <c r="B96" s="172" t="str">
        <f t="shared" si="4"/>
        <v>Tuesday</v>
      </c>
      <c r="C96" s="172" t="str">
        <f t="shared" si="5"/>
        <v>March</v>
      </c>
      <c r="D96" s="172" t="str">
        <f t="shared" si="6"/>
        <v>2025</v>
      </c>
      <c r="E96" s="172" t="str">
        <f t="shared" si="7"/>
        <v>Q1</v>
      </c>
      <c r="F96" s="173">
        <v>108.76</v>
      </c>
      <c r="G96" s="173">
        <v>106.99</v>
      </c>
      <c r="H96" s="173">
        <v>112.236</v>
      </c>
      <c r="I96" s="173">
        <v>104.77</v>
      </c>
      <c r="J96" s="174">
        <v>354865700</v>
      </c>
      <c r="K96" s="173">
        <v>153.13</v>
      </c>
      <c r="L96">
        <v>90.69</v>
      </c>
    </row>
    <row r="97" spans="1:12" x14ac:dyDescent="0.3">
      <c r="A97" s="172">
        <v>45726</v>
      </c>
      <c r="B97" s="172" t="str">
        <f t="shared" si="4"/>
        <v>Monday</v>
      </c>
      <c r="C97" s="172" t="str">
        <f t="shared" si="5"/>
        <v>March</v>
      </c>
      <c r="D97" s="172" t="str">
        <f t="shared" si="6"/>
        <v>2025</v>
      </c>
      <c r="E97" s="172" t="str">
        <f t="shared" si="7"/>
        <v>Q1</v>
      </c>
      <c r="F97" s="173">
        <v>106.98</v>
      </c>
      <c r="G97" s="173">
        <v>109.9</v>
      </c>
      <c r="H97" s="173">
        <v>111.85</v>
      </c>
      <c r="I97" s="173">
        <v>105.46</v>
      </c>
      <c r="J97" s="174">
        <v>366487400</v>
      </c>
      <c r="K97" s="173">
        <v>153.13</v>
      </c>
      <c r="L97">
        <v>90.69</v>
      </c>
    </row>
    <row r="98" spans="1:12" x14ac:dyDescent="0.3">
      <c r="A98" s="172">
        <v>45723</v>
      </c>
      <c r="B98" s="172" t="str">
        <f t="shared" si="4"/>
        <v>Friday</v>
      </c>
      <c r="C98" s="172" t="str">
        <f t="shared" si="5"/>
        <v>March</v>
      </c>
      <c r="D98" s="172" t="str">
        <f t="shared" si="6"/>
        <v>2025</v>
      </c>
      <c r="E98" s="172" t="str">
        <f t="shared" si="7"/>
        <v>Q1</v>
      </c>
      <c r="F98" s="173">
        <v>112.69</v>
      </c>
      <c r="G98" s="173">
        <v>111.25</v>
      </c>
      <c r="H98" s="173">
        <v>113.48</v>
      </c>
      <c r="I98" s="173">
        <v>107.56</v>
      </c>
      <c r="J98" s="174">
        <v>341755500</v>
      </c>
      <c r="K98" s="173">
        <v>153.13</v>
      </c>
      <c r="L98">
        <v>90.69</v>
      </c>
    </row>
    <row r="99" spans="1:12" x14ac:dyDescent="0.3">
      <c r="A99" s="172">
        <v>45722</v>
      </c>
      <c r="B99" s="172" t="str">
        <f t="shared" si="4"/>
        <v>Thursday</v>
      </c>
      <c r="C99" s="172" t="str">
        <f t="shared" si="5"/>
        <v>March</v>
      </c>
      <c r="D99" s="172" t="str">
        <f t="shared" si="6"/>
        <v>2025</v>
      </c>
      <c r="E99" s="172" t="str">
        <f t="shared" si="7"/>
        <v>Q1</v>
      </c>
      <c r="F99" s="173">
        <v>110.57</v>
      </c>
      <c r="G99" s="173">
        <v>113.53</v>
      </c>
      <c r="H99" s="173">
        <v>115.35</v>
      </c>
      <c r="I99" s="173">
        <v>110.22</v>
      </c>
      <c r="J99" s="174">
        <v>321181900</v>
      </c>
      <c r="K99" s="173">
        <v>153.13</v>
      </c>
      <c r="L99">
        <v>90.69</v>
      </c>
    </row>
    <row r="100" spans="1:12" x14ac:dyDescent="0.3">
      <c r="A100" s="172">
        <v>45721</v>
      </c>
      <c r="B100" s="172" t="str">
        <f t="shared" si="4"/>
        <v>Wednesday</v>
      </c>
      <c r="C100" s="172" t="str">
        <f t="shared" si="5"/>
        <v>March</v>
      </c>
      <c r="D100" s="172" t="str">
        <f t="shared" si="6"/>
        <v>2025</v>
      </c>
      <c r="E100" s="172" t="str">
        <f t="shared" si="7"/>
        <v>Q1</v>
      </c>
      <c r="F100" s="173">
        <v>117.3</v>
      </c>
      <c r="G100" s="173">
        <v>117.58</v>
      </c>
      <c r="H100" s="173">
        <v>118.27809999999999</v>
      </c>
      <c r="I100" s="173">
        <v>114.51</v>
      </c>
      <c r="J100" s="174">
        <v>284337900</v>
      </c>
      <c r="K100" s="173">
        <v>153.13</v>
      </c>
      <c r="L100">
        <v>90.69</v>
      </c>
    </row>
    <row r="101" spans="1:12" x14ac:dyDescent="0.3">
      <c r="A101" s="172">
        <v>45720</v>
      </c>
      <c r="B101" s="172" t="str">
        <f t="shared" si="4"/>
        <v>Tuesday</v>
      </c>
      <c r="C101" s="172" t="str">
        <f t="shared" si="5"/>
        <v>March</v>
      </c>
      <c r="D101" s="172" t="str">
        <f t="shared" si="6"/>
        <v>2025</v>
      </c>
      <c r="E101" s="172" t="str">
        <f t="shared" si="7"/>
        <v>Q1</v>
      </c>
      <c r="F101" s="173">
        <v>115.99</v>
      </c>
      <c r="G101" s="173">
        <v>110.645</v>
      </c>
      <c r="H101" s="173">
        <v>119.31</v>
      </c>
      <c r="I101" s="173">
        <v>110.11</v>
      </c>
      <c r="J101" s="174">
        <v>398163300</v>
      </c>
      <c r="K101" s="173">
        <v>153.13</v>
      </c>
      <c r="L101">
        <v>90.69</v>
      </c>
    </row>
    <row r="102" spans="1:12" x14ac:dyDescent="0.3">
      <c r="A102" s="172">
        <v>45719</v>
      </c>
      <c r="B102" s="172" t="str">
        <f t="shared" si="4"/>
        <v>Monday</v>
      </c>
      <c r="C102" s="172" t="str">
        <f t="shared" si="5"/>
        <v>March</v>
      </c>
      <c r="D102" s="172" t="str">
        <f t="shared" si="6"/>
        <v>2025</v>
      </c>
      <c r="E102" s="172" t="str">
        <f t="shared" si="7"/>
        <v>Q1</v>
      </c>
      <c r="F102" s="173">
        <v>114.06</v>
      </c>
      <c r="G102" s="173">
        <v>123.51</v>
      </c>
      <c r="H102" s="173">
        <v>123.7</v>
      </c>
      <c r="I102" s="173">
        <v>112.28</v>
      </c>
      <c r="J102" s="174">
        <v>411381400</v>
      </c>
      <c r="K102" s="173">
        <v>153.13</v>
      </c>
      <c r="L102">
        <v>90.69</v>
      </c>
    </row>
    <row r="103" spans="1:12" x14ac:dyDescent="0.3">
      <c r="A103" s="172">
        <v>45716</v>
      </c>
      <c r="B103" s="172" t="str">
        <f t="shared" si="4"/>
        <v>Friday</v>
      </c>
      <c r="C103" s="172" t="str">
        <f t="shared" si="5"/>
        <v>February</v>
      </c>
      <c r="D103" s="172" t="str">
        <f t="shared" si="6"/>
        <v>2025</v>
      </c>
      <c r="E103" s="172" t="str">
        <f t="shared" si="7"/>
        <v>Q1</v>
      </c>
      <c r="F103" s="173">
        <v>124.92</v>
      </c>
      <c r="G103" s="173">
        <v>118.02</v>
      </c>
      <c r="H103" s="173">
        <v>125.09</v>
      </c>
      <c r="I103" s="173">
        <v>116.4</v>
      </c>
      <c r="J103" s="174">
        <v>389091100</v>
      </c>
      <c r="K103" s="173">
        <v>153.13</v>
      </c>
      <c r="L103">
        <v>90.69</v>
      </c>
    </row>
    <row r="104" spans="1:12" x14ac:dyDescent="0.3">
      <c r="A104" s="172">
        <v>45715</v>
      </c>
      <c r="B104" s="172" t="str">
        <f t="shared" si="4"/>
        <v>Thursday</v>
      </c>
      <c r="C104" s="172" t="str">
        <f t="shared" si="5"/>
        <v>February</v>
      </c>
      <c r="D104" s="172" t="str">
        <f t="shared" si="6"/>
        <v>2025</v>
      </c>
      <c r="E104" s="172" t="str">
        <f t="shared" si="7"/>
        <v>Q1</v>
      </c>
      <c r="F104" s="173">
        <v>120.15</v>
      </c>
      <c r="G104" s="173">
        <v>135</v>
      </c>
      <c r="H104" s="173">
        <v>135.01</v>
      </c>
      <c r="I104" s="173">
        <v>120.01</v>
      </c>
      <c r="J104" s="174">
        <v>443175800</v>
      </c>
      <c r="K104" s="173">
        <v>153.13</v>
      </c>
      <c r="L104">
        <v>90.69</v>
      </c>
    </row>
    <row r="105" spans="1:12" x14ac:dyDescent="0.3">
      <c r="A105" s="172">
        <v>45714</v>
      </c>
      <c r="B105" s="172" t="str">
        <f t="shared" si="4"/>
        <v>Wednesday</v>
      </c>
      <c r="C105" s="172" t="str">
        <f t="shared" si="5"/>
        <v>February</v>
      </c>
      <c r="D105" s="172" t="str">
        <f t="shared" si="6"/>
        <v>2025</v>
      </c>
      <c r="E105" s="172" t="str">
        <f t="shared" si="7"/>
        <v>Q1</v>
      </c>
      <c r="F105" s="173">
        <v>131.28</v>
      </c>
      <c r="G105" s="173">
        <v>129.98500000000001</v>
      </c>
      <c r="H105" s="173">
        <v>133.72999999999999</v>
      </c>
      <c r="I105" s="173">
        <v>128.49</v>
      </c>
      <c r="J105" s="174">
        <v>322553800</v>
      </c>
      <c r="K105" s="173">
        <v>153.13</v>
      </c>
      <c r="L105">
        <v>90.69</v>
      </c>
    </row>
    <row r="106" spans="1:12" x14ac:dyDescent="0.3">
      <c r="A106" s="172">
        <v>45713</v>
      </c>
      <c r="B106" s="172" t="str">
        <f t="shared" si="4"/>
        <v>Tuesday</v>
      </c>
      <c r="C106" s="172" t="str">
        <f t="shared" si="5"/>
        <v>February</v>
      </c>
      <c r="D106" s="172" t="str">
        <f t="shared" si="6"/>
        <v>2025</v>
      </c>
      <c r="E106" s="172" t="str">
        <f t="shared" si="7"/>
        <v>Q1</v>
      </c>
      <c r="F106" s="173">
        <v>126.63</v>
      </c>
      <c r="G106" s="173">
        <v>129.97999999999999</v>
      </c>
      <c r="H106" s="173">
        <v>130.19999999999999</v>
      </c>
      <c r="I106" s="173">
        <v>124.44</v>
      </c>
      <c r="J106" s="174">
        <v>271428700</v>
      </c>
      <c r="K106" s="173">
        <v>153.13</v>
      </c>
      <c r="L106">
        <v>90.69</v>
      </c>
    </row>
    <row r="107" spans="1:12" x14ac:dyDescent="0.3">
      <c r="A107" s="172">
        <v>45712</v>
      </c>
      <c r="B107" s="172" t="str">
        <f t="shared" si="4"/>
        <v>Monday</v>
      </c>
      <c r="C107" s="172" t="str">
        <f t="shared" si="5"/>
        <v>February</v>
      </c>
      <c r="D107" s="172" t="str">
        <f t="shared" si="6"/>
        <v>2025</v>
      </c>
      <c r="E107" s="172" t="str">
        <f t="shared" si="7"/>
        <v>Q1</v>
      </c>
      <c r="F107" s="173">
        <v>130.28</v>
      </c>
      <c r="G107" s="173">
        <v>136.56</v>
      </c>
      <c r="H107" s="173">
        <v>138.59</v>
      </c>
      <c r="I107" s="173">
        <v>130.08000000000001</v>
      </c>
      <c r="J107" s="174">
        <v>251381100</v>
      </c>
      <c r="K107" s="173">
        <v>153.13</v>
      </c>
      <c r="L107">
        <v>90.69</v>
      </c>
    </row>
    <row r="108" spans="1:12" x14ac:dyDescent="0.3">
      <c r="A108" s="172">
        <v>45709</v>
      </c>
      <c r="B108" s="172" t="str">
        <f t="shared" si="4"/>
        <v>Friday</v>
      </c>
      <c r="C108" s="172" t="str">
        <f t="shared" si="5"/>
        <v>February</v>
      </c>
      <c r="D108" s="172" t="str">
        <f t="shared" si="6"/>
        <v>2025</v>
      </c>
      <c r="E108" s="172" t="str">
        <f t="shared" si="7"/>
        <v>Q1</v>
      </c>
      <c r="F108" s="173">
        <v>134.43</v>
      </c>
      <c r="G108" s="173">
        <v>140.04</v>
      </c>
      <c r="H108" s="173">
        <v>141.46</v>
      </c>
      <c r="I108" s="173">
        <v>134.03</v>
      </c>
      <c r="J108" s="174">
        <v>228217600</v>
      </c>
      <c r="K108" s="173">
        <v>153.13</v>
      </c>
      <c r="L108">
        <v>90.69</v>
      </c>
    </row>
    <row r="109" spans="1:12" x14ac:dyDescent="0.3">
      <c r="A109" s="172">
        <v>45708</v>
      </c>
      <c r="B109" s="172" t="str">
        <f t="shared" si="4"/>
        <v>Thursday</v>
      </c>
      <c r="C109" s="172" t="str">
        <f t="shared" si="5"/>
        <v>February</v>
      </c>
      <c r="D109" s="172" t="str">
        <f t="shared" si="6"/>
        <v>2025</v>
      </c>
      <c r="E109" s="172" t="str">
        <f t="shared" si="7"/>
        <v>Q1</v>
      </c>
      <c r="F109" s="173">
        <v>140.11000000000001</v>
      </c>
      <c r="G109" s="173">
        <v>140.03</v>
      </c>
      <c r="H109" s="173">
        <v>140.66</v>
      </c>
      <c r="I109" s="173">
        <v>136.7901</v>
      </c>
      <c r="J109" s="174">
        <v>143903600</v>
      </c>
      <c r="K109" s="173">
        <v>153.13</v>
      </c>
      <c r="L109">
        <v>90.69</v>
      </c>
    </row>
    <row r="110" spans="1:12" x14ac:dyDescent="0.3">
      <c r="A110" s="172">
        <v>45707</v>
      </c>
      <c r="B110" s="172" t="str">
        <f t="shared" si="4"/>
        <v>Wednesday</v>
      </c>
      <c r="C110" s="172" t="str">
        <f t="shared" si="5"/>
        <v>February</v>
      </c>
      <c r="D110" s="172" t="str">
        <f t="shared" si="6"/>
        <v>2025</v>
      </c>
      <c r="E110" s="172" t="str">
        <f t="shared" si="7"/>
        <v>Q1</v>
      </c>
      <c r="F110" s="173">
        <v>139.22999999999999</v>
      </c>
      <c r="G110" s="173">
        <v>139.51</v>
      </c>
      <c r="H110" s="173">
        <v>141.36000000000001</v>
      </c>
      <c r="I110" s="173">
        <v>137.22</v>
      </c>
      <c r="J110" s="174">
        <v>167536000</v>
      </c>
      <c r="K110" s="173">
        <v>153.13</v>
      </c>
      <c r="L110">
        <v>90.69</v>
      </c>
    </row>
    <row r="111" spans="1:12" x14ac:dyDescent="0.3">
      <c r="A111" s="172">
        <v>45706</v>
      </c>
      <c r="B111" s="172" t="str">
        <f t="shared" si="4"/>
        <v>Tuesday</v>
      </c>
      <c r="C111" s="172" t="str">
        <f t="shared" si="5"/>
        <v>February</v>
      </c>
      <c r="D111" s="172" t="str">
        <f t="shared" si="6"/>
        <v>2025</v>
      </c>
      <c r="E111" s="172" t="str">
        <f t="shared" si="7"/>
        <v>Q1</v>
      </c>
      <c r="F111" s="173">
        <v>139.4</v>
      </c>
      <c r="G111" s="173">
        <v>141.27000000000001</v>
      </c>
      <c r="H111" s="173">
        <v>143.44</v>
      </c>
      <c r="I111" s="173">
        <v>137.92500000000001</v>
      </c>
      <c r="J111" s="174">
        <v>219176600</v>
      </c>
      <c r="K111" s="173">
        <v>153.13</v>
      </c>
      <c r="L111">
        <v>90.69</v>
      </c>
    </row>
    <row r="112" spans="1:12" x14ac:dyDescent="0.3">
      <c r="A112" s="172">
        <v>45702</v>
      </c>
      <c r="B112" s="172" t="str">
        <f t="shared" si="4"/>
        <v>Friday</v>
      </c>
      <c r="C112" s="172" t="str">
        <f t="shared" si="5"/>
        <v>February</v>
      </c>
      <c r="D112" s="172" t="str">
        <f t="shared" si="6"/>
        <v>2025</v>
      </c>
      <c r="E112" s="172" t="str">
        <f t="shared" si="7"/>
        <v>Q1</v>
      </c>
      <c r="F112" s="173">
        <v>138.85</v>
      </c>
      <c r="G112" s="173">
        <v>136.47999999999999</v>
      </c>
      <c r="H112" s="173">
        <v>139.25</v>
      </c>
      <c r="I112" s="173">
        <v>135.5</v>
      </c>
      <c r="J112" s="174">
        <v>195479600</v>
      </c>
      <c r="K112" s="173">
        <v>153.13</v>
      </c>
      <c r="L112">
        <v>90.69</v>
      </c>
    </row>
    <row r="113" spans="1:12" x14ac:dyDescent="0.3">
      <c r="A113" s="172">
        <v>45701</v>
      </c>
      <c r="B113" s="172" t="str">
        <f t="shared" si="4"/>
        <v>Thursday</v>
      </c>
      <c r="C113" s="172" t="str">
        <f t="shared" si="5"/>
        <v>February</v>
      </c>
      <c r="D113" s="172" t="str">
        <f t="shared" si="6"/>
        <v>2025</v>
      </c>
      <c r="E113" s="172" t="str">
        <f t="shared" si="7"/>
        <v>Q1</v>
      </c>
      <c r="F113" s="173">
        <v>135.29</v>
      </c>
      <c r="G113" s="173">
        <v>131.55500000000001</v>
      </c>
      <c r="H113" s="173">
        <v>136.5</v>
      </c>
      <c r="I113" s="173">
        <v>131.16999999999999</v>
      </c>
      <c r="J113" s="174">
        <v>197430000</v>
      </c>
      <c r="K113" s="173">
        <v>153.13</v>
      </c>
      <c r="L113">
        <v>90.69</v>
      </c>
    </row>
    <row r="114" spans="1:12" x14ac:dyDescent="0.3">
      <c r="A114" s="172">
        <v>45700</v>
      </c>
      <c r="B114" s="172" t="str">
        <f t="shared" si="4"/>
        <v>Wednesday</v>
      </c>
      <c r="C114" s="172" t="str">
        <f t="shared" si="5"/>
        <v>February</v>
      </c>
      <c r="D114" s="172" t="str">
        <f t="shared" si="6"/>
        <v>2025</v>
      </c>
      <c r="E114" s="172" t="str">
        <f t="shared" si="7"/>
        <v>Q1</v>
      </c>
      <c r="F114" s="173">
        <v>131.13999999999999</v>
      </c>
      <c r="G114" s="173">
        <v>130.02000000000001</v>
      </c>
      <c r="H114" s="173">
        <v>132.24</v>
      </c>
      <c r="I114" s="173">
        <v>129.08000000000001</v>
      </c>
      <c r="J114" s="174">
        <v>160278600</v>
      </c>
      <c r="K114" s="173">
        <v>153.13</v>
      </c>
      <c r="L114">
        <v>90.69</v>
      </c>
    </row>
    <row r="115" spans="1:12" x14ac:dyDescent="0.3">
      <c r="A115" s="172">
        <v>45699</v>
      </c>
      <c r="B115" s="172" t="str">
        <f t="shared" si="4"/>
        <v>Tuesday</v>
      </c>
      <c r="C115" s="172" t="str">
        <f t="shared" si="5"/>
        <v>February</v>
      </c>
      <c r="D115" s="172" t="str">
        <f t="shared" si="6"/>
        <v>2025</v>
      </c>
      <c r="E115" s="172" t="str">
        <f t="shared" si="7"/>
        <v>Q1</v>
      </c>
      <c r="F115" s="173">
        <v>132.80000000000001</v>
      </c>
      <c r="G115" s="173">
        <v>132.58000000000001</v>
      </c>
      <c r="H115" s="173">
        <v>134.47999999999999</v>
      </c>
      <c r="I115" s="173">
        <v>131.02000000000001</v>
      </c>
      <c r="J115" s="174">
        <v>178902400</v>
      </c>
      <c r="K115" s="173">
        <v>153.13</v>
      </c>
      <c r="L115">
        <v>90.69</v>
      </c>
    </row>
    <row r="116" spans="1:12" x14ac:dyDescent="0.3">
      <c r="A116" s="172">
        <v>45698</v>
      </c>
      <c r="B116" s="172" t="str">
        <f t="shared" si="4"/>
        <v>Monday</v>
      </c>
      <c r="C116" s="172" t="str">
        <f t="shared" si="5"/>
        <v>February</v>
      </c>
      <c r="D116" s="172" t="str">
        <f t="shared" si="6"/>
        <v>2025</v>
      </c>
      <c r="E116" s="172" t="str">
        <f t="shared" si="7"/>
        <v>Q1</v>
      </c>
      <c r="F116" s="173">
        <v>133.57</v>
      </c>
      <c r="G116" s="173">
        <v>130.09</v>
      </c>
      <c r="H116" s="173">
        <v>135</v>
      </c>
      <c r="I116" s="173">
        <v>129.96</v>
      </c>
      <c r="J116" s="174">
        <v>216989100</v>
      </c>
      <c r="K116" s="173">
        <v>153.13</v>
      </c>
      <c r="L116">
        <v>90.69</v>
      </c>
    </row>
    <row r="117" spans="1:12" x14ac:dyDescent="0.3">
      <c r="A117" s="172">
        <v>45695</v>
      </c>
      <c r="B117" s="172" t="str">
        <f t="shared" si="4"/>
        <v>Friday</v>
      </c>
      <c r="C117" s="172" t="str">
        <f t="shared" si="5"/>
        <v>February</v>
      </c>
      <c r="D117" s="172" t="str">
        <f t="shared" si="6"/>
        <v>2025</v>
      </c>
      <c r="E117" s="172" t="str">
        <f t="shared" si="7"/>
        <v>Q1</v>
      </c>
      <c r="F117" s="173">
        <v>129.84</v>
      </c>
      <c r="G117" s="173">
        <v>129.22</v>
      </c>
      <c r="H117" s="173">
        <v>130.37</v>
      </c>
      <c r="I117" s="173">
        <v>125</v>
      </c>
      <c r="J117" s="174">
        <v>228186300</v>
      </c>
      <c r="K117" s="173">
        <v>153.13</v>
      </c>
      <c r="L117">
        <v>90.69</v>
      </c>
    </row>
    <row r="118" spans="1:12" x14ac:dyDescent="0.3">
      <c r="A118" s="172">
        <v>45694</v>
      </c>
      <c r="B118" s="172" t="str">
        <f t="shared" si="4"/>
        <v>Thursday</v>
      </c>
      <c r="C118" s="172" t="str">
        <f t="shared" si="5"/>
        <v>February</v>
      </c>
      <c r="D118" s="172" t="str">
        <f t="shared" si="6"/>
        <v>2025</v>
      </c>
      <c r="E118" s="172" t="str">
        <f t="shared" si="7"/>
        <v>Q1</v>
      </c>
      <c r="F118" s="173">
        <v>128.68</v>
      </c>
      <c r="G118" s="173">
        <v>127.42</v>
      </c>
      <c r="H118" s="173">
        <v>128.77000000000001</v>
      </c>
      <c r="I118" s="173">
        <v>125.21</v>
      </c>
      <c r="J118" s="174">
        <v>251483600</v>
      </c>
      <c r="K118" s="173">
        <v>153.13</v>
      </c>
      <c r="L118">
        <v>90.69</v>
      </c>
    </row>
    <row r="119" spans="1:12" x14ac:dyDescent="0.3">
      <c r="A119" s="172">
        <v>45693</v>
      </c>
      <c r="B119" s="172" t="str">
        <f t="shared" si="4"/>
        <v>Wednesday</v>
      </c>
      <c r="C119" s="172" t="str">
        <f t="shared" si="5"/>
        <v>February</v>
      </c>
      <c r="D119" s="172" t="str">
        <f t="shared" si="6"/>
        <v>2025</v>
      </c>
      <c r="E119" s="172" t="str">
        <f t="shared" si="7"/>
        <v>Q1</v>
      </c>
      <c r="F119" s="173">
        <v>124.83</v>
      </c>
      <c r="G119" s="173">
        <v>121.76</v>
      </c>
      <c r="H119" s="173">
        <v>125</v>
      </c>
      <c r="I119" s="173">
        <v>120.76</v>
      </c>
      <c r="J119" s="174">
        <v>263110600</v>
      </c>
      <c r="K119" s="173">
        <v>153.13</v>
      </c>
      <c r="L119">
        <v>90.69</v>
      </c>
    </row>
    <row r="120" spans="1:12" x14ac:dyDescent="0.3">
      <c r="A120" s="172">
        <v>45692</v>
      </c>
      <c r="B120" s="172" t="str">
        <f t="shared" si="4"/>
        <v>Tuesday</v>
      </c>
      <c r="C120" s="172" t="str">
        <f t="shared" si="5"/>
        <v>February</v>
      </c>
      <c r="D120" s="172" t="str">
        <f t="shared" si="6"/>
        <v>2025</v>
      </c>
      <c r="E120" s="172" t="str">
        <f t="shared" si="7"/>
        <v>Q1</v>
      </c>
      <c r="F120" s="173">
        <v>118.65</v>
      </c>
      <c r="G120" s="173">
        <v>116.96</v>
      </c>
      <c r="H120" s="173">
        <v>121.2</v>
      </c>
      <c r="I120" s="173">
        <v>116.7</v>
      </c>
      <c r="J120" s="174">
        <v>256550000</v>
      </c>
      <c r="K120" s="173">
        <v>153.13</v>
      </c>
      <c r="L120">
        <v>90.69</v>
      </c>
    </row>
    <row r="121" spans="1:12" x14ac:dyDescent="0.3">
      <c r="A121" s="172">
        <v>45691</v>
      </c>
      <c r="B121" s="172" t="str">
        <f t="shared" si="4"/>
        <v>Monday</v>
      </c>
      <c r="C121" s="172" t="str">
        <f t="shared" si="5"/>
        <v>February</v>
      </c>
      <c r="D121" s="172" t="str">
        <f t="shared" si="6"/>
        <v>2025</v>
      </c>
      <c r="E121" s="172" t="str">
        <f t="shared" si="7"/>
        <v>Q1</v>
      </c>
      <c r="F121" s="173">
        <v>116.66</v>
      </c>
      <c r="G121" s="173">
        <v>114.75</v>
      </c>
      <c r="H121" s="173">
        <v>118.57</v>
      </c>
      <c r="I121" s="173">
        <v>113.01</v>
      </c>
      <c r="J121" s="174">
        <v>371235700</v>
      </c>
      <c r="K121" s="173">
        <v>153.13</v>
      </c>
      <c r="L121">
        <v>90.69</v>
      </c>
    </row>
    <row r="122" spans="1:12" x14ac:dyDescent="0.3">
      <c r="A122" s="172">
        <v>45688</v>
      </c>
      <c r="B122" s="172" t="str">
        <f t="shared" si="4"/>
        <v>Friday</v>
      </c>
      <c r="C122" s="172" t="str">
        <f t="shared" si="5"/>
        <v>January</v>
      </c>
      <c r="D122" s="172" t="str">
        <f t="shared" si="6"/>
        <v>2025</v>
      </c>
      <c r="E122" s="172" t="str">
        <f t="shared" si="7"/>
        <v>Q1</v>
      </c>
      <c r="F122" s="173">
        <v>120.07</v>
      </c>
      <c r="G122" s="173">
        <v>123.78</v>
      </c>
      <c r="H122" s="173">
        <v>127.85</v>
      </c>
      <c r="I122" s="173">
        <v>119.19</v>
      </c>
      <c r="J122" s="174">
        <v>390372900</v>
      </c>
      <c r="K122" s="173">
        <v>153.13</v>
      </c>
      <c r="L122">
        <v>90.69</v>
      </c>
    </row>
    <row r="123" spans="1:12" x14ac:dyDescent="0.3">
      <c r="A123" s="172">
        <v>45687</v>
      </c>
      <c r="B123" s="172" t="str">
        <f t="shared" si="4"/>
        <v>Thursday</v>
      </c>
      <c r="C123" s="172" t="str">
        <f t="shared" si="5"/>
        <v>January</v>
      </c>
      <c r="D123" s="172" t="str">
        <f t="shared" si="6"/>
        <v>2025</v>
      </c>
      <c r="E123" s="172" t="str">
        <f t="shared" si="7"/>
        <v>Q1</v>
      </c>
      <c r="F123" s="173">
        <v>124.65</v>
      </c>
      <c r="G123" s="173">
        <v>123.1</v>
      </c>
      <c r="H123" s="173">
        <v>125</v>
      </c>
      <c r="I123" s="173">
        <v>118.1</v>
      </c>
      <c r="J123" s="174">
        <v>392925500</v>
      </c>
      <c r="K123" s="173">
        <v>153.13</v>
      </c>
      <c r="L123">
        <v>90.69</v>
      </c>
    </row>
    <row r="124" spans="1:12" x14ac:dyDescent="0.3">
      <c r="A124" s="172">
        <v>45686</v>
      </c>
      <c r="B124" s="172" t="str">
        <f t="shared" si="4"/>
        <v>Wednesday</v>
      </c>
      <c r="C124" s="172" t="str">
        <f t="shared" si="5"/>
        <v>January</v>
      </c>
      <c r="D124" s="172" t="str">
        <f t="shared" si="6"/>
        <v>2025</v>
      </c>
      <c r="E124" s="172" t="str">
        <f t="shared" si="7"/>
        <v>Q1</v>
      </c>
      <c r="F124" s="173">
        <v>123.7</v>
      </c>
      <c r="G124" s="173">
        <v>126.5</v>
      </c>
      <c r="H124" s="173">
        <v>126.89</v>
      </c>
      <c r="I124" s="173">
        <v>120.05</v>
      </c>
      <c r="J124" s="174">
        <v>467120600</v>
      </c>
      <c r="K124" s="173">
        <v>153.13</v>
      </c>
      <c r="L124">
        <v>90.69</v>
      </c>
    </row>
    <row r="125" spans="1:12" x14ac:dyDescent="0.3">
      <c r="A125" s="172">
        <v>45685</v>
      </c>
      <c r="B125" s="172" t="str">
        <f t="shared" si="4"/>
        <v>Tuesday</v>
      </c>
      <c r="C125" s="172" t="str">
        <f t="shared" si="5"/>
        <v>January</v>
      </c>
      <c r="D125" s="172" t="str">
        <f t="shared" si="6"/>
        <v>2025</v>
      </c>
      <c r="E125" s="172" t="str">
        <f t="shared" si="7"/>
        <v>Q1</v>
      </c>
      <c r="F125" s="173">
        <v>128.99</v>
      </c>
      <c r="G125" s="173">
        <v>121.81</v>
      </c>
      <c r="H125" s="173">
        <v>129</v>
      </c>
      <c r="I125" s="173">
        <v>116.25</v>
      </c>
      <c r="J125" s="174">
        <v>579666400</v>
      </c>
      <c r="K125" s="173">
        <v>153.13</v>
      </c>
      <c r="L125">
        <v>90.69</v>
      </c>
    </row>
    <row r="126" spans="1:12" x14ac:dyDescent="0.3">
      <c r="A126" s="172">
        <v>45684</v>
      </c>
      <c r="B126" s="172" t="str">
        <f t="shared" si="4"/>
        <v>Monday</v>
      </c>
      <c r="C126" s="172" t="str">
        <f t="shared" si="5"/>
        <v>January</v>
      </c>
      <c r="D126" s="172" t="str">
        <f t="shared" si="6"/>
        <v>2025</v>
      </c>
      <c r="E126" s="172" t="str">
        <f t="shared" si="7"/>
        <v>Q1</v>
      </c>
      <c r="F126" s="173">
        <v>118.42</v>
      </c>
      <c r="G126" s="173">
        <v>124.8</v>
      </c>
      <c r="H126" s="173">
        <v>128.4</v>
      </c>
      <c r="I126" s="173">
        <v>116.7</v>
      </c>
      <c r="J126" s="174">
        <v>818830900</v>
      </c>
      <c r="K126" s="173">
        <v>153.13</v>
      </c>
      <c r="L126">
        <v>90.69</v>
      </c>
    </row>
    <row r="127" spans="1:12" x14ac:dyDescent="0.3">
      <c r="A127" s="172">
        <v>45681</v>
      </c>
      <c r="B127" s="172" t="str">
        <f t="shared" si="4"/>
        <v>Friday</v>
      </c>
      <c r="C127" s="172" t="str">
        <f t="shared" si="5"/>
        <v>January</v>
      </c>
      <c r="D127" s="172" t="str">
        <f t="shared" si="6"/>
        <v>2025</v>
      </c>
      <c r="E127" s="172" t="str">
        <f t="shared" si="7"/>
        <v>Q1</v>
      </c>
      <c r="F127" s="173">
        <v>142.62</v>
      </c>
      <c r="G127" s="173">
        <v>148.37</v>
      </c>
      <c r="H127" s="173">
        <v>148.97</v>
      </c>
      <c r="I127" s="173">
        <v>141.88</v>
      </c>
      <c r="J127" s="174">
        <v>234657600</v>
      </c>
      <c r="K127" s="173">
        <v>153.13</v>
      </c>
      <c r="L127">
        <v>90.69</v>
      </c>
    </row>
    <row r="128" spans="1:12" x14ac:dyDescent="0.3">
      <c r="A128" s="172">
        <v>45680</v>
      </c>
      <c r="B128" s="172" t="str">
        <f t="shared" si="4"/>
        <v>Thursday</v>
      </c>
      <c r="C128" s="172" t="str">
        <f t="shared" si="5"/>
        <v>January</v>
      </c>
      <c r="D128" s="172" t="str">
        <f t="shared" si="6"/>
        <v>2025</v>
      </c>
      <c r="E128" s="172" t="str">
        <f t="shared" si="7"/>
        <v>Q1</v>
      </c>
      <c r="F128" s="173">
        <v>147.22</v>
      </c>
      <c r="G128" s="173">
        <v>145.05000000000001</v>
      </c>
      <c r="H128" s="173">
        <v>147.22999999999999</v>
      </c>
      <c r="I128" s="173">
        <v>143.72</v>
      </c>
      <c r="J128" s="174">
        <v>155915500</v>
      </c>
      <c r="K128" s="173">
        <v>153.13</v>
      </c>
      <c r="L128">
        <v>90.69</v>
      </c>
    </row>
    <row r="129" spans="1:12" x14ac:dyDescent="0.3">
      <c r="A129" s="172">
        <v>45679</v>
      </c>
      <c r="B129" s="172" t="str">
        <f t="shared" si="4"/>
        <v>Wednesday</v>
      </c>
      <c r="C129" s="172" t="str">
        <f t="shared" si="5"/>
        <v>January</v>
      </c>
      <c r="D129" s="172" t="str">
        <f t="shared" si="6"/>
        <v>2025</v>
      </c>
      <c r="E129" s="172" t="str">
        <f t="shared" si="7"/>
        <v>Q1</v>
      </c>
      <c r="F129" s="173">
        <v>147.07</v>
      </c>
      <c r="G129" s="173">
        <v>144.66</v>
      </c>
      <c r="H129" s="173">
        <v>147.79</v>
      </c>
      <c r="I129" s="173">
        <v>143.66999999999999</v>
      </c>
      <c r="J129" s="174">
        <v>237651400</v>
      </c>
      <c r="K129" s="173">
        <v>153.13</v>
      </c>
      <c r="L129">
        <v>90.69</v>
      </c>
    </row>
    <row r="130" spans="1:12" x14ac:dyDescent="0.3">
      <c r="A130" s="172">
        <v>45678</v>
      </c>
      <c r="B130" s="172" t="str">
        <f t="shared" ref="B130:B193" si="8">TEXT(A130,"dddd")</f>
        <v>Tuesday</v>
      </c>
      <c r="C130" s="172" t="str">
        <f t="shared" ref="C130:C193" si="9">TEXT(A130,"mmmm")</f>
        <v>January</v>
      </c>
      <c r="D130" s="172" t="str">
        <f t="shared" ref="D130:D193" si="10">TEXT(A130,"yyyy")</f>
        <v>2025</v>
      </c>
      <c r="E130" s="172" t="str">
        <f t="shared" ref="E130:E193" si="11">"Q"&amp;ROUNDUP(MONTH(A131)/3,0)</f>
        <v>Q1</v>
      </c>
      <c r="F130" s="173">
        <v>140.83000000000001</v>
      </c>
      <c r="G130" s="173">
        <v>139.16</v>
      </c>
      <c r="H130" s="173">
        <v>141.83000000000001</v>
      </c>
      <c r="I130" s="173">
        <v>137.09</v>
      </c>
      <c r="J130" s="174">
        <v>197749000</v>
      </c>
      <c r="K130" s="173">
        <v>153.13</v>
      </c>
      <c r="L130">
        <v>90.69</v>
      </c>
    </row>
    <row r="131" spans="1:12" x14ac:dyDescent="0.3">
      <c r="A131" s="172">
        <v>45674</v>
      </c>
      <c r="B131" s="172" t="str">
        <f t="shared" si="8"/>
        <v>Friday</v>
      </c>
      <c r="C131" s="172" t="str">
        <f t="shared" si="9"/>
        <v>January</v>
      </c>
      <c r="D131" s="172" t="str">
        <f t="shared" si="10"/>
        <v>2025</v>
      </c>
      <c r="E131" s="172" t="str">
        <f t="shared" si="11"/>
        <v>Q1</v>
      </c>
      <c r="F131" s="173">
        <v>137.71</v>
      </c>
      <c r="G131" s="173">
        <v>136.69</v>
      </c>
      <c r="H131" s="173">
        <v>138.5</v>
      </c>
      <c r="I131" s="173">
        <v>135.4649</v>
      </c>
      <c r="J131" s="174">
        <v>201188800</v>
      </c>
      <c r="K131" s="173">
        <v>153.13</v>
      </c>
      <c r="L131">
        <v>90.69</v>
      </c>
    </row>
    <row r="132" spans="1:12" x14ac:dyDescent="0.3">
      <c r="A132" s="172">
        <v>45673</v>
      </c>
      <c r="B132" s="172" t="str">
        <f t="shared" si="8"/>
        <v>Thursday</v>
      </c>
      <c r="C132" s="172" t="str">
        <f t="shared" si="9"/>
        <v>January</v>
      </c>
      <c r="D132" s="172" t="str">
        <f t="shared" si="10"/>
        <v>2025</v>
      </c>
      <c r="E132" s="172" t="str">
        <f t="shared" si="11"/>
        <v>Q1</v>
      </c>
      <c r="F132" s="173">
        <v>133.57</v>
      </c>
      <c r="G132" s="173">
        <v>138.63999999999999</v>
      </c>
      <c r="H132" s="173">
        <v>138.75</v>
      </c>
      <c r="I132" s="173">
        <v>133.49</v>
      </c>
      <c r="J132" s="174">
        <v>209235600</v>
      </c>
      <c r="K132" s="173">
        <v>153.13</v>
      </c>
      <c r="L132">
        <v>90.69</v>
      </c>
    </row>
    <row r="133" spans="1:12" x14ac:dyDescent="0.3">
      <c r="A133" s="172">
        <v>45672</v>
      </c>
      <c r="B133" s="172" t="str">
        <f t="shared" si="8"/>
        <v>Wednesday</v>
      </c>
      <c r="C133" s="172" t="str">
        <f t="shared" si="9"/>
        <v>January</v>
      </c>
      <c r="D133" s="172" t="str">
        <f t="shared" si="10"/>
        <v>2025</v>
      </c>
      <c r="E133" s="172" t="str">
        <f t="shared" si="11"/>
        <v>Q1</v>
      </c>
      <c r="F133" s="173">
        <v>136.24</v>
      </c>
      <c r="G133" s="173">
        <v>133.65</v>
      </c>
      <c r="H133" s="173">
        <v>136.44999999999999</v>
      </c>
      <c r="I133" s="173">
        <v>131.29</v>
      </c>
      <c r="J133" s="174">
        <v>185217300</v>
      </c>
      <c r="K133" s="173">
        <v>153.13</v>
      </c>
      <c r="L133">
        <v>90.69</v>
      </c>
    </row>
    <row r="134" spans="1:12" x14ac:dyDescent="0.3">
      <c r="A134" s="172">
        <v>45671</v>
      </c>
      <c r="B134" s="172" t="str">
        <f t="shared" si="8"/>
        <v>Tuesday</v>
      </c>
      <c r="C134" s="172" t="str">
        <f t="shared" si="9"/>
        <v>January</v>
      </c>
      <c r="D134" s="172" t="str">
        <f t="shared" si="10"/>
        <v>2025</v>
      </c>
      <c r="E134" s="172" t="str">
        <f t="shared" si="11"/>
        <v>Q1</v>
      </c>
      <c r="F134" s="173">
        <v>131.76</v>
      </c>
      <c r="G134" s="173">
        <v>136.05000000000001</v>
      </c>
      <c r="H134" s="173">
        <v>136.38</v>
      </c>
      <c r="I134" s="173">
        <v>130.05000000000001</v>
      </c>
      <c r="J134" s="174">
        <v>195590500</v>
      </c>
      <c r="K134" s="173">
        <v>153.13</v>
      </c>
      <c r="L134">
        <v>90.69</v>
      </c>
    </row>
    <row r="135" spans="1:12" x14ac:dyDescent="0.3">
      <c r="A135" s="172">
        <v>45670</v>
      </c>
      <c r="B135" s="172" t="str">
        <f t="shared" si="8"/>
        <v>Monday</v>
      </c>
      <c r="C135" s="172" t="str">
        <f t="shared" si="9"/>
        <v>January</v>
      </c>
      <c r="D135" s="172" t="str">
        <f t="shared" si="10"/>
        <v>2025</v>
      </c>
      <c r="E135" s="172" t="str">
        <f t="shared" si="11"/>
        <v>Q1</v>
      </c>
      <c r="F135" s="173">
        <v>133.22999999999999</v>
      </c>
      <c r="G135" s="173">
        <v>129.99</v>
      </c>
      <c r="H135" s="173">
        <v>133.49</v>
      </c>
      <c r="I135" s="173">
        <v>129.51</v>
      </c>
      <c r="J135" s="174">
        <v>204808900</v>
      </c>
      <c r="K135" s="173">
        <v>153.13</v>
      </c>
      <c r="L135">
        <v>90.69</v>
      </c>
    </row>
    <row r="136" spans="1:12" x14ac:dyDescent="0.3">
      <c r="A136" s="172">
        <v>45667</v>
      </c>
      <c r="B136" s="172" t="str">
        <f t="shared" si="8"/>
        <v>Friday</v>
      </c>
      <c r="C136" s="172" t="str">
        <f t="shared" si="9"/>
        <v>January</v>
      </c>
      <c r="D136" s="172" t="str">
        <f t="shared" si="10"/>
        <v>2025</v>
      </c>
      <c r="E136" s="172" t="str">
        <f t="shared" si="11"/>
        <v>Q1</v>
      </c>
      <c r="F136" s="173">
        <v>135.91</v>
      </c>
      <c r="G136" s="173">
        <v>137.44999999999999</v>
      </c>
      <c r="H136" s="173">
        <v>139.91999999999999</v>
      </c>
      <c r="I136" s="173">
        <v>134.22</v>
      </c>
      <c r="J136" s="174">
        <v>207602500</v>
      </c>
      <c r="K136" s="173">
        <v>153.13</v>
      </c>
      <c r="L136">
        <v>90.69</v>
      </c>
    </row>
    <row r="137" spans="1:12" x14ac:dyDescent="0.3">
      <c r="A137" s="172">
        <v>45665</v>
      </c>
      <c r="B137" s="172" t="str">
        <f t="shared" si="8"/>
        <v>Wednesday</v>
      </c>
      <c r="C137" s="172" t="str">
        <f t="shared" si="9"/>
        <v>January</v>
      </c>
      <c r="D137" s="172" t="str">
        <f t="shared" si="10"/>
        <v>2025</v>
      </c>
      <c r="E137" s="172" t="str">
        <f t="shared" si="11"/>
        <v>Q1</v>
      </c>
      <c r="F137" s="173">
        <v>140.11000000000001</v>
      </c>
      <c r="G137" s="173">
        <v>142.58000000000001</v>
      </c>
      <c r="H137" s="173">
        <v>143.94999999999999</v>
      </c>
      <c r="I137" s="173">
        <v>137.56</v>
      </c>
      <c r="J137" s="174">
        <v>227349900</v>
      </c>
      <c r="K137" s="173">
        <v>153.13</v>
      </c>
      <c r="L137">
        <v>90.69</v>
      </c>
    </row>
    <row r="138" spans="1:12" x14ac:dyDescent="0.3">
      <c r="A138" s="172">
        <v>45664</v>
      </c>
      <c r="B138" s="172" t="str">
        <f t="shared" si="8"/>
        <v>Tuesday</v>
      </c>
      <c r="C138" s="172" t="str">
        <f t="shared" si="9"/>
        <v>January</v>
      </c>
      <c r="D138" s="172" t="str">
        <f t="shared" si="10"/>
        <v>2025</v>
      </c>
      <c r="E138" s="172" t="str">
        <f t="shared" si="11"/>
        <v>Q1</v>
      </c>
      <c r="F138" s="173">
        <v>140.13999999999999</v>
      </c>
      <c r="G138" s="173">
        <v>153.03</v>
      </c>
      <c r="H138" s="173">
        <v>153.13</v>
      </c>
      <c r="I138" s="173">
        <v>140.01</v>
      </c>
      <c r="J138" s="174">
        <v>351782200</v>
      </c>
      <c r="K138" s="173">
        <v>153.13</v>
      </c>
      <c r="L138">
        <v>90.69</v>
      </c>
    </row>
    <row r="139" spans="1:12" x14ac:dyDescent="0.3">
      <c r="A139" s="172">
        <v>45663</v>
      </c>
      <c r="B139" s="172" t="str">
        <f t="shared" si="8"/>
        <v>Monday</v>
      </c>
      <c r="C139" s="172" t="str">
        <f t="shared" si="9"/>
        <v>January</v>
      </c>
      <c r="D139" s="172" t="str">
        <f t="shared" si="10"/>
        <v>2025</v>
      </c>
      <c r="E139" s="172" t="str">
        <f t="shared" si="11"/>
        <v>Q1</v>
      </c>
      <c r="F139" s="173">
        <v>149.43</v>
      </c>
      <c r="G139" s="173">
        <v>148.59</v>
      </c>
      <c r="H139" s="173">
        <v>152.15600000000001</v>
      </c>
      <c r="I139" s="173">
        <v>147.8201</v>
      </c>
      <c r="J139" s="174">
        <v>265377400</v>
      </c>
      <c r="K139" s="173">
        <v>152.88999999999999</v>
      </c>
      <c r="L139">
        <v>90.69</v>
      </c>
    </row>
    <row r="140" spans="1:12" x14ac:dyDescent="0.3">
      <c r="A140" s="172">
        <v>45660</v>
      </c>
      <c r="B140" s="172" t="str">
        <f t="shared" si="8"/>
        <v>Friday</v>
      </c>
      <c r="C140" s="172" t="str">
        <f t="shared" si="9"/>
        <v>January</v>
      </c>
      <c r="D140" s="172" t="str">
        <f t="shared" si="10"/>
        <v>2025</v>
      </c>
      <c r="E140" s="172" t="str">
        <f t="shared" si="11"/>
        <v>Q1</v>
      </c>
      <c r="F140" s="173">
        <v>144.47</v>
      </c>
      <c r="G140" s="173">
        <v>140.01</v>
      </c>
      <c r="H140" s="173">
        <v>144.9</v>
      </c>
      <c r="I140" s="173">
        <v>139.72999999999999</v>
      </c>
      <c r="J140" s="174">
        <v>229322500</v>
      </c>
      <c r="K140" s="173">
        <v>152.88999999999999</v>
      </c>
      <c r="L140">
        <v>90.69</v>
      </c>
    </row>
    <row r="141" spans="1:12" x14ac:dyDescent="0.3">
      <c r="A141" s="172">
        <v>45659</v>
      </c>
      <c r="B141" s="172" t="str">
        <f t="shared" si="8"/>
        <v>Thursday</v>
      </c>
      <c r="C141" s="172" t="str">
        <f t="shared" si="9"/>
        <v>January</v>
      </c>
      <c r="D141" s="172" t="str">
        <f t="shared" si="10"/>
        <v>2025</v>
      </c>
      <c r="E141" s="172" t="str">
        <f t="shared" si="11"/>
        <v>Q4</v>
      </c>
      <c r="F141" s="173">
        <v>138.31</v>
      </c>
      <c r="G141" s="173">
        <v>136</v>
      </c>
      <c r="H141" s="173">
        <v>138.88</v>
      </c>
      <c r="I141" s="173">
        <v>134.63</v>
      </c>
      <c r="J141" s="174">
        <v>198247200</v>
      </c>
      <c r="K141" s="173">
        <v>152.88999999999999</v>
      </c>
      <c r="L141">
        <v>90.69</v>
      </c>
    </row>
    <row r="142" spans="1:12" x14ac:dyDescent="0.3">
      <c r="A142" s="172">
        <v>45657</v>
      </c>
      <c r="B142" s="172" t="str">
        <f t="shared" si="8"/>
        <v>Tuesday</v>
      </c>
      <c r="C142" s="172" t="str">
        <f t="shared" si="9"/>
        <v>December</v>
      </c>
      <c r="D142" s="172" t="str">
        <f t="shared" si="10"/>
        <v>2024</v>
      </c>
      <c r="E142" s="172" t="str">
        <f t="shared" si="11"/>
        <v>Q4</v>
      </c>
      <c r="F142" s="173">
        <v>134.29</v>
      </c>
      <c r="G142" s="173">
        <v>138.03</v>
      </c>
      <c r="H142" s="173">
        <v>138.07</v>
      </c>
      <c r="I142" s="173">
        <v>133.83000000000001</v>
      </c>
      <c r="J142" s="174">
        <v>155659200</v>
      </c>
      <c r="K142" s="173">
        <v>152.88999999999999</v>
      </c>
      <c r="L142">
        <v>90.69</v>
      </c>
    </row>
    <row r="143" spans="1:12" x14ac:dyDescent="0.3">
      <c r="A143" s="172">
        <v>45656</v>
      </c>
      <c r="B143" s="172" t="str">
        <f t="shared" si="8"/>
        <v>Monday</v>
      </c>
      <c r="C143" s="172" t="str">
        <f t="shared" si="9"/>
        <v>December</v>
      </c>
      <c r="D143" s="172" t="str">
        <f t="shared" si="10"/>
        <v>2024</v>
      </c>
      <c r="E143" s="172" t="str">
        <f t="shared" si="11"/>
        <v>Q4</v>
      </c>
      <c r="F143" s="173">
        <v>137.49</v>
      </c>
      <c r="G143" s="173">
        <v>134.83000000000001</v>
      </c>
      <c r="H143" s="173">
        <v>140.27000000000001</v>
      </c>
      <c r="I143" s="173">
        <v>134.02000000000001</v>
      </c>
      <c r="J143" s="174">
        <v>167734700</v>
      </c>
      <c r="K143" s="173">
        <v>152.88999999999999</v>
      </c>
      <c r="L143">
        <v>90.69</v>
      </c>
    </row>
    <row r="144" spans="1:12" x14ac:dyDescent="0.3">
      <c r="A144" s="172">
        <v>45653</v>
      </c>
      <c r="B144" s="172" t="str">
        <f t="shared" si="8"/>
        <v>Friday</v>
      </c>
      <c r="C144" s="172" t="str">
        <f t="shared" si="9"/>
        <v>December</v>
      </c>
      <c r="D144" s="172" t="str">
        <f t="shared" si="10"/>
        <v>2024</v>
      </c>
      <c r="E144" s="172" t="str">
        <f t="shared" si="11"/>
        <v>Q4</v>
      </c>
      <c r="F144" s="173">
        <v>137.01</v>
      </c>
      <c r="G144" s="173">
        <v>138.55000000000001</v>
      </c>
      <c r="H144" s="173">
        <v>139.02000000000001</v>
      </c>
      <c r="I144" s="173">
        <v>134.71</v>
      </c>
      <c r="J144" s="174">
        <v>170582600</v>
      </c>
      <c r="K144" s="173">
        <v>152.88999999999999</v>
      </c>
      <c r="L144">
        <v>90.69</v>
      </c>
    </row>
    <row r="145" spans="1:12" x14ac:dyDescent="0.3">
      <c r="A145" s="172">
        <v>45652</v>
      </c>
      <c r="B145" s="172" t="str">
        <f t="shared" si="8"/>
        <v>Thursday</v>
      </c>
      <c r="C145" s="172" t="str">
        <f t="shared" si="9"/>
        <v>December</v>
      </c>
      <c r="D145" s="172" t="str">
        <f t="shared" si="10"/>
        <v>2024</v>
      </c>
      <c r="E145" s="172" t="str">
        <f t="shared" si="11"/>
        <v>Q4</v>
      </c>
      <c r="F145" s="173">
        <v>139.93</v>
      </c>
      <c r="G145" s="173">
        <v>139.69999999999999</v>
      </c>
      <c r="H145" s="173">
        <v>140.85</v>
      </c>
      <c r="I145" s="173">
        <v>137.72999999999999</v>
      </c>
      <c r="J145" s="174">
        <v>116519100</v>
      </c>
      <c r="K145" s="173">
        <v>152.88999999999999</v>
      </c>
      <c r="L145">
        <v>90.69</v>
      </c>
    </row>
    <row r="146" spans="1:12" x14ac:dyDescent="0.3">
      <c r="A146" s="172">
        <v>45650</v>
      </c>
      <c r="B146" s="172" t="str">
        <f t="shared" si="8"/>
        <v>Tuesday</v>
      </c>
      <c r="C146" s="172" t="str">
        <f t="shared" si="9"/>
        <v>December</v>
      </c>
      <c r="D146" s="172" t="str">
        <f t="shared" si="10"/>
        <v>2024</v>
      </c>
      <c r="E146" s="172" t="str">
        <f t="shared" si="11"/>
        <v>Q4</v>
      </c>
      <c r="F146" s="173">
        <v>140.22</v>
      </c>
      <c r="G146" s="173">
        <v>140</v>
      </c>
      <c r="H146" s="173">
        <v>141.9</v>
      </c>
      <c r="I146" s="173">
        <v>138.65</v>
      </c>
      <c r="J146" s="174">
        <v>105157000</v>
      </c>
      <c r="K146" s="173">
        <v>152.88999999999999</v>
      </c>
      <c r="L146">
        <v>90.69</v>
      </c>
    </row>
    <row r="147" spans="1:12" x14ac:dyDescent="0.3">
      <c r="A147" s="172">
        <v>45649</v>
      </c>
      <c r="B147" s="172" t="str">
        <f t="shared" si="8"/>
        <v>Monday</v>
      </c>
      <c r="C147" s="172" t="str">
        <f t="shared" si="9"/>
        <v>December</v>
      </c>
      <c r="D147" s="172" t="str">
        <f t="shared" si="10"/>
        <v>2024</v>
      </c>
      <c r="E147" s="172" t="str">
        <f t="shared" si="11"/>
        <v>Q4</v>
      </c>
      <c r="F147" s="173">
        <v>139.66999999999999</v>
      </c>
      <c r="G147" s="173">
        <v>136.28</v>
      </c>
      <c r="H147" s="173">
        <v>139.79</v>
      </c>
      <c r="I147" s="173">
        <v>135.12010000000001</v>
      </c>
      <c r="J147" s="174">
        <v>176053500</v>
      </c>
      <c r="K147" s="173">
        <v>152.88999999999999</v>
      </c>
      <c r="L147">
        <v>90.69</v>
      </c>
    </row>
    <row r="148" spans="1:12" x14ac:dyDescent="0.3">
      <c r="A148" s="172">
        <v>45646</v>
      </c>
      <c r="B148" s="172" t="str">
        <f t="shared" si="8"/>
        <v>Friday</v>
      </c>
      <c r="C148" s="172" t="str">
        <f t="shared" si="9"/>
        <v>December</v>
      </c>
      <c r="D148" s="172" t="str">
        <f t="shared" si="10"/>
        <v>2024</v>
      </c>
      <c r="E148" s="172" t="str">
        <f t="shared" si="11"/>
        <v>Q4</v>
      </c>
      <c r="F148" s="173">
        <v>134.69999999999999</v>
      </c>
      <c r="G148" s="173">
        <v>129.81</v>
      </c>
      <c r="H148" s="173">
        <v>135.28</v>
      </c>
      <c r="I148" s="173">
        <v>128.22</v>
      </c>
      <c r="J148" s="174">
        <v>306528600</v>
      </c>
      <c r="K148" s="173">
        <v>152.88999999999999</v>
      </c>
      <c r="L148">
        <v>90.69</v>
      </c>
    </row>
    <row r="149" spans="1:12" x14ac:dyDescent="0.3">
      <c r="A149" s="172">
        <v>45645</v>
      </c>
      <c r="B149" s="172" t="str">
        <f t="shared" si="8"/>
        <v>Thursday</v>
      </c>
      <c r="C149" s="172" t="str">
        <f t="shared" si="9"/>
        <v>December</v>
      </c>
      <c r="D149" s="172" t="str">
        <f t="shared" si="10"/>
        <v>2024</v>
      </c>
      <c r="E149" s="172" t="str">
        <f t="shared" si="11"/>
        <v>Q4</v>
      </c>
      <c r="F149" s="173">
        <v>130.68</v>
      </c>
      <c r="G149" s="173">
        <v>131.76</v>
      </c>
      <c r="H149" s="173">
        <v>134.03</v>
      </c>
      <c r="I149" s="173">
        <v>129.55000000000001</v>
      </c>
      <c r="J149" s="174">
        <v>209719200</v>
      </c>
      <c r="K149" s="173">
        <v>152.88999999999999</v>
      </c>
      <c r="L149">
        <v>90.69</v>
      </c>
    </row>
    <row r="150" spans="1:12" x14ac:dyDescent="0.3">
      <c r="A150" s="172">
        <v>45644</v>
      </c>
      <c r="B150" s="172" t="str">
        <f t="shared" si="8"/>
        <v>Wednesday</v>
      </c>
      <c r="C150" s="172" t="str">
        <f t="shared" si="9"/>
        <v>December</v>
      </c>
      <c r="D150" s="172" t="str">
        <f t="shared" si="10"/>
        <v>2024</v>
      </c>
      <c r="E150" s="172" t="str">
        <f t="shared" si="11"/>
        <v>Q4</v>
      </c>
      <c r="F150" s="173">
        <v>128.91</v>
      </c>
      <c r="G150" s="173">
        <v>133.86000000000001</v>
      </c>
      <c r="H150" s="173">
        <v>136.69999999999999</v>
      </c>
      <c r="I150" s="173">
        <v>128.28</v>
      </c>
      <c r="J150" s="174">
        <v>277444500</v>
      </c>
      <c r="K150" s="173">
        <v>152.88999999999999</v>
      </c>
      <c r="L150">
        <v>90.69</v>
      </c>
    </row>
    <row r="151" spans="1:12" x14ac:dyDescent="0.3">
      <c r="A151" s="172">
        <v>45643</v>
      </c>
      <c r="B151" s="172" t="str">
        <f t="shared" si="8"/>
        <v>Tuesday</v>
      </c>
      <c r="C151" s="172" t="str">
        <f t="shared" si="9"/>
        <v>December</v>
      </c>
      <c r="D151" s="172" t="str">
        <f t="shared" si="10"/>
        <v>2024</v>
      </c>
      <c r="E151" s="172" t="str">
        <f t="shared" si="11"/>
        <v>Q4</v>
      </c>
      <c r="F151" s="173">
        <v>130.38999999999999</v>
      </c>
      <c r="G151" s="173">
        <v>129.09</v>
      </c>
      <c r="H151" s="173">
        <v>131.59</v>
      </c>
      <c r="I151" s="173">
        <v>126.86</v>
      </c>
      <c r="J151" s="174">
        <v>259410300</v>
      </c>
      <c r="K151" s="173">
        <v>152.88999999999999</v>
      </c>
      <c r="L151">
        <v>90.69</v>
      </c>
    </row>
    <row r="152" spans="1:12" x14ac:dyDescent="0.3">
      <c r="A152" s="172">
        <v>45642</v>
      </c>
      <c r="B152" s="172" t="str">
        <f t="shared" si="8"/>
        <v>Monday</v>
      </c>
      <c r="C152" s="172" t="str">
        <f t="shared" si="9"/>
        <v>December</v>
      </c>
      <c r="D152" s="172" t="str">
        <f t="shared" si="10"/>
        <v>2024</v>
      </c>
      <c r="E152" s="172" t="str">
        <f t="shared" si="11"/>
        <v>Q4</v>
      </c>
      <c r="F152" s="173">
        <v>132</v>
      </c>
      <c r="G152" s="173">
        <v>134.18</v>
      </c>
      <c r="H152" s="173">
        <v>134.4</v>
      </c>
      <c r="I152" s="173">
        <v>130.41999999999999</v>
      </c>
      <c r="J152" s="174">
        <v>237951100</v>
      </c>
      <c r="K152" s="173">
        <v>152.88999999999999</v>
      </c>
      <c r="L152">
        <v>90.69</v>
      </c>
    </row>
    <row r="153" spans="1:12" x14ac:dyDescent="0.3">
      <c r="A153" s="172">
        <v>45639</v>
      </c>
      <c r="B153" s="172" t="str">
        <f t="shared" si="8"/>
        <v>Friday</v>
      </c>
      <c r="C153" s="172" t="str">
        <f t="shared" si="9"/>
        <v>December</v>
      </c>
      <c r="D153" s="172" t="str">
        <f t="shared" si="10"/>
        <v>2024</v>
      </c>
      <c r="E153" s="172" t="str">
        <f t="shared" si="11"/>
        <v>Q4</v>
      </c>
      <c r="F153" s="173">
        <v>134.25</v>
      </c>
      <c r="G153" s="173">
        <v>138.94</v>
      </c>
      <c r="H153" s="173">
        <v>139.6</v>
      </c>
      <c r="I153" s="173">
        <v>132.54</v>
      </c>
      <c r="J153" s="174">
        <v>231514900</v>
      </c>
      <c r="K153" s="173">
        <v>152.88999999999999</v>
      </c>
      <c r="L153">
        <v>90.69</v>
      </c>
    </row>
    <row r="154" spans="1:12" x14ac:dyDescent="0.3">
      <c r="A154" s="172">
        <v>45638</v>
      </c>
      <c r="B154" s="172" t="str">
        <f t="shared" si="8"/>
        <v>Thursday</v>
      </c>
      <c r="C154" s="172" t="str">
        <f t="shared" si="9"/>
        <v>December</v>
      </c>
      <c r="D154" s="172" t="str">
        <f t="shared" si="10"/>
        <v>2024</v>
      </c>
      <c r="E154" s="172" t="str">
        <f t="shared" si="11"/>
        <v>Q4</v>
      </c>
      <c r="F154" s="173">
        <v>137.34</v>
      </c>
      <c r="G154" s="173">
        <v>137.08000000000001</v>
      </c>
      <c r="H154" s="173">
        <v>138.44</v>
      </c>
      <c r="I154" s="173">
        <v>135.80000000000001</v>
      </c>
      <c r="J154" s="174">
        <v>159211400</v>
      </c>
      <c r="K154" s="173">
        <v>152.88999999999999</v>
      </c>
      <c r="L154">
        <v>90.69</v>
      </c>
    </row>
    <row r="155" spans="1:12" x14ac:dyDescent="0.3">
      <c r="A155" s="172">
        <v>45637</v>
      </c>
      <c r="B155" s="172" t="str">
        <f t="shared" si="8"/>
        <v>Wednesday</v>
      </c>
      <c r="C155" s="172" t="str">
        <f t="shared" si="9"/>
        <v>December</v>
      </c>
      <c r="D155" s="172" t="str">
        <f t="shared" si="10"/>
        <v>2024</v>
      </c>
      <c r="E155" s="172" t="str">
        <f t="shared" si="11"/>
        <v>Q4</v>
      </c>
      <c r="F155" s="173">
        <v>139.31</v>
      </c>
      <c r="G155" s="173">
        <v>137.36000000000001</v>
      </c>
      <c r="H155" s="173">
        <v>140.16999999999999</v>
      </c>
      <c r="I155" s="173">
        <v>135.21</v>
      </c>
      <c r="J155" s="174">
        <v>184905200</v>
      </c>
      <c r="K155" s="173">
        <v>152.88999999999999</v>
      </c>
      <c r="L155">
        <v>90.69</v>
      </c>
    </row>
    <row r="156" spans="1:12" x14ac:dyDescent="0.3">
      <c r="A156" s="172">
        <v>45636</v>
      </c>
      <c r="B156" s="172" t="str">
        <f t="shared" si="8"/>
        <v>Tuesday</v>
      </c>
      <c r="C156" s="172" t="str">
        <f t="shared" si="9"/>
        <v>December</v>
      </c>
      <c r="D156" s="172" t="str">
        <f t="shared" si="10"/>
        <v>2024</v>
      </c>
      <c r="E156" s="172" t="str">
        <f t="shared" si="11"/>
        <v>Q4</v>
      </c>
      <c r="F156" s="173">
        <v>135.07</v>
      </c>
      <c r="G156" s="173">
        <v>139.01</v>
      </c>
      <c r="H156" s="173">
        <v>141.82</v>
      </c>
      <c r="I156" s="173">
        <v>133.79</v>
      </c>
      <c r="J156" s="174">
        <v>210020900</v>
      </c>
      <c r="K156" s="173">
        <v>152.88999999999999</v>
      </c>
      <c r="L156">
        <v>90.69</v>
      </c>
    </row>
    <row r="157" spans="1:12" x14ac:dyDescent="0.3">
      <c r="A157" s="172">
        <v>45635</v>
      </c>
      <c r="B157" s="172" t="str">
        <f t="shared" si="8"/>
        <v>Monday</v>
      </c>
      <c r="C157" s="172" t="str">
        <f t="shared" si="9"/>
        <v>December</v>
      </c>
      <c r="D157" s="172" t="str">
        <f t="shared" si="10"/>
        <v>2024</v>
      </c>
      <c r="E157" s="172" t="str">
        <f t="shared" si="11"/>
        <v>Q4</v>
      </c>
      <c r="F157" s="173">
        <v>138.81</v>
      </c>
      <c r="G157" s="173">
        <v>138.97</v>
      </c>
      <c r="H157" s="173">
        <v>139.94999999999999</v>
      </c>
      <c r="I157" s="173">
        <v>137.13</v>
      </c>
      <c r="J157" s="174">
        <v>189308600</v>
      </c>
      <c r="K157" s="173">
        <v>152.88999999999999</v>
      </c>
      <c r="L157">
        <v>90.69</v>
      </c>
    </row>
    <row r="158" spans="1:12" x14ac:dyDescent="0.3">
      <c r="A158" s="172">
        <v>45632</v>
      </c>
      <c r="B158" s="172" t="str">
        <f t="shared" si="8"/>
        <v>Friday</v>
      </c>
      <c r="C158" s="172" t="str">
        <f t="shared" si="9"/>
        <v>December</v>
      </c>
      <c r="D158" s="172" t="str">
        <f t="shared" si="10"/>
        <v>2024</v>
      </c>
      <c r="E158" s="172" t="str">
        <f t="shared" si="11"/>
        <v>Q4</v>
      </c>
      <c r="F158" s="173">
        <v>142.44</v>
      </c>
      <c r="G158" s="173">
        <v>144.6</v>
      </c>
      <c r="H158" s="173">
        <v>145.69999999999999</v>
      </c>
      <c r="I158" s="173">
        <v>141.31</v>
      </c>
      <c r="J158" s="174">
        <v>188505600</v>
      </c>
      <c r="K158" s="173">
        <v>152.88999999999999</v>
      </c>
      <c r="L158">
        <v>90.69</v>
      </c>
    </row>
    <row r="159" spans="1:12" x14ac:dyDescent="0.3">
      <c r="A159" s="172">
        <v>45631</v>
      </c>
      <c r="B159" s="172" t="str">
        <f t="shared" si="8"/>
        <v>Thursday</v>
      </c>
      <c r="C159" s="172" t="str">
        <f t="shared" si="9"/>
        <v>December</v>
      </c>
      <c r="D159" s="172" t="str">
        <f t="shared" si="10"/>
        <v>2024</v>
      </c>
      <c r="E159" s="172" t="str">
        <f t="shared" si="11"/>
        <v>Q4</v>
      </c>
      <c r="F159" s="173">
        <v>145.06</v>
      </c>
      <c r="G159" s="173">
        <v>145.11000000000001</v>
      </c>
      <c r="H159" s="173">
        <v>146.54</v>
      </c>
      <c r="I159" s="173">
        <v>143.94999999999999</v>
      </c>
      <c r="J159" s="174">
        <v>172621200</v>
      </c>
      <c r="K159" s="173">
        <v>152.88999999999999</v>
      </c>
      <c r="L159">
        <v>90.69</v>
      </c>
    </row>
    <row r="160" spans="1:12" x14ac:dyDescent="0.3">
      <c r="A160" s="172">
        <v>45630</v>
      </c>
      <c r="B160" s="172" t="str">
        <f t="shared" si="8"/>
        <v>Wednesday</v>
      </c>
      <c r="C160" s="172" t="str">
        <f t="shared" si="9"/>
        <v>December</v>
      </c>
      <c r="D160" s="172" t="str">
        <f t="shared" si="10"/>
        <v>2024</v>
      </c>
      <c r="E160" s="172" t="str">
        <f t="shared" si="11"/>
        <v>Q4</v>
      </c>
      <c r="F160" s="173">
        <v>145.13999999999999</v>
      </c>
      <c r="G160" s="173">
        <v>141.995</v>
      </c>
      <c r="H160" s="173">
        <v>145.79</v>
      </c>
      <c r="I160" s="173">
        <v>140.29</v>
      </c>
      <c r="J160" s="174">
        <v>231224300</v>
      </c>
      <c r="K160" s="173">
        <v>152.88999999999999</v>
      </c>
      <c r="L160">
        <v>90.69</v>
      </c>
    </row>
    <row r="161" spans="1:12" x14ac:dyDescent="0.3">
      <c r="A161" s="172">
        <v>45629</v>
      </c>
      <c r="B161" s="172" t="str">
        <f t="shared" si="8"/>
        <v>Tuesday</v>
      </c>
      <c r="C161" s="172" t="str">
        <f t="shared" si="9"/>
        <v>December</v>
      </c>
      <c r="D161" s="172" t="str">
        <f t="shared" si="10"/>
        <v>2024</v>
      </c>
      <c r="E161" s="172" t="str">
        <f t="shared" si="11"/>
        <v>Q4</v>
      </c>
      <c r="F161" s="173">
        <v>140.26</v>
      </c>
      <c r="G161" s="173">
        <v>138.26</v>
      </c>
      <c r="H161" s="173">
        <v>140.54</v>
      </c>
      <c r="I161" s="173">
        <v>137.94999999999999</v>
      </c>
      <c r="J161" s="174">
        <v>164414000</v>
      </c>
      <c r="K161" s="173">
        <v>152.88999999999999</v>
      </c>
      <c r="L161">
        <v>90.69</v>
      </c>
    </row>
    <row r="162" spans="1:12" x14ac:dyDescent="0.3">
      <c r="A162" s="172">
        <v>45628</v>
      </c>
      <c r="B162" s="172" t="str">
        <f t="shared" si="8"/>
        <v>Monday</v>
      </c>
      <c r="C162" s="172" t="str">
        <f t="shared" si="9"/>
        <v>December</v>
      </c>
      <c r="D162" s="172" t="str">
        <f t="shared" si="10"/>
        <v>2024</v>
      </c>
      <c r="E162" s="172" t="str">
        <f t="shared" si="11"/>
        <v>Q4</v>
      </c>
      <c r="F162" s="173">
        <v>138.63</v>
      </c>
      <c r="G162" s="173">
        <v>138.83000000000001</v>
      </c>
      <c r="H162" s="173">
        <v>140.44999999999999</v>
      </c>
      <c r="I162" s="173">
        <v>137.82499999999999</v>
      </c>
      <c r="J162" s="174">
        <v>171682800</v>
      </c>
      <c r="K162" s="173">
        <v>152.88999999999999</v>
      </c>
      <c r="L162">
        <v>90.69</v>
      </c>
    </row>
    <row r="163" spans="1:12" x14ac:dyDescent="0.3">
      <c r="A163" s="172">
        <v>45625</v>
      </c>
      <c r="B163" s="172" t="str">
        <f t="shared" si="8"/>
        <v>Friday</v>
      </c>
      <c r="C163" s="172" t="str">
        <f t="shared" si="9"/>
        <v>November</v>
      </c>
      <c r="D163" s="172" t="str">
        <f t="shared" si="10"/>
        <v>2024</v>
      </c>
      <c r="E163" s="172" t="str">
        <f t="shared" si="11"/>
        <v>Q4</v>
      </c>
      <c r="F163" s="173">
        <v>138.25</v>
      </c>
      <c r="G163" s="173">
        <v>136.78</v>
      </c>
      <c r="H163" s="173">
        <v>139.35</v>
      </c>
      <c r="I163" s="173">
        <v>136.05000000000001</v>
      </c>
      <c r="J163" s="174">
        <v>141863200</v>
      </c>
      <c r="K163" s="173">
        <v>152.88999999999999</v>
      </c>
      <c r="L163">
        <v>90.69</v>
      </c>
    </row>
    <row r="164" spans="1:12" x14ac:dyDescent="0.3">
      <c r="A164" s="172">
        <v>45623</v>
      </c>
      <c r="B164" s="172" t="str">
        <f t="shared" si="8"/>
        <v>Wednesday</v>
      </c>
      <c r="C164" s="172" t="str">
        <f t="shared" si="9"/>
        <v>November</v>
      </c>
      <c r="D164" s="172" t="str">
        <f t="shared" si="10"/>
        <v>2024</v>
      </c>
      <c r="E164" s="172" t="str">
        <f t="shared" si="11"/>
        <v>Q4</v>
      </c>
      <c r="F164" s="173">
        <v>135.34</v>
      </c>
      <c r="G164" s="173">
        <v>135.01</v>
      </c>
      <c r="H164" s="173">
        <v>137.22</v>
      </c>
      <c r="I164" s="173">
        <v>131.80000000000001</v>
      </c>
      <c r="J164" s="174">
        <v>226370900</v>
      </c>
      <c r="K164" s="173">
        <v>152.88999999999999</v>
      </c>
      <c r="L164">
        <v>90.69</v>
      </c>
    </row>
    <row r="165" spans="1:12" x14ac:dyDescent="0.3">
      <c r="A165" s="172">
        <v>45622</v>
      </c>
      <c r="B165" s="172" t="str">
        <f t="shared" si="8"/>
        <v>Tuesday</v>
      </c>
      <c r="C165" s="172" t="str">
        <f t="shared" si="9"/>
        <v>November</v>
      </c>
      <c r="D165" s="172" t="str">
        <f t="shared" si="10"/>
        <v>2024</v>
      </c>
      <c r="E165" s="172" t="str">
        <f t="shared" si="11"/>
        <v>Q4</v>
      </c>
      <c r="F165" s="173">
        <v>136.91999999999999</v>
      </c>
      <c r="G165" s="173">
        <v>137.69999999999999</v>
      </c>
      <c r="H165" s="173">
        <v>139.30000000000001</v>
      </c>
      <c r="I165" s="173">
        <v>135.66999999999999</v>
      </c>
      <c r="J165" s="174">
        <v>190287700</v>
      </c>
      <c r="K165" s="173">
        <v>152.88999999999999</v>
      </c>
      <c r="L165">
        <v>90.69</v>
      </c>
    </row>
    <row r="166" spans="1:12" x14ac:dyDescent="0.3">
      <c r="A166" s="172">
        <v>45621</v>
      </c>
      <c r="B166" s="172" t="str">
        <f t="shared" si="8"/>
        <v>Monday</v>
      </c>
      <c r="C166" s="172" t="str">
        <f t="shared" si="9"/>
        <v>November</v>
      </c>
      <c r="D166" s="172" t="str">
        <f t="shared" si="10"/>
        <v>2024</v>
      </c>
      <c r="E166" s="172" t="str">
        <f t="shared" si="11"/>
        <v>Q4</v>
      </c>
      <c r="F166" s="173">
        <v>136.02000000000001</v>
      </c>
      <c r="G166" s="173">
        <v>141.99</v>
      </c>
      <c r="H166" s="173">
        <v>142.05000000000001</v>
      </c>
      <c r="I166" s="173">
        <v>135.82</v>
      </c>
      <c r="J166" s="174">
        <v>344941900</v>
      </c>
      <c r="K166" s="173">
        <v>152.88999999999999</v>
      </c>
      <c r="L166">
        <v>90.69</v>
      </c>
    </row>
    <row r="167" spans="1:12" x14ac:dyDescent="0.3">
      <c r="A167" s="172">
        <v>45618</v>
      </c>
      <c r="B167" s="172" t="str">
        <f t="shared" si="8"/>
        <v>Friday</v>
      </c>
      <c r="C167" s="172" t="str">
        <f t="shared" si="9"/>
        <v>November</v>
      </c>
      <c r="D167" s="172" t="str">
        <f t="shared" si="10"/>
        <v>2024</v>
      </c>
      <c r="E167" s="172" t="str">
        <f t="shared" si="11"/>
        <v>Q4</v>
      </c>
      <c r="F167" s="173">
        <v>141.94999999999999</v>
      </c>
      <c r="G167" s="173">
        <v>145.93</v>
      </c>
      <c r="H167" s="173">
        <v>147.16</v>
      </c>
      <c r="I167" s="173">
        <v>141.1</v>
      </c>
      <c r="J167" s="174">
        <v>236406200</v>
      </c>
      <c r="K167" s="173">
        <v>152.88999999999999</v>
      </c>
      <c r="L167">
        <v>90.69</v>
      </c>
    </row>
    <row r="168" spans="1:12" x14ac:dyDescent="0.3">
      <c r="A168" s="172">
        <v>45617</v>
      </c>
      <c r="B168" s="172" t="str">
        <f t="shared" si="8"/>
        <v>Thursday</v>
      </c>
      <c r="C168" s="172" t="str">
        <f t="shared" si="9"/>
        <v>November</v>
      </c>
      <c r="D168" s="172" t="str">
        <f t="shared" si="10"/>
        <v>2024</v>
      </c>
      <c r="E168" s="172" t="str">
        <f t="shared" si="11"/>
        <v>Q4</v>
      </c>
      <c r="F168" s="173">
        <v>146.66999999999999</v>
      </c>
      <c r="G168" s="173">
        <v>149.35</v>
      </c>
      <c r="H168" s="173">
        <v>152.88999999999999</v>
      </c>
      <c r="I168" s="173">
        <v>140.69999999999999</v>
      </c>
      <c r="J168" s="174">
        <v>400946600</v>
      </c>
      <c r="K168" s="173">
        <v>152.88999999999999</v>
      </c>
      <c r="L168">
        <v>90.69</v>
      </c>
    </row>
    <row r="169" spans="1:12" x14ac:dyDescent="0.3">
      <c r="A169" s="172">
        <v>45616</v>
      </c>
      <c r="B169" s="172" t="str">
        <f t="shared" si="8"/>
        <v>Wednesday</v>
      </c>
      <c r="C169" s="172" t="str">
        <f t="shared" si="9"/>
        <v>November</v>
      </c>
      <c r="D169" s="172" t="str">
        <f t="shared" si="10"/>
        <v>2024</v>
      </c>
      <c r="E169" s="172" t="str">
        <f t="shared" si="11"/>
        <v>Q4</v>
      </c>
      <c r="F169" s="173">
        <v>145.88999999999999</v>
      </c>
      <c r="G169" s="173">
        <v>147.41</v>
      </c>
      <c r="H169" s="173">
        <v>147.56</v>
      </c>
      <c r="I169" s="173">
        <v>142.72999999999999</v>
      </c>
      <c r="J169" s="174">
        <v>309871700</v>
      </c>
      <c r="K169" s="173">
        <v>149.77000000000001</v>
      </c>
      <c r="L169">
        <v>90.69</v>
      </c>
    </row>
    <row r="170" spans="1:12" x14ac:dyDescent="0.3">
      <c r="A170" s="172">
        <v>45615</v>
      </c>
      <c r="B170" s="172" t="str">
        <f t="shared" si="8"/>
        <v>Tuesday</v>
      </c>
      <c r="C170" s="172" t="str">
        <f t="shared" si="9"/>
        <v>November</v>
      </c>
      <c r="D170" s="172" t="str">
        <f t="shared" si="10"/>
        <v>2024</v>
      </c>
      <c r="E170" s="172" t="str">
        <f t="shared" si="11"/>
        <v>Q4</v>
      </c>
      <c r="F170" s="173">
        <v>147.01</v>
      </c>
      <c r="G170" s="173">
        <v>141.32</v>
      </c>
      <c r="H170" s="173">
        <v>147.13</v>
      </c>
      <c r="I170" s="173">
        <v>140.99</v>
      </c>
      <c r="J170" s="174">
        <v>227834900</v>
      </c>
      <c r="K170" s="173">
        <v>149.77000000000001</v>
      </c>
      <c r="L170">
        <v>90.69</v>
      </c>
    </row>
    <row r="171" spans="1:12" x14ac:dyDescent="0.3">
      <c r="A171" s="172">
        <v>45614</v>
      </c>
      <c r="B171" s="172" t="str">
        <f t="shared" si="8"/>
        <v>Monday</v>
      </c>
      <c r="C171" s="172" t="str">
        <f t="shared" si="9"/>
        <v>November</v>
      </c>
      <c r="D171" s="172" t="str">
        <f t="shared" si="10"/>
        <v>2024</v>
      </c>
      <c r="E171" s="172" t="str">
        <f t="shared" si="11"/>
        <v>Q4</v>
      </c>
      <c r="F171" s="173">
        <v>140.15</v>
      </c>
      <c r="G171" s="173">
        <v>139.5</v>
      </c>
      <c r="H171" s="173">
        <v>141.55000000000001</v>
      </c>
      <c r="I171" s="173">
        <v>137.15</v>
      </c>
      <c r="J171" s="174">
        <v>221866000</v>
      </c>
      <c r="K171" s="173">
        <v>149.77000000000001</v>
      </c>
      <c r="L171">
        <v>90.69</v>
      </c>
    </row>
    <row r="172" spans="1:12" x14ac:dyDescent="0.3">
      <c r="A172" s="172">
        <v>45611</v>
      </c>
      <c r="B172" s="172" t="str">
        <f t="shared" si="8"/>
        <v>Friday</v>
      </c>
      <c r="C172" s="172" t="str">
        <f t="shared" si="9"/>
        <v>November</v>
      </c>
      <c r="D172" s="172" t="str">
        <f t="shared" si="10"/>
        <v>2024</v>
      </c>
      <c r="E172" s="172" t="str">
        <f t="shared" si="11"/>
        <v>Q4</v>
      </c>
      <c r="F172" s="173">
        <v>141.97999999999999</v>
      </c>
      <c r="G172" s="173">
        <v>144.87</v>
      </c>
      <c r="H172" s="173">
        <v>145.24</v>
      </c>
      <c r="I172" s="173">
        <v>140.08000000000001</v>
      </c>
      <c r="J172" s="174">
        <v>250132900</v>
      </c>
      <c r="K172" s="173">
        <v>149.77000000000001</v>
      </c>
      <c r="L172">
        <v>90.69</v>
      </c>
    </row>
    <row r="173" spans="1:12" x14ac:dyDescent="0.3">
      <c r="A173" s="172">
        <v>45610</v>
      </c>
      <c r="B173" s="172" t="str">
        <f t="shared" si="8"/>
        <v>Thursday</v>
      </c>
      <c r="C173" s="172" t="str">
        <f t="shared" si="9"/>
        <v>November</v>
      </c>
      <c r="D173" s="172" t="str">
        <f t="shared" si="10"/>
        <v>2024</v>
      </c>
      <c r="E173" s="172" t="str">
        <f t="shared" si="11"/>
        <v>Q4</v>
      </c>
      <c r="F173" s="173">
        <v>146.76</v>
      </c>
      <c r="G173" s="173">
        <v>147.63999999999999</v>
      </c>
      <c r="H173" s="173">
        <v>149</v>
      </c>
      <c r="I173" s="173">
        <v>145.55000000000001</v>
      </c>
      <c r="J173" s="174">
        <v>194463300</v>
      </c>
      <c r="K173" s="173">
        <v>149.77000000000001</v>
      </c>
      <c r="L173">
        <v>90.69</v>
      </c>
    </row>
    <row r="174" spans="1:12" x14ac:dyDescent="0.3">
      <c r="A174" s="172">
        <v>45609</v>
      </c>
      <c r="B174" s="172" t="str">
        <f t="shared" si="8"/>
        <v>Wednesday</v>
      </c>
      <c r="C174" s="172" t="str">
        <f t="shared" si="9"/>
        <v>November</v>
      </c>
      <c r="D174" s="172" t="str">
        <f t="shared" si="10"/>
        <v>2024</v>
      </c>
      <c r="E174" s="172" t="str">
        <f t="shared" si="11"/>
        <v>Q4</v>
      </c>
      <c r="F174" s="173">
        <v>146.27000000000001</v>
      </c>
      <c r="G174" s="173">
        <v>149.07</v>
      </c>
      <c r="H174" s="173">
        <v>149.33000000000001</v>
      </c>
      <c r="I174" s="173">
        <v>145.9</v>
      </c>
      <c r="J174" s="174">
        <v>191903300</v>
      </c>
      <c r="K174" s="173">
        <v>149.77000000000001</v>
      </c>
      <c r="L174">
        <v>90.69</v>
      </c>
    </row>
    <row r="175" spans="1:12" x14ac:dyDescent="0.3">
      <c r="A175" s="172">
        <v>45608</v>
      </c>
      <c r="B175" s="172" t="str">
        <f t="shared" si="8"/>
        <v>Tuesday</v>
      </c>
      <c r="C175" s="172" t="str">
        <f t="shared" si="9"/>
        <v>November</v>
      </c>
      <c r="D175" s="172" t="str">
        <f t="shared" si="10"/>
        <v>2024</v>
      </c>
      <c r="E175" s="172" t="str">
        <f t="shared" si="11"/>
        <v>Q4</v>
      </c>
      <c r="F175" s="173">
        <v>148.29</v>
      </c>
      <c r="G175" s="173">
        <v>146.78</v>
      </c>
      <c r="H175" s="173">
        <v>149.65</v>
      </c>
      <c r="I175" s="173">
        <v>146.01</v>
      </c>
      <c r="J175" s="174">
        <v>198634700</v>
      </c>
      <c r="K175" s="173">
        <v>149.77000000000001</v>
      </c>
      <c r="L175">
        <v>90.69</v>
      </c>
    </row>
    <row r="176" spans="1:12" x14ac:dyDescent="0.3">
      <c r="A176" s="172">
        <v>45607</v>
      </c>
      <c r="B176" s="172" t="str">
        <f t="shared" si="8"/>
        <v>Monday</v>
      </c>
      <c r="C176" s="172" t="str">
        <f t="shared" si="9"/>
        <v>November</v>
      </c>
      <c r="D176" s="172" t="str">
        <f t="shared" si="10"/>
        <v>2024</v>
      </c>
      <c r="E176" s="172" t="str">
        <f t="shared" si="11"/>
        <v>Q4</v>
      </c>
      <c r="F176" s="173">
        <v>145.26</v>
      </c>
      <c r="G176" s="173">
        <v>148.68</v>
      </c>
      <c r="H176" s="173">
        <v>148.85</v>
      </c>
      <c r="I176" s="173">
        <v>143.57</v>
      </c>
      <c r="J176" s="174">
        <v>182325600</v>
      </c>
      <c r="K176" s="173">
        <v>149.77000000000001</v>
      </c>
      <c r="L176">
        <v>90.69</v>
      </c>
    </row>
    <row r="177" spans="1:12" x14ac:dyDescent="0.3">
      <c r="A177" s="172">
        <v>45604</v>
      </c>
      <c r="B177" s="172" t="str">
        <f t="shared" si="8"/>
        <v>Friday</v>
      </c>
      <c r="C177" s="172" t="str">
        <f t="shared" si="9"/>
        <v>November</v>
      </c>
      <c r="D177" s="172" t="str">
        <f t="shared" si="10"/>
        <v>2024</v>
      </c>
      <c r="E177" s="172" t="str">
        <f t="shared" si="11"/>
        <v>Q4</v>
      </c>
      <c r="F177" s="173">
        <v>147.63</v>
      </c>
      <c r="G177" s="173">
        <v>148.77000000000001</v>
      </c>
      <c r="H177" s="173">
        <v>149.77000000000001</v>
      </c>
      <c r="I177" s="173">
        <v>146.26</v>
      </c>
      <c r="J177" s="174">
        <v>175665800</v>
      </c>
      <c r="K177" s="173">
        <v>149.77000000000001</v>
      </c>
      <c r="L177">
        <v>90.69</v>
      </c>
    </row>
    <row r="178" spans="1:12" x14ac:dyDescent="0.3">
      <c r="A178" s="172">
        <v>45603</v>
      </c>
      <c r="B178" s="172" t="str">
        <f t="shared" si="8"/>
        <v>Thursday</v>
      </c>
      <c r="C178" s="172" t="str">
        <f t="shared" si="9"/>
        <v>November</v>
      </c>
      <c r="D178" s="172" t="str">
        <f t="shared" si="10"/>
        <v>2024</v>
      </c>
      <c r="E178" s="172" t="str">
        <f t="shared" si="11"/>
        <v>Q4</v>
      </c>
      <c r="F178" s="173">
        <v>148.88</v>
      </c>
      <c r="G178" s="173">
        <v>146.38999999999999</v>
      </c>
      <c r="H178" s="173">
        <v>148.93</v>
      </c>
      <c r="I178" s="173">
        <v>146.16999999999999</v>
      </c>
      <c r="J178" s="174">
        <v>207323300</v>
      </c>
      <c r="K178" s="173">
        <v>148.93</v>
      </c>
      <c r="L178">
        <v>90.69</v>
      </c>
    </row>
    <row r="179" spans="1:12" x14ac:dyDescent="0.3">
      <c r="A179" s="172">
        <v>45602</v>
      </c>
      <c r="B179" s="172" t="str">
        <f t="shared" si="8"/>
        <v>Wednesday</v>
      </c>
      <c r="C179" s="172" t="str">
        <f t="shared" si="9"/>
        <v>November</v>
      </c>
      <c r="D179" s="172" t="str">
        <f t="shared" si="10"/>
        <v>2024</v>
      </c>
      <c r="E179" s="172" t="str">
        <f t="shared" si="11"/>
        <v>Q4</v>
      </c>
      <c r="F179" s="173">
        <v>145.61000000000001</v>
      </c>
      <c r="G179" s="173">
        <v>142.96</v>
      </c>
      <c r="H179" s="173">
        <v>146.49</v>
      </c>
      <c r="I179" s="173">
        <v>141.96</v>
      </c>
      <c r="J179" s="174">
        <v>242043900</v>
      </c>
      <c r="K179" s="173">
        <v>146.49</v>
      </c>
      <c r="L179">
        <v>90.69</v>
      </c>
    </row>
    <row r="180" spans="1:12" x14ac:dyDescent="0.3">
      <c r="A180" s="172">
        <v>45601</v>
      </c>
      <c r="B180" s="172" t="str">
        <f t="shared" si="8"/>
        <v>Tuesday</v>
      </c>
      <c r="C180" s="172" t="str">
        <f t="shared" si="9"/>
        <v>November</v>
      </c>
      <c r="D180" s="172" t="str">
        <f t="shared" si="10"/>
        <v>2024</v>
      </c>
      <c r="E180" s="172" t="str">
        <f t="shared" si="11"/>
        <v>Q4</v>
      </c>
      <c r="F180" s="173">
        <v>139.91</v>
      </c>
      <c r="G180" s="173">
        <v>137.44999999999999</v>
      </c>
      <c r="H180" s="173">
        <v>140.37010000000001</v>
      </c>
      <c r="I180" s="173">
        <v>137.33000000000001</v>
      </c>
      <c r="J180" s="174">
        <v>160537400</v>
      </c>
      <c r="K180" s="173">
        <v>144.41999999999999</v>
      </c>
      <c r="L180">
        <v>90.69</v>
      </c>
    </row>
    <row r="181" spans="1:12" x14ac:dyDescent="0.3">
      <c r="A181" s="172">
        <v>45600</v>
      </c>
      <c r="B181" s="172" t="str">
        <f t="shared" si="8"/>
        <v>Monday</v>
      </c>
      <c r="C181" s="172" t="str">
        <f t="shared" si="9"/>
        <v>November</v>
      </c>
      <c r="D181" s="172" t="str">
        <f t="shared" si="10"/>
        <v>2024</v>
      </c>
      <c r="E181" s="172" t="str">
        <f t="shared" si="11"/>
        <v>Q4</v>
      </c>
      <c r="F181" s="173">
        <v>136.05000000000001</v>
      </c>
      <c r="G181" s="173">
        <v>137.21</v>
      </c>
      <c r="H181" s="173">
        <v>138.96</v>
      </c>
      <c r="I181" s="173">
        <v>135.57</v>
      </c>
      <c r="J181" s="174">
        <v>187528200</v>
      </c>
      <c r="K181" s="173">
        <v>144.41999999999999</v>
      </c>
      <c r="L181">
        <v>90.69</v>
      </c>
    </row>
    <row r="182" spans="1:12" x14ac:dyDescent="0.3">
      <c r="A182" s="172">
        <v>45597</v>
      </c>
      <c r="B182" s="172" t="str">
        <f t="shared" si="8"/>
        <v>Friday</v>
      </c>
      <c r="C182" s="172" t="str">
        <f t="shared" si="9"/>
        <v>November</v>
      </c>
      <c r="D182" s="172" t="str">
        <f t="shared" si="10"/>
        <v>2024</v>
      </c>
      <c r="E182" s="172" t="str">
        <f t="shared" si="11"/>
        <v>Q4</v>
      </c>
      <c r="F182" s="173">
        <v>135.4</v>
      </c>
      <c r="G182" s="173">
        <v>134.69999999999999</v>
      </c>
      <c r="H182" s="173">
        <v>137.31</v>
      </c>
      <c r="I182" s="173">
        <v>134.57</v>
      </c>
      <c r="J182" s="174">
        <v>207127800</v>
      </c>
      <c r="K182" s="173">
        <v>144.41999999999999</v>
      </c>
      <c r="L182">
        <v>90.69</v>
      </c>
    </row>
    <row r="183" spans="1:12" x14ac:dyDescent="0.3">
      <c r="A183" s="172">
        <v>45596</v>
      </c>
      <c r="B183" s="172" t="str">
        <f t="shared" si="8"/>
        <v>Thursday</v>
      </c>
      <c r="C183" s="172" t="str">
        <f t="shared" si="9"/>
        <v>October</v>
      </c>
      <c r="D183" s="172" t="str">
        <f t="shared" si="10"/>
        <v>2024</v>
      </c>
      <c r="E183" s="172" t="str">
        <f t="shared" si="11"/>
        <v>Q4</v>
      </c>
      <c r="F183" s="173">
        <v>132.76</v>
      </c>
      <c r="G183" s="173">
        <v>137.6</v>
      </c>
      <c r="H183" s="173">
        <v>137.61000000000001</v>
      </c>
      <c r="I183" s="173">
        <v>132.11060000000001</v>
      </c>
      <c r="J183" s="174">
        <v>270039600</v>
      </c>
      <c r="K183" s="173">
        <v>144.41999999999999</v>
      </c>
      <c r="L183">
        <v>90.69</v>
      </c>
    </row>
    <row r="184" spans="1:12" x14ac:dyDescent="0.3">
      <c r="A184" s="172">
        <v>45595</v>
      </c>
      <c r="B184" s="172" t="str">
        <f t="shared" si="8"/>
        <v>Wednesday</v>
      </c>
      <c r="C184" s="172" t="str">
        <f t="shared" si="9"/>
        <v>October</v>
      </c>
      <c r="D184" s="172" t="str">
        <f t="shared" si="10"/>
        <v>2024</v>
      </c>
      <c r="E184" s="172" t="str">
        <f t="shared" si="11"/>
        <v>Q4</v>
      </c>
      <c r="F184" s="173">
        <v>139.33500000000001</v>
      </c>
      <c r="G184" s="173">
        <v>139.54</v>
      </c>
      <c r="H184" s="173">
        <v>140.33000000000001</v>
      </c>
      <c r="I184" s="173">
        <v>136.81</v>
      </c>
      <c r="J184" s="174">
        <v>179418100</v>
      </c>
      <c r="K184" s="173">
        <v>144.41999999999999</v>
      </c>
      <c r="L184">
        <v>90.69</v>
      </c>
    </row>
    <row r="185" spans="1:12" x14ac:dyDescent="0.3">
      <c r="A185" s="172">
        <v>45594</v>
      </c>
      <c r="B185" s="172" t="str">
        <f t="shared" si="8"/>
        <v>Tuesday</v>
      </c>
      <c r="C185" s="172" t="str">
        <f t="shared" si="9"/>
        <v>October</v>
      </c>
      <c r="D185" s="172" t="str">
        <f t="shared" si="10"/>
        <v>2024</v>
      </c>
      <c r="E185" s="172" t="str">
        <f t="shared" si="11"/>
        <v>Q4</v>
      </c>
      <c r="F185" s="173">
        <v>141.25</v>
      </c>
      <c r="G185" s="173">
        <v>140.285</v>
      </c>
      <c r="H185" s="173">
        <v>142.25980000000001</v>
      </c>
      <c r="I185" s="173">
        <v>138.9</v>
      </c>
      <c r="J185" s="174">
        <v>157593600</v>
      </c>
      <c r="K185" s="173">
        <v>144.41999999999999</v>
      </c>
      <c r="L185">
        <v>90.69</v>
      </c>
    </row>
    <row r="186" spans="1:12" x14ac:dyDescent="0.3">
      <c r="A186" s="172">
        <v>45593</v>
      </c>
      <c r="B186" s="172" t="str">
        <f t="shared" si="8"/>
        <v>Monday</v>
      </c>
      <c r="C186" s="172" t="str">
        <f t="shared" si="9"/>
        <v>October</v>
      </c>
      <c r="D186" s="172" t="str">
        <f t="shared" si="10"/>
        <v>2024</v>
      </c>
      <c r="E186" s="172" t="str">
        <f t="shared" si="11"/>
        <v>Q4</v>
      </c>
      <c r="F186" s="173">
        <v>140.52000000000001</v>
      </c>
      <c r="G186" s="173">
        <v>143</v>
      </c>
      <c r="H186" s="173">
        <v>143.13999999999999</v>
      </c>
      <c r="I186" s="173">
        <v>140.05000000000001</v>
      </c>
      <c r="J186" s="174">
        <v>173586700</v>
      </c>
      <c r="K186" s="173">
        <v>144.41999999999999</v>
      </c>
      <c r="L186">
        <v>90.69</v>
      </c>
    </row>
    <row r="187" spans="1:12" x14ac:dyDescent="0.3">
      <c r="A187" s="172">
        <v>45590</v>
      </c>
      <c r="B187" s="172" t="str">
        <f t="shared" si="8"/>
        <v>Friday</v>
      </c>
      <c r="C187" s="172" t="str">
        <f t="shared" si="9"/>
        <v>October</v>
      </c>
      <c r="D187" s="172" t="str">
        <f t="shared" si="10"/>
        <v>2024</v>
      </c>
      <c r="E187" s="172" t="str">
        <f t="shared" si="11"/>
        <v>Q4</v>
      </c>
      <c r="F187" s="173">
        <v>141.54</v>
      </c>
      <c r="G187" s="173">
        <v>140.93</v>
      </c>
      <c r="H187" s="173">
        <v>144.13</v>
      </c>
      <c r="I187" s="173">
        <v>140.80000000000001</v>
      </c>
      <c r="J187" s="174">
        <v>205122100</v>
      </c>
      <c r="K187" s="173">
        <v>144.41999999999999</v>
      </c>
      <c r="L187">
        <v>90.69</v>
      </c>
    </row>
    <row r="188" spans="1:12" x14ac:dyDescent="0.3">
      <c r="A188" s="172">
        <v>45589</v>
      </c>
      <c r="B188" s="172" t="str">
        <f t="shared" si="8"/>
        <v>Thursday</v>
      </c>
      <c r="C188" s="172" t="str">
        <f t="shared" si="9"/>
        <v>October</v>
      </c>
      <c r="D188" s="172" t="str">
        <f t="shared" si="10"/>
        <v>2024</v>
      </c>
      <c r="E188" s="172" t="str">
        <f t="shared" si="11"/>
        <v>Q4</v>
      </c>
      <c r="F188" s="173">
        <v>140.41</v>
      </c>
      <c r="G188" s="173">
        <v>140.82</v>
      </c>
      <c r="H188" s="173">
        <v>141.35</v>
      </c>
      <c r="I188" s="173">
        <v>138.46</v>
      </c>
      <c r="J188" s="174">
        <v>172354900</v>
      </c>
      <c r="K188" s="173">
        <v>144.41999999999999</v>
      </c>
      <c r="L188">
        <v>90.69</v>
      </c>
    </row>
    <row r="189" spans="1:12" x14ac:dyDescent="0.3">
      <c r="A189" s="172">
        <v>45588</v>
      </c>
      <c r="B189" s="172" t="str">
        <f t="shared" si="8"/>
        <v>Wednesday</v>
      </c>
      <c r="C189" s="172" t="str">
        <f t="shared" si="9"/>
        <v>October</v>
      </c>
      <c r="D189" s="172" t="str">
        <f t="shared" si="10"/>
        <v>2024</v>
      </c>
      <c r="E189" s="172" t="str">
        <f t="shared" si="11"/>
        <v>Q4</v>
      </c>
      <c r="F189" s="173">
        <v>139.56</v>
      </c>
      <c r="G189" s="173">
        <v>142.03</v>
      </c>
      <c r="H189" s="173">
        <v>142.43</v>
      </c>
      <c r="I189" s="173">
        <v>137.46</v>
      </c>
      <c r="J189" s="174">
        <v>285930000</v>
      </c>
      <c r="K189" s="173">
        <v>144.41999999999999</v>
      </c>
      <c r="L189">
        <v>90.69</v>
      </c>
    </row>
    <row r="190" spans="1:12" x14ac:dyDescent="0.3">
      <c r="A190" s="172">
        <v>45587</v>
      </c>
      <c r="B190" s="172" t="str">
        <f t="shared" si="8"/>
        <v>Tuesday</v>
      </c>
      <c r="C190" s="172" t="str">
        <f t="shared" si="9"/>
        <v>October</v>
      </c>
      <c r="D190" s="172" t="str">
        <f t="shared" si="10"/>
        <v>2024</v>
      </c>
      <c r="E190" s="172" t="str">
        <f t="shared" si="11"/>
        <v>Q4</v>
      </c>
      <c r="F190" s="173">
        <v>143.59</v>
      </c>
      <c r="G190" s="173">
        <v>142.91</v>
      </c>
      <c r="H190" s="173">
        <v>144.41999999999999</v>
      </c>
      <c r="I190" s="173">
        <v>141.78</v>
      </c>
      <c r="J190" s="174">
        <v>226311600</v>
      </c>
      <c r="K190" s="173">
        <v>144.41999999999999</v>
      </c>
      <c r="L190">
        <v>90.69</v>
      </c>
    </row>
    <row r="191" spans="1:12" x14ac:dyDescent="0.3">
      <c r="A191" s="172">
        <v>45586</v>
      </c>
      <c r="B191" s="172" t="str">
        <f t="shared" si="8"/>
        <v>Monday</v>
      </c>
      <c r="C191" s="172" t="str">
        <f t="shared" si="9"/>
        <v>October</v>
      </c>
      <c r="D191" s="172" t="str">
        <f t="shared" si="10"/>
        <v>2024</v>
      </c>
      <c r="E191" s="172" t="str">
        <f t="shared" si="11"/>
        <v>Q4</v>
      </c>
      <c r="F191" s="173">
        <v>143.71</v>
      </c>
      <c r="G191" s="173">
        <v>138.13</v>
      </c>
      <c r="H191" s="173">
        <v>143.71</v>
      </c>
      <c r="I191" s="173">
        <v>138</v>
      </c>
      <c r="J191" s="174">
        <v>264554500</v>
      </c>
      <c r="K191" s="173">
        <v>143.71</v>
      </c>
      <c r="L191">
        <v>90.69</v>
      </c>
    </row>
    <row r="192" spans="1:12" x14ac:dyDescent="0.3">
      <c r="A192" s="172">
        <v>45583</v>
      </c>
      <c r="B192" s="172" t="str">
        <f t="shared" si="8"/>
        <v>Friday</v>
      </c>
      <c r="C192" s="172" t="str">
        <f t="shared" si="9"/>
        <v>October</v>
      </c>
      <c r="D192" s="172" t="str">
        <f t="shared" si="10"/>
        <v>2024</v>
      </c>
      <c r="E192" s="172" t="str">
        <f t="shared" si="11"/>
        <v>Q4</v>
      </c>
      <c r="F192" s="173">
        <v>138</v>
      </c>
      <c r="G192" s="173">
        <v>138.66499999999999</v>
      </c>
      <c r="H192" s="173">
        <v>138.9</v>
      </c>
      <c r="I192" s="173">
        <v>137.28</v>
      </c>
      <c r="J192" s="174">
        <v>176090200</v>
      </c>
      <c r="K192" s="173">
        <v>140.88999999999999</v>
      </c>
      <c r="L192">
        <v>90.69</v>
      </c>
    </row>
    <row r="193" spans="1:12" x14ac:dyDescent="0.3">
      <c r="A193" s="172">
        <v>45582</v>
      </c>
      <c r="B193" s="172" t="str">
        <f t="shared" si="8"/>
        <v>Thursday</v>
      </c>
      <c r="C193" s="172" t="str">
        <f t="shared" si="9"/>
        <v>October</v>
      </c>
      <c r="D193" s="172" t="str">
        <f t="shared" si="10"/>
        <v>2024</v>
      </c>
      <c r="E193" s="172" t="str">
        <f t="shared" si="11"/>
        <v>Q4</v>
      </c>
      <c r="F193" s="173">
        <v>136.93</v>
      </c>
      <c r="G193" s="173">
        <v>139.34</v>
      </c>
      <c r="H193" s="173">
        <v>140.88999999999999</v>
      </c>
      <c r="I193" s="173">
        <v>136.87</v>
      </c>
      <c r="J193" s="174">
        <v>306435900</v>
      </c>
      <c r="K193" s="173">
        <v>140.88999999999999</v>
      </c>
      <c r="L193">
        <v>90.69</v>
      </c>
    </row>
    <row r="194" spans="1:12" x14ac:dyDescent="0.3">
      <c r="A194" s="172">
        <v>45581</v>
      </c>
      <c r="B194" s="172" t="str">
        <f t="shared" ref="B194:B248" si="12">TEXT(A194,"dddd")</f>
        <v>Wednesday</v>
      </c>
      <c r="C194" s="172" t="str">
        <f t="shared" ref="C194:C248" si="13">TEXT(A194,"mmmm")</f>
        <v>October</v>
      </c>
      <c r="D194" s="172" t="str">
        <f t="shared" ref="D194:D248" si="14">TEXT(A194,"yyyy")</f>
        <v>2024</v>
      </c>
      <c r="E194" s="172" t="str">
        <f t="shared" ref="E194:E248" si="15">"Q"&amp;ROUNDUP(MONTH(A195)/3,0)</f>
        <v>Q4</v>
      </c>
      <c r="F194" s="173">
        <v>135.72</v>
      </c>
      <c r="G194" s="173">
        <v>133.97999999999999</v>
      </c>
      <c r="H194" s="173">
        <v>136.62</v>
      </c>
      <c r="I194" s="173">
        <v>131.58000000000001</v>
      </c>
      <c r="J194" s="174">
        <v>264879700</v>
      </c>
      <c r="K194" s="173">
        <v>139.6</v>
      </c>
      <c r="L194">
        <v>90.69</v>
      </c>
    </row>
    <row r="195" spans="1:12" x14ac:dyDescent="0.3">
      <c r="A195" s="172">
        <v>45580</v>
      </c>
      <c r="B195" s="172" t="str">
        <f t="shared" si="12"/>
        <v>Tuesday</v>
      </c>
      <c r="C195" s="172" t="str">
        <f t="shared" si="13"/>
        <v>October</v>
      </c>
      <c r="D195" s="172" t="str">
        <f t="shared" si="14"/>
        <v>2024</v>
      </c>
      <c r="E195" s="172" t="str">
        <f t="shared" si="15"/>
        <v>Q4</v>
      </c>
      <c r="F195" s="173">
        <v>131.6</v>
      </c>
      <c r="G195" s="173">
        <v>137.87</v>
      </c>
      <c r="H195" s="173">
        <v>138.57</v>
      </c>
      <c r="I195" s="173">
        <v>128.74</v>
      </c>
      <c r="J195" s="174">
        <v>377831000</v>
      </c>
      <c r="K195" s="173">
        <v>139.6</v>
      </c>
      <c r="L195">
        <v>90.69</v>
      </c>
    </row>
    <row r="196" spans="1:12" x14ac:dyDescent="0.3">
      <c r="A196" s="172">
        <v>45579</v>
      </c>
      <c r="B196" s="172" t="str">
        <f t="shared" si="12"/>
        <v>Monday</v>
      </c>
      <c r="C196" s="172" t="str">
        <f t="shared" si="13"/>
        <v>October</v>
      </c>
      <c r="D196" s="172" t="str">
        <f t="shared" si="14"/>
        <v>2024</v>
      </c>
      <c r="E196" s="172" t="str">
        <f t="shared" si="15"/>
        <v>Q4</v>
      </c>
      <c r="F196" s="173">
        <v>138.07</v>
      </c>
      <c r="G196" s="173">
        <v>136.47</v>
      </c>
      <c r="H196" s="173">
        <v>139.6</v>
      </c>
      <c r="I196" s="173">
        <v>136.30000000000001</v>
      </c>
      <c r="J196" s="174">
        <v>232347700</v>
      </c>
      <c r="K196" s="173">
        <v>139.6</v>
      </c>
      <c r="L196">
        <v>90.69</v>
      </c>
    </row>
    <row r="197" spans="1:12" x14ac:dyDescent="0.3">
      <c r="A197" s="172">
        <v>45576</v>
      </c>
      <c r="B197" s="172" t="str">
        <f t="shared" si="12"/>
        <v>Friday</v>
      </c>
      <c r="C197" s="172" t="str">
        <f t="shared" si="13"/>
        <v>October</v>
      </c>
      <c r="D197" s="172" t="str">
        <f t="shared" si="14"/>
        <v>2024</v>
      </c>
      <c r="E197" s="172" t="str">
        <f t="shared" si="15"/>
        <v>Q4</v>
      </c>
      <c r="F197" s="173">
        <v>134.80000000000001</v>
      </c>
      <c r="G197" s="173">
        <v>134.01</v>
      </c>
      <c r="H197" s="173">
        <v>135.78</v>
      </c>
      <c r="I197" s="173">
        <v>133.66</v>
      </c>
      <c r="J197" s="174">
        <v>170209500</v>
      </c>
      <c r="K197" s="173">
        <v>135.78</v>
      </c>
      <c r="L197">
        <v>90.69</v>
      </c>
    </row>
    <row r="198" spans="1:12" x14ac:dyDescent="0.3">
      <c r="A198" s="172">
        <v>45575</v>
      </c>
      <c r="B198" s="172" t="str">
        <f t="shared" si="12"/>
        <v>Thursday</v>
      </c>
      <c r="C198" s="172" t="str">
        <f t="shared" si="13"/>
        <v>October</v>
      </c>
      <c r="D198" s="172" t="str">
        <f t="shared" si="14"/>
        <v>2024</v>
      </c>
      <c r="E198" s="172" t="str">
        <f t="shared" si="15"/>
        <v>Q4</v>
      </c>
      <c r="F198" s="173">
        <v>134.81</v>
      </c>
      <c r="G198" s="173">
        <v>131.91</v>
      </c>
      <c r="H198" s="173">
        <v>135</v>
      </c>
      <c r="I198" s="173">
        <v>131</v>
      </c>
      <c r="J198" s="174">
        <v>242311300</v>
      </c>
      <c r="K198" s="173">
        <v>135</v>
      </c>
      <c r="L198">
        <v>90.69</v>
      </c>
    </row>
    <row r="199" spans="1:12" x14ac:dyDescent="0.3">
      <c r="A199" s="172">
        <v>45574</v>
      </c>
      <c r="B199" s="172" t="str">
        <f t="shared" si="12"/>
        <v>Wednesday</v>
      </c>
      <c r="C199" s="172" t="str">
        <f t="shared" si="13"/>
        <v>October</v>
      </c>
      <c r="D199" s="172" t="str">
        <f t="shared" si="14"/>
        <v>2024</v>
      </c>
      <c r="E199" s="172" t="str">
        <f t="shared" si="15"/>
        <v>Q4</v>
      </c>
      <c r="F199" s="173">
        <v>132.65</v>
      </c>
      <c r="G199" s="173">
        <v>134.11000000000001</v>
      </c>
      <c r="H199" s="173">
        <v>134.52000000000001</v>
      </c>
      <c r="I199" s="173">
        <v>131.38</v>
      </c>
      <c r="J199" s="174">
        <v>246191600</v>
      </c>
      <c r="K199" s="173">
        <v>134.52000000000001</v>
      </c>
      <c r="L199">
        <v>90.69</v>
      </c>
    </row>
    <row r="200" spans="1:12" x14ac:dyDescent="0.3">
      <c r="A200" s="172">
        <v>45573</v>
      </c>
      <c r="B200" s="172" t="str">
        <f t="shared" si="12"/>
        <v>Tuesday</v>
      </c>
      <c r="C200" s="172" t="str">
        <f t="shared" si="13"/>
        <v>October</v>
      </c>
      <c r="D200" s="172" t="str">
        <f t="shared" si="14"/>
        <v>2024</v>
      </c>
      <c r="E200" s="172" t="str">
        <f t="shared" si="15"/>
        <v>Q4</v>
      </c>
      <c r="F200" s="173">
        <v>132.88999999999999</v>
      </c>
      <c r="G200" s="173">
        <v>130.26</v>
      </c>
      <c r="H200" s="173">
        <v>133.47999999999999</v>
      </c>
      <c r="I200" s="173">
        <v>129.41999999999999</v>
      </c>
      <c r="J200" s="174">
        <v>285722500</v>
      </c>
      <c r="K200" s="173">
        <v>133.47999999999999</v>
      </c>
      <c r="L200">
        <v>90.69</v>
      </c>
    </row>
    <row r="201" spans="1:12" x14ac:dyDescent="0.3">
      <c r="A201" s="172">
        <v>45572</v>
      </c>
      <c r="B201" s="172" t="str">
        <f t="shared" si="12"/>
        <v>Monday</v>
      </c>
      <c r="C201" s="172" t="str">
        <f t="shared" si="13"/>
        <v>October</v>
      </c>
      <c r="D201" s="172" t="str">
        <f t="shared" si="14"/>
        <v>2024</v>
      </c>
      <c r="E201" s="172" t="str">
        <f t="shared" si="15"/>
        <v>Q4</v>
      </c>
      <c r="F201" s="173">
        <v>127.72</v>
      </c>
      <c r="G201" s="173">
        <v>124.99</v>
      </c>
      <c r="H201" s="173">
        <v>130.63999999999999</v>
      </c>
      <c r="I201" s="173">
        <v>124.95</v>
      </c>
      <c r="J201" s="174">
        <v>346250200</v>
      </c>
      <c r="K201" s="173">
        <v>131.26</v>
      </c>
      <c r="L201">
        <v>90.69</v>
      </c>
    </row>
    <row r="202" spans="1:12" x14ac:dyDescent="0.3">
      <c r="A202" s="172">
        <v>45569</v>
      </c>
      <c r="B202" s="172" t="str">
        <f t="shared" si="12"/>
        <v>Friday</v>
      </c>
      <c r="C202" s="172" t="str">
        <f t="shared" si="13"/>
        <v>October</v>
      </c>
      <c r="D202" s="172" t="str">
        <f t="shared" si="14"/>
        <v>2024</v>
      </c>
      <c r="E202" s="172" t="str">
        <f t="shared" si="15"/>
        <v>Q4</v>
      </c>
      <c r="F202" s="173">
        <v>124.92</v>
      </c>
      <c r="G202" s="173">
        <v>124.94</v>
      </c>
      <c r="H202" s="173">
        <v>125.04</v>
      </c>
      <c r="I202" s="173">
        <v>121.83</v>
      </c>
      <c r="J202" s="174">
        <v>244465600</v>
      </c>
      <c r="K202" s="173">
        <v>131.26</v>
      </c>
      <c r="L202">
        <v>90.69</v>
      </c>
    </row>
    <row r="203" spans="1:12" x14ac:dyDescent="0.3">
      <c r="A203" s="172">
        <v>45568</v>
      </c>
      <c r="B203" s="172" t="str">
        <f t="shared" si="12"/>
        <v>Thursday</v>
      </c>
      <c r="C203" s="172" t="str">
        <f t="shared" si="13"/>
        <v>October</v>
      </c>
      <c r="D203" s="172" t="str">
        <f t="shared" si="14"/>
        <v>2024</v>
      </c>
      <c r="E203" s="172" t="str">
        <f t="shared" si="15"/>
        <v>Q4</v>
      </c>
      <c r="F203" s="173">
        <v>122.85</v>
      </c>
      <c r="G203" s="173">
        <v>120.92</v>
      </c>
      <c r="H203" s="173">
        <v>124.36</v>
      </c>
      <c r="I203" s="173">
        <v>120.34010000000001</v>
      </c>
      <c r="J203" s="174">
        <v>277118000</v>
      </c>
      <c r="K203" s="173">
        <v>131.26</v>
      </c>
      <c r="L203">
        <v>90.69</v>
      </c>
    </row>
    <row r="204" spans="1:12" x14ac:dyDescent="0.3">
      <c r="A204" s="172">
        <v>45567</v>
      </c>
      <c r="B204" s="172" t="str">
        <f t="shared" si="12"/>
        <v>Wednesday</v>
      </c>
      <c r="C204" s="172" t="str">
        <f t="shared" si="13"/>
        <v>October</v>
      </c>
      <c r="D204" s="172" t="str">
        <f t="shared" si="14"/>
        <v>2024</v>
      </c>
      <c r="E204" s="172" t="str">
        <f t="shared" si="15"/>
        <v>Q4</v>
      </c>
      <c r="F204" s="173">
        <v>118.85</v>
      </c>
      <c r="G204" s="173">
        <v>116.44</v>
      </c>
      <c r="H204" s="173">
        <v>119.38</v>
      </c>
      <c r="I204" s="173">
        <v>115.14</v>
      </c>
      <c r="J204" s="174">
        <v>221845900</v>
      </c>
      <c r="K204" s="173">
        <v>131.26</v>
      </c>
      <c r="L204">
        <v>90.69</v>
      </c>
    </row>
    <row r="205" spans="1:12" x14ac:dyDescent="0.3">
      <c r="A205" s="172">
        <v>45566</v>
      </c>
      <c r="B205" s="172" t="str">
        <f t="shared" si="12"/>
        <v>Tuesday</v>
      </c>
      <c r="C205" s="172" t="str">
        <f t="shared" si="13"/>
        <v>October</v>
      </c>
      <c r="D205" s="172" t="str">
        <f t="shared" si="14"/>
        <v>2024</v>
      </c>
      <c r="E205" s="172" t="str">
        <f t="shared" si="15"/>
        <v>Q3</v>
      </c>
      <c r="F205" s="173">
        <v>117</v>
      </c>
      <c r="G205" s="173">
        <v>121.765</v>
      </c>
      <c r="H205" s="173">
        <v>122.43510000000001</v>
      </c>
      <c r="I205" s="173">
        <v>115.79</v>
      </c>
      <c r="J205" s="174">
        <v>302094500</v>
      </c>
      <c r="K205" s="173">
        <v>131.26</v>
      </c>
      <c r="L205">
        <v>90.69</v>
      </c>
    </row>
    <row r="206" spans="1:12" x14ac:dyDescent="0.3">
      <c r="A206" s="172">
        <v>45565</v>
      </c>
      <c r="B206" s="172" t="str">
        <f t="shared" si="12"/>
        <v>Monday</v>
      </c>
      <c r="C206" s="172" t="str">
        <f t="shared" si="13"/>
        <v>September</v>
      </c>
      <c r="D206" s="172" t="str">
        <f t="shared" si="14"/>
        <v>2024</v>
      </c>
      <c r="E206" s="172" t="str">
        <f t="shared" si="15"/>
        <v>Q3</v>
      </c>
      <c r="F206" s="173">
        <v>121.44</v>
      </c>
      <c r="G206" s="173">
        <v>118.31</v>
      </c>
      <c r="H206" s="173">
        <v>121.5</v>
      </c>
      <c r="I206" s="173">
        <v>118.15</v>
      </c>
      <c r="J206" s="174">
        <v>227053700</v>
      </c>
      <c r="K206" s="173">
        <v>131.26</v>
      </c>
      <c r="L206">
        <v>90.69</v>
      </c>
    </row>
    <row r="207" spans="1:12" x14ac:dyDescent="0.3">
      <c r="A207" s="172">
        <v>45562</v>
      </c>
      <c r="B207" s="172" t="str">
        <f t="shared" si="12"/>
        <v>Friday</v>
      </c>
      <c r="C207" s="172" t="str">
        <f t="shared" si="13"/>
        <v>September</v>
      </c>
      <c r="D207" s="172" t="str">
        <f t="shared" si="14"/>
        <v>2024</v>
      </c>
      <c r="E207" s="172" t="str">
        <f t="shared" si="15"/>
        <v>Q3</v>
      </c>
      <c r="F207" s="173">
        <v>121.4</v>
      </c>
      <c r="G207" s="173">
        <v>123.97</v>
      </c>
      <c r="H207" s="173">
        <v>124.03</v>
      </c>
      <c r="I207" s="173">
        <v>119.26</v>
      </c>
      <c r="J207" s="174">
        <v>271009200</v>
      </c>
      <c r="K207" s="173">
        <v>131.26</v>
      </c>
      <c r="L207">
        <v>90.69</v>
      </c>
    </row>
    <row r="208" spans="1:12" x14ac:dyDescent="0.3">
      <c r="A208" s="172">
        <v>45561</v>
      </c>
      <c r="B208" s="172" t="str">
        <f t="shared" si="12"/>
        <v>Thursday</v>
      </c>
      <c r="C208" s="172" t="str">
        <f t="shared" si="13"/>
        <v>September</v>
      </c>
      <c r="D208" s="172" t="str">
        <f t="shared" si="14"/>
        <v>2024</v>
      </c>
      <c r="E208" s="172" t="str">
        <f t="shared" si="15"/>
        <v>Q3</v>
      </c>
      <c r="F208" s="173">
        <v>124.04</v>
      </c>
      <c r="G208" s="173">
        <v>126.8</v>
      </c>
      <c r="H208" s="173">
        <v>127.66500000000001</v>
      </c>
      <c r="I208" s="173">
        <v>121.8</v>
      </c>
      <c r="J208" s="174">
        <v>302582900</v>
      </c>
      <c r="K208" s="173">
        <v>131.26</v>
      </c>
      <c r="L208">
        <v>90.69</v>
      </c>
    </row>
    <row r="209" spans="1:12" x14ac:dyDescent="0.3">
      <c r="A209" s="172">
        <v>45560</v>
      </c>
      <c r="B209" s="172" t="str">
        <f t="shared" si="12"/>
        <v>Wednesday</v>
      </c>
      <c r="C209" s="172" t="str">
        <f t="shared" si="13"/>
        <v>September</v>
      </c>
      <c r="D209" s="172" t="str">
        <f t="shared" si="14"/>
        <v>2024</v>
      </c>
      <c r="E209" s="172" t="str">
        <f t="shared" si="15"/>
        <v>Q3</v>
      </c>
      <c r="F209" s="173">
        <v>123.51</v>
      </c>
      <c r="G209" s="173">
        <v>122.02</v>
      </c>
      <c r="H209" s="173">
        <v>124.94</v>
      </c>
      <c r="I209" s="173">
        <v>121.61</v>
      </c>
      <c r="J209" s="174">
        <v>284692900</v>
      </c>
      <c r="K209" s="173">
        <v>131.26</v>
      </c>
      <c r="L209">
        <v>90.69</v>
      </c>
    </row>
    <row r="210" spans="1:12" x14ac:dyDescent="0.3">
      <c r="A210" s="172">
        <v>45559</v>
      </c>
      <c r="B210" s="172" t="str">
        <f t="shared" si="12"/>
        <v>Tuesday</v>
      </c>
      <c r="C210" s="172" t="str">
        <f t="shared" si="13"/>
        <v>September</v>
      </c>
      <c r="D210" s="172" t="str">
        <f t="shared" si="14"/>
        <v>2024</v>
      </c>
      <c r="E210" s="172" t="str">
        <f t="shared" si="15"/>
        <v>Q3</v>
      </c>
      <c r="F210" s="173">
        <v>120.87</v>
      </c>
      <c r="G210" s="173">
        <v>116.515</v>
      </c>
      <c r="H210" s="173">
        <v>121.8</v>
      </c>
      <c r="I210" s="173">
        <v>115.38</v>
      </c>
      <c r="J210" s="174">
        <v>354966800</v>
      </c>
      <c r="K210" s="173">
        <v>131.26</v>
      </c>
      <c r="L210">
        <v>90.69</v>
      </c>
    </row>
    <row r="211" spans="1:12" x14ac:dyDescent="0.3">
      <c r="A211" s="172">
        <v>45558</v>
      </c>
      <c r="B211" s="172" t="str">
        <f t="shared" si="12"/>
        <v>Monday</v>
      </c>
      <c r="C211" s="172" t="str">
        <f t="shared" si="13"/>
        <v>September</v>
      </c>
      <c r="D211" s="172" t="str">
        <f t="shared" si="14"/>
        <v>2024</v>
      </c>
      <c r="E211" s="172" t="str">
        <f t="shared" si="15"/>
        <v>Q3</v>
      </c>
      <c r="F211" s="173">
        <v>116.26</v>
      </c>
      <c r="G211" s="173">
        <v>116.55</v>
      </c>
      <c r="H211" s="173">
        <v>116.99</v>
      </c>
      <c r="I211" s="173">
        <v>114.86</v>
      </c>
      <c r="J211" s="174">
        <v>206228500</v>
      </c>
      <c r="K211" s="173">
        <v>131.26</v>
      </c>
      <c r="L211">
        <v>90.69</v>
      </c>
    </row>
    <row r="212" spans="1:12" x14ac:dyDescent="0.3">
      <c r="A212" s="172">
        <v>45555</v>
      </c>
      <c r="B212" s="172" t="str">
        <f t="shared" si="12"/>
        <v>Friday</v>
      </c>
      <c r="C212" s="172" t="str">
        <f t="shared" si="13"/>
        <v>September</v>
      </c>
      <c r="D212" s="172" t="str">
        <f t="shared" si="14"/>
        <v>2024</v>
      </c>
      <c r="E212" s="172" t="str">
        <f t="shared" si="15"/>
        <v>Q3</v>
      </c>
      <c r="F212" s="173">
        <v>116</v>
      </c>
      <c r="G212" s="173">
        <v>117.06</v>
      </c>
      <c r="H212" s="173">
        <v>118.6181</v>
      </c>
      <c r="I212" s="173">
        <v>115.3901</v>
      </c>
      <c r="J212" s="174">
        <v>382462400</v>
      </c>
      <c r="K212" s="173">
        <v>131.26</v>
      </c>
      <c r="L212">
        <v>90.69</v>
      </c>
    </row>
    <row r="213" spans="1:12" x14ac:dyDescent="0.3">
      <c r="A213" s="172">
        <v>45554</v>
      </c>
      <c r="B213" s="172" t="str">
        <f t="shared" si="12"/>
        <v>Thursday</v>
      </c>
      <c r="C213" s="172" t="str">
        <f t="shared" si="13"/>
        <v>September</v>
      </c>
      <c r="D213" s="172" t="str">
        <f t="shared" si="14"/>
        <v>2024</v>
      </c>
      <c r="E213" s="172" t="str">
        <f t="shared" si="15"/>
        <v>Q3</v>
      </c>
      <c r="F213" s="173">
        <v>117.87</v>
      </c>
      <c r="G213" s="173">
        <v>117.35</v>
      </c>
      <c r="H213" s="173">
        <v>119.66</v>
      </c>
      <c r="I213" s="173">
        <v>117.25</v>
      </c>
      <c r="J213" s="174">
        <v>293506400</v>
      </c>
      <c r="K213" s="173">
        <v>131.26</v>
      </c>
      <c r="L213">
        <v>90.69</v>
      </c>
    </row>
    <row r="214" spans="1:12" x14ac:dyDescent="0.3">
      <c r="A214" s="172">
        <v>45553</v>
      </c>
      <c r="B214" s="172" t="str">
        <f t="shared" si="12"/>
        <v>Wednesday</v>
      </c>
      <c r="C214" s="172" t="str">
        <f t="shared" si="13"/>
        <v>September</v>
      </c>
      <c r="D214" s="172" t="str">
        <f t="shared" si="14"/>
        <v>2024</v>
      </c>
      <c r="E214" s="172" t="str">
        <f t="shared" si="15"/>
        <v>Q3</v>
      </c>
      <c r="F214" s="173">
        <v>113.37</v>
      </c>
      <c r="G214" s="173">
        <v>115.89</v>
      </c>
      <c r="H214" s="173">
        <v>117.7</v>
      </c>
      <c r="I214" s="173">
        <v>113.22</v>
      </c>
      <c r="J214" s="174">
        <v>310318900</v>
      </c>
      <c r="K214" s="173">
        <v>131.26</v>
      </c>
      <c r="L214">
        <v>90.69</v>
      </c>
    </row>
    <row r="215" spans="1:12" x14ac:dyDescent="0.3">
      <c r="A215" s="172">
        <v>45552</v>
      </c>
      <c r="B215" s="172" t="str">
        <f t="shared" si="12"/>
        <v>Tuesday</v>
      </c>
      <c r="C215" s="172" t="str">
        <f t="shared" si="13"/>
        <v>September</v>
      </c>
      <c r="D215" s="172" t="str">
        <f t="shared" si="14"/>
        <v>2024</v>
      </c>
      <c r="E215" s="172" t="str">
        <f t="shared" si="15"/>
        <v>Q3</v>
      </c>
      <c r="F215" s="173">
        <v>115.59</v>
      </c>
      <c r="G215" s="173">
        <v>118.17</v>
      </c>
      <c r="H215" s="173">
        <v>118.8</v>
      </c>
      <c r="I215" s="173">
        <v>114.83</v>
      </c>
      <c r="J215" s="174">
        <v>231925900</v>
      </c>
      <c r="K215" s="173">
        <v>131.26</v>
      </c>
      <c r="L215">
        <v>90.69</v>
      </c>
    </row>
    <row r="216" spans="1:12" x14ac:dyDescent="0.3">
      <c r="A216" s="172">
        <v>45551</v>
      </c>
      <c r="B216" s="172" t="str">
        <f t="shared" si="12"/>
        <v>Monday</v>
      </c>
      <c r="C216" s="172" t="str">
        <f t="shared" si="13"/>
        <v>September</v>
      </c>
      <c r="D216" s="172" t="str">
        <f t="shared" si="14"/>
        <v>2024</v>
      </c>
      <c r="E216" s="172" t="str">
        <f t="shared" si="15"/>
        <v>Q3</v>
      </c>
      <c r="F216" s="173">
        <v>116.78</v>
      </c>
      <c r="G216" s="173">
        <v>116.79</v>
      </c>
      <c r="H216" s="173">
        <v>118.18</v>
      </c>
      <c r="I216" s="173">
        <v>114.36</v>
      </c>
      <c r="J216" s="174">
        <v>248772300</v>
      </c>
      <c r="K216" s="173">
        <v>131.26</v>
      </c>
      <c r="L216">
        <v>90.69</v>
      </c>
    </row>
    <row r="217" spans="1:12" x14ac:dyDescent="0.3">
      <c r="A217" s="172">
        <v>45548</v>
      </c>
      <c r="B217" s="172" t="str">
        <f t="shared" si="12"/>
        <v>Friday</v>
      </c>
      <c r="C217" s="172" t="str">
        <f t="shared" si="13"/>
        <v>September</v>
      </c>
      <c r="D217" s="172" t="str">
        <f t="shared" si="14"/>
        <v>2024</v>
      </c>
      <c r="E217" s="172" t="str">
        <f t="shared" si="15"/>
        <v>Q3</v>
      </c>
      <c r="F217" s="173">
        <v>119.1</v>
      </c>
      <c r="G217" s="173">
        <v>119.08</v>
      </c>
      <c r="H217" s="173">
        <v>119.955</v>
      </c>
      <c r="I217" s="173">
        <v>117.6</v>
      </c>
      <c r="J217" s="174">
        <v>238358300</v>
      </c>
      <c r="K217" s="173">
        <v>131.26</v>
      </c>
      <c r="L217">
        <v>90.69</v>
      </c>
    </row>
    <row r="218" spans="1:12" x14ac:dyDescent="0.3">
      <c r="A218" s="172">
        <v>45547</v>
      </c>
      <c r="B218" s="172" t="str">
        <f t="shared" si="12"/>
        <v>Thursday</v>
      </c>
      <c r="C218" s="172" t="str">
        <f t="shared" si="13"/>
        <v>September</v>
      </c>
      <c r="D218" s="172" t="str">
        <f t="shared" si="14"/>
        <v>2024</v>
      </c>
      <c r="E218" s="172" t="str">
        <f t="shared" si="15"/>
        <v>Q3</v>
      </c>
      <c r="F218" s="173">
        <v>119.14</v>
      </c>
      <c r="G218" s="173">
        <v>116.84</v>
      </c>
      <c r="H218" s="173">
        <v>120.79</v>
      </c>
      <c r="I218" s="173">
        <v>115.38</v>
      </c>
      <c r="J218" s="174">
        <v>367100500</v>
      </c>
      <c r="K218" s="173">
        <v>131.26</v>
      </c>
      <c r="L218">
        <v>90.69</v>
      </c>
    </row>
    <row r="219" spans="1:12" x14ac:dyDescent="0.3">
      <c r="A219" s="172">
        <v>45546</v>
      </c>
      <c r="B219" s="172" t="str">
        <f t="shared" si="12"/>
        <v>Wednesday</v>
      </c>
      <c r="C219" s="172" t="str">
        <f t="shared" si="13"/>
        <v>September</v>
      </c>
      <c r="D219" s="172" t="str">
        <f t="shared" si="14"/>
        <v>2024</v>
      </c>
      <c r="E219" s="172" t="str">
        <f t="shared" si="15"/>
        <v>Q3</v>
      </c>
      <c r="F219" s="173">
        <v>116.91</v>
      </c>
      <c r="G219" s="173">
        <v>109.39</v>
      </c>
      <c r="H219" s="173">
        <v>117.19</v>
      </c>
      <c r="I219" s="173">
        <v>107.42</v>
      </c>
      <c r="J219" s="174">
        <v>441422400</v>
      </c>
      <c r="K219" s="173">
        <v>131.26</v>
      </c>
      <c r="L219">
        <v>90.69</v>
      </c>
    </row>
    <row r="220" spans="1:12" x14ac:dyDescent="0.3">
      <c r="A220" s="172">
        <v>45545</v>
      </c>
      <c r="B220" s="172" t="str">
        <f t="shared" si="12"/>
        <v>Tuesday</v>
      </c>
      <c r="C220" s="172" t="str">
        <f t="shared" si="13"/>
        <v>September</v>
      </c>
      <c r="D220" s="172" t="str">
        <f t="shared" si="14"/>
        <v>2024</v>
      </c>
      <c r="E220" s="172" t="str">
        <f t="shared" si="15"/>
        <v>Q3</v>
      </c>
      <c r="F220" s="173">
        <v>108.1</v>
      </c>
      <c r="G220" s="173">
        <v>107.81</v>
      </c>
      <c r="H220" s="173">
        <v>109.4</v>
      </c>
      <c r="I220" s="173">
        <v>104.95</v>
      </c>
      <c r="J220" s="174">
        <v>268283700</v>
      </c>
      <c r="K220" s="173">
        <v>131.26</v>
      </c>
      <c r="L220">
        <v>90.69</v>
      </c>
    </row>
    <row r="221" spans="1:12" x14ac:dyDescent="0.3">
      <c r="A221" s="172">
        <v>45544</v>
      </c>
      <c r="B221" s="172" t="str">
        <f t="shared" si="12"/>
        <v>Monday</v>
      </c>
      <c r="C221" s="172" t="str">
        <f t="shared" si="13"/>
        <v>September</v>
      </c>
      <c r="D221" s="172" t="str">
        <f t="shared" si="14"/>
        <v>2024</v>
      </c>
      <c r="E221" s="172" t="str">
        <f t="shared" si="15"/>
        <v>Q3</v>
      </c>
      <c r="F221" s="173">
        <v>106.47</v>
      </c>
      <c r="G221" s="173">
        <v>104.88</v>
      </c>
      <c r="H221" s="173">
        <v>106.55</v>
      </c>
      <c r="I221" s="173">
        <v>103.69</v>
      </c>
      <c r="J221" s="174">
        <v>273912000</v>
      </c>
      <c r="K221" s="173">
        <v>131.26</v>
      </c>
      <c r="L221">
        <v>90.69</v>
      </c>
    </row>
    <row r="222" spans="1:12" x14ac:dyDescent="0.3">
      <c r="A222" s="172">
        <v>45541</v>
      </c>
      <c r="B222" s="172" t="str">
        <f t="shared" si="12"/>
        <v>Friday</v>
      </c>
      <c r="C222" s="172" t="str">
        <f t="shared" si="13"/>
        <v>September</v>
      </c>
      <c r="D222" s="172" t="str">
        <f t="shared" si="14"/>
        <v>2024</v>
      </c>
      <c r="E222" s="172" t="str">
        <f t="shared" si="15"/>
        <v>Q3</v>
      </c>
      <c r="F222" s="173">
        <v>102.83</v>
      </c>
      <c r="G222" s="173">
        <v>108.04</v>
      </c>
      <c r="H222" s="173">
        <v>108.15</v>
      </c>
      <c r="I222" s="173">
        <v>100.95</v>
      </c>
      <c r="J222" s="174">
        <v>413638100</v>
      </c>
      <c r="K222" s="173">
        <v>131.26</v>
      </c>
      <c r="L222">
        <v>90.69</v>
      </c>
    </row>
    <row r="223" spans="1:12" x14ac:dyDescent="0.3">
      <c r="A223" s="172">
        <v>45540</v>
      </c>
      <c r="B223" s="172" t="str">
        <f t="shared" si="12"/>
        <v>Thursday</v>
      </c>
      <c r="C223" s="172" t="str">
        <f t="shared" si="13"/>
        <v>September</v>
      </c>
      <c r="D223" s="172" t="str">
        <f t="shared" si="14"/>
        <v>2024</v>
      </c>
      <c r="E223" s="172" t="str">
        <f t="shared" si="15"/>
        <v>Q3</v>
      </c>
      <c r="F223" s="173">
        <v>107.21</v>
      </c>
      <c r="G223" s="173">
        <v>104.985</v>
      </c>
      <c r="H223" s="173">
        <v>109.65</v>
      </c>
      <c r="I223" s="173">
        <v>104.76</v>
      </c>
      <c r="J223" s="174">
        <v>306850700</v>
      </c>
      <c r="K223" s="173">
        <v>131.26</v>
      </c>
      <c r="L223">
        <v>90.69</v>
      </c>
    </row>
    <row r="224" spans="1:12" x14ac:dyDescent="0.3">
      <c r="A224" s="172">
        <v>45539</v>
      </c>
      <c r="B224" s="172" t="str">
        <f t="shared" si="12"/>
        <v>Wednesday</v>
      </c>
      <c r="C224" s="172" t="str">
        <f t="shared" si="13"/>
        <v>September</v>
      </c>
      <c r="D224" s="172" t="str">
        <f t="shared" si="14"/>
        <v>2024</v>
      </c>
      <c r="E224" s="172" t="str">
        <f t="shared" si="15"/>
        <v>Q3</v>
      </c>
      <c r="F224" s="173">
        <v>106.21</v>
      </c>
      <c r="G224" s="173">
        <v>105.41</v>
      </c>
      <c r="H224" s="173">
        <v>113.27</v>
      </c>
      <c r="I224" s="173">
        <v>104.12</v>
      </c>
      <c r="J224" s="174">
        <v>372470300</v>
      </c>
      <c r="K224" s="173">
        <v>131.26</v>
      </c>
      <c r="L224">
        <v>90.69</v>
      </c>
    </row>
    <row r="225" spans="1:12" x14ac:dyDescent="0.3">
      <c r="A225" s="172">
        <v>45538</v>
      </c>
      <c r="B225" s="172" t="str">
        <f t="shared" si="12"/>
        <v>Tuesday</v>
      </c>
      <c r="C225" s="172" t="str">
        <f t="shared" si="13"/>
        <v>September</v>
      </c>
      <c r="D225" s="172" t="str">
        <f t="shared" si="14"/>
        <v>2024</v>
      </c>
      <c r="E225" s="172" t="str">
        <f t="shared" si="15"/>
        <v>Q3</v>
      </c>
      <c r="F225" s="173">
        <v>108</v>
      </c>
      <c r="G225" s="173">
        <v>116.01</v>
      </c>
      <c r="H225" s="173">
        <v>116.21</v>
      </c>
      <c r="I225" s="173">
        <v>107.29</v>
      </c>
      <c r="J225" s="174">
        <v>477155100</v>
      </c>
      <c r="K225" s="173">
        <v>131.26</v>
      </c>
      <c r="L225">
        <v>90.69</v>
      </c>
    </row>
    <row r="226" spans="1:12" x14ac:dyDescent="0.3">
      <c r="A226" s="172">
        <v>45534</v>
      </c>
      <c r="B226" s="172" t="str">
        <f t="shared" si="12"/>
        <v>Friday</v>
      </c>
      <c r="C226" s="172" t="str">
        <f t="shared" si="13"/>
        <v>August</v>
      </c>
      <c r="D226" s="172" t="str">
        <f t="shared" si="14"/>
        <v>2024</v>
      </c>
      <c r="E226" s="172" t="str">
        <f t="shared" si="15"/>
        <v>Q3</v>
      </c>
      <c r="F226" s="173">
        <v>119.37</v>
      </c>
      <c r="G226" s="173">
        <v>119.53</v>
      </c>
      <c r="H226" s="173">
        <v>121.75</v>
      </c>
      <c r="I226" s="173">
        <v>117.22</v>
      </c>
      <c r="J226" s="174">
        <v>333751600</v>
      </c>
      <c r="K226" s="173">
        <v>131.26</v>
      </c>
      <c r="L226">
        <v>90.69</v>
      </c>
    </row>
    <row r="227" spans="1:12" x14ac:dyDescent="0.3">
      <c r="A227" s="172">
        <v>45533</v>
      </c>
      <c r="B227" s="172" t="str">
        <f t="shared" si="12"/>
        <v>Thursday</v>
      </c>
      <c r="C227" s="172" t="str">
        <f t="shared" si="13"/>
        <v>August</v>
      </c>
      <c r="D227" s="172" t="str">
        <f t="shared" si="14"/>
        <v>2024</v>
      </c>
      <c r="E227" s="172" t="str">
        <f t="shared" si="15"/>
        <v>Q3</v>
      </c>
      <c r="F227" s="173">
        <v>117.59</v>
      </c>
      <c r="G227" s="173">
        <v>121.355</v>
      </c>
      <c r="H227" s="173">
        <v>124.43</v>
      </c>
      <c r="I227" s="173">
        <v>116.71</v>
      </c>
      <c r="J227" s="174">
        <v>453023300</v>
      </c>
      <c r="K227" s="173">
        <v>131.26</v>
      </c>
      <c r="L227">
        <v>90.69</v>
      </c>
    </row>
    <row r="228" spans="1:12" x14ac:dyDescent="0.3">
      <c r="A228" s="172">
        <v>45532</v>
      </c>
      <c r="B228" s="172" t="str">
        <f t="shared" si="12"/>
        <v>Wednesday</v>
      </c>
      <c r="C228" s="172" t="str">
        <f t="shared" si="13"/>
        <v>August</v>
      </c>
      <c r="D228" s="172" t="str">
        <f t="shared" si="14"/>
        <v>2024</v>
      </c>
      <c r="E228" s="172" t="str">
        <f t="shared" si="15"/>
        <v>Q3</v>
      </c>
      <c r="F228" s="173">
        <v>125.61</v>
      </c>
      <c r="G228" s="173">
        <v>128.12</v>
      </c>
      <c r="H228" s="173">
        <v>128.33000000000001</v>
      </c>
      <c r="I228" s="173">
        <v>122.64</v>
      </c>
      <c r="J228" s="174">
        <v>448101100</v>
      </c>
      <c r="K228" s="173">
        <v>131.26</v>
      </c>
      <c r="L228">
        <v>90.69</v>
      </c>
    </row>
    <row r="229" spans="1:12" x14ac:dyDescent="0.3">
      <c r="A229" s="172">
        <v>45531</v>
      </c>
      <c r="B229" s="172" t="str">
        <f t="shared" si="12"/>
        <v>Tuesday</v>
      </c>
      <c r="C229" s="172" t="str">
        <f t="shared" si="13"/>
        <v>August</v>
      </c>
      <c r="D229" s="172" t="str">
        <f t="shared" si="14"/>
        <v>2024</v>
      </c>
      <c r="E229" s="172" t="str">
        <f t="shared" si="15"/>
        <v>Q3</v>
      </c>
      <c r="F229" s="173">
        <v>128.30000000000001</v>
      </c>
      <c r="G229" s="173">
        <v>125.05</v>
      </c>
      <c r="H229" s="173">
        <v>129.19999999999999</v>
      </c>
      <c r="I229" s="173">
        <v>123.88</v>
      </c>
      <c r="J229" s="174">
        <v>303134600</v>
      </c>
      <c r="K229" s="173">
        <v>131.26</v>
      </c>
      <c r="L229">
        <v>90.69</v>
      </c>
    </row>
    <row r="230" spans="1:12" x14ac:dyDescent="0.3">
      <c r="A230" s="172">
        <v>45530</v>
      </c>
      <c r="B230" s="172" t="str">
        <f t="shared" si="12"/>
        <v>Monday</v>
      </c>
      <c r="C230" s="172" t="str">
        <f t="shared" si="13"/>
        <v>August</v>
      </c>
      <c r="D230" s="172" t="str">
        <f t="shared" si="14"/>
        <v>2024</v>
      </c>
      <c r="E230" s="172" t="str">
        <f t="shared" si="15"/>
        <v>Q3</v>
      </c>
      <c r="F230" s="173">
        <v>126.46</v>
      </c>
      <c r="G230" s="173">
        <v>129.57</v>
      </c>
      <c r="H230" s="173">
        <v>131.26</v>
      </c>
      <c r="I230" s="173">
        <v>124.37</v>
      </c>
      <c r="J230" s="174">
        <v>331964700</v>
      </c>
      <c r="K230" s="173">
        <v>131.26</v>
      </c>
      <c r="L230">
        <v>90.69</v>
      </c>
    </row>
    <row r="231" spans="1:12" x14ac:dyDescent="0.3">
      <c r="A231" s="172">
        <v>45527</v>
      </c>
      <c r="B231" s="172" t="str">
        <f t="shared" si="12"/>
        <v>Friday</v>
      </c>
      <c r="C231" s="172" t="str">
        <f t="shared" si="13"/>
        <v>August</v>
      </c>
      <c r="D231" s="172" t="str">
        <f t="shared" si="14"/>
        <v>2024</v>
      </c>
      <c r="E231" s="172" t="str">
        <f t="shared" si="15"/>
        <v>Q3</v>
      </c>
      <c r="F231" s="173">
        <v>129.37</v>
      </c>
      <c r="G231" s="173">
        <v>125.86</v>
      </c>
      <c r="H231" s="173">
        <v>129.6</v>
      </c>
      <c r="I231" s="173">
        <v>125.22</v>
      </c>
      <c r="J231" s="174">
        <v>323230300</v>
      </c>
      <c r="K231" s="173">
        <v>130.75</v>
      </c>
      <c r="L231">
        <v>90.69</v>
      </c>
    </row>
    <row r="232" spans="1:12" x14ac:dyDescent="0.3">
      <c r="A232" s="172">
        <v>45526</v>
      </c>
      <c r="B232" s="172" t="str">
        <f t="shared" si="12"/>
        <v>Thursday</v>
      </c>
      <c r="C232" s="172" t="str">
        <f t="shared" si="13"/>
        <v>August</v>
      </c>
      <c r="D232" s="172" t="str">
        <f t="shared" si="14"/>
        <v>2024</v>
      </c>
      <c r="E232" s="172" t="str">
        <f t="shared" si="15"/>
        <v>Q3</v>
      </c>
      <c r="F232" s="173">
        <v>123.74</v>
      </c>
      <c r="G232" s="173">
        <v>130.02000000000001</v>
      </c>
      <c r="H232" s="173">
        <v>130.75</v>
      </c>
      <c r="I232" s="173">
        <v>123.1</v>
      </c>
      <c r="J232" s="174">
        <v>376189100</v>
      </c>
      <c r="K232" s="173">
        <v>130.75</v>
      </c>
      <c r="L232">
        <v>90.69</v>
      </c>
    </row>
    <row r="233" spans="1:12" x14ac:dyDescent="0.3">
      <c r="A233" s="172">
        <v>45525</v>
      </c>
      <c r="B233" s="172" t="str">
        <f t="shared" si="12"/>
        <v>Wednesday</v>
      </c>
      <c r="C233" s="172" t="str">
        <f t="shared" si="13"/>
        <v>August</v>
      </c>
      <c r="D233" s="172" t="str">
        <f t="shared" si="14"/>
        <v>2024</v>
      </c>
      <c r="E233" s="172" t="str">
        <f t="shared" si="15"/>
        <v>Q3</v>
      </c>
      <c r="F233" s="173">
        <v>128.5</v>
      </c>
      <c r="G233" s="173">
        <v>127.315</v>
      </c>
      <c r="H233" s="173">
        <v>129.35</v>
      </c>
      <c r="I233" s="173">
        <v>126.66</v>
      </c>
      <c r="J233" s="174">
        <v>257883600</v>
      </c>
      <c r="K233" s="173">
        <v>130</v>
      </c>
      <c r="L233">
        <v>90.69</v>
      </c>
    </row>
    <row r="234" spans="1:12" x14ac:dyDescent="0.3">
      <c r="A234" s="172">
        <v>45524</v>
      </c>
      <c r="B234" s="172" t="str">
        <f t="shared" si="12"/>
        <v>Tuesday</v>
      </c>
      <c r="C234" s="172" t="str">
        <f t="shared" si="13"/>
        <v>August</v>
      </c>
      <c r="D234" s="172" t="str">
        <f t="shared" si="14"/>
        <v>2024</v>
      </c>
      <c r="E234" s="172" t="str">
        <f t="shared" si="15"/>
        <v>Q3</v>
      </c>
      <c r="F234" s="173">
        <v>127.25</v>
      </c>
      <c r="G234" s="173">
        <v>128.4</v>
      </c>
      <c r="H234" s="173">
        <v>129.88</v>
      </c>
      <c r="I234" s="173">
        <v>125.89</v>
      </c>
      <c r="J234" s="174">
        <v>300087400</v>
      </c>
      <c r="K234" s="173">
        <v>130</v>
      </c>
      <c r="L234">
        <v>90.69</v>
      </c>
    </row>
    <row r="235" spans="1:12" x14ac:dyDescent="0.3">
      <c r="A235" s="172">
        <v>45523</v>
      </c>
      <c r="B235" s="172" t="str">
        <f t="shared" si="12"/>
        <v>Monday</v>
      </c>
      <c r="C235" s="172" t="str">
        <f t="shared" si="13"/>
        <v>August</v>
      </c>
      <c r="D235" s="172" t="str">
        <f t="shared" si="14"/>
        <v>2024</v>
      </c>
      <c r="E235" s="172" t="str">
        <f t="shared" si="15"/>
        <v>Q3</v>
      </c>
      <c r="F235" s="173">
        <v>130</v>
      </c>
      <c r="G235" s="173">
        <v>124.28</v>
      </c>
      <c r="H235" s="173">
        <v>130</v>
      </c>
      <c r="I235" s="173">
        <v>123.42</v>
      </c>
      <c r="J235" s="174">
        <v>318333600</v>
      </c>
      <c r="K235" s="173">
        <v>130</v>
      </c>
      <c r="L235">
        <v>90.69</v>
      </c>
    </row>
    <row r="236" spans="1:12" x14ac:dyDescent="0.3">
      <c r="A236" s="172">
        <v>45520</v>
      </c>
      <c r="B236" s="172" t="str">
        <f t="shared" si="12"/>
        <v>Friday</v>
      </c>
      <c r="C236" s="172" t="str">
        <f t="shared" si="13"/>
        <v>August</v>
      </c>
      <c r="D236" s="172" t="str">
        <f t="shared" si="14"/>
        <v>2024</v>
      </c>
      <c r="E236" s="172" t="str">
        <f t="shared" si="15"/>
        <v>Q3</v>
      </c>
      <c r="F236" s="173">
        <v>124.58</v>
      </c>
      <c r="G236" s="173">
        <v>121.94</v>
      </c>
      <c r="H236" s="173">
        <v>125</v>
      </c>
      <c r="I236" s="173">
        <v>121.18</v>
      </c>
      <c r="J236" s="174">
        <v>302589900</v>
      </c>
      <c r="K236" s="173">
        <v>125</v>
      </c>
      <c r="L236">
        <v>90.69</v>
      </c>
    </row>
    <row r="237" spans="1:12" x14ac:dyDescent="0.3">
      <c r="A237" s="172">
        <v>45519</v>
      </c>
      <c r="B237" s="172" t="str">
        <f t="shared" si="12"/>
        <v>Thursday</v>
      </c>
      <c r="C237" s="172" t="str">
        <f t="shared" si="13"/>
        <v>August</v>
      </c>
      <c r="D237" s="172" t="str">
        <f t="shared" si="14"/>
        <v>2024</v>
      </c>
      <c r="E237" s="172" t="str">
        <f t="shared" si="15"/>
        <v>Q3</v>
      </c>
      <c r="F237" s="173">
        <v>122.86</v>
      </c>
      <c r="G237" s="173">
        <v>118.76</v>
      </c>
      <c r="H237" s="173">
        <v>123.24</v>
      </c>
      <c r="I237" s="173">
        <v>117.47</v>
      </c>
      <c r="J237" s="174">
        <v>318086700</v>
      </c>
      <c r="K237" s="173">
        <v>123.24</v>
      </c>
      <c r="L237">
        <v>90.69</v>
      </c>
    </row>
    <row r="238" spans="1:12" x14ac:dyDescent="0.3">
      <c r="A238" s="172">
        <v>45518</v>
      </c>
      <c r="B238" s="172" t="str">
        <f t="shared" si="12"/>
        <v>Wednesday</v>
      </c>
      <c r="C238" s="172" t="str">
        <f t="shared" si="13"/>
        <v>August</v>
      </c>
      <c r="D238" s="172" t="str">
        <f t="shared" si="14"/>
        <v>2024</v>
      </c>
      <c r="E238" s="172" t="str">
        <f t="shared" si="15"/>
        <v>Q3</v>
      </c>
      <c r="F238" s="173">
        <v>118.08</v>
      </c>
      <c r="G238" s="173">
        <v>118.53</v>
      </c>
      <c r="H238" s="173">
        <v>118.6</v>
      </c>
      <c r="I238" s="173">
        <v>114.07</v>
      </c>
      <c r="J238" s="174">
        <v>339246400</v>
      </c>
      <c r="K238" s="173">
        <v>120.16</v>
      </c>
      <c r="L238">
        <v>90.69</v>
      </c>
    </row>
    <row r="239" spans="1:12" x14ac:dyDescent="0.3">
      <c r="A239" s="172">
        <v>45517</v>
      </c>
      <c r="B239" s="172" t="str">
        <f t="shared" si="12"/>
        <v>Tuesday</v>
      </c>
      <c r="C239" s="172" t="str">
        <f t="shared" si="13"/>
        <v>August</v>
      </c>
      <c r="D239" s="172" t="str">
        <f t="shared" si="14"/>
        <v>2024</v>
      </c>
      <c r="E239" s="172" t="str">
        <f t="shared" si="15"/>
        <v>Q3</v>
      </c>
      <c r="F239" s="173">
        <v>116.14</v>
      </c>
      <c r="G239" s="173">
        <v>112.44</v>
      </c>
      <c r="H239" s="173">
        <v>116.23</v>
      </c>
      <c r="I239" s="173">
        <v>111.58</v>
      </c>
      <c r="J239" s="174">
        <v>312646700</v>
      </c>
      <c r="K239" s="173">
        <v>120.16</v>
      </c>
      <c r="L239">
        <v>90.69</v>
      </c>
    </row>
    <row r="240" spans="1:12" x14ac:dyDescent="0.3">
      <c r="A240" s="172">
        <v>45516</v>
      </c>
      <c r="B240" s="172" t="str">
        <f t="shared" si="12"/>
        <v>Monday</v>
      </c>
      <c r="C240" s="172" t="str">
        <f t="shared" si="13"/>
        <v>August</v>
      </c>
      <c r="D240" s="172" t="str">
        <f t="shared" si="14"/>
        <v>2024</v>
      </c>
      <c r="E240" s="172" t="str">
        <f t="shared" si="15"/>
        <v>Q3</v>
      </c>
      <c r="F240" s="173">
        <v>109.02</v>
      </c>
      <c r="G240" s="173">
        <v>106.32</v>
      </c>
      <c r="H240" s="173">
        <v>111.07</v>
      </c>
      <c r="I240" s="173">
        <v>106.26</v>
      </c>
      <c r="J240" s="174">
        <v>325559900</v>
      </c>
      <c r="K240" s="173">
        <v>120.16</v>
      </c>
      <c r="L240">
        <v>90.69</v>
      </c>
    </row>
    <row r="241" spans="1:12" x14ac:dyDescent="0.3">
      <c r="A241" s="172">
        <v>45513</v>
      </c>
      <c r="B241" s="172" t="str">
        <f t="shared" si="12"/>
        <v>Friday</v>
      </c>
      <c r="C241" s="172" t="str">
        <f t="shared" si="13"/>
        <v>August</v>
      </c>
      <c r="D241" s="172" t="str">
        <f t="shared" si="14"/>
        <v>2024</v>
      </c>
      <c r="E241" s="172" t="str">
        <f t="shared" si="15"/>
        <v>Q3</v>
      </c>
      <c r="F241" s="173">
        <v>104.75</v>
      </c>
      <c r="G241" s="173">
        <v>105.64</v>
      </c>
      <c r="H241" s="173">
        <v>106.6</v>
      </c>
      <c r="I241" s="173">
        <v>103.43</v>
      </c>
      <c r="J241" s="174">
        <v>290844200</v>
      </c>
      <c r="K241" s="173">
        <v>120.16</v>
      </c>
      <c r="L241">
        <v>90.69</v>
      </c>
    </row>
    <row r="242" spans="1:12" x14ac:dyDescent="0.3">
      <c r="A242" s="172">
        <v>45512</v>
      </c>
      <c r="B242" s="172" t="str">
        <f t="shared" si="12"/>
        <v>Thursday</v>
      </c>
      <c r="C242" s="172" t="str">
        <f t="shared" si="13"/>
        <v>August</v>
      </c>
      <c r="D242" s="172" t="str">
        <f t="shared" si="14"/>
        <v>2024</v>
      </c>
      <c r="E242" s="172" t="str">
        <f t="shared" si="15"/>
        <v>Q3</v>
      </c>
      <c r="F242" s="173">
        <v>104.97</v>
      </c>
      <c r="G242" s="173">
        <v>102</v>
      </c>
      <c r="H242" s="173">
        <v>105.5</v>
      </c>
      <c r="I242" s="173">
        <v>97.52</v>
      </c>
      <c r="J242" s="174">
        <v>391910000</v>
      </c>
      <c r="K242" s="173">
        <v>120.16</v>
      </c>
      <c r="L242">
        <v>90.69</v>
      </c>
    </row>
    <row r="243" spans="1:12" x14ac:dyDescent="0.3">
      <c r="A243" s="172">
        <v>45511</v>
      </c>
      <c r="B243" s="172" t="str">
        <f t="shared" si="12"/>
        <v>Wednesday</v>
      </c>
      <c r="C243" s="172" t="str">
        <f t="shared" si="13"/>
        <v>August</v>
      </c>
      <c r="D243" s="172" t="str">
        <f t="shared" si="14"/>
        <v>2024</v>
      </c>
      <c r="E243" s="172" t="str">
        <f t="shared" si="15"/>
        <v>Q3</v>
      </c>
      <c r="F243" s="173">
        <v>98.91</v>
      </c>
      <c r="G243" s="173">
        <v>107.81</v>
      </c>
      <c r="H243" s="173">
        <v>108.8</v>
      </c>
      <c r="I243" s="173">
        <v>98.69</v>
      </c>
      <c r="J243" s="174">
        <v>411440400</v>
      </c>
      <c r="K243" s="173">
        <v>120.16</v>
      </c>
      <c r="L243">
        <v>90.69</v>
      </c>
    </row>
    <row r="244" spans="1:12" x14ac:dyDescent="0.3">
      <c r="A244" s="172">
        <v>45510</v>
      </c>
      <c r="B244" s="172" t="str">
        <f t="shared" si="12"/>
        <v>Tuesday</v>
      </c>
      <c r="C244" s="172" t="str">
        <f t="shared" si="13"/>
        <v>August</v>
      </c>
      <c r="D244" s="172" t="str">
        <f t="shared" si="14"/>
        <v>2024</v>
      </c>
      <c r="E244" s="172" t="str">
        <f t="shared" si="15"/>
        <v>Q3</v>
      </c>
      <c r="F244" s="173">
        <v>104.25</v>
      </c>
      <c r="G244" s="173">
        <v>103.84</v>
      </c>
      <c r="H244" s="173">
        <v>107.71</v>
      </c>
      <c r="I244" s="173">
        <v>100.55</v>
      </c>
      <c r="J244" s="174">
        <v>409012100</v>
      </c>
      <c r="K244" s="173">
        <v>120.16</v>
      </c>
      <c r="L244">
        <v>90.69</v>
      </c>
    </row>
    <row r="245" spans="1:12" x14ac:dyDescent="0.3">
      <c r="A245" s="172">
        <v>45509</v>
      </c>
      <c r="B245" s="172" t="str">
        <f t="shared" si="12"/>
        <v>Monday</v>
      </c>
      <c r="C245" s="172" t="str">
        <f t="shared" si="13"/>
        <v>August</v>
      </c>
      <c r="D245" s="172" t="str">
        <f t="shared" si="14"/>
        <v>2024</v>
      </c>
      <c r="E245" s="172" t="str">
        <f t="shared" si="15"/>
        <v>Q3</v>
      </c>
      <c r="F245" s="173">
        <v>100.45</v>
      </c>
      <c r="G245" s="173">
        <v>92.06</v>
      </c>
      <c r="H245" s="173">
        <v>103.41</v>
      </c>
      <c r="I245" s="173">
        <v>90.69</v>
      </c>
      <c r="J245" s="174">
        <v>552842400</v>
      </c>
      <c r="K245" s="173">
        <v>120.16</v>
      </c>
      <c r="L245">
        <v>90.69</v>
      </c>
    </row>
    <row r="246" spans="1:12" x14ac:dyDescent="0.3">
      <c r="A246" s="172">
        <v>45506</v>
      </c>
      <c r="B246" s="172" t="str">
        <f t="shared" si="12"/>
        <v>Friday</v>
      </c>
      <c r="C246" s="172" t="str">
        <f t="shared" si="13"/>
        <v>August</v>
      </c>
      <c r="D246" s="172" t="str">
        <f t="shared" si="14"/>
        <v>2024</v>
      </c>
      <c r="E246" s="172" t="str">
        <f t="shared" si="15"/>
        <v>Q3</v>
      </c>
      <c r="F246" s="173">
        <v>107.27</v>
      </c>
      <c r="G246" s="173">
        <v>103.76</v>
      </c>
      <c r="H246" s="173">
        <v>108.72</v>
      </c>
      <c r="I246" s="173">
        <v>101.37</v>
      </c>
      <c r="J246" s="174">
        <v>482027500</v>
      </c>
      <c r="K246" s="173">
        <v>120.16</v>
      </c>
      <c r="L246">
        <v>101.37</v>
      </c>
    </row>
    <row r="247" spans="1:12" x14ac:dyDescent="0.3">
      <c r="A247" s="172">
        <v>45505</v>
      </c>
      <c r="B247" s="172" t="str">
        <f t="shared" si="12"/>
        <v>Thursday</v>
      </c>
      <c r="C247" s="172" t="str">
        <f t="shared" si="13"/>
        <v>August</v>
      </c>
      <c r="D247" s="172" t="str">
        <f t="shared" si="14"/>
        <v>2024</v>
      </c>
      <c r="E247" s="172" t="str">
        <f t="shared" si="15"/>
        <v>Q3</v>
      </c>
      <c r="F247" s="173">
        <v>109.21</v>
      </c>
      <c r="G247" s="173">
        <v>117.53</v>
      </c>
      <c r="H247" s="173">
        <v>120.16</v>
      </c>
      <c r="I247" s="173">
        <v>106.8104</v>
      </c>
      <c r="J247" s="174">
        <v>523462300</v>
      </c>
      <c r="K247" s="173">
        <v>120.16</v>
      </c>
      <c r="L247">
        <v>106.8104</v>
      </c>
    </row>
    <row r="248" spans="1:12" x14ac:dyDescent="0.3">
      <c r="A248" s="172">
        <v>45504</v>
      </c>
      <c r="B248" s="172" t="str">
        <f t="shared" si="12"/>
        <v>Wednesday</v>
      </c>
      <c r="C248" s="172" t="str">
        <f t="shared" si="13"/>
        <v>July</v>
      </c>
      <c r="D248" s="172" t="str">
        <f t="shared" si="14"/>
        <v>2024</v>
      </c>
      <c r="E248" s="172" t="str">
        <f t="shared" si="15"/>
        <v>Q1</v>
      </c>
      <c r="F248" s="173">
        <v>117.02</v>
      </c>
      <c r="G248" s="173">
        <v>112.9</v>
      </c>
      <c r="H248" s="173">
        <v>118.34</v>
      </c>
      <c r="I248" s="173">
        <v>110.88</v>
      </c>
      <c r="J248" s="174">
        <v>473174200</v>
      </c>
      <c r="K248" s="173">
        <v>118.34</v>
      </c>
      <c r="L248" s="173">
        <v>110.88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B78-61A4-4390-992D-F51707401368}">
  <dimension ref="A2:BQ60"/>
  <sheetViews>
    <sheetView zoomScaleNormal="100" workbookViewId="0">
      <selection activeCell="P8" sqref="P8"/>
    </sheetView>
  </sheetViews>
  <sheetFormatPr defaultRowHeight="14.4" x14ac:dyDescent="0.3"/>
  <cols>
    <col min="1" max="1" width="4" style="1" customWidth="1"/>
    <col min="2" max="2" width="9.77734375" style="1" customWidth="1"/>
    <col min="3" max="16384" width="8.88671875" style="1"/>
  </cols>
  <sheetData>
    <row r="2" spans="1:69" ht="23.4" x14ac:dyDescent="0.45">
      <c r="A2" s="3"/>
      <c r="B2" s="100" t="s">
        <v>130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4" spans="1:69" ht="18" x14ac:dyDescent="0.35">
      <c r="A4" s="73" t="s">
        <v>103</v>
      </c>
      <c r="B4" s="80" t="s">
        <v>131</v>
      </c>
      <c r="C4" s="80"/>
      <c r="D4" s="80"/>
    </row>
    <row r="6" spans="1:69" x14ac:dyDescent="0.3">
      <c r="B6" s="33" t="s">
        <v>134</v>
      </c>
      <c r="C6" s="13"/>
      <c r="D6" s="13"/>
      <c r="E6" s="13"/>
      <c r="F6" s="34">
        <v>2015</v>
      </c>
      <c r="G6" s="34">
        <v>2016</v>
      </c>
      <c r="H6" s="34">
        <v>2017</v>
      </c>
      <c r="I6" s="34">
        <v>2018</v>
      </c>
      <c r="J6" s="34">
        <v>2019</v>
      </c>
      <c r="K6" s="34">
        <v>2020</v>
      </c>
      <c r="L6" s="34">
        <v>2021</v>
      </c>
      <c r="M6" s="34">
        <v>2022</v>
      </c>
      <c r="N6" s="34">
        <v>2023</v>
      </c>
      <c r="O6" s="35" t="s">
        <v>129</v>
      </c>
      <c r="P6" s="35">
        <v>2025</v>
      </c>
      <c r="Q6" s="35">
        <v>2026</v>
      </c>
      <c r="R6" s="35">
        <v>2027</v>
      </c>
      <c r="S6" s="35">
        <v>2028</v>
      </c>
      <c r="T6" s="35">
        <v>2029</v>
      </c>
      <c r="AY6" s="80" t="str">
        <f>DCF!B24</f>
        <v>Income Statement ($ MM)</v>
      </c>
      <c r="AZ6" s="80"/>
      <c r="BA6" s="80"/>
      <c r="BB6" s="80"/>
      <c r="BC6" s="80">
        <f>DCF!F24</f>
        <v>2015</v>
      </c>
      <c r="BD6" s="80">
        <f>DCF!G24</f>
        <v>2016</v>
      </c>
      <c r="BE6" s="80">
        <f>DCF!H24</f>
        <v>2017</v>
      </c>
      <c r="BF6" s="80">
        <f>DCF!I24</f>
        <v>2018</v>
      </c>
      <c r="BG6" s="80">
        <f>DCF!J24</f>
        <v>2019</v>
      </c>
      <c r="BH6" s="80">
        <f>DCF!K24</f>
        <v>2020</v>
      </c>
      <c r="BI6" s="80">
        <f>DCF!L24</f>
        <v>2021</v>
      </c>
      <c r="BJ6" s="80">
        <f>DCF!M24</f>
        <v>2022</v>
      </c>
      <c r="BK6" s="80">
        <f>DCF!N24</f>
        <v>2023</v>
      </c>
      <c r="BL6" s="102" t="str">
        <f>DCF!O24</f>
        <v>2024A</v>
      </c>
      <c r="BM6" s="80">
        <f>DCF!P24</f>
        <v>2025</v>
      </c>
      <c r="BN6" s="80">
        <f>DCF!Q24</f>
        <v>2026</v>
      </c>
      <c r="BO6" s="80">
        <f>DCF!R24</f>
        <v>2027</v>
      </c>
      <c r="BP6" s="80">
        <f>DCF!S24</f>
        <v>2028</v>
      </c>
      <c r="BQ6" s="80">
        <f>DCF!T24</f>
        <v>2029</v>
      </c>
    </row>
    <row r="7" spans="1:69" x14ac:dyDescent="0.3">
      <c r="B7" s="1" t="s">
        <v>19</v>
      </c>
      <c r="C7" s="5"/>
      <c r="D7" s="5"/>
      <c r="E7" s="5"/>
      <c r="F7" s="36">
        <v>5010</v>
      </c>
      <c r="G7" s="36">
        <v>6910</v>
      </c>
      <c r="H7" s="36">
        <v>9714</v>
      </c>
      <c r="I7" s="36">
        <v>11716</v>
      </c>
      <c r="J7" s="36">
        <v>10918</v>
      </c>
      <c r="K7" s="36">
        <v>16675</v>
      </c>
      <c r="L7" s="36">
        <v>26914</v>
      </c>
      <c r="M7" s="36">
        <v>26974</v>
      </c>
      <c r="N7" s="36">
        <v>60922</v>
      </c>
      <c r="O7" s="36">
        <v>130497</v>
      </c>
      <c r="P7" s="36">
        <f ca="1">DCF!P46</f>
        <v>214334.46702032478</v>
      </c>
      <c r="Q7" s="36">
        <f ca="1">DCF!Q46</f>
        <v>345148.17055089329</v>
      </c>
      <c r="R7" s="36">
        <f ca="1">DCF!R46</f>
        <v>550534.44512974645</v>
      </c>
      <c r="S7" s="36">
        <f ca="1">DCF!S46</f>
        <v>869949.1853810359</v>
      </c>
      <c r="T7" s="36">
        <f ca="1">DCF!T46</f>
        <v>1362066.8551291046</v>
      </c>
      <c r="AY7" s="1" t="str">
        <f>DCF!B25</f>
        <v>Revenue</v>
      </c>
      <c r="BC7" s="1">
        <f>DCF!F25</f>
        <v>5010</v>
      </c>
      <c r="BD7" s="1">
        <f>DCF!G25</f>
        <v>6910</v>
      </c>
      <c r="BE7" s="1">
        <f>DCF!H25</f>
        <v>9714</v>
      </c>
      <c r="BF7" s="1">
        <f>DCF!I25</f>
        <v>11716</v>
      </c>
      <c r="BG7" s="1">
        <f>DCF!J25</f>
        <v>10918</v>
      </c>
      <c r="BH7" s="1">
        <f>DCF!K25</f>
        <v>16675</v>
      </c>
      <c r="BI7" s="1">
        <f>DCF!L25</f>
        <v>26914</v>
      </c>
      <c r="BJ7" s="1">
        <f>DCF!M25</f>
        <v>26974</v>
      </c>
      <c r="BK7" s="1">
        <f>DCF!N25</f>
        <v>60922</v>
      </c>
      <c r="BL7" s="1">
        <f>DCF!O25</f>
        <v>130497</v>
      </c>
      <c r="BM7" s="1">
        <f>DCF!P25</f>
        <v>214334.46702032478</v>
      </c>
      <c r="BN7" s="1">
        <f>DCF!Q25</f>
        <v>278634.80712642224</v>
      </c>
      <c r="BO7" s="1">
        <f>DCF!R25</f>
        <v>334361.76855170669</v>
      </c>
      <c r="BP7" s="1">
        <f>DCF!S25</f>
        <v>374485.1807779115</v>
      </c>
      <c r="BQ7" s="1">
        <f>DCF!T25</f>
        <v>404443.99524014443</v>
      </c>
    </row>
    <row r="8" spans="1:69" x14ac:dyDescent="0.3">
      <c r="B8" s="1" t="s">
        <v>24</v>
      </c>
      <c r="C8" s="5"/>
      <c r="D8" s="5"/>
      <c r="E8" s="5"/>
      <c r="F8" s="77" t="s">
        <v>25</v>
      </c>
      <c r="G8" s="37">
        <v>0.37924151696606789</v>
      </c>
      <c r="H8" s="37">
        <v>0.40578871201157751</v>
      </c>
      <c r="I8" s="37">
        <v>0.20609429689108505</v>
      </c>
      <c r="J8" s="37">
        <v>-6.8111983612154314E-2</v>
      </c>
      <c r="K8" s="37">
        <v>0.52729437625938824</v>
      </c>
      <c r="L8" s="37">
        <v>0.61403298350824587</v>
      </c>
      <c r="M8" s="37">
        <v>2.2293230289069932E-3</v>
      </c>
      <c r="N8" s="37">
        <v>1.2585452658115224</v>
      </c>
      <c r="O8" s="37">
        <v>1.1420340763599355</v>
      </c>
      <c r="P8" s="36"/>
      <c r="Q8" s="36"/>
      <c r="R8" s="36"/>
      <c r="S8" s="36"/>
      <c r="T8" s="36"/>
      <c r="AY8" s="1" t="str">
        <f>DCF!B26</f>
        <v>growth%</v>
      </c>
      <c r="BC8" s="8" t="str">
        <f>DCF!F26</f>
        <v>-</v>
      </c>
      <c r="BD8" s="101">
        <f>DCF!G26</f>
        <v>0.37924151696606789</v>
      </c>
      <c r="BE8" s="101">
        <f>DCF!H26</f>
        <v>0.40578871201157751</v>
      </c>
      <c r="BF8" s="101">
        <f>DCF!I26</f>
        <v>0.20609429689108505</v>
      </c>
      <c r="BG8" s="101">
        <f>DCF!J26</f>
        <v>-6.8111983612154314E-2</v>
      </c>
      <c r="BH8" s="101">
        <f>DCF!K26</f>
        <v>0.52729437625938824</v>
      </c>
      <c r="BI8" s="101">
        <f>DCF!L26</f>
        <v>0.61403298350824587</v>
      </c>
      <c r="BJ8" s="101">
        <f>DCF!M26</f>
        <v>2.2293230289069932E-3</v>
      </c>
      <c r="BK8" s="101">
        <f>DCF!N26</f>
        <v>1.2585452658115224</v>
      </c>
      <c r="BL8" s="101">
        <f>DCF!O26</f>
        <v>1.1420340763599355</v>
      </c>
      <c r="BM8" s="101">
        <f>DCF!P26</f>
        <v>0.64244746638102623</v>
      </c>
      <c r="BN8" s="101">
        <f>DCF!Q26</f>
        <v>0.30000000000000004</v>
      </c>
      <c r="BO8" s="101">
        <f>DCF!R26</f>
        <v>0.19999999999999996</v>
      </c>
      <c r="BP8" s="101">
        <f>DCF!S26</f>
        <v>0.12000000000000011</v>
      </c>
      <c r="BQ8" s="101">
        <f>DCF!T26</f>
        <v>8.0000000000000071E-2</v>
      </c>
    </row>
    <row r="9" spans="1:69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8"/>
    </row>
    <row r="10" spans="1:69" x14ac:dyDescent="0.3">
      <c r="B10" s="1" t="s">
        <v>20</v>
      </c>
      <c r="C10" s="5"/>
      <c r="D10" s="5"/>
      <c r="E10" s="5"/>
      <c r="F10" s="36">
        <v>747</v>
      </c>
      <c r="G10" s="36">
        <v>1934</v>
      </c>
      <c r="H10" s="36">
        <v>3210</v>
      </c>
      <c r="I10" s="36">
        <v>3804</v>
      </c>
      <c r="J10" s="36">
        <v>2846</v>
      </c>
      <c r="K10" s="36">
        <v>4532</v>
      </c>
      <c r="L10" s="36">
        <v>10041</v>
      </c>
      <c r="M10" s="36">
        <v>4224</v>
      </c>
      <c r="N10" s="36">
        <v>32972</v>
      </c>
      <c r="O10" s="36">
        <v>81453</v>
      </c>
      <c r="P10" s="50">
        <f ca="1">DCF!P52</f>
        <v>125339</v>
      </c>
      <c r="Q10" s="50">
        <f ca="1">DCF!Q52</f>
        <v>209580.09472718587</v>
      </c>
      <c r="R10" s="50">
        <f ca="1">DCF!R52</f>
        <v>334294.28577503539</v>
      </c>
      <c r="S10" s="50">
        <f ca="1">DCF!S52</f>
        <v>518815.57447147003</v>
      </c>
      <c r="T10" s="50">
        <f ca="1">DCF!T52</f>
        <v>789738.09436733415</v>
      </c>
    </row>
    <row r="11" spans="1:69" x14ac:dyDescent="0.3">
      <c r="B11" s="38" t="s">
        <v>26</v>
      </c>
      <c r="C11" s="5"/>
      <c r="D11" s="5"/>
      <c r="E11" s="5"/>
      <c r="F11" s="11">
        <v>0.14910179640718563</v>
      </c>
      <c r="G11" s="11">
        <v>0.38602794411177643</v>
      </c>
      <c r="H11" s="11">
        <v>0.4645441389290883</v>
      </c>
      <c r="I11" s="11">
        <v>0.39159975293390981</v>
      </c>
      <c r="J11" s="11">
        <v>0.24291567087743257</v>
      </c>
      <c r="K11" s="11">
        <v>0.41509433962264153</v>
      </c>
      <c r="L11" s="11">
        <v>0.60215892053973008</v>
      </c>
      <c r="M11" s="11">
        <v>0.15694434123504497</v>
      </c>
      <c r="N11" s="11">
        <v>1.2223622747831244</v>
      </c>
      <c r="O11" s="11">
        <v>1.3370046945274285</v>
      </c>
      <c r="P11" s="52">
        <f ca="1">DCF!P53</f>
        <v>0.58478228790012776</v>
      </c>
      <c r="Q11" s="52">
        <f ca="1">DCF!Q53</f>
        <v>0.60721774764928838</v>
      </c>
      <c r="R11" s="52">
        <f ca="1">DCF!R53</f>
        <v>0.60721774764928838</v>
      </c>
      <c r="S11" s="52">
        <f ca="1">DCF!S53</f>
        <v>0.59637457358412249</v>
      </c>
      <c r="T11" s="52">
        <f ca="1">DCF!T53</f>
        <v>0.57980861320678578</v>
      </c>
    </row>
    <row r="28" spans="2:20" x14ac:dyDescent="0.3">
      <c r="B28" s="33" t="s">
        <v>134</v>
      </c>
      <c r="C28" s="13"/>
      <c r="D28" s="13"/>
      <c r="E28" s="13"/>
      <c r="F28" s="34">
        <v>2015</v>
      </c>
      <c r="G28" s="34">
        <v>2016</v>
      </c>
      <c r="H28" s="34">
        <v>2017</v>
      </c>
      <c r="I28" s="34">
        <v>2018</v>
      </c>
      <c r="J28" s="34">
        <v>2019</v>
      </c>
      <c r="K28" s="34">
        <v>2020</v>
      </c>
      <c r="L28" s="34">
        <v>2021</v>
      </c>
      <c r="M28" s="34">
        <v>2022</v>
      </c>
      <c r="N28" s="34">
        <v>2023</v>
      </c>
      <c r="O28" s="35" t="s">
        <v>129</v>
      </c>
      <c r="P28" s="35">
        <v>2025</v>
      </c>
      <c r="Q28" s="35">
        <v>2026</v>
      </c>
      <c r="R28" s="35">
        <v>2027</v>
      </c>
      <c r="S28" s="35">
        <v>2028</v>
      </c>
      <c r="T28" s="35">
        <v>2029</v>
      </c>
    </row>
    <row r="31" spans="2:20" x14ac:dyDescent="0.3">
      <c r="C31" s="5"/>
      <c r="D31" s="5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/>
    </row>
    <row r="32" spans="2:20" x14ac:dyDescent="0.3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</row>
    <row r="33" spans="2:19" x14ac:dyDescent="0.3">
      <c r="B33" s="38"/>
      <c r="C33" s="5"/>
      <c r="D33" s="5"/>
      <c r="E33" s="5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5"/>
      <c r="Q33" s="5"/>
      <c r="R33" s="5"/>
      <c r="S33" s="8"/>
    </row>
    <row r="59" spans="2:20" x14ac:dyDescent="0.3">
      <c r="B59" s="40" t="s">
        <v>35</v>
      </c>
      <c r="C59" s="41"/>
      <c r="D59" s="41"/>
      <c r="E59" s="41"/>
      <c r="F59" s="34">
        <v>2015</v>
      </c>
      <c r="G59" s="34">
        <v>2016</v>
      </c>
      <c r="H59" s="34">
        <v>2017</v>
      </c>
      <c r="I59" s="34">
        <v>2018</v>
      </c>
      <c r="J59" s="34">
        <v>2019</v>
      </c>
      <c r="K59" s="34">
        <v>2020</v>
      </c>
      <c r="L59" s="34">
        <v>2021</v>
      </c>
      <c r="M59" s="34">
        <v>2022</v>
      </c>
      <c r="N59" s="34">
        <v>2023</v>
      </c>
      <c r="O59" s="35" t="s">
        <v>129</v>
      </c>
      <c r="P59" s="35">
        <v>2025</v>
      </c>
      <c r="Q59" s="35">
        <v>2026</v>
      </c>
      <c r="R59" s="35">
        <v>2027</v>
      </c>
      <c r="S59" s="35">
        <v>2028</v>
      </c>
      <c r="T59" s="35">
        <v>2029</v>
      </c>
    </row>
    <row r="60" spans="2:20" x14ac:dyDescent="0.3">
      <c r="B60" s="1" t="s">
        <v>41</v>
      </c>
      <c r="P60" s="68">
        <v>167791.24351180287</v>
      </c>
      <c r="Q60" s="68">
        <v>209447.13129148845</v>
      </c>
      <c r="R60" s="68">
        <v>257808.37039959448</v>
      </c>
      <c r="S60" s="68">
        <v>310363.19763687789</v>
      </c>
      <c r="T60" s="68">
        <v>367073.86217139853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FA49-98F1-4F23-A466-27AC2C479E4B}">
  <sheetPr codeName="Sheet5"/>
  <dimension ref="A2:N18"/>
  <sheetViews>
    <sheetView workbookViewId="0">
      <selection activeCell="E15" sqref="E15"/>
    </sheetView>
  </sheetViews>
  <sheetFormatPr defaultRowHeight="14.4" x14ac:dyDescent="0.3"/>
  <cols>
    <col min="1" max="1" width="2.6640625" style="1" customWidth="1"/>
    <col min="2" max="4" width="8.88671875" style="1"/>
    <col min="5" max="5" width="10" style="1" bestFit="1" customWidth="1"/>
    <col min="6" max="6" width="1.44140625" style="1" customWidth="1"/>
    <col min="7" max="16384" width="8.88671875" style="1"/>
  </cols>
  <sheetData>
    <row r="2" spans="1:14" ht="27.6" customHeight="1" x14ac:dyDescent="0.5">
      <c r="B2" s="2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.8" customHeight="1" x14ac:dyDescent="0.3"/>
    <row r="4" spans="1:14" x14ac:dyDescent="0.3">
      <c r="A4" s="71" t="s">
        <v>103</v>
      </c>
      <c r="B4" s="80" t="s">
        <v>21</v>
      </c>
      <c r="C4" s="81"/>
      <c r="D4" s="81"/>
      <c r="E4" s="81"/>
      <c r="F4" s="15"/>
      <c r="G4" s="82" t="s">
        <v>110</v>
      </c>
    </row>
    <row r="5" spans="1:14" x14ac:dyDescent="0.3">
      <c r="B5" s="1" t="s">
        <v>111</v>
      </c>
      <c r="E5" s="69">
        <v>4233400</v>
      </c>
      <c r="F5" s="163" t="s">
        <v>103</v>
      </c>
      <c r="G5" s="1" t="s">
        <v>177</v>
      </c>
    </row>
    <row r="6" spans="1:14" x14ac:dyDescent="0.3">
      <c r="B6" s="1" t="s">
        <v>112</v>
      </c>
      <c r="E6" s="84">
        <f>E5/(E5+E12)</f>
        <v>0.99800465078559808</v>
      </c>
      <c r="F6" s="163" t="s">
        <v>103</v>
      </c>
      <c r="G6" s="1" t="s">
        <v>171</v>
      </c>
    </row>
    <row r="7" spans="1:14" x14ac:dyDescent="0.3">
      <c r="B7" s="1" t="s">
        <v>113</v>
      </c>
      <c r="E7" s="84">
        <f>E8+(E9*E10)</f>
        <v>0.125828</v>
      </c>
      <c r="F7" s="84" t="s">
        <v>103</v>
      </c>
      <c r="G7" s="1" t="s">
        <v>169</v>
      </c>
    </row>
    <row r="8" spans="1:14" x14ac:dyDescent="0.3">
      <c r="B8" s="1" t="s">
        <v>114</v>
      </c>
      <c r="E8" s="83">
        <v>4.2299999999999997E-2</v>
      </c>
      <c r="F8" s="163" t="s">
        <v>103</v>
      </c>
      <c r="G8" s="89" t="s">
        <v>115</v>
      </c>
    </row>
    <row r="9" spans="1:14" x14ac:dyDescent="0.3">
      <c r="B9" s="1" t="s">
        <v>116</v>
      </c>
      <c r="E9" s="86">
        <v>2.12</v>
      </c>
      <c r="F9" s="163" t="s">
        <v>103</v>
      </c>
      <c r="G9" s="89" t="s">
        <v>165</v>
      </c>
    </row>
    <row r="10" spans="1:14" x14ac:dyDescent="0.3">
      <c r="B10" s="1" t="s">
        <v>168</v>
      </c>
      <c r="E10" s="85">
        <v>3.9399999999999998E-2</v>
      </c>
      <c r="F10" s="163" t="s">
        <v>103</v>
      </c>
      <c r="G10" s="89" t="s">
        <v>178</v>
      </c>
    </row>
    <row r="11" spans="1:14" x14ac:dyDescent="0.3">
      <c r="G11" s="89"/>
    </row>
    <row r="12" spans="1:14" x14ac:dyDescent="0.3">
      <c r="B12" s="1" t="s">
        <v>117</v>
      </c>
      <c r="E12" s="87">
        <v>8464</v>
      </c>
      <c r="F12" s="163" t="s">
        <v>103</v>
      </c>
      <c r="G12" s="89" t="s">
        <v>118</v>
      </c>
    </row>
    <row r="13" spans="1:14" x14ac:dyDescent="0.3">
      <c r="B13" s="1" t="s">
        <v>119</v>
      </c>
      <c r="E13" s="84">
        <f>E12/E5</f>
        <v>1.999338593093022E-3</v>
      </c>
      <c r="F13" s="163" t="s">
        <v>103</v>
      </c>
      <c r="G13" s="89" t="s">
        <v>166</v>
      </c>
    </row>
    <row r="14" spans="1:14" x14ac:dyDescent="0.3">
      <c r="B14" s="1" t="s">
        <v>120</v>
      </c>
      <c r="E14" s="85">
        <v>2.6599999999999999E-2</v>
      </c>
      <c r="F14" s="163" t="s">
        <v>103</v>
      </c>
      <c r="G14" s="89" t="s">
        <v>121</v>
      </c>
    </row>
    <row r="15" spans="1:14" x14ac:dyDescent="0.3">
      <c r="B15" s="3" t="s">
        <v>28</v>
      </c>
      <c r="C15" s="3"/>
      <c r="D15" s="3"/>
      <c r="E15" s="88">
        <f>DCF!P59</f>
        <v>0.1430853491556367</v>
      </c>
      <c r="F15" s="163" t="s">
        <v>103</v>
      </c>
      <c r="G15" s="89" t="s">
        <v>122</v>
      </c>
    </row>
    <row r="16" spans="1:14" x14ac:dyDescent="0.3">
      <c r="B16" s="1" t="s">
        <v>123</v>
      </c>
      <c r="E16" s="68">
        <f>E5+E12</f>
        <v>4241864</v>
      </c>
      <c r="F16" s="163" t="s">
        <v>103</v>
      </c>
      <c r="G16" s="89" t="s">
        <v>167</v>
      </c>
    </row>
    <row r="18" spans="2:7" x14ac:dyDescent="0.3">
      <c r="B18" s="71" t="s">
        <v>21</v>
      </c>
      <c r="E18" s="85">
        <f>E6*E7+E13*(1-E15)</f>
        <v>0.12729019173147019</v>
      </c>
      <c r="F18" s="83" t="s">
        <v>103</v>
      </c>
      <c r="G18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A81A-F2C7-4F8D-89EE-282B280E2D33}">
  <sheetPr codeName="Sheet4"/>
  <dimension ref="A1:J17"/>
  <sheetViews>
    <sheetView zoomScale="110" zoomScaleNormal="110" workbookViewId="0">
      <selection activeCell="F3" sqref="F3"/>
    </sheetView>
  </sheetViews>
  <sheetFormatPr defaultRowHeight="14.4" x14ac:dyDescent="0.3"/>
  <cols>
    <col min="1" max="1" width="18.21875" style="1" bestFit="1" customWidth="1"/>
    <col min="2" max="2" width="8.21875" style="1" customWidth="1"/>
    <col min="3" max="3" width="8" style="1" customWidth="1"/>
    <col min="4" max="6" width="7" style="1" bestFit="1" customWidth="1"/>
    <col min="7" max="16384" width="8.88671875" style="1"/>
  </cols>
  <sheetData>
    <row r="1" spans="1:10" x14ac:dyDescent="0.3">
      <c r="A1" s="123" t="s">
        <v>18</v>
      </c>
      <c r="B1" s="123" t="s">
        <v>138</v>
      </c>
      <c r="C1" s="123" t="s">
        <v>104</v>
      </c>
      <c r="D1" s="123" t="s">
        <v>105</v>
      </c>
      <c r="E1" s="123" t="s">
        <v>106</v>
      </c>
      <c r="F1" s="123" t="s">
        <v>107</v>
      </c>
    </row>
    <row r="2" spans="1:10" x14ac:dyDescent="0.3">
      <c r="A2" s="60" t="s">
        <v>109</v>
      </c>
      <c r="B2" s="61">
        <f>DCF!P25</f>
        <v>214334.46702032478</v>
      </c>
      <c r="C2" s="61">
        <f>DCF!Q25</f>
        <v>278634.80712642224</v>
      </c>
      <c r="D2" s="61">
        <f>DCF!R25</f>
        <v>334361.76855170669</v>
      </c>
      <c r="E2" s="61">
        <f>DCF!S25</f>
        <v>374485.1807779115</v>
      </c>
      <c r="F2" s="104">
        <f>DCF!T25</f>
        <v>404443.99524014443</v>
      </c>
    </row>
    <row r="3" spans="1:10" x14ac:dyDescent="0.3">
      <c r="A3" s="78" t="s">
        <v>24</v>
      </c>
      <c r="C3" s="154">
        <f>C2/B2-1</f>
        <v>0.30000000000000004</v>
      </c>
      <c r="D3" s="154">
        <f t="shared" ref="D3:F3" si="0">D2/C2-1</f>
        <v>0.19999999999999996</v>
      </c>
      <c r="E3" s="154">
        <f t="shared" si="0"/>
        <v>0.12000000000000011</v>
      </c>
      <c r="F3" s="156">
        <f t="shared" si="0"/>
        <v>8.0000000000000071E-2</v>
      </c>
    </row>
    <row r="4" spans="1:10" x14ac:dyDescent="0.3">
      <c r="A4" s="78" t="s">
        <v>108</v>
      </c>
      <c r="B4" s="1">
        <v>125339</v>
      </c>
      <c r="C4" s="1">
        <v>169192</v>
      </c>
      <c r="D4" s="1">
        <f>C4*(1+20%)</f>
        <v>203030.39999999999</v>
      </c>
      <c r="E4" s="1">
        <f>D4*(1+10%)</f>
        <v>223333.44</v>
      </c>
      <c r="F4" s="107">
        <f>E4*(1+5%)</f>
        <v>234500.11200000002</v>
      </c>
      <c r="H4" s="101"/>
      <c r="I4" s="101"/>
      <c r="J4" s="101"/>
    </row>
    <row r="5" spans="1:10" x14ac:dyDescent="0.3">
      <c r="A5" s="112" t="s">
        <v>24</v>
      </c>
      <c r="B5" s="3"/>
      <c r="C5" s="155">
        <f>C4/B4-1</f>
        <v>0.34987513862405151</v>
      </c>
      <c r="D5" s="155">
        <f t="shared" ref="D5:F5" si="1">D4/C4-1</f>
        <v>0.19999999999999996</v>
      </c>
      <c r="E5" s="155">
        <f t="shared" si="1"/>
        <v>0.10000000000000009</v>
      </c>
      <c r="F5" s="157">
        <f t="shared" si="1"/>
        <v>5.0000000000000044E-2</v>
      </c>
    </row>
    <row r="7" spans="1:10" x14ac:dyDescent="0.3">
      <c r="B7" s="154"/>
    </row>
    <row r="13" spans="1:10" s="15" customFormat="1" ht="18" x14ac:dyDescent="0.35">
      <c r="A13" s="158" t="s">
        <v>150</v>
      </c>
    </row>
    <row r="14" spans="1:10" s="15" customFormat="1" x14ac:dyDescent="0.3"/>
    <row r="15" spans="1:10" s="15" customFormat="1" x14ac:dyDescent="0.3">
      <c r="A15" s="159" t="s">
        <v>139</v>
      </c>
      <c r="B15" s="160" t="s">
        <v>138</v>
      </c>
      <c r="C15" s="160" t="s">
        <v>104</v>
      </c>
      <c r="D15" s="160" t="s">
        <v>105</v>
      </c>
      <c r="E15" s="160" t="s">
        <v>106</v>
      </c>
      <c r="F15" s="160" t="s">
        <v>107</v>
      </c>
    </row>
    <row r="16" spans="1:10" s="15" customFormat="1" x14ac:dyDescent="0.3">
      <c r="A16" s="15" t="s">
        <v>19</v>
      </c>
      <c r="B16" s="161">
        <f>(DCF!O25/DCF!F25)^1/9-1</f>
        <v>1.8941450432468394</v>
      </c>
      <c r="C16" s="161">
        <f>(DCF!P25/DCF!G25)^1/9-1</f>
        <v>2.4464458437099981</v>
      </c>
      <c r="D16" s="161">
        <f>((DCF!Q25/DCF!H25)^1/9-1)-20%</f>
        <v>1.9870931659508868</v>
      </c>
      <c r="E16" s="161">
        <f>((DCF!R25/DCF!I25)^1/9-1)-40%</f>
        <v>1.7709890420669425</v>
      </c>
      <c r="F16" s="161">
        <f>((DCF!S25/DCF!J25)^1/9-1)-100%</f>
        <v>1.8110885263673802</v>
      </c>
    </row>
    <row r="17" spans="1:1" s="15" customFormat="1" x14ac:dyDescent="0.3">
      <c r="A17" s="15" t="s">
        <v>20</v>
      </c>
    </row>
  </sheetData>
  <pageMargins left="0.7" right="0.7" top="0.75" bottom="0.75" header="0.3" footer="0.3"/>
  <ignoredErrors>
    <ignoredError sqref="D4:F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DEA-922A-463F-8963-A4B7D4A2ACB9}">
  <sheetPr codeName="Sheet3"/>
  <dimension ref="A1:L32"/>
  <sheetViews>
    <sheetView workbookViewId="0">
      <selection activeCell="A4" sqref="A4"/>
    </sheetView>
  </sheetViews>
  <sheetFormatPr defaultRowHeight="14.4" x14ac:dyDescent="0.3"/>
  <cols>
    <col min="1" max="1" width="42.6640625" style="1" bestFit="1" customWidth="1"/>
    <col min="2" max="2" width="8.88671875" style="1"/>
    <col min="3" max="13" width="9.5546875" style="1" bestFit="1" customWidth="1"/>
    <col min="14" max="16384" width="8.88671875" style="1"/>
  </cols>
  <sheetData>
    <row r="1" spans="1:12" x14ac:dyDescent="0.3">
      <c r="A1" s="71" t="s">
        <v>100</v>
      </c>
    </row>
    <row r="2" spans="1:12" x14ac:dyDescent="0.3">
      <c r="A2" s="1" t="s">
        <v>101</v>
      </c>
    </row>
    <row r="3" spans="1:12" x14ac:dyDescent="0.3">
      <c r="A3" s="1" t="s">
        <v>102</v>
      </c>
    </row>
    <row r="4" spans="1:12" x14ac:dyDescent="0.3">
      <c r="A4" s="1" t="s">
        <v>149</v>
      </c>
    </row>
    <row r="5" spans="1:12" x14ac:dyDescent="0.3">
      <c r="C5" s="72">
        <v>42400</v>
      </c>
      <c r="D5" s="72">
        <v>42766</v>
      </c>
      <c r="E5" s="72">
        <v>43131</v>
      </c>
      <c r="F5" s="72">
        <v>43496</v>
      </c>
      <c r="G5" s="72">
        <v>43861</v>
      </c>
      <c r="H5" s="72">
        <v>44227</v>
      </c>
      <c r="I5" s="72">
        <v>44592</v>
      </c>
      <c r="J5" s="72">
        <v>44957</v>
      </c>
      <c r="K5" s="75">
        <v>45322</v>
      </c>
      <c r="L5" s="75">
        <v>45688</v>
      </c>
    </row>
    <row r="6" spans="1:12" x14ac:dyDescent="0.3">
      <c r="A6" s="1" t="s">
        <v>74</v>
      </c>
      <c r="C6" s="1">
        <v>614</v>
      </c>
      <c r="D6" s="1">
        <v>1666</v>
      </c>
      <c r="E6" s="1">
        <v>3047</v>
      </c>
      <c r="F6" s="1">
        <v>4141</v>
      </c>
      <c r="G6" s="1">
        <v>2796</v>
      </c>
      <c r="H6" s="1">
        <v>4332</v>
      </c>
      <c r="I6" s="1">
        <v>9752</v>
      </c>
      <c r="J6" s="1">
        <v>4368</v>
      </c>
      <c r="K6" s="1">
        <v>29760</v>
      </c>
      <c r="L6" s="1">
        <v>72880</v>
      </c>
    </row>
    <row r="7" spans="1:12" x14ac:dyDescent="0.3">
      <c r="A7" s="1" t="s">
        <v>75</v>
      </c>
      <c r="C7" s="1">
        <v>226</v>
      </c>
      <c r="D7" s="1">
        <v>187</v>
      </c>
      <c r="E7" s="1">
        <v>199</v>
      </c>
      <c r="F7" s="1">
        <v>262</v>
      </c>
      <c r="G7" s="1">
        <v>381</v>
      </c>
      <c r="H7" s="1">
        <v>1098</v>
      </c>
      <c r="I7" s="1">
        <v>1174</v>
      </c>
      <c r="J7" s="1">
        <v>1544</v>
      </c>
      <c r="K7" s="1">
        <v>1508</v>
      </c>
      <c r="L7" s="1">
        <v>1864</v>
      </c>
    </row>
    <row r="8" spans="1:12" x14ac:dyDescent="0.3">
      <c r="A8" s="1" t="s">
        <v>76</v>
      </c>
      <c r="C8" s="1">
        <v>386</v>
      </c>
      <c r="D8" s="1">
        <v>498</v>
      </c>
      <c r="E8" s="1">
        <v>71</v>
      </c>
      <c r="F8" s="1">
        <v>197</v>
      </c>
      <c r="G8" s="1">
        <v>867</v>
      </c>
      <c r="H8" s="1">
        <v>1095</v>
      </c>
      <c r="I8" s="1">
        <v>1545</v>
      </c>
      <c r="J8" s="1">
        <v>1936</v>
      </c>
      <c r="K8" s="1">
        <v>544</v>
      </c>
      <c r="L8" s="1">
        <v>-1272</v>
      </c>
    </row>
    <row r="9" spans="1:12" x14ac:dyDescent="0.3">
      <c r="A9" s="1" t="s">
        <v>77</v>
      </c>
      <c r="C9" s="1">
        <v>612</v>
      </c>
      <c r="D9" s="1">
        <v>685</v>
      </c>
      <c r="E9" s="1">
        <v>270</v>
      </c>
      <c r="F9" s="1">
        <v>459</v>
      </c>
      <c r="G9" s="1">
        <v>1248</v>
      </c>
      <c r="H9" s="1">
        <v>2193</v>
      </c>
      <c r="I9" s="1">
        <v>2719</v>
      </c>
      <c r="J9" s="1">
        <v>3480</v>
      </c>
      <c r="K9" s="1">
        <v>2052</v>
      </c>
      <c r="L9" s="1">
        <v>592</v>
      </c>
    </row>
    <row r="10" spans="1:12" x14ac:dyDescent="0.3">
      <c r="A10" s="1" t="s">
        <v>78</v>
      </c>
      <c r="C10" s="1">
        <v>-32</v>
      </c>
      <c r="D10" s="1">
        <v>-321</v>
      </c>
      <c r="E10" s="1">
        <v>-440</v>
      </c>
      <c r="F10" s="1">
        <v>-149</v>
      </c>
      <c r="G10" s="1">
        <v>-233</v>
      </c>
      <c r="H10" s="1">
        <v>-550</v>
      </c>
      <c r="I10" s="1">
        <v>-2215</v>
      </c>
      <c r="J10" s="1">
        <v>822</v>
      </c>
      <c r="K10" s="1">
        <v>-6172</v>
      </c>
      <c r="L10" s="1">
        <v>-13063</v>
      </c>
    </row>
    <row r="11" spans="1:12" x14ac:dyDescent="0.3">
      <c r="A11" s="1" t="s">
        <v>79</v>
      </c>
      <c r="C11" s="1">
        <v>66</v>
      </c>
      <c r="D11" s="1">
        <v>-375</v>
      </c>
      <c r="F11" s="1">
        <v>-776</v>
      </c>
      <c r="G11" s="1">
        <v>597</v>
      </c>
      <c r="H11" s="1">
        <v>-524</v>
      </c>
      <c r="I11" s="1">
        <v>-774</v>
      </c>
      <c r="J11" s="1">
        <v>-2554</v>
      </c>
      <c r="K11" s="1">
        <v>-98</v>
      </c>
      <c r="L11" s="1">
        <v>-4781</v>
      </c>
    </row>
    <row r="12" spans="1:12" x14ac:dyDescent="0.3">
      <c r="A12" s="1" t="s">
        <v>80</v>
      </c>
      <c r="C12" s="1">
        <v>-11</v>
      </c>
      <c r="D12" s="1">
        <v>184</v>
      </c>
      <c r="E12" s="1">
        <v>90</v>
      </c>
      <c r="F12" s="1">
        <v>-135</v>
      </c>
      <c r="G12" s="1">
        <v>194</v>
      </c>
      <c r="H12" s="1">
        <v>312</v>
      </c>
      <c r="I12" s="1">
        <v>568</v>
      </c>
      <c r="J12" s="1">
        <v>-551</v>
      </c>
      <c r="K12" s="1">
        <v>1531</v>
      </c>
      <c r="L12" s="1">
        <v>3357</v>
      </c>
    </row>
    <row r="13" spans="1:12" x14ac:dyDescent="0.3">
      <c r="A13" s="1" t="s">
        <v>81</v>
      </c>
      <c r="C13" s="1">
        <v>-16</v>
      </c>
      <c r="D13" s="1">
        <v>-18</v>
      </c>
      <c r="E13" s="1">
        <v>21</v>
      </c>
      <c r="F13" s="1">
        <v>-53</v>
      </c>
      <c r="G13" s="1">
        <v>105</v>
      </c>
      <c r="H13" s="1">
        <v>-231</v>
      </c>
      <c r="I13" s="1">
        <v>-1523</v>
      </c>
      <c r="J13" s="1">
        <v>-1265</v>
      </c>
      <c r="K13" s="1">
        <v>-1008</v>
      </c>
      <c r="L13" s="1">
        <v>826</v>
      </c>
    </row>
    <row r="14" spans="1:12" x14ac:dyDescent="0.3">
      <c r="A14" s="1" t="s">
        <v>140</v>
      </c>
      <c r="C14" s="1">
        <v>-51</v>
      </c>
      <c r="D14" s="1">
        <v>-679</v>
      </c>
      <c r="E14" s="1">
        <v>185</v>
      </c>
      <c r="F14" s="1">
        <v>-857</v>
      </c>
      <c r="G14" s="1">
        <v>717</v>
      </c>
      <c r="H14" s="1">
        <v>-703</v>
      </c>
      <c r="I14" s="1">
        <v>-3363</v>
      </c>
      <c r="J14" s="1">
        <v>-2207</v>
      </c>
      <c r="K14" s="1">
        <v>-3722</v>
      </c>
      <c r="L14" s="1">
        <v>-9383</v>
      </c>
    </row>
    <row r="15" spans="1:12" x14ac:dyDescent="0.3">
      <c r="A15" s="71" t="s">
        <v>82</v>
      </c>
      <c r="C15" s="1">
        <v>1175</v>
      </c>
      <c r="D15" s="1">
        <v>1672</v>
      </c>
      <c r="E15" s="1">
        <v>3502</v>
      </c>
      <c r="F15" s="1">
        <v>3743</v>
      </c>
      <c r="G15" s="1">
        <v>4761</v>
      </c>
      <c r="H15" s="1">
        <v>5822</v>
      </c>
      <c r="I15" s="1">
        <v>9108</v>
      </c>
      <c r="J15" s="1">
        <v>5641</v>
      </c>
      <c r="K15" s="1">
        <v>28090</v>
      </c>
      <c r="L15" s="1">
        <v>64089</v>
      </c>
    </row>
    <row r="16" spans="1:12" x14ac:dyDescent="0.3">
      <c r="A16" s="1" t="s">
        <v>83</v>
      </c>
      <c r="C16" s="1">
        <v>-79</v>
      </c>
      <c r="D16" s="1">
        <v>-169</v>
      </c>
      <c r="E16" s="1">
        <v>-591</v>
      </c>
      <c r="F16" s="1">
        <v>-600</v>
      </c>
      <c r="G16" s="1">
        <v>-489</v>
      </c>
      <c r="H16" s="1">
        <v>-1128</v>
      </c>
      <c r="I16" s="1">
        <v>-976</v>
      </c>
      <c r="J16" s="1">
        <v>-1833</v>
      </c>
      <c r="K16" s="1">
        <v>-1069</v>
      </c>
      <c r="L16" s="1">
        <v>-3236</v>
      </c>
    </row>
    <row r="17" spans="1:12" x14ac:dyDescent="0.3">
      <c r="A17" s="1" t="s">
        <v>84</v>
      </c>
    </row>
    <row r="18" spans="1:12" x14ac:dyDescent="0.3">
      <c r="A18" s="1" t="s">
        <v>85</v>
      </c>
      <c r="G18" s="1">
        <v>-4</v>
      </c>
      <c r="H18" s="1">
        <v>-8524</v>
      </c>
      <c r="I18" s="1">
        <v>-263</v>
      </c>
      <c r="J18" s="1">
        <v>-49</v>
      </c>
      <c r="K18" s="1">
        <v>-83</v>
      </c>
      <c r="L18" s="1">
        <v>-1007</v>
      </c>
    </row>
    <row r="19" spans="1:12" x14ac:dyDescent="0.3">
      <c r="A19" s="1" t="s">
        <v>86</v>
      </c>
      <c r="C19" s="1">
        <v>-345</v>
      </c>
      <c r="D19" s="1">
        <v>-624</v>
      </c>
      <c r="E19" s="1">
        <v>1869</v>
      </c>
      <c r="F19" s="1">
        <v>-3488</v>
      </c>
      <c r="G19" s="1">
        <v>6648</v>
      </c>
      <c r="H19" s="1">
        <v>-9989</v>
      </c>
      <c r="I19" s="1">
        <v>-8591</v>
      </c>
      <c r="J19" s="1">
        <v>9334</v>
      </c>
      <c r="K19" s="1">
        <v>-8429</v>
      </c>
      <c r="L19" s="1">
        <v>-14885</v>
      </c>
    </row>
    <row r="20" spans="1:12" x14ac:dyDescent="0.3">
      <c r="A20" s="1" t="s">
        <v>87</v>
      </c>
      <c r="J20" s="1">
        <v>-77</v>
      </c>
      <c r="K20" s="1">
        <v>-861</v>
      </c>
      <c r="L20" s="1">
        <v>-1315</v>
      </c>
    </row>
    <row r="21" spans="1:12" x14ac:dyDescent="0.3">
      <c r="A21" s="1" t="s">
        <v>88</v>
      </c>
      <c r="C21" s="1">
        <v>-345</v>
      </c>
      <c r="D21" s="1">
        <v>-624</v>
      </c>
      <c r="E21" s="1">
        <v>1869</v>
      </c>
      <c r="F21" s="1">
        <v>-3488</v>
      </c>
      <c r="G21" s="1">
        <v>6648</v>
      </c>
      <c r="H21" s="1">
        <v>-9989</v>
      </c>
      <c r="I21" s="1">
        <v>-8591</v>
      </c>
      <c r="J21" s="1">
        <v>9257</v>
      </c>
      <c r="K21" s="1">
        <v>-9290</v>
      </c>
      <c r="L21" s="1">
        <v>-16200</v>
      </c>
    </row>
    <row r="22" spans="1:12" x14ac:dyDescent="0.3">
      <c r="A22" s="1" t="s">
        <v>89</v>
      </c>
      <c r="C22" s="1">
        <v>24</v>
      </c>
      <c r="F22" s="1">
        <v>-9</v>
      </c>
      <c r="G22" s="1">
        <v>-10</v>
      </c>
      <c r="H22" s="1">
        <v>-34</v>
      </c>
      <c r="K22" s="1">
        <v>-124</v>
      </c>
      <c r="L22" s="1">
        <v>22</v>
      </c>
    </row>
    <row r="23" spans="1:12" x14ac:dyDescent="0.3">
      <c r="A23" s="71" t="s">
        <v>90</v>
      </c>
      <c r="C23" s="1">
        <v>-400</v>
      </c>
      <c r="D23" s="1">
        <v>-793</v>
      </c>
      <c r="E23" s="1">
        <v>1278</v>
      </c>
      <c r="F23" s="1">
        <v>-4097</v>
      </c>
      <c r="G23" s="1">
        <v>6145</v>
      </c>
      <c r="H23" s="1">
        <v>-19675</v>
      </c>
      <c r="I23" s="1">
        <v>-9830</v>
      </c>
      <c r="J23" s="1">
        <v>7375</v>
      </c>
      <c r="K23" s="1">
        <v>-10566</v>
      </c>
      <c r="L23" s="1">
        <v>-20421</v>
      </c>
    </row>
    <row r="24" spans="1:12" x14ac:dyDescent="0.3">
      <c r="A24" s="1" t="s">
        <v>91</v>
      </c>
      <c r="D24" s="1">
        <v>1988</v>
      </c>
      <c r="H24" s="1">
        <v>4968</v>
      </c>
      <c r="I24" s="1">
        <v>3977</v>
      </c>
      <c r="K24" s="1">
        <v>-1250</v>
      </c>
      <c r="L24" s="1">
        <v>-1250</v>
      </c>
    </row>
    <row r="25" spans="1:12" x14ac:dyDescent="0.3">
      <c r="A25" s="1" t="s">
        <v>92</v>
      </c>
      <c r="D25" s="1">
        <v>-673</v>
      </c>
      <c r="E25" s="1">
        <v>-812</v>
      </c>
      <c r="F25" s="1">
        <v>-16</v>
      </c>
    </row>
    <row r="26" spans="1:12" x14ac:dyDescent="0.3">
      <c r="A26" s="1" t="s">
        <v>93</v>
      </c>
      <c r="D26" s="1">
        <v>1315</v>
      </c>
      <c r="E26" s="1">
        <v>-812</v>
      </c>
      <c r="F26" s="1">
        <v>-16</v>
      </c>
      <c r="H26" s="1">
        <v>4968</v>
      </c>
      <c r="I26" s="1">
        <v>3977</v>
      </c>
      <c r="K26" s="1">
        <v>-1250</v>
      </c>
      <c r="L26" s="1">
        <v>-1250</v>
      </c>
    </row>
    <row r="27" spans="1:12" x14ac:dyDescent="0.3">
      <c r="A27" s="1" t="s">
        <v>94</v>
      </c>
      <c r="C27" s="1">
        <v>-587</v>
      </c>
      <c r="D27" s="1">
        <v>-739</v>
      </c>
      <c r="E27" s="1">
        <v>-909</v>
      </c>
      <c r="F27" s="1">
        <v>-1579</v>
      </c>
      <c r="I27" s="1">
        <v>281</v>
      </c>
      <c r="J27" s="1">
        <v>-9684</v>
      </c>
      <c r="K27" s="1">
        <v>-9130</v>
      </c>
      <c r="L27" s="1">
        <v>-33216</v>
      </c>
    </row>
    <row r="28" spans="1:12" x14ac:dyDescent="0.3">
      <c r="A28" s="1" t="s">
        <v>95</v>
      </c>
      <c r="C28" s="1">
        <v>-587</v>
      </c>
      <c r="D28" s="1">
        <v>-739</v>
      </c>
      <c r="E28" s="1">
        <v>-909</v>
      </c>
      <c r="F28" s="1">
        <v>-1579</v>
      </c>
      <c r="I28" s="1">
        <v>281</v>
      </c>
      <c r="J28" s="1">
        <v>-9684</v>
      </c>
      <c r="K28" s="1">
        <v>-9130</v>
      </c>
      <c r="L28" s="1">
        <v>-33216</v>
      </c>
    </row>
    <row r="29" spans="1:12" x14ac:dyDescent="0.3">
      <c r="A29" s="1" t="s">
        <v>96</v>
      </c>
      <c r="C29" s="1">
        <v>-213</v>
      </c>
      <c r="D29" s="1">
        <v>-261</v>
      </c>
      <c r="E29" s="1">
        <v>-341</v>
      </c>
      <c r="F29" s="1">
        <v>-371</v>
      </c>
      <c r="G29" s="1">
        <v>-390</v>
      </c>
      <c r="H29" s="1">
        <v>-395</v>
      </c>
      <c r="I29" s="1">
        <v>-399</v>
      </c>
      <c r="J29" s="1">
        <v>-398</v>
      </c>
      <c r="K29" s="1">
        <v>-395</v>
      </c>
      <c r="L29" s="1">
        <v>-834</v>
      </c>
    </row>
    <row r="30" spans="1:12" x14ac:dyDescent="0.3">
      <c r="A30" s="1" t="s">
        <v>97</v>
      </c>
      <c r="C30" s="1">
        <v>124</v>
      </c>
      <c r="D30" s="1">
        <v>-24</v>
      </c>
      <c r="E30" s="1">
        <v>-482</v>
      </c>
      <c r="F30" s="1">
        <v>-900</v>
      </c>
      <c r="G30" s="1">
        <v>-402</v>
      </c>
      <c r="H30" s="1">
        <v>-769</v>
      </c>
      <c r="I30" s="1">
        <v>-1994</v>
      </c>
      <c r="J30" s="1">
        <v>-1535</v>
      </c>
      <c r="K30" s="1">
        <v>-2858</v>
      </c>
      <c r="L30" s="1">
        <v>-7059</v>
      </c>
    </row>
    <row r="31" spans="1:12" x14ac:dyDescent="0.3">
      <c r="A31" s="71" t="s">
        <v>98</v>
      </c>
      <c r="C31" s="1">
        <v>-676</v>
      </c>
      <c r="D31" s="1">
        <v>291</v>
      </c>
      <c r="E31" s="1">
        <v>-2544</v>
      </c>
      <c r="F31" s="1">
        <v>-2866</v>
      </c>
      <c r="G31" s="1">
        <v>-792</v>
      </c>
      <c r="H31" s="1">
        <v>3804</v>
      </c>
      <c r="I31" s="1">
        <v>1865</v>
      </c>
      <c r="J31" s="1">
        <v>-11617</v>
      </c>
      <c r="K31" s="1">
        <v>-13633</v>
      </c>
      <c r="L31" s="1">
        <v>-42359</v>
      </c>
    </row>
    <row r="32" spans="1:12" x14ac:dyDescent="0.3">
      <c r="A32" s="71" t="s">
        <v>99</v>
      </c>
      <c r="C32" s="1">
        <v>99</v>
      </c>
      <c r="D32" s="1">
        <v>1170</v>
      </c>
      <c r="E32" s="1">
        <v>2236</v>
      </c>
      <c r="F32" s="1">
        <v>-3220</v>
      </c>
      <c r="G32" s="1">
        <v>10114</v>
      </c>
      <c r="H32" s="1">
        <v>-10049</v>
      </c>
      <c r="I32" s="1">
        <v>1143</v>
      </c>
      <c r="J32" s="1">
        <v>1399</v>
      </c>
      <c r="K32" s="1">
        <v>3891</v>
      </c>
      <c r="L32" s="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C63-DEDD-4CB1-89AD-AA1F4409C126}">
  <sheetPr codeName="Sheet2"/>
  <dimension ref="A1:Y25"/>
  <sheetViews>
    <sheetView workbookViewId="0">
      <selection activeCell="M19" sqref="M19"/>
    </sheetView>
  </sheetViews>
  <sheetFormatPr defaultRowHeight="14.4" x14ac:dyDescent="0.3"/>
  <cols>
    <col min="1" max="1" width="31.88671875" style="1" customWidth="1"/>
    <col min="2" max="3" width="9.33203125" style="1" hidden="1" customWidth="1"/>
    <col min="4" max="11" width="9.33203125" style="1" customWidth="1"/>
    <col min="12" max="12" width="9.5546875" style="1" bestFit="1" customWidth="1"/>
    <col min="13" max="13" width="9.33203125" style="1" customWidth="1"/>
    <col min="14" max="19" width="8.88671875" style="1"/>
    <col min="20" max="21" width="9.33203125" style="1" customWidth="1"/>
    <col min="22" max="22" width="9.5546875" style="1" bestFit="1" customWidth="1"/>
    <col min="23" max="25" width="9.33203125" style="1" customWidth="1"/>
    <col min="26" max="16384" width="8.88671875" style="1"/>
  </cols>
  <sheetData>
    <row r="1" spans="1:25" ht="18" x14ac:dyDescent="0.35">
      <c r="A1" s="73" t="s">
        <v>73</v>
      </c>
    </row>
    <row r="2" spans="1:25" x14ac:dyDescent="0.3">
      <c r="A2" s="1" t="s">
        <v>149</v>
      </c>
    </row>
    <row r="3" spans="1:25" x14ac:dyDescent="0.3">
      <c r="B3" s="72">
        <v>45688</v>
      </c>
      <c r="C3" s="72">
        <v>42035</v>
      </c>
      <c r="D3" s="72">
        <v>42400</v>
      </c>
      <c r="E3" s="72">
        <v>42766</v>
      </c>
      <c r="F3" s="72">
        <v>43131</v>
      </c>
      <c r="G3" s="72">
        <v>43496</v>
      </c>
      <c r="H3" s="72">
        <v>43861</v>
      </c>
      <c r="I3" s="72">
        <v>44227</v>
      </c>
      <c r="J3" s="72">
        <v>44592</v>
      </c>
      <c r="K3" s="72">
        <v>44957</v>
      </c>
      <c r="L3" s="72">
        <v>45322</v>
      </c>
      <c r="M3" s="72">
        <v>45688</v>
      </c>
      <c r="T3" s="72"/>
      <c r="U3" s="72"/>
      <c r="V3" s="72"/>
      <c r="W3" s="72"/>
      <c r="X3" s="72"/>
      <c r="Y3" s="72"/>
    </row>
    <row r="4" spans="1:25" x14ac:dyDescent="0.3">
      <c r="A4" s="71" t="s">
        <v>53</v>
      </c>
      <c r="B4" s="1">
        <v>130497</v>
      </c>
      <c r="C4" s="1">
        <v>4682</v>
      </c>
      <c r="D4" s="1">
        <v>5010</v>
      </c>
      <c r="E4" s="1">
        <v>6910</v>
      </c>
      <c r="F4" s="1">
        <v>9714</v>
      </c>
      <c r="G4" s="1">
        <v>11716</v>
      </c>
      <c r="H4" s="1">
        <v>10918</v>
      </c>
      <c r="I4" s="1">
        <v>16675</v>
      </c>
      <c r="J4" s="1">
        <v>26914</v>
      </c>
      <c r="K4" s="1">
        <v>26974</v>
      </c>
      <c r="L4" s="1">
        <v>60922</v>
      </c>
      <c r="M4" s="1">
        <v>130497</v>
      </c>
    </row>
    <row r="5" spans="1:25" x14ac:dyDescent="0.3">
      <c r="A5" s="6" t="s">
        <v>54</v>
      </c>
      <c r="B5" s="1">
        <v>32639</v>
      </c>
      <c r="C5" s="1">
        <v>2083</v>
      </c>
      <c r="D5" s="1">
        <v>2199</v>
      </c>
      <c r="E5" s="1">
        <v>2847</v>
      </c>
      <c r="F5" s="1">
        <v>3892</v>
      </c>
      <c r="G5" s="1">
        <v>4545</v>
      </c>
      <c r="H5" s="1">
        <v>4150</v>
      </c>
      <c r="I5" s="1">
        <v>6279</v>
      </c>
      <c r="J5" s="1">
        <v>9439</v>
      </c>
      <c r="K5" s="1">
        <v>11618</v>
      </c>
      <c r="L5" s="1">
        <v>16621</v>
      </c>
      <c r="M5" s="1">
        <v>32639</v>
      </c>
    </row>
    <row r="6" spans="1:25" x14ac:dyDescent="0.3">
      <c r="A6" s="71" t="s">
        <v>55</v>
      </c>
      <c r="B6" s="1">
        <v>97858</v>
      </c>
      <c r="C6" s="1">
        <v>2599</v>
      </c>
      <c r="D6" s="1">
        <v>2811</v>
      </c>
      <c r="E6" s="1">
        <v>4063</v>
      </c>
      <c r="F6" s="1">
        <v>5822</v>
      </c>
      <c r="G6" s="1">
        <v>7171</v>
      </c>
      <c r="H6" s="1">
        <v>6768</v>
      </c>
      <c r="I6" s="1">
        <v>10396</v>
      </c>
      <c r="J6" s="1">
        <v>17475</v>
      </c>
      <c r="K6" s="1">
        <v>15356</v>
      </c>
      <c r="L6" s="1">
        <v>44301</v>
      </c>
      <c r="M6" s="1">
        <v>97858</v>
      </c>
    </row>
    <row r="7" spans="1:25" x14ac:dyDescent="0.3">
      <c r="A7" s="6" t="s">
        <v>56</v>
      </c>
      <c r="B7" s="1">
        <v>12914</v>
      </c>
      <c r="C7" s="1">
        <v>1360</v>
      </c>
      <c r="D7" s="1">
        <v>1331</v>
      </c>
      <c r="E7" s="1">
        <v>1463</v>
      </c>
      <c r="F7" s="1">
        <v>1797</v>
      </c>
      <c r="G7" s="1">
        <v>2376</v>
      </c>
      <c r="H7" s="1">
        <v>2829</v>
      </c>
      <c r="I7" s="1">
        <v>3924</v>
      </c>
      <c r="J7" s="1">
        <v>5268</v>
      </c>
      <c r="K7" s="1">
        <v>7339</v>
      </c>
      <c r="L7" s="1">
        <v>8675</v>
      </c>
      <c r="M7" s="1">
        <v>12914</v>
      </c>
    </row>
    <row r="8" spans="1:25" x14ac:dyDescent="0.3">
      <c r="A8" s="6" t="s">
        <v>57</v>
      </c>
      <c r="B8" s="1">
        <v>3491</v>
      </c>
      <c r="C8" s="1">
        <v>480</v>
      </c>
      <c r="D8" s="1">
        <v>602</v>
      </c>
      <c r="E8" s="1">
        <v>663</v>
      </c>
      <c r="F8" s="1">
        <v>815</v>
      </c>
      <c r="G8" s="1">
        <v>991</v>
      </c>
      <c r="H8" s="1">
        <v>1093</v>
      </c>
      <c r="I8" s="1">
        <v>1940</v>
      </c>
      <c r="J8" s="1">
        <v>2166</v>
      </c>
      <c r="K8" s="1">
        <v>2440</v>
      </c>
      <c r="L8" s="1">
        <v>2654</v>
      </c>
      <c r="M8" s="1">
        <v>3491</v>
      </c>
    </row>
    <row r="9" spans="1:25" x14ac:dyDescent="0.3">
      <c r="A9" s="6" t="s">
        <v>58</v>
      </c>
    </row>
    <row r="10" spans="1:25" x14ac:dyDescent="0.3">
      <c r="A10" s="1" t="s">
        <v>59</v>
      </c>
      <c r="B10" s="1">
        <v>16405</v>
      </c>
      <c r="C10" s="1">
        <v>1840</v>
      </c>
      <c r="D10" s="1">
        <v>2064</v>
      </c>
      <c r="E10" s="1">
        <v>2129</v>
      </c>
      <c r="F10" s="1">
        <v>2612</v>
      </c>
      <c r="G10" s="1">
        <v>3367</v>
      </c>
      <c r="H10" s="1">
        <v>3922</v>
      </c>
      <c r="I10" s="1">
        <v>5864</v>
      </c>
      <c r="J10" s="1">
        <v>7434</v>
      </c>
      <c r="K10" s="1">
        <v>11132</v>
      </c>
      <c r="L10" s="1">
        <v>11329</v>
      </c>
      <c r="M10" s="1">
        <v>16405</v>
      </c>
    </row>
    <row r="11" spans="1:25" x14ac:dyDescent="0.3">
      <c r="A11" s="71" t="s">
        <v>60</v>
      </c>
      <c r="B11" s="1">
        <v>81453</v>
      </c>
      <c r="C11" s="1">
        <v>759</v>
      </c>
      <c r="D11" s="1">
        <v>747</v>
      </c>
      <c r="E11" s="1">
        <v>1934</v>
      </c>
      <c r="F11" s="1">
        <v>3210</v>
      </c>
      <c r="G11" s="1">
        <v>3804</v>
      </c>
      <c r="H11" s="1">
        <v>2846</v>
      </c>
      <c r="I11" s="1">
        <v>4532</v>
      </c>
      <c r="J11" s="1">
        <v>10041</v>
      </c>
      <c r="K11" s="1">
        <v>4224</v>
      </c>
      <c r="L11" s="1">
        <v>32972</v>
      </c>
      <c r="M11" s="1">
        <v>81453</v>
      </c>
    </row>
    <row r="12" spans="1:25" x14ac:dyDescent="0.3">
      <c r="A12" s="1" t="s">
        <v>61</v>
      </c>
      <c r="B12" s="1">
        <v>2573</v>
      </c>
      <c r="C12" s="1">
        <v>-4</v>
      </c>
      <c r="D12" s="1">
        <v>-4</v>
      </c>
      <c r="E12" s="1">
        <v>-29</v>
      </c>
      <c r="F12" s="1">
        <v>-14</v>
      </c>
      <c r="G12" s="1">
        <v>92</v>
      </c>
      <c r="H12" s="1">
        <v>124</v>
      </c>
      <c r="I12" s="1">
        <v>-123</v>
      </c>
      <c r="J12" s="1">
        <v>-100</v>
      </c>
      <c r="K12" s="1">
        <v>-43</v>
      </c>
      <c r="L12" s="1">
        <v>846</v>
      </c>
      <c r="M12" s="1">
        <v>2573</v>
      </c>
    </row>
    <row r="13" spans="1:25" x14ac:dyDescent="0.3">
      <c r="A13" s="71" t="s">
        <v>62</v>
      </c>
      <c r="B13" s="1">
        <v>84026</v>
      </c>
      <c r="C13" s="1">
        <v>755</v>
      </c>
      <c r="D13" s="1">
        <v>743</v>
      </c>
      <c r="E13" s="1">
        <v>1905</v>
      </c>
      <c r="F13" s="1">
        <v>3196</v>
      </c>
      <c r="G13" s="1">
        <v>3896</v>
      </c>
      <c r="H13" s="1">
        <v>2970</v>
      </c>
      <c r="I13" s="1">
        <v>4409</v>
      </c>
      <c r="J13" s="1">
        <v>9941</v>
      </c>
      <c r="K13" s="1">
        <v>4181</v>
      </c>
      <c r="L13" s="1">
        <v>33818</v>
      </c>
      <c r="M13" s="1">
        <v>84026</v>
      </c>
    </row>
    <row r="14" spans="1:25" x14ac:dyDescent="0.3">
      <c r="A14" s="1" t="s">
        <v>63</v>
      </c>
      <c r="B14" s="1">
        <v>11146</v>
      </c>
      <c r="C14" s="1">
        <v>124</v>
      </c>
      <c r="D14" s="1">
        <v>129</v>
      </c>
      <c r="E14" s="1">
        <v>239</v>
      </c>
      <c r="F14" s="1">
        <v>149</v>
      </c>
      <c r="G14" s="1">
        <v>-245</v>
      </c>
      <c r="H14" s="1">
        <v>174</v>
      </c>
      <c r="I14" s="1">
        <v>77</v>
      </c>
      <c r="J14" s="1">
        <v>189</v>
      </c>
      <c r="K14" s="1">
        <v>-187</v>
      </c>
      <c r="L14" s="1">
        <v>4058</v>
      </c>
      <c r="M14" s="1">
        <v>11146</v>
      </c>
    </row>
    <row r="15" spans="1:25" x14ac:dyDescent="0.3">
      <c r="A15" s="71" t="s">
        <v>63</v>
      </c>
      <c r="B15" s="1">
        <v>11146</v>
      </c>
      <c r="C15" s="1">
        <v>124</v>
      </c>
      <c r="D15" s="1">
        <v>129</v>
      </c>
      <c r="E15" s="1">
        <v>239</v>
      </c>
      <c r="F15" s="1">
        <v>149</v>
      </c>
      <c r="G15" s="1">
        <v>-245</v>
      </c>
      <c r="H15" s="1">
        <v>174</v>
      </c>
      <c r="I15" s="1">
        <v>77</v>
      </c>
      <c r="J15" s="1">
        <v>189</v>
      </c>
      <c r="K15" s="1">
        <v>-187</v>
      </c>
      <c r="L15" s="1">
        <v>4058</v>
      </c>
      <c r="M15" s="1">
        <v>72880</v>
      </c>
    </row>
    <row r="16" spans="1:25" x14ac:dyDescent="0.3">
      <c r="A16" s="1" t="s">
        <v>64</v>
      </c>
    </row>
    <row r="17" spans="1:13" x14ac:dyDescent="0.3">
      <c r="A17" s="71" t="s">
        <v>65</v>
      </c>
      <c r="B17" s="1">
        <v>72880</v>
      </c>
      <c r="C17" s="1">
        <v>631</v>
      </c>
      <c r="D17" s="1">
        <v>614</v>
      </c>
      <c r="E17" s="1">
        <v>1666</v>
      </c>
      <c r="F17" s="1">
        <v>3047</v>
      </c>
      <c r="G17" s="1">
        <v>4141</v>
      </c>
      <c r="H17" s="1">
        <v>2796</v>
      </c>
      <c r="I17" s="1">
        <v>4332</v>
      </c>
      <c r="J17" s="1">
        <v>9752</v>
      </c>
      <c r="K17" s="1">
        <v>4368</v>
      </c>
      <c r="L17" s="1">
        <v>29760</v>
      </c>
      <c r="M17" s="1">
        <v>72880</v>
      </c>
    </row>
    <row r="18" spans="1:13" x14ac:dyDescent="0.3">
      <c r="A18" s="1" t="s">
        <v>66</v>
      </c>
    </row>
    <row r="19" spans="1:13" x14ac:dyDescent="0.3">
      <c r="A19" s="71" t="s">
        <v>67</v>
      </c>
      <c r="B19" s="1">
        <v>72880</v>
      </c>
      <c r="C19" s="1">
        <v>631</v>
      </c>
      <c r="D19" s="1">
        <v>614</v>
      </c>
      <c r="E19" s="1">
        <v>1666</v>
      </c>
      <c r="F19" s="1">
        <v>3047</v>
      </c>
      <c r="G19" s="1">
        <v>4141</v>
      </c>
      <c r="H19" s="1">
        <v>2796</v>
      </c>
      <c r="I19" s="1">
        <v>4332</v>
      </c>
      <c r="J19" s="1">
        <v>9752</v>
      </c>
      <c r="K19" s="1">
        <v>4368</v>
      </c>
      <c r="L19" s="1">
        <v>29760</v>
      </c>
      <c r="M19" s="1">
        <v>72880</v>
      </c>
    </row>
    <row r="20" spans="1:13" x14ac:dyDescent="0.3">
      <c r="A20" s="1" t="s">
        <v>68</v>
      </c>
      <c r="B20" s="1">
        <v>83317</v>
      </c>
      <c r="C20" s="1">
        <v>1007</v>
      </c>
      <c r="D20" s="1">
        <v>973</v>
      </c>
      <c r="E20" s="1">
        <v>2121</v>
      </c>
      <c r="F20" s="1">
        <v>3409</v>
      </c>
      <c r="G20" s="1">
        <v>4066</v>
      </c>
      <c r="H20" s="1">
        <v>3227</v>
      </c>
      <c r="I20" s="1">
        <v>5630</v>
      </c>
      <c r="J20" s="1">
        <v>11215</v>
      </c>
      <c r="K20" s="1">
        <v>5768</v>
      </c>
      <c r="L20" s="1">
        <v>34480</v>
      </c>
      <c r="M20" s="1">
        <v>83317</v>
      </c>
    </row>
    <row r="21" spans="1:13" x14ac:dyDescent="0.3">
      <c r="A21" s="1" t="s">
        <v>20</v>
      </c>
      <c r="B21" s="1">
        <v>81453</v>
      </c>
      <c r="C21" s="1">
        <v>759</v>
      </c>
      <c r="D21" s="1">
        <v>747</v>
      </c>
      <c r="E21" s="1">
        <v>1934</v>
      </c>
      <c r="F21" s="1">
        <v>3210</v>
      </c>
      <c r="G21" s="1">
        <v>3804</v>
      </c>
      <c r="H21" s="1">
        <v>2846</v>
      </c>
      <c r="I21" s="1">
        <v>4532</v>
      </c>
      <c r="J21" s="1">
        <v>10041</v>
      </c>
      <c r="K21" s="1">
        <v>4224</v>
      </c>
      <c r="L21" s="1">
        <v>32972</v>
      </c>
      <c r="M21" s="1">
        <v>81453</v>
      </c>
    </row>
    <row r="22" spans="1:13" x14ac:dyDescent="0.3">
      <c r="A22" s="1" t="s">
        <v>69</v>
      </c>
      <c r="B22" s="1">
        <v>24555</v>
      </c>
      <c r="C22" s="1">
        <v>22080</v>
      </c>
      <c r="D22" s="1">
        <v>21720</v>
      </c>
      <c r="E22" s="1">
        <v>21640</v>
      </c>
      <c r="F22" s="1">
        <v>23960</v>
      </c>
      <c r="G22" s="1">
        <v>24320</v>
      </c>
      <c r="H22" s="1">
        <v>24390</v>
      </c>
      <c r="I22" s="1">
        <v>24670</v>
      </c>
      <c r="J22" s="1">
        <v>24960</v>
      </c>
      <c r="K22" s="1">
        <v>24870</v>
      </c>
      <c r="L22" s="1">
        <v>24690</v>
      </c>
      <c r="M22" s="1">
        <v>24555</v>
      </c>
    </row>
    <row r="23" spans="1:13" x14ac:dyDescent="0.3">
      <c r="A23" s="1" t="s">
        <v>70</v>
      </c>
      <c r="B23" s="1">
        <v>24804</v>
      </c>
      <c r="C23" s="1">
        <v>22520</v>
      </c>
      <c r="D23" s="1">
        <v>22760</v>
      </c>
      <c r="E23" s="1">
        <v>25960</v>
      </c>
      <c r="F23" s="1">
        <v>25280</v>
      </c>
      <c r="G23" s="1">
        <v>25000</v>
      </c>
      <c r="H23" s="1">
        <v>24720</v>
      </c>
      <c r="I23" s="1">
        <v>25100</v>
      </c>
      <c r="J23" s="1">
        <v>25350</v>
      </c>
      <c r="K23" s="1">
        <v>25070</v>
      </c>
      <c r="L23" s="1">
        <v>24940</v>
      </c>
      <c r="M23" s="1">
        <v>24804</v>
      </c>
    </row>
    <row r="24" spans="1:13" x14ac:dyDescent="0.3">
      <c r="A24" s="71" t="s">
        <v>71</v>
      </c>
      <c r="B24" s="1">
        <v>2.97</v>
      </c>
      <c r="C24" s="1">
        <v>2.8500000000000001E-2</v>
      </c>
      <c r="D24" s="1">
        <v>2.8299999999999999E-2</v>
      </c>
      <c r="E24" s="1">
        <v>7.6999999999999999E-2</v>
      </c>
      <c r="F24" s="1">
        <v>0.1273</v>
      </c>
      <c r="G24" s="1">
        <v>0.17030000000000001</v>
      </c>
      <c r="H24" s="1">
        <v>0.115</v>
      </c>
      <c r="I24" s="1">
        <v>0.17599999999999999</v>
      </c>
      <c r="J24" s="1">
        <v>0.39100000000000001</v>
      </c>
      <c r="K24" s="1">
        <v>0.18</v>
      </c>
      <c r="L24" s="1">
        <v>1.21</v>
      </c>
      <c r="M24" s="1">
        <v>2.97</v>
      </c>
    </row>
    <row r="25" spans="1:13" x14ac:dyDescent="0.3">
      <c r="A25" s="71" t="s">
        <v>72</v>
      </c>
      <c r="B25" s="1">
        <v>2.94</v>
      </c>
      <c r="C25" s="1">
        <v>2.8000000000000001E-2</v>
      </c>
      <c r="D25" s="1">
        <v>2.7E-2</v>
      </c>
      <c r="E25" s="1">
        <v>6.4299999999999996E-2</v>
      </c>
      <c r="F25" s="1">
        <v>0.1205</v>
      </c>
      <c r="G25" s="1">
        <v>0.1658</v>
      </c>
      <c r="H25" s="1">
        <v>0.113</v>
      </c>
      <c r="I25" s="1">
        <v>0.17299999999999999</v>
      </c>
      <c r="J25" s="1">
        <v>0.38500000000000001</v>
      </c>
      <c r="K25" s="1">
        <v>0.17</v>
      </c>
      <c r="L25" s="1">
        <v>1.19</v>
      </c>
      <c r="M25" s="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Cover</vt:lpstr>
      <vt:lpstr>Summary</vt:lpstr>
      <vt:lpstr>DCF</vt:lpstr>
      <vt:lpstr>Senstivity analysis</vt:lpstr>
      <vt:lpstr>database</vt:lpstr>
      <vt:lpstr>Charts</vt:lpstr>
      <vt:lpstr>WACC</vt:lpstr>
      <vt:lpstr>ESTIMATES</vt:lpstr>
      <vt:lpstr>CFS</vt:lpstr>
      <vt:lpstr>IS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2025-06-29T21:27:36Z</dcterms:created>
  <dcterms:modified xsi:type="dcterms:W3CDTF">2025-07-31T20:29:40Z</dcterms:modified>
</cp:coreProperties>
</file>